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20" windowWidth="16100" windowHeight="9660"/>
  </bookViews>
  <sheets>
    <sheet name="Chatter" sheetId="1" r:id="rId1"/>
  </sheets>
  <calcPr calcId="145621"/>
</workbook>
</file>

<file path=xl/calcChain.xml><?xml version="1.0" encoding="utf-8"?>
<calcChain xmlns="http://schemas.openxmlformats.org/spreadsheetml/2006/main">
  <c r="J4655" i="1" l="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<sst xmlns="http://schemas.openxmlformats.org/spreadsheetml/2006/main" count="44823" uniqueCount="9334">
  <si>
    <t>Brand</t>
  </si>
  <si>
    <t>Date</t>
  </si>
  <si>
    <t>Source</t>
  </si>
  <si>
    <t>Screenname</t>
  </si>
  <si>
    <t>Display Name</t>
  </si>
  <si>
    <t>Sentiment</t>
  </si>
  <si>
    <t>Content</t>
  </si>
  <si>
    <t>Created Date/Time</t>
  </si>
  <si>
    <t>Closed Date/Time</t>
  </si>
  <si>
    <t>Link</t>
  </si>
  <si>
    <t>Gender</t>
  </si>
  <si>
    <t>City</t>
  </si>
  <si>
    <t>State</t>
  </si>
  <si>
    <t>Country</t>
  </si>
  <si>
    <t>Retweet Count</t>
  </si>
  <si>
    <t>Favorite Count</t>
  </si>
  <si>
    <t>Followers Count</t>
  </si>
  <si>
    <t>Location</t>
  </si>
  <si>
    <t>Comments</t>
  </si>
  <si>
    <t>Likes</t>
  </si>
  <si>
    <t>Shares</t>
  </si>
  <si>
    <t>Verified Account</t>
  </si>
  <si>
    <t>Post Type</t>
  </si>
  <si>
    <t>Agent Ticket ID</t>
  </si>
  <si>
    <t>Email Ticket ID</t>
  </si>
  <si>
    <t>Email Ticket Assigned To</t>
  </si>
  <si>
    <t>Email Ticket Status</t>
  </si>
  <si>
    <t>Sub-Source</t>
  </si>
  <si>
    <t>Ratings</t>
  </si>
  <si>
    <t>Note1</t>
  </si>
  <si>
    <t>Note2</t>
  </si>
  <si>
    <t>Note3</t>
  </si>
  <si>
    <t>Forums Response Comment</t>
  </si>
  <si>
    <t>Forums Response By</t>
  </si>
  <si>
    <t>Forums Response Time</t>
  </si>
  <si>
    <t>Business Location</t>
  </si>
  <si>
    <t>App Version</t>
  </si>
  <si>
    <t>Device Name</t>
  </si>
  <si>
    <t>Os Version</t>
  </si>
  <si>
    <t>Others</t>
  </si>
  <si>
    <t>Category</t>
  </si>
  <si>
    <t>SubCategory</t>
  </si>
  <si>
    <t>PostType</t>
  </si>
  <si>
    <t>Rating</t>
  </si>
  <si>
    <t>General</t>
  </si>
  <si>
    <t>Spice Money</t>
  </si>
  <si>
    <t>2024-03-31</t>
  </si>
  <si>
    <t>Youtube</t>
  </si>
  <si>
    <t>@manipurkangleipak</t>
  </si>
  <si>
    <t>Neutral</t>
  </si>
  <si>
    <t>I had already completed my IIBF BC Certificate Exam and the same has been uploaded to the spice money portal. Still it shows under review, how long will it take to verify???</t>
  </si>
  <si>
    <t>2024-03-31 22:00:44</t>
  </si>
  <si>
    <t>Comment</t>
  </si>
  <si>
    <t>@gangakumar4607</t>
  </si>
  <si>
    <t>Positive</t>
  </si>
  <si>
    <t>❤❤❤❤❤❤❤❤❤❤❤❤❤❤❤❤❤❤❤❤❤❤❤❤❤❤❤❤❤❤❤❤❤❤❤❤❤❤❤❤❤❤❤❤❤❤❤❤❤❤❤❤❤❤❤❤❤❤❤❤❤❤❤❤❤❤❤❤❤❤❤❤...</t>
  </si>
  <si>
    <t>2024-03-31 20:56:37</t>
  </si>
  <si>
    <t>@dalisahu1510</t>
  </si>
  <si>
    <t>ट्रेनिंग कब शुरू होगा जानकारी कैसे मिलेगी</t>
  </si>
  <si>
    <t>2024-03-31 19:30:51</t>
  </si>
  <si>
    <t>Facebook</t>
  </si>
  <si>
    <t>FB User</t>
  </si>
  <si>
    <t>Call karke bataye sir 9414927544</t>
  </si>
  <si>
    <t>2024-03-31 17:56:23</t>
  </si>
  <si>
    <t>SPICE MONEY</t>
  </si>
  <si>
    <t>Dear Sir, Namaskar! Retailor ID free of cost hai, adhik jankari ke liye aap hamare official customer care 0120-3645622 par sampark karein. Regards, Team Spice Money</t>
  </si>
  <si>
    <t>2024-03-31 17:11:24</t>
  </si>
  <si>
    <t>Male</t>
  </si>
  <si>
    <t>@SpiceMoneyOfficial</t>
  </si>
  <si>
    <t>प्रिय महोदय, नमस्कार! आपसे अनुरोध है कि कृपया अपना मोबाइल नंबर और ईमेल आईडी हमें साझा करें, हमारी ग्राहक सेवा टीम आपसे जल्द ही संपर्क करेगी। आप हमारे आधिकारिक ग्राहक सेवा नंबर 0120-3645645 पर भी संपर्क कर सकते हैं। सादर, टीम स्पाइस मनी</t>
  </si>
  <si>
    <t>2024-03-31 17:10:18</t>
  </si>
  <si>
    <t>Dear Sir,Greetings ! Aapko batana chahenge ki aapka concern  hamari team ki taraf se aage forword kiya gaya hai ,aapko sales team ki taraf se contact kiya jayega. Regards Team Spice Money</t>
  </si>
  <si>
    <t>2024-03-31 17:08:45</t>
  </si>
  <si>
    <t>I'd kitne m banga</t>
  </si>
  <si>
    <t>2024-03-31 16:54:13</t>
  </si>
  <si>
    <t>मेरा sales parson humse baat nhi kr rhaa, bahane bna raha hai.  plzz mera micro Atm sdl304453 Deactivate krke sdl452769 pr Activate kr dijiye. Help me</t>
  </si>
  <si>
    <t>2024-03-31 16:46:18</t>
  </si>
  <si>
    <t>SPICE MONEY 9758539666</t>
  </si>
  <si>
    <t>2024-03-31 16:46:10</t>
  </si>
  <si>
    <t>Dear Sir, Greetings! Aapko batana chahenge ki is concern  ki puri jankari ke liye aap hamare sath jude rahein,jaldi hi information share kiya jayega. Regards , Team Spice Money</t>
  </si>
  <si>
    <t>2024-03-31 16:42:13</t>
  </si>
  <si>
    <t>Dear Sir, Greetings! Aapko batana chahenge ki is concern  ki puri janakri ke liye aap hamare sath jude rahein, jaldi hi information share kiya jayega. Regards , Team Spice Money</t>
  </si>
  <si>
    <t>2024-03-31 16:41:02</t>
  </si>
  <si>
    <t>Dear Sir, Namaskar! Aapse request hai ki please apna Mobile number &amp; email id hume inbox me share karein, hamari customer care team aapse jald hi sampark karegi. Regards, Team Spice Money</t>
  </si>
  <si>
    <t>2024-03-31 16:38:10</t>
  </si>
  <si>
    <t>Dear Sir, Greetings ! Aap Spice Money app ya B2B web portal me IIBF BC/ BF certification tile par jakar certificate upload karein. Regards, Team Spice Money</t>
  </si>
  <si>
    <t>2024-03-31 16:36:35</t>
  </si>
  <si>
    <t>2024-03-31 16:26:50</t>
  </si>
  <si>
    <t>Mera spice money ka I'd nhi khul Raha hai re kyc mangta hai kiya kare or kaise hoga?</t>
  </si>
  <si>
    <t>2024-03-31 15:51:22</t>
  </si>
  <si>
    <t>@shrirampandey1198</t>
  </si>
  <si>
    <t>इस कम्पनी के के तरफ से आपका कोई नहीं सुनने वाला नहीं है आपका पैसा डूब जाएगे और परेशानी अलग होगा कोई मत भरोसा करना जिसका id चल रहा उसका to सही है</t>
  </si>
  <si>
    <t>2024-03-31 15:38:32</t>
  </si>
  <si>
    <t>Twitter</t>
  </si>
  <si>
    <t>SpiceMoneyIndia</t>
  </si>
  <si>
    <t>@MdSec63 Dear Sir, Namaskar! Aapko batana chahenge ki  NOC ke regarding aapka concern already hamare team ki taraf forward kiya gaya hai, hamari team is par kaam kar rahi hai . Regards, Team Spice Money</t>
  </si>
  <si>
    <t>2024-03-31 15:35:37</t>
  </si>
  <si>
    <t>Noida, india</t>
  </si>
  <si>
    <t>True</t>
  </si>
  <si>
    <t>Tweet</t>
  </si>
  <si>
    <t>Dear Sir, Greetings! Hamare grahak sewa adhikari aapse jald hi sampark karenge. Regards, Team Spice Money</t>
  </si>
  <si>
    <t>2024-03-31 15:29:52</t>
  </si>
  <si>
    <t>Dear Sir, Namaskar! Aapse request hai ki please apna Mobile number &amp; email id hume share karein, hamari official customer care team aapse jald hi sampark karegi. aap hamse hamare official customer care 0120-3645645  par bhi sampark kar sakate hain. Regards, Team Spice Money</t>
  </si>
  <si>
    <t>2024-03-31 15:29:05</t>
  </si>
  <si>
    <t>2024-03-31 15:16:39</t>
  </si>
  <si>
    <t>Dear Sir, Greetings! Aapko batana chahenge ki is concern ke regarding aap hamare sath jude rahein,jaldi hi information share kiya jayega. Regards , Team Spice Money</t>
  </si>
  <si>
    <t>2024-03-31 15:06:02</t>
  </si>
  <si>
    <t>@sbprinting7928</t>
  </si>
  <si>
    <t>Faltu hain spice money I'd deactivate kar deta Hain.</t>
  </si>
  <si>
    <t>2024-03-31 15:05:48</t>
  </si>
  <si>
    <t>2024-03-31 15:03:47</t>
  </si>
  <si>
    <t>Meri I'd bahut din se band hai</t>
  </si>
  <si>
    <t>2024-03-31 14:55:10</t>
  </si>
  <si>
    <t>Upgrade hogi ya new purchase krni pdegi</t>
  </si>
  <si>
    <t>2024-03-31 14:45:10</t>
  </si>
  <si>
    <t>Mere pass iibf ka certicate hai</t>
  </si>
  <si>
    <t>2024-03-31 14:28:22</t>
  </si>
  <si>
    <t>Dear Sir, Namaskar! Aapse Batchit ke anusar IIBF certificate ke  baare me hamari taraf se aapko jankari share kar di gayi hai. Adhik jankari ke liye aap hamare official customer care number 0120-3645645 par bhi sampark kar sakte hain. Regards, Team Spice Money</t>
  </si>
  <si>
    <t>2024-03-31 13:11:10</t>
  </si>
  <si>
    <t>सिर्फ 👉 3000/- बचा के आप पा सकते हैं 👉2️⃣1️⃣ लाख तक का भुगतान और साथ में 1️⃣5️⃣ लाख तक का बीमा भी। 
अधिक जानकारी के लिए मुझे संपर्क करें।
http://mydc.in/?l=9506364000-1 
यदि आप रोजगार की तलाश में हैं तो भी सम्पर्क करें।
https://www.facebook.com/giriji74?mibextid=ZbWKwL</t>
  </si>
  <si>
    <t>2024-03-31 13:04:17</t>
  </si>
  <si>
    <t>Dear Sir, Greetings! As per discussed with you your concern  regarding IIBF certificate, AEPS transaction issue, information  shared from our end .If you have any query,you can also contact us on our official customer care number 0120-3645645 Regards, Team Spice Money</t>
  </si>
  <si>
    <t>2024-03-31 12:55:30</t>
  </si>
  <si>
    <t>@NagpalSgnr37336 Dear Sir, Greetings! As per discussed with you your concern  regarding ID suspension issue, information  shared from our end .If you have any query,you can also contact us on our official customer care number 0120-3645645 Regards, Team Spice Money</t>
  </si>
  <si>
    <t>2024-03-31 12:40:53</t>
  </si>
  <si>
    <t>Dear Sir, Greetings! We are trying to contact you but your number is not contactable. Please share your contact details and suitable times. Regards, Team Spice Money</t>
  </si>
  <si>
    <t>2024-03-31 12:09:46</t>
  </si>
  <si>
    <t>Kaise pahchan kare divice ka</t>
  </si>
  <si>
    <t>2024-03-31 12:05:10</t>
  </si>
  <si>
    <t>Dear Sir, Greetings! Aapko batana chahenge ki ye rules UIDAI ki taraf se sabhi fintech platform ke liye banaye gaye hain. Jo aapki suraksha ko dhyan me rakhkar banaya jata hai. Regards, Team Spice Money</t>
  </si>
  <si>
    <t>2024-03-31 11:45:05</t>
  </si>
  <si>
    <t>@manoj24929</t>
  </si>
  <si>
    <t>Kya Morpho MSO chalu rahega ya band ho jayega</t>
  </si>
  <si>
    <t>2024-03-31 11:37:48</t>
  </si>
  <si>
    <t>Dear Sir, Greetings! Aapko batana chahenge ki ye rules UIDAI ki taraf se sabhi fintech platform ke liye banaye gaye hain. Jo aapki suraksha ko dhyan me rakhkar banaya jata hai. Adhik jankari ke liye aap hamare sath jude rahein,jaldi hi information share kiya jayega . Regards, Team Spice Money</t>
  </si>
  <si>
    <t>2024-03-31 11:15:02</t>
  </si>
  <si>
    <t>Dear Sir, Greetings! Aapko batana chahenge ki ye rules UIDAI ki taraf se sabhi fintech platform ke liye banaye gaye hain. Jo aapki suraksha ko dhyan me rakhkar banaya jata hai. Adhik jankari ke liye aap hamare sath jude rahein,jaldi hi information share kiya jayega . Regards, Team Spice Money.</t>
  </si>
  <si>
    <t>2024-03-31 11:12:11</t>
  </si>
  <si>
    <t>Upesh Barman sahi baat</t>
  </si>
  <si>
    <t>2024-03-31 10:43:47</t>
  </si>
  <si>
    <t>@NagendraKumar-fq3yq</t>
  </si>
  <si>
    <t>4:33</t>
  </si>
  <si>
    <t>2024-03-31 10:30:24</t>
  </si>
  <si>
    <t>2024-03-31 10:29:11</t>
  </si>
  <si>
    <t>Dear Sir, Greetings!  RBI ke nirdeshanusar, Account opening service ko use karne ke liye sabhi BC partners ko IIBF BC/BF certification karna jaruri hai, samay rahte ise jarur pura karein. Regards ,Team Spice Money</t>
  </si>
  <si>
    <t>2024-03-31 10:16:08</t>
  </si>
  <si>
    <t>Dear Sir, Greetings! Aapko batana chahenge ki ye rules UIDAI ki taraf se sabhi fintech platform ke liye banaye gaye hain. Jo aapki suraksha ko dhyan me rakhkar banaya jata hai. Regards, Team Spice Money.</t>
  </si>
  <si>
    <t>2024-03-31 10:11:40</t>
  </si>
  <si>
    <t>2024-03-31 10:06:44</t>
  </si>
  <si>
    <t>Dear Sir, Namaskar! Aapse request hai ki please apna Mobile number &amp; email id hume share karein, hamari official customer care team aapse jald hi sampark karegi. aap hamse hamare official request hai ki please apna Mobile number &amp; email id hume customer care 0120-3645645  par bhi sampark kar sakate hain. Regards, Team Spice Money</t>
  </si>
  <si>
    <t>2024-03-31 10:03:28</t>
  </si>
  <si>
    <t>2024-03-31 10:00:32</t>
  </si>
  <si>
    <t>प्रिय महोदय, नमस्कार! आपको बताना चाहेंगे की ये नियम  UIDAI की तरफ से सभी fintech platform के लिए बनाये गए हैं। जो आपकी सुरक्षा को ध्यान में रख कर बनाया जाता है । सादर, टीम स्पाइस मनी</t>
  </si>
  <si>
    <t>2024-03-31 09:52:35</t>
  </si>
  <si>
    <t>@skygupta007 Dear Sir, Greetings! Please share your email id and mobile number in inbox .we'll reach out to you to resolve all your concerns.Regards, Team Spice Money</t>
  </si>
  <si>
    <t>2024-03-31 09:44:47</t>
  </si>
  <si>
    <t>@indianmobilesoftwareservic1698</t>
  </si>
  <si>
    <t>आपने सही बोला भाई आप और हम जैसे बहुत से लोगो को एप्स कर के कितना commision मिल जाता है जो नई नई डिवाइस लाते रहेंगे 
घर बार भी देखना होता है इसे तो बढ़िया ह की काम ही छोड़ देना चाहिये</t>
  </si>
  <si>
    <t>2024-03-31 09:19:17</t>
  </si>
  <si>
    <t>2024-03-31 08:55:51</t>
  </si>
  <si>
    <t>2024-03-31 08:54:14</t>
  </si>
  <si>
    <t>2024-03-31 08:52:52</t>
  </si>
  <si>
    <t>Dear Sir, Greetings! We thank you for the appreciation.Regards, Team Spice Money</t>
  </si>
  <si>
    <t>2024-03-31 08:49:49</t>
  </si>
  <si>
    <t>प्रिय महोदय, नमस्कार! हमारे ग्राहक सेवा अधिकारी जल्द ही आपसे संपर्क करेंगे। सादर, टीम स्पाइस मनी</t>
  </si>
  <si>
    <t>2024-03-31 08:47:51</t>
  </si>
  <si>
    <t>@mangleshuike4483</t>
  </si>
  <si>
    <t>Sabse best spice money</t>
  </si>
  <si>
    <t>2024-03-31 05:44:35</t>
  </si>
  <si>
    <t>2024-03-30</t>
  </si>
  <si>
    <t>@labakumarpatra5052</t>
  </si>
  <si>
    <t>Paynerbay 31 March bata rahahi</t>
  </si>
  <si>
    <t>2024-03-30 23:45:48</t>
  </si>
  <si>
    <t>@prosenjitghosh8925</t>
  </si>
  <si>
    <t>Yess</t>
  </si>
  <si>
    <t>2024-03-30 23:21:16</t>
  </si>
  <si>
    <t>Mujhe kise melega</t>
  </si>
  <si>
    <t>2024-03-30 22:52:32</t>
  </si>
  <si>
    <t>@deepaksingh-he1ev</t>
  </si>
  <si>
    <t>60 se 90 day ke andar e mail par received hota hai</t>
  </si>
  <si>
    <t>2024-03-30 22:22:50</t>
  </si>
  <si>
    <t>Plz wait</t>
  </si>
  <si>
    <t>2024-03-30 22:22:13</t>
  </si>
  <si>
    <t>Meri id k liye tum log daily bhane bna rhe ho mere paise bhi kha liye tum logo ne</t>
  </si>
  <si>
    <t>2024-03-30 22:20:10</t>
  </si>
  <si>
    <t>Abhi to 2 mahine ho geya sir</t>
  </si>
  <si>
    <t>2024-03-30 22:14:31</t>
  </si>
  <si>
    <t>Mere me nsdl ka option show nahi kar raha hai</t>
  </si>
  <si>
    <t>2024-03-30 22:10:03</t>
  </si>
  <si>
    <t>Spice best company 5 year experience</t>
  </si>
  <si>
    <t>2024-03-30 22:09:29</t>
  </si>
  <si>
    <t>Next month</t>
  </si>
  <si>
    <t>2024-03-30 22:06:01</t>
  </si>
  <si>
    <t>Negative</t>
  </si>
  <si>
    <t>Nakli fraud</t>
  </si>
  <si>
    <t>2024-03-30 21:52:19</t>
  </si>
  <si>
    <t>Md Sajjad Alam bohut kit lena hogha 500</t>
  </si>
  <si>
    <t>2024-03-30 21:29:05</t>
  </si>
  <si>
    <t>Certificate keyse milega. Certificate dene thak process of kijiye Please.</t>
  </si>
  <si>
    <t>2024-03-30 21:28:40</t>
  </si>
  <si>
    <t>2024-03-30 20:50:04</t>
  </si>
  <si>
    <t>Mohammad Tazeem call me</t>
  </si>
  <si>
    <t>2024-03-30 20:49:59</t>
  </si>
  <si>
    <t>Kaliram Sonare mc</t>
  </si>
  <si>
    <t>2024-03-30 20:49:34</t>
  </si>
  <si>
    <t>@rohitdhakad4901</t>
  </si>
  <si>
    <t>Sbi withdrawal bi band ho gyaa....😢</t>
  </si>
  <si>
    <t>2024-03-30 20:47:48</t>
  </si>
  <si>
    <t>Bhag m***cc</t>
  </si>
  <si>
    <t>2024-03-30 20:47:34</t>
  </si>
  <si>
    <t>@amitsha532</t>
  </si>
  <si>
    <t>Purchase  kaha se kree.. Dukan wla bhot price batata hii</t>
  </si>
  <si>
    <t>2024-03-30 20:26:35</t>
  </si>
  <si>
    <t>skygupta007</t>
  </si>
  <si>
    <t>Akash Gupta</t>
  </si>
  <si>
    <t>@SpiceMoneyIndia very bad service 15 days over no improve @_DigitalIndia @CSCegov_ @NPCI_NPCI #aeps #csc #csp #spicemoney https://t.co/yflm1QZJjr</t>
  </si>
  <si>
    <t>2024-03-30 20:19:55</t>
  </si>
  <si>
    <t>Kolkata, india</t>
  </si>
  <si>
    <t>Please Approve my IIBF Certificate</t>
  </si>
  <si>
    <t>2024-03-30 20:16:23</t>
  </si>
  <si>
    <t>@HariRajput01</t>
  </si>
  <si>
    <t>Morpho divice to chalegi na 
Mantra band ho rhi hai na</t>
  </si>
  <si>
    <t>2024-03-30 20:08:35</t>
  </si>
  <si>
    <t>MdSec63</t>
  </si>
  <si>
    <t>Md Saddam</t>
  </si>
  <si>
    <t>@SpiceMoneyIndia Abhi Tak koi aunyai nhi hua hain aur I'd closed ka noc nhi Mila hain please mera noc mail pe bhej dijye 
Gmail ID saddam.sec63@gmail.com
I'd - sdp56797
7541843351</t>
  </si>
  <si>
    <t>2024-03-30 19:07:06</t>
  </si>
  <si>
    <t>@2.0Sandeep</t>
  </si>
  <si>
    <t>Please  reply to me</t>
  </si>
  <si>
    <t>2024-03-30 18:53:12</t>
  </si>
  <si>
    <t>Mantra device update kaise ho ga</t>
  </si>
  <si>
    <t>2024-03-30 18:52:43</t>
  </si>
  <si>
    <t>Mem meri id ka cpv update karana hai iske liye 50 bar complete kar chuka hu lekin koi bhi cpv update nahi kar raha hai mem me thak chuka hu itni bar complete kar diya mene mem please cpv update kare mem please</t>
  </si>
  <si>
    <t>2024-03-30 18:40:08</t>
  </si>
  <si>
    <t>Certificate na banvae to sir</t>
  </si>
  <si>
    <t>2024-03-30 17:58:20</t>
  </si>
  <si>
    <t>SPICE MONEY 9719535897</t>
  </si>
  <si>
    <t>2024-03-30 17:53:07</t>
  </si>
  <si>
    <t>@sanjayraikwear1978</t>
  </si>
  <si>
    <t>L0 device hai esko kha fekde ab kon chenj karega 😮😮😮😂😂😂</t>
  </si>
  <si>
    <t>2024-03-30 17:45:31</t>
  </si>
  <si>
    <t>2024-03-30 17:44:26</t>
  </si>
  <si>
    <t>Sir mai abhi out of India hu mujhe aane me 2 to 3 month lage ga mere pass iibf certificate nhi h agar mai spice money se ye plan kab tak purchase kar sakta hu</t>
  </si>
  <si>
    <t>2024-03-30 17:43:16</t>
  </si>
  <si>
    <t>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</si>
  <si>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2024-03-30 17:39:48</t>
  </si>
  <si>
    <t>प्रिय महोदय, नमस्कार! आपको बताना चाहेंगे कि जो नियम बनाया जाता है, वो आपकी सुरक्षा को ध्यान में रख कर बनाया जाता है ताकि आप किसी भी  fraud का शिकार न हों। सादर, टीम स्पाइस मनी</t>
  </si>
  <si>
    <t>2024-03-30 17:38:52</t>
  </si>
  <si>
    <t>2024-03-30 17:38:40</t>
  </si>
  <si>
    <t>Sir main February 2 ko exam diyatha  Mera 54 Mark ayatha par abhi tak Certificate Nehi Aya hai kab Tak ayega plz bataiye</t>
  </si>
  <si>
    <t>2024-03-30 17:36:37</t>
  </si>
  <si>
    <t>@@SpiceMoneyOfficial maim.  sdl602986. I'd. Reactive plz</t>
  </si>
  <si>
    <t>2024-03-30 17:29:49</t>
  </si>
  <si>
    <t>Dear Sir, Namaskar! Aapse request hai ki please apna Mobile number &amp; email id hume share karein, hamari official customer care team aapse jald hi sampark karegi. aap hamse hamare official customer care 0120-3645645 par bhi sampark kar sakate hain. Regards, Team Spice Money</t>
  </si>
  <si>
    <t>2024-03-30 17:25:46</t>
  </si>
  <si>
    <t>2024-03-30 17:24:34</t>
  </si>
  <si>
    <t>2024-03-30 17:23:12</t>
  </si>
  <si>
    <t>2024-03-30 17:21:55</t>
  </si>
  <si>
    <t>Dear Sir, Namaskar! Aapse request hai ki is concern ke regarding aap hamare sath jude rahein, jald hi jankari share kiya jayega. Regards, Team Spice Money</t>
  </si>
  <si>
    <t>2024-03-30 17:21:15</t>
  </si>
  <si>
    <t>2024-03-30 17:18:09</t>
  </si>
  <si>
    <t>2024-03-30 17:16:35</t>
  </si>
  <si>
    <t>Dear Sir, Greetings!  RBI ke nirdeshnusar, sabhi BC partners ko IIBF BC/BF certification karna jaruri hai, samay rahte ise jarur pura karein. Regards ,Team Spice Money</t>
  </si>
  <si>
    <t>2024-03-30 17:14:40</t>
  </si>
  <si>
    <t>प्रिय महोदय, नमस्कार! आपसे अनुरोध है कि कृपया अपना मोबाइल नंबर और ईमेल आईडी हमें inbox me साझा करें, आप हमें अपनी अधिकारी आईडी भी शेयर कर सकते हैं। हमारी ग्राहक सेवा टीम आपसे जल्द ही संपर्क करेगी। सादर, टीम स्पाइस मनी</t>
  </si>
  <si>
    <t>2024-03-30 17:13:01</t>
  </si>
  <si>
    <t>Dear Sir, Greetings! Please share your email id and mobile number in inbox .we'll reach out to you to resolve all your concerns.Regards, Team Spice Money</t>
  </si>
  <si>
    <t>2024-03-30 17:10:44</t>
  </si>
  <si>
    <t>Dear Sir, Greetings ! Please visit our official website www.spicemoney.com for job information. Regards, Team Spice Money</t>
  </si>
  <si>
    <t>2024-03-30 17:10:01</t>
  </si>
  <si>
    <t>Dear Sir, Namaskar! Aapse request hai ki please apna Mobile number &amp; email id hume share karein, hamari customer care team aapse jald hi sampark karegi. Regards, Team Spice Money</t>
  </si>
  <si>
    <t>2024-03-30 17:09:37</t>
  </si>
  <si>
    <t>2024-03-30 17:09:22</t>
  </si>
  <si>
    <t>2024-03-30 17:06:54</t>
  </si>
  <si>
    <t>@trading_win.</t>
  </si>
  <si>
    <t>Matlab sab spice money chodo
Kyuki a business karne ka tarika he.
Ek device rahte dusra device kharido</t>
  </si>
  <si>
    <t>2024-03-30 17:04:16</t>
  </si>
  <si>
    <t>2024-03-30 17:01:01</t>
  </si>
  <si>
    <t>2024-03-30 17:00:14</t>
  </si>
  <si>
    <t>2024-03-30 16:59:51</t>
  </si>
  <si>
    <t>Dear Sir, Greetings! Hope you are good .If you have any issue related to our service let us know. Regards, Team Spice Money</t>
  </si>
  <si>
    <t>2024-03-30 16:57:17</t>
  </si>
  <si>
    <t>2024-03-30 16:55:36</t>
  </si>
  <si>
    <t>2024-03-30 16:53:51</t>
  </si>
  <si>
    <t>2024-03-30 16:53:39</t>
  </si>
  <si>
    <t>Sab kamane ka drama bana liya 
Chote mote rojgar ye cheje faltu hai</t>
  </si>
  <si>
    <t>2024-03-30 16:10:43</t>
  </si>
  <si>
    <t>@OfficialDrAshok</t>
  </si>
  <si>
    <t>सभी लोग एकजुट होकर काम करना ही बंद करदो जाए बैंक का चक्कर काटे फिर बैंक वालो की भी पता चले।
कितने लोग सहमत है ..??</t>
  </si>
  <si>
    <t>2024-03-30 16:06:47</t>
  </si>
  <si>
    <t>@prakashkharadi547</t>
  </si>
  <si>
    <t>Terminal I'd not active ka aeror  aa rha kbhi tk koi smadhna nhi ho rha</t>
  </si>
  <si>
    <t>2024-03-30 15:59:59</t>
  </si>
  <si>
    <t>Dear Sir, Greetings! Please share your email id and mobile number and we'll reach out to you to resolve all your concerns. You can also contact us on our official customer care number 0120-3645645 Regards, Team Spice Money</t>
  </si>
  <si>
    <t>2024-03-30 15:41:48</t>
  </si>
  <si>
    <t>@jivanmori2951</t>
  </si>
  <si>
    <t>IIBF Certificate banega tabi to pdf oplod hoga</t>
  </si>
  <si>
    <t>2024-03-30 15:37:17</t>
  </si>
  <si>
    <t>Dear sir, Greetings! Thank you for your suggestion, we have taken a note of it. We would like to inform you that as per RBI instructions, all BC partners are required to complete IIBF BC/BF certification, please complete it in time. Regards ,Team Spice Money</t>
  </si>
  <si>
    <t>2024-03-30 15:36:35</t>
  </si>
  <si>
    <t>@rsworldexplorerentertainment</t>
  </si>
  <si>
    <t>​@@SpiceMoneyOfficial IIBF</t>
  </si>
  <si>
    <t>2024-03-30 15:20:06</t>
  </si>
  <si>
    <t>Pdf format send कर सकते है</t>
  </si>
  <si>
    <t>2024-03-30 15:19:17</t>
  </si>
  <si>
    <t>Hi</t>
  </si>
  <si>
    <t>2024-03-30 15:18:39</t>
  </si>
  <si>
    <t>Dear Sir, Greetings! Aapko batana chahenge ki IIBF certification Account opening ke liye jaruri hai , iska other services par koi impact nahi hai.Adhik jankari ke liye aap hamare official customer care number 0120-3645645 par bhi sampark kar sakte hain. Regards, Team Spice Money</t>
  </si>
  <si>
    <t>2024-03-30 15:12:58</t>
  </si>
  <si>
    <t>2024-03-30 15:09:21</t>
  </si>
  <si>
    <t>@AkshayKumar-mc6mw</t>
  </si>
  <si>
    <t>Sahi kaha Bhai</t>
  </si>
  <si>
    <t>2024-03-30 15:03:17</t>
  </si>
  <si>
    <t>@MM-wi7im</t>
  </si>
  <si>
    <t>new device se bob and other aeps transaction problems sold hoge es kiya gerainty</t>
  </si>
  <si>
    <t>2024-03-30 15:01:30</t>
  </si>
  <si>
    <t>SPICE MONEY Mobile number social media पर साझा नहीं किया जाता है, इससे फ्रॉड हो सकता है, बल्की Adhikari I'd number दे सकते हैं</t>
  </si>
  <si>
    <t>2024-03-30 14:52:21</t>
  </si>
  <si>
    <t>Md Mofizul Hoque  NSDL ACCOUNT OPEN KARNE PAR CHARGE KYA LAGTA</t>
  </si>
  <si>
    <t>2024-03-30 14:50:17</t>
  </si>
  <si>
    <t>599 ka plan le liya hu Ab kya karna hoga mujhe</t>
  </si>
  <si>
    <t>2024-03-30 14:48:58</t>
  </si>
  <si>
    <t>@greenworldrakibul6955</t>
  </si>
  <si>
    <t>Need Upgrade
I don't change my device 😂😢</t>
  </si>
  <si>
    <t>2024-03-30 14:47:03</t>
  </si>
  <si>
    <t>Camaybhi utna nahi ati jitna price ha device ka</t>
  </si>
  <si>
    <t>2024-03-30 14:38:49</t>
  </si>
  <si>
    <t>Many times complain but not responding</t>
  </si>
  <si>
    <t>2024-03-30 14:28:04</t>
  </si>
  <si>
    <t>What is diffrent between LO and L1</t>
  </si>
  <si>
    <t>2024-03-30 14:21:59</t>
  </si>
  <si>
    <t>@syedfarazahmed9045</t>
  </si>
  <si>
    <t>L0 recently 
L0 device liya so hai tu kya karna 
Humare tu paise waste hore na 
L0 exhange bhi nhi hote ab toh</t>
  </si>
  <si>
    <t>2024-03-30 14:15:10</t>
  </si>
  <si>
    <t>@thinkingminds1</t>
  </si>
  <si>
    <t>Problem to batao</t>
  </si>
  <si>
    <t>2024-03-30 14:03:13</t>
  </si>
  <si>
    <t>Kya nahi sunta hai ?</t>
  </si>
  <si>
    <t>2024-03-30 14:02:54</t>
  </si>
  <si>
    <t>@SUSHEELKUMARYADAV-wm6en</t>
  </si>
  <si>
    <t>जितना AePS में कमाओ UIDAI को दें दों भारत गुलाम था और हम UIDAI के किसी ना किसी बहाने से रुपये चाहिए बस यही फंडा है सरकार का कभी कोई नियम तों कभी कोई नियम 
1. हर ट्रांजैक्शन पर एजेंट को अपना बायोमेट्रिक लगाना अनिवार्य ।
2. L0 डिवाइस सपोर्ट नहीं करेगी ।</t>
  </si>
  <si>
    <t>2024-03-30 14:01:19</t>
  </si>
  <si>
    <t>क्या आपको पता है AePS से जुड़ी ये ख़ास अपडेट?
जानने के लिए लिंक https://t.co/3Nyq1cAKDy पर क्लिक करें और पूरा वीडियो देखें।
#AePS #DeviceUpgrade
#SpiceMoney #SpiceMoneyTohLifeBani
#RuralFintech #MainAdhikariKhudHoonGuarantee https://t.co/BgkZNvXKDU</t>
  </si>
  <si>
    <t>2024-03-30 13:57:25</t>
  </si>
  <si>
    <t>क्या आपको पता है AePS से जुड़ी ये ख़ास अपडेट?
जानने के लिए लिंक https://youtu.be/Cz4v5w1J8dE पर क्लिक करें और पूरा वीडियो देखें।
#AePS #DeviceUpgrade 
#SpiceMoney #SpiceMoneyTohLifeBani
#RuralFintech #MainAdhikariKhudHoonGuarantee</t>
  </si>
  <si>
    <t>2024-03-30 13:57:09</t>
  </si>
  <si>
    <t>Post</t>
  </si>
  <si>
    <t>Hi SpiceMoney Mujhe job ki requirement hai aapke yha</t>
  </si>
  <si>
    <t>2024-03-30 13:51:23</t>
  </si>
  <si>
    <t>हमने 599 फीस का भी दे दिया लेकिन इसका पीडीएफ कहां से मिलेगा जिसे पढ़कर एग्जाम दिया जा सके</t>
  </si>
  <si>
    <t>2024-03-30 13:50:13</t>
  </si>
  <si>
    <t>@mdirfanmalik435</t>
  </si>
  <si>
    <t>@@companyonlinestaionaryshop7236 मेरा फ़ोन को गया था और जो नम्बर चलाते थे वो बन्द हो गया है ईमेल आईडी भी बन्द हो गई है अब नम्बर चेन्ज करना है तभी ओटीपी आयेगी 7 से 8 माह हो गये लेकिन कोई भी मदद नहीं मिली है झूठी आश्वासन दिया जाता है लेकिन कोई भी हेल्प नहीं हो रही हैं</t>
  </si>
  <si>
    <t>2024-03-30 13:47:19</t>
  </si>
  <si>
    <t>Spice money is super</t>
  </si>
  <si>
    <t>2024-03-30 13:37:50</t>
  </si>
  <si>
    <t>@shokatali5344</t>
  </si>
  <si>
    <t>L0 device ko L1 me upgrade kese karni ha Puri jankari dijiye</t>
  </si>
  <si>
    <t>2024-03-30 13:36:53</t>
  </si>
  <si>
    <t>SPICE MONEY 9678670932
mdmofizulhoque1991@gmail.com</t>
  </si>
  <si>
    <t>2024-03-30 13:23:27</t>
  </si>
  <si>
    <t>Err invalid terminal option aa rha hai mera bhai</t>
  </si>
  <si>
    <t>2024-03-30 13:22:59</t>
  </si>
  <si>
    <t>Kabir Hossain</t>
  </si>
  <si>
    <t>2024-03-30 13:22:08</t>
  </si>
  <si>
    <t>@companyonlinestaionaryshop7236</t>
  </si>
  <si>
    <t>Problem ky h apki</t>
  </si>
  <si>
    <t>2024-03-30 13:16:11</t>
  </si>
  <si>
    <t>इस्पाइस मनी आईडी कोई मत लेना इसमें कोई सुनवाई नहीं होती आज 7 से 8 माह बीत चुके है कोई सुनता नहीं है 😅😅😅😅</t>
  </si>
  <si>
    <t>2024-03-30 13:13:34</t>
  </si>
  <si>
    <t>@MadanChhetri-pf6td</t>
  </si>
  <si>
    <t>Kise upgrade kare?</t>
  </si>
  <si>
    <t>2024-03-30 13:09:32</t>
  </si>
  <si>
    <t>@NarendraKaruanVlogs</t>
  </si>
  <si>
    <t>Sab badhiya Aeps Hi band kardo,,,??😢</t>
  </si>
  <si>
    <t>2024-03-30 13:03:29</t>
  </si>
  <si>
    <t>2024-03-30 12:54:39</t>
  </si>
  <si>
    <t>2024-03-30 12:50:54</t>
  </si>
  <si>
    <t>IIBF certificate purchase karne par hame kya kya suvidha milega..!!</t>
  </si>
  <si>
    <t>2024-03-30 12:47:33</t>
  </si>
  <si>
    <t>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</si>
  <si>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2024-03-30 12:40:03</t>
  </si>
  <si>
    <t>@hitlarkumarroy6872</t>
  </si>
  <si>
    <t>Price kitna hai</t>
  </si>
  <si>
    <t>2024-03-30 12:39:21</t>
  </si>
  <si>
    <t>@ssameeramrohi9513</t>
  </si>
  <si>
    <t>I need iibf certificate as soon as possible</t>
  </si>
  <si>
    <t>2024-03-30 12:32:24</t>
  </si>
  <si>
    <t>@BiranBasumatary</t>
  </si>
  <si>
    <t>AEPS ko hi Band Koro, jhanjod kotom, nahi AEPS 2fa charge Rs.1.00 Dena nahi porega har transaction par.</t>
  </si>
  <si>
    <t>2024-03-30 12:30:38</t>
  </si>
  <si>
    <t>@amit8247</t>
  </si>
  <si>
    <t>@@bhagatrammarkam2371 Flipkart se mangaya 3449 me</t>
  </si>
  <si>
    <t>2024-03-30 12:25:41</t>
  </si>
  <si>
    <t>@@indianmobilesoftwareservic1698 Flipkart se mangaya hai 3449 me</t>
  </si>
  <si>
    <t>2024-03-30 12:24:58</t>
  </si>
  <si>
    <t>Ispais I'd m kitna khrch hai</t>
  </si>
  <si>
    <t>2024-03-30 12:22:55</t>
  </si>
  <si>
    <t>Mere pas nhi hai kya krna hoga kaise milega IIBF KA Certificate</t>
  </si>
  <si>
    <t>2024-03-30 12:22:46</t>
  </si>
  <si>
    <t>@bhagatrammarkam2371</t>
  </si>
  <si>
    <t>Kitne me</t>
  </si>
  <si>
    <t>2024-03-30 12:15:04</t>
  </si>
  <si>
    <t>@vkandkomal</t>
  </si>
  <si>
    <t>Mujh se NSDL ka Paisa leliya lakin I'd chalu nahi kiya</t>
  </si>
  <si>
    <t>2024-03-30 12:14:45</t>
  </si>
  <si>
    <t>@KhusheebabuJhamarket</t>
  </si>
  <si>
    <t>Kmai खाख नही</t>
  </si>
  <si>
    <t>2024-03-30 12:11:47</t>
  </si>
  <si>
    <t>Kitna aaya</t>
  </si>
  <si>
    <t>2024-03-30 12:09:58</t>
  </si>
  <si>
    <t>@user-sl3sg4me5z</t>
  </si>
  <si>
    <t>Iibf chartificate nhi ho to aeps band to nhi😂hoga</t>
  </si>
  <si>
    <t>2024-03-30 12:07:26</t>
  </si>
  <si>
    <t>Maine kal hi kharid Liya Mantra ka L1 Device 😅</t>
  </si>
  <si>
    <t>2024-03-30 12:05:40</t>
  </si>
  <si>
    <t>@jinnavlogs7903</t>
  </si>
  <si>
    <t>किया नोटकी लगाके रखा है। कितना बायोमेट्रिक डिवाइस खरीदे। साले जब जो मन में आ रहा है तब नोटिस जारी करदे रहे हो। बकलोल कंपनी</t>
  </si>
  <si>
    <t>2024-03-30 12:05:02</t>
  </si>
  <si>
    <t>To nya device fir se lena hoga yeto bakar h 5000 aur lagane honge divice ke</t>
  </si>
  <si>
    <t>2024-03-30 12:03:57</t>
  </si>
  <si>
    <t>AePS Ke Liye L0 Device Ko L1 Device Se Upgrade Karna Anivarya !</t>
  </si>
  <si>
    <t>2024-03-30 12:01:38</t>
  </si>
  <si>
    <t>2024-03-30 11:26:25</t>
  </si>
  <si>
    <t>2024-03-30 11:17:29</t>
  </si>
  <si>
    <t>@officialkunwarji7177</t>
  </si>
  <si>
    <t>Meri id band ho gyi h
Mene distributer ko bhi suchit kr diya but koi bhi sunbai nhi kr rha hai</t>
  </si>
  <si>
    <t>2024-03-30 11:12:14</t>
  </si>
  <si>
    <t>cscfpomorena</t>
  </si>
  <si>
    <t>FPO(FARMER PRODUCER ORGANISATIONS - NABARD )</t>
  </si>
  <si>
    <t>स्पाइस मनी प्लेटफार्म पर उपलब्ध है IIBF BC/BF की ट्रेनिंग और सर्टिफिकेट अपलोड करने की सुविधा। 
पूरी जानकारी के लिए https://t.co/vhK1JEtFgs लिंक पर क्लिक करें।
#SpiceMoney #SpiceMoneyTohLifeBani
#RuralFintech
#IIBF #SpiceSamachar
#MainAdhikariKhudHoonGuarantee https://t.co/hk2MqrjzK2</t>
  </si>
  <si>
    <t>2024-03-30 11:02:00</t>
  </si>
  <si>
    <t>Bisnori joura</t>
  </si>
  <si>
    <t>Retweet</t>
  </si>
  <si>
    <t>सर्टिफाइड अधिकारी बनने के लिए आज ही स्पाइस मनी प्लेटफ़ॉर्म पर IIBF BC/BF की ट्रेनिंग के लिए अप्लाई करें।
अप्लाई करने के लिए इस लिंक https://t.co/wmSLfXlxHn पर जाएं।
#SpiceMoney #SpiceMoneyTohLifeBani
#RuralFintech
#IIBF #CertificateProcess #Training… https://t.co/AIIPbQSwX9</t>
  </si>
  <si>
    <t>2024-03-30 11:01:45</t>
  </si>
  <si>
    <t>Iibf certificate kaha se milega.   9413414712</t>
  </si>
  <si>
    <t>2024-03-30 10:58:11</t>
  </si>
  <si>
    <t>2024-03-30 10:51:42</t>
  </si>
  <si>
    <t>Why need ibf cirtificate.I am Spice Money Star adhikari.Spice money should apply for our ibf cirtificate free of cost.we have many other b2b portal.</t>
  </si>
  <si>
    <t>2024-03-30 10:49:52</t>
  </si>
  <si>
    <t>2024-03-30 10:27:17</t>
  </si>
  <si>
    <t>Dear Sir, Namaskar! Aapse Batchit ke anusar ID suspension aur amount refund ke  baare me hamari taraf se aapko jankari share kar di gayi hai. Adhik jankari ke liye aap hamare official customer care number 0120-3645645 par bhi sampark kar sakte hain. Regards, Team Spice Money</t>
  </si>
  <si>
    <t>2024-03-30 09:55:43</t>
  </si>
  <si>
    <t>मैं spicemoney का अधिकारी हु, मेरे पास iibf का certificate भी है, क्या किसी bank का BC दिलवा सकते हैं</t>
  </si>
  <si>
    <t>2024-03-30 09:49:16</t>
  </si>
  <si>
    <t>NSDL, Account Opening Kit ka price jiyada hoon</t>
  </si>
  <si>
    <t>2024-03-30 09:42:00</t>
  </si>
  <si>
    <t>I need IIBF certificate</t>
  </si>
  <si>
    <t>2024-03-30 09:18:53</t>
  </si>
  <si>
    <t>2024-03-30 09:18:08</t>
  </si>
  <si>
    <t>सर्टिफाइड अधिकारी बनने के लिए आज ही स्पाइस मनी प्लेटफ़ॉर्म पर IIBF BC/BF की ट्रेनिंग के लिए अप्लाई करें।
अप्लाई करने के लिए इस लिंक https://youtu.be/7pMfSyYFp5U?feature=shared पर जाएं।
#SpiceMoney #SpiceMoneyTohLifeBani
#RuralFintech
#IIBF #CertificateProcess #Training
#MainAdhikariKhudHoonGuarantee
सर्टिफाइड अधिकारी बनने के लिए आज ही स्पाइस मनी प्लेटफ़ॉर्म पर IIBF BC/BF की ट्रेनिंग के लिए अप्लाई करें।
अप्लाई करने के लिए इस लिंक https://youtu.be/7pMfSyYFp5U?feature=shared पर जाएं।
#SpiceMoney #SpiceMoneyTohLifeBani
#RuralFintech
#IIBF #CertificateProcess #Training
#MainAdhikariKhudHoonGuarantee</t>
  </si>
  <si>
    <t>2024-03-30 09:00:06</t>
  </si>
  <si>
    <t>2024-03-30 08:21:22</t>
  </si>
  <si>
    <t>Dear Sir, Greetings! Our customer care officer will get in touch with you shortly. Regards, Team Spice Money</t>
  </si>
  <si>
    <t>2024-03-30 08:18:17</t>
  </si>
  <si>
    <t>2024-03-29</t>
  </si>
  <si>
    <t>Iibf certificate kaha se milega.</t>
  </si>
  <si>
    <t>2024-03-29 23:09:41</t>
  </si>
  <si>
    <t>8102763627 call me</t>
  </si>
  <si>
    <t>2024-03-29 20:49:58</t>
  </si>
  <si>
    <t>2024-03-29 19:45:41</t>
  </si>
  <si>
    <t>STarsicanf50453</t>
  </si>
  <si>
    <t>Sleeping Bag Tarsicanft</t>
  </si>
  <si>
    <t>@SpiceMoneyIndia 5 , got it now https://t.co/zNdZvOB1Kn 
  Quoted Tweet : @jcesarbsl : This is the next 1000x🚀🚨
Presale: https://t.co/xTdTk7B9Vv
Binance listing in 3 Days
Coinbase listing in 5 Days
Will pump to the moon for sure ✅💎</t>
  </si>
  <si>
    <t>2024-03-29 19:41:44</t>
  </si>
  <si>
    <t>Martinique</t>
  </si>
  <si>
    <t>EthDemaria18510</t>
  </si>
  <si>
    <t>Tatiana DeMaria.eth</t>
  </si>
  <si>
    <t>@SpiceMoneyIndia oi , crazy now https://t.co/meq9Ox1KRN 
  Quoted Tweet : @jcesarbsl : This is the next 1000x🚀🚨
Presale: https://t.co/xTdTk7B9Vv
Binance listing in 3 Days
Coinbase listing in 5 Days
Will pump to the moon for sure ✅💎</t>
  </si>
  <si>
    <t>2024-03-29 19:41:43</t>
  </si>
  <si>
    <t>Female</t>
  </si>
  <si>
    <t>Chad</t>
  </si>
  <si>
    <t>अगर आपके पास है अपना IIBF BC/BF सर्टिफिकेट तो आज ही स्पाइस मनी प्लेटफ़ॉर्म पर अपलोड करें वह भी ख़ुद से!
इस https://t.co/wmSLfXlxHn पर क्लिक करें और अपलोडिंग प्रोसेस जानें।
#SpiceMoney #SpiceMoneyTohLifeBani
#RuralFintech
#IIBF #CertificateProcess #Training… https://t.co/F1OUTSk8Pc</t>
  </si>
  <si>
    <t>2024-03-29 19:41:39</t>
  </si>
  <si>
    <t>@amupoupanmei1158</t>
  </si>
  <si>
    <t>Online or CSC me registration ban hogaya hai, how to registration in this Exam?</t>
  </si>
  <si>
    <t>2024-03-29 19:34:44</t>
  </si>
  <si>
    <t>2024-03-29 17:34:20</t>
  </si>
  <si>
    <t>2024-03-29 17:33:36</t>
  </si>
  <si>
    <t>SPICE MONEY  certificate ke liye charge bhi lagega</t>
  </si>
  <si>
    <t>2024-03-29 17:32:58</t>
  </si>
  <si>
    <t>2024-03-29 17:32:52</t>
  </si>
  <si>
    <t>@NagpalSgnr37336 Dear Sir, Greetings! Our customer care officer will get in touch with you shortly. Regards, Team Spice Money</t>
  </si>
  <si>
    <t>2024-03-29 17:32:23</t>
  </si>
  <si>
    <t>2024-03-29 17:31:43</t>
  </si>
  <si>
    <t>2024-03-29 17:31:05</t>
  </si>
  <si>
    <t>2024-03-29 17:30:24</t>
  </si>
  <si>
    <t>Dear Sir, Greetings! Aapko batana chahenge ki IIBF certification sirf Account opening ke liye jaruri hai . Iska other services par koi impact nahi hai. Regards , Team Spice Money</t>
  </si>
  <si>
    <t>2024-03-29 17:29:50</t>
  </si>
  <si>
    <t>@RAVISHANKA41977 प्रिय महोदय, नमस्कार! हमारे ग्राहक सेवा अधिकारी जल्द ही आपसे संपर्क करेंगे। सादर, टीम स्पाइस मनी</t>
  </si>
  <si>
    <t>2024-03-29 17:24:16</t>
  </si>
  <si>
    <t>Dear Sir, Namaskar! New id request ke regarding aap hamare official customer care 0120-3645622 par sampark karein. Regards, Team Spice Money</t>
  </si>
  <si>
    <t>2024-03-29 17:23:37</t>
  </si>
  <si>
    <t>2024-03-29 17:22:44</t>
  </si>
  <si>
    <t>Dear Sir, Namaskar! IIBF BC/BF certification ka process aap Spice Money app ke jariye kar sakte hain. Regards, Team Spice Money</t>
  </si>
  <si>
    <t>2024-03-29 17:21:21</t>
  </si>
  <si>
    <t>2024-03-29 17:17:04</t>
  </si>
  <si>
    <t>2024-03-29 17:15:16</t>
  </si>
  <si>
    <t>2024-03-29 17:14:31</t>
  </si>
  <si>
    <t>2024-03-29 17:13:59</t>
  </si>
  <si>
    <t>2024-03-29 17:12:57</t>
  </si>
  <si>
    <t>Dear Sir, Greetings! Aapko batana chahenge ki IIBF certification Account opening ke liye jaruri hai .Regards , Team Spice Money</t>
  </si>
  <si>
    <t>2024-03-29 17:11:30</t>
  </si>
  <si>
    <t>2024-03-29 17:03:26</t>
  </si>
  <si>
    <t>NagpalSgnr37336</t>
  </si>
  <si>
    <t>Nagpal Sgnr</t>
  </si>
  <si>
    <t>@SpiceMoneyIndia Email - nagpalarpit001@gmail.com
Mobile number - 8302931400</t>
  </si>
  <si>
    <t>2024-03-29 17:02:34</t>
  </si>
  <si>
    <t>RAVISHANKA41977</t>
  </si>
  <si>
    <t>RAVI SHANKAR TIWARI</t>
  </si>
  <si>
    <t>@SpiceMoneyIndia Mobile No : 9793600768
Email I'd : rstiwari9793@gmail.com</t>
  </si>
  <si>
    <t>2024-03-29 17:01:59</t>
  </si>
  <si>
    <t>India</t>
  </si>
  <si>
    <t>@RAVISHANKA41977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</si>
  <si>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2024-03-29 16:52:11</t>
  </si>
  <si>
    <t>2024-03-29 16:43:47</t>
  </si>
  <si>
    <t>Mere pas nhi hai mujhe kya krna hoga</t>
  </si>
  <si>
    <t>2024-03-29 16:43:21</t>
  </si>
  <si>
    <t>2024-03-29 16:40:09</t>
  </si>
  <si>
    <t>@excelhinditips Dear Sir, Greetings! Our customer care officer will get in touch with you shortly. Regards, Team Spice Money</t>
  </si>
  <si>
    <t>2024-03-29 16:39:12</t>
  </si>
  <si>
    <t>@NagpalSgnr37336 Dear Sir, Greetings! Please share your email id and mobile number in inbox .we'll reach out to you to resolve all your concerns.Regards, Team Spice Money</t>
  </si>
  <si>
    <t>2024-03-29 16:34:54</t>
  </si>
  <si>
    <t>2024-03-29 16:32:50</t>
  </si>
  <si>
    <t>2024-03-29 16:30:41</t>
  </si>
  <si>
    <t>@raj1c_deepak80</t>
  </si>
  <si>
    <t>@@gulshankumar-jw1np To phir kaise  bhare</t>
  </si>
  <si>
    <t>2024-03-29 16:15:35</t>
  </si>
  <si>
    <t>2024-03-29 16:08:39</t>
  </si>
  <si>
    <t>@gulshankumar-jw1np</t>
  </si>
  <si>
    <t>bhai uski website hi alag hai</t>
  </si>
  <si>
    <t>2024-03-29 16:06:21</t>
  </si>
  <si>
    <t>2024-03-29 16:03:44</t>
  </si>
  <si>
    <t>2024-03-29 16:00:25</t>
  </si>
  <si>
    <t>Na korle ki hobe?? Ato baro Ekta company BC provide korte parche na 😡</t>
  </si>
  <si>
    <t>2024-03-29 15:58:57</t>
  </si>
  <si>
    <t>@YouPMisingRoaster</t>
  </si>
  <si>
    <t>​@@SpiceMoneyOfficial Kanha share karu, link?</t>
  </si>
  <si>
    <t>2024-03-29 15:29:04</t>
  </si>
  <si>
    <t>Mujhe id lena hi tha</t>
  </si>
  <si>
    <t>2024-03-29 15:20:40</t>
  </si>
  <si>
    <t>Main sirf withdraw karte hon aur mobile recharge karte hon
Kya mujhe IIBF  BC / BF CERTIFICATE  BANA ZARURAI HAI KYA</t>
  </si>
  <si>
    <t>2024-03-29 14:29:42</t>
  </si>
  <si>
    <t>IIBF BC/BF  KIS LLIYE  ZARURAT hai please mujhe batao</t>
  </si>
  <si>
    <t>2024-03-29 14:19:34</t>
  </si>
  <si>
    <t>Aur jinke paas nhi hai wo kiya kare</t>
  </si>
  <si>
    <t>2024-03-29 13:29:28</t>
  </si>
  <si>
    <t>What ID will be closed if IIBF certificate is not uploaded.</t>
  </si>
  <si>
    <t>2024-03-29 11:43:42</t>
  </si>
  <si>
    <t>@cartoonkahanihindi-mf4to</t>
  </si>
  <si>
    <t>Spice money id suspended ha Gaya hai  solve   nahi hua</t>
  </si>
  <si>
    <t>2024-03-29 11:42:58</t>
  </si>
  <si>
    <t>@inglishgrammer</t>
  </si>
  <si>
    <t>Meri bhi id band ho gai hai</t>
  </si>
  <si>
    <t>2024-03-29 11:35:37</t>
  </si>
  <si>
    <t>@aalamkhandasureeya557</t>
  </si>
  <si>
    <t>मेरी आईडी बंद हो गई है कोई भी आईडी नहीं ले ये यह फेंक है</t>
  </si>
  <si>
    <t>2024-03-29 11:18:23</t>
  </si>
  <si>
    <t>Err invalid terminal option</t>
  </si>
  <si>
    <t>2024-03-29 11:14:25</t>
  </si>
  <si>
    <t>Kya hoga</t>
  </si>
  <si>
    <t>2024-03-29 10:50:46</t>
  </si>
  <si>
    <t>@rajivkumar-nw7ek</t>
  </si>
  <si>
    <t>Mera abhi widrol nahi ho raha hai</t>
  </si>
  <si>
    <t>2024-03-29 10:23:35</t>
  </si>
  <si>
    <t>@Rushingapatamajhi981</t>
  </si>
  <si>
    <t>India ki number 1 spice money company</t>
  </si>
  <si>
    <t>2024-03-29 10:10:53</t>
  </si>
  <si>
    <t>excelhinditips</t>
  </si>
  <si>
    <t>ExcelHindiTips</t>
  </si>
  <si>
    <t>@SpiceMoneyIndia @NPCI_NPCI @UTGB could you please confirm why this transaction has been failed. As the customer facing this issue From the yesterday . https://t.co/7xkK4gWeN2</t>
  </si>
  <si>
    <t>2024-03-29 10:01:43</t>
  </si>
  <si>
    <t>Almora, india</t>
  </si>
  <si>
    <t>अगर आपके पास है अपना IIBF BC/BF सर्टिफिकेट तो आज ही स्पाइस मनी प्लेटफ़ॉर्म पर अपलोड करें वह भी ख़ुद से!
इस https://youtu.be/7pMfSyYFp5U?feature=shared पर क्लिक करें और अपलोडिंग प्रोसेस जानें।
#SpiceMoney #SpiceMoneyTohLifeBani
#RuralFintech
#IIBF #CertificateProcess #Training
#MainAdhikariKhudHoonGuarantee
अगर आपके पास है अपना IIBF BC/BF सर्टिफिकेट तो आज ही स्पाइस मनी प्लेटफ़ॉर्म पर अपलोड करें वह भी ख़ुद से!
इस https://youtu.be/7pMfSyYFp5U?feature=shared पर क्लिक करें और अपलोडिंग प्रोसेस जानें।
#SpiceMoney #SpiceMoneyTohLifeBani
#RuralFintech
#IIBF #CertificateProcess #Training
#MainAdhikariKhudHoonGuarantee</t>
  </si>
  <si>
    <t>2024-03-29 10:00:10</t>
  </si>
  <si>
    <t>2024-03-29 08:58:56</t>
  </si>
  <si>
    <t>2024-03-29 08:38:27</t>
  </si>
  <si>
    <t>2024-03-29 08:36:22</t>
  </si>
  <si>
    <t>@Omprakash111991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</si>
  <si>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2024-03-29 08:30:36</t>
  </si>
  <si>
    <t>Sandeep09012841</t>
  </si>
  <si>
    <t>Sandeep Yadav</t>
  </si>
  <si>
    <t>@jitendra261988 @Nationalist_IN @SpiceMoneyIndia #maibhikejarival</t>
  </si>
  <si>
    <t>2024-03-29 00:08:32</t>
  </si>
  <si>
    <t>2024-03-28</t>
  </si>
  <si>
    <t>@abusufiyan5315</t>
  </si>
  <si>
    <t>Hamare pass koi bhi school ka certificate nahin hai to ham kaise exam de sakte hain</t>
  </si>
  <si>
    <t>2024-03-28 23:24:09</t>
  </si>
  <si>
    <t>@onlydances7986</t>
  </si>
  <si>
    <t>স্পাইস ম্যান ইজ দ্যা বেস্ট সার্ভিস❤❤</t>
  </si>
  <si>
    <t>2024-03-28 23:23:36</t>
  </si>
  <si>
    <t>@kundanqgupta719</t>
  </si>
  <si>
    <t>Iibf</t>
  </si>
  <si>
    <t>2024-03-28 22:01:01</t>
  </si>
  <si>
    <t>स्पाइस मनी अधिकारी से 599 कंपनी ढग रहा है
क्योंकि  paynearby में इसी काम को जीरो रुपया शुल्क रखा गया है 
कमाई चरनी मेऔर खर्चा रुपैया 😢😢</t>
  </si>
  <si>
    <t>2024-03-28 22:00:25</t>
  </si>
  <si>
    <t>Omprakash111991</t>
  </si>
  <si>
    <t>Om prakash</t>
  </si>
  <si>
    <t>@jitendra261988 @Nationalist_IN @SpiceMoneyIndia स्पाई मनी का सिस्टम डाउन होता जा रहा है, जितनी जल्दी हो उतनी जल्दी दूरी बना ले</t>
  </si>
  <si>
    <t>2024-03-28 21:56:41</t>
  </si>
  <si>
    <t xml:space="preserve">Sardarshahar, rajasthan </t>
  </si>
  <si>
    <t>2024-03-28 21:22:20</t>
  </si>
  <si>
    <t>2024-03-28 21:21:19</t>
  </si>
  <si>
    <t>@nalaofficial6172</t>
  </si>
  <si>
    <t>Mobile se hoga</t>
  </si>
  <si>
    <t>2024-03-28 21:20:03</t>
  </si>
  <si>
    <t>@DKBadhiya</t>
  </si>
  <si>
    <t>Spice money ke sath 6 sal se working kr rha hu.. very nice 👍🎉</t>
  </si>
  <si>
    <t>2024-03-28 21:07:43</t>
  </si>
  <si>
    <t>India ki No.1 Best Company</t>
  </si>
  <si>
    <t>2024-03-28 21:04:47</t>
  </si>
  <si>
    <t>Err inviled terminal Keno hoy</t>
  </si>
  <si>
    <t>2024-03-28 19:12:32</t>
  </si>
  <si>
    <t>@bootasingh7045</t>
  </si>
  <si>
    <t>Sir mere kol nhi hea</t>
  </si>
  <si>
    <t>2024-03-28 19:08:29</t>
  </si>
  <si>
    <t>Is Spice Money of IIBF trainining RBI approved?</t>
  </si>
  <si>
    <t>2024-03-28 19:06:40</t>
  </si>
  <si>
    <t>AIkwenobe</t>
  </si>
  <si>
    <t>ASIWAJU BAMZY</t>
  </si>
  <si>
    <t>This keeps happening someone ask me to talk to adriantech1 on Instagram and he fix mine within 1hr talk to him on IG now 
  Quoted Tweet : @NagpalSgnr37336 : @SpiceMoneyIndia 
I have spice money account but due to any reason i am not login my spice money from last 7-8 months.
Now i couldn't login my account and also couldn't do re-kyc of my account. Now please transfer amount to my bank account which is available in my spice money.</t>
  </si>
  <si>
    <t>2024-03-28 18:55:49</t>
  </si>
  <si>
    <t>ManoftheHou</t>
  </si>
  <si>
    <t>Michael Eric</t>
  </si>
  <si>
    <t>@NagpalSgnr37336 @SpiceMoneyIndia Complaining here won't solve the problem message super_fix2 on Instagram
He's legit he can counter any problem relating to banned,hacked or suspended account</t>
  </si>
  <si>
    <t>2024-03-28 18:55:21</t>
  </si>
  <si>
    <t>@SpiceMoneyIndia 
I have spice money account but due to any reason i am not login my spice money from last 7-8 months.
Now i couldn't login my account and also couldn't do re-kyc of my account. Now please transfer amount to my bank account which is available in my spice money.</t>
  </si>
  <si>
    <t>2024-03-28 18:54:58</t>
  </si>
  <si>
    <t>This keeps happening someone ask me to talk to adriantech1 on Instagram and he fix mine within 1hr talk to him on IG now 
  Quoted Tweet : @NagpalSgnr37336 : @SpiceMoneyIndia 
Dear team
I have spice money account but due to any reason i am not login my spice money account from last 7-8 months.
Now i can't login my account and i couldn't do re-kyc on my account.
Please transfer my amount to my bank account which is in my spice money.</t>
  </si>
  <si>
    <t>2024-03-28 18:52:34</t>
  </si>
  <si>
    <t>@NagpalSgnr37336 @SpiceMoneyIndia Unfortunately their support will always either ignore you or tell you the same unhelpful thing ,talk to @super_fix2 on instagram he helped me when I had similar issue</t>
  </si>
  <si>
    <t>2024-03-28 18:52:32</t>
  </si>
  <si>
    <t>@SpiceMoneyIndia 
Dear team
I have spice money account but due to any reason i am not login my spice money account from last 7-8 months.
Now i can't login my account and i couldn't do re-kyc on my account.
Please transfer my amount to my bank account which is in my spice money.</t>
  </si>
  <si>
    <t>2024-03-28 18:52:18</t>
  </si>
  <si>
    <t>@mahipalnokhwal8472</t>
  </si>
  <si>
    <t>Sapae money par pan card nhi ban rahe h mobile app se ragistration kese kare</t>
  </si>
  <si>
    <t>2024-03-28 18:44:36</t>
  </si>
  <si>
    <t>IIBF BC BF CERTIFICATE nahi hai to kya hua</t>
  </si>
  <si>
    <t>2024-03-28 18:32:05</t>
  </si>
  <si>
    <t>SPICE MONEY kabhi nhi karoge</t>
  </si>
  <si>
    <t>2024-03-28 18:05:21</t>
  </si>
  <si>
    <t>2024-03-28 17:53:50</t>
  </si>
  <si>
    <t>Bhupend36600457</t>
  </si>
  <si>
    <t>Bhupendra singh</t>
  </si>
  <si>
    <t>@SpiceMoneyIndia account open ka option hi nahi hai mobile number 8058757177</t>
  </si>
  <si>
    <t>2024-03-28 17:52:16</t>
  </si>
  <si>
    <t>Karauli, india</t>
  </si>
  <si>
    <t>Ranjan Kumar ha bhai jrur hona chahiye</t>
  </si>
  <si>
    <t>2024-03-28 17:21:30</t>
  </si>
  <si>
    <t>2024-03-28 17:19:21</t>
  </si>
  <si>
    <t>@hellomrprfect प्रिय महोदय, नमस्कार! हमारे ग्राहक सेवा अधिकारी जल्द ही आपसे संपर्क करेंगे। सादर, टीम स्पाइस मनी</t>
  </si>
  <si>
    <t>2024-03-28 17:17:51</t>
  </si>
  <si>
    <t>2024-03-28 17:17:10</t>
  </si>
  <si>
    <t>2024-03-28 17:16:32</t>
  </si>
  <si>
    <t>2024-03-28 17:15:51</t>
  </si>
  <si>
    <t>@rajonlinelab</t>
  </si>
  <si>
    <t>Kitna bhai</t>
  </si>
  <si>
    <t>2024-03-28 17:09:45</t>
  </si>
  <si>
    <t>Upload hone se kya faayda hoga</t>
  </si>
  <si>
    <t>2024-03-28 17:06:45</t>
  </si>
  <si>
    <t>hellomrprfect</t>
  </si>
  <si>
    <t>Shivam Kumar Singh</t>
  </si>
  <si>
    <t>@SpiceMoneyIndia 8709583625
एंड मेल आईडी mrperfectrohit@yahoo.com</t>
  </si>
  <si>
    <t>2024-03-28 16:52:25</t>
  </si>
  <si>
    <t>Purba muzaffarpur, india</t>
  </si>
  <si>
    <t>2024-03-28 16:34:18</t>
  </si>
  <si>
    <t>@@rajonlinelab मेरा नम्बर बन्द हो गया है</t>
  </si>
  <si>
    <t>2024-03-28 16:28:20</t>
  </si>
  <si>
    <t>@@SpiceMoneyOfficial झूठी आश्वासन ना दे  7 से 8 महीने हो गए हैं लेकिन कोई हेल्प नहीं हुई है आप की कम्पनी झूठी है कोई मदद नहीं करती है हर पोस्ट पर मैं कमेंट करता हूं हर बार यही बताया जाता है जल्द ही मदद होगी लेकिन कुछ नहीं होता है</t>
  </si>
  <si>
    <t>2024-03-28 16:27:31</t>
  </si>
  <si>
    <t>2024-03-28 16:19:58</t>
  </si>
  <si>
    <t>Dear Sir, Greetings! Aapko batana chahenge ki is concern ke regarding aap aapne area sales person se sampark kar sakte hain. Regards,Team Spice Money</t>
  </si>
  <si>
    <t>2024-03-28 16:18:04</t>
  </si>
  <si>
    <t>2024-03-28 16:15:11</t>
  </si>
  <si>
    <t>@ramvirat767</t>
  </si>
  <si>
    <t>Mein Spice money retailer nahin huin iibf training au bc certificate apply karke spice money ka retailers banana chata huin</t>
  </si>
  <si>
    <t>2024-03-28 13:53:03</t>
  </si>
  <si>
    <t>Please approve my IIBF Certificate. ...</t>
  </si>
  <si>
    <t>2024-03-28 12:58:28</t>
  </si>
  <si>
    <t>Ha</t>
  </si>
  <si>
    <t>2024-03-28 12:49:00</t>
  </si>
  <si>
    <t>स्पाइस मनी अपने प्लेटफ़ॉर्म पर आप IIBF BC/BF सर्टिफाइड अधिकारियों के लिए लाए हैं ख़ुद अपना सर्टिफिकेट अपलोड करने की सुविधा। 
अपलोडिंग प्रोसेस जानने के लिए इस https://t.co/wmSLfXm5wV वीडियो लिंक  पर क्लिक करें।
#SpiceMoney #SpiceMoneyTohLifeBani
#RuralFintech
#IIBF… https://t.co/nFSAJhZmLG</t>
  </si>
  <si>
    <t>2024-03-28 11:45:17</t>
  </si>
  <si>
    <t>Kyu band huaa</t>
  </si>
  <si>
    <t>2024-03-28 11:18:39</t>
  </si>
  <si>
    <t>@sandeeppunnaitech</t>
  </si>
  <si>
    <t>Kab se chla Rahe the</t>
  </si>
  <si>
    <t>2024-03-28 11:14:53</t>
  </si>
  <si>
    <t>@sirfronak2907</t>
  </si>
  <si>
    <t>बकवास कोई मत लेना ये लोग ठगी कर रहें हैं</t>
  </si>
  <si>
    <t>2024-03-28 11:08:05</t>
  </si>
  <si>
    <t>2024-03-28 11:02:47</t>
  </si>
  <si>
    <t>Spice money ke app me T shirts purchase karne ka option dena chahiye tha jisse ki har sma purchase kar sake aur aalag pahchan de sake main spice money aadhikari hu aur main spice money aadhikari wala t shirt purchase karna chahta hu kaha se purchase karna hoga</t>
  </si>
  <si>
    <t>2024-03-28 10:50:05</t>
  </si>
  <si>
    <t>प्रिय महोदय, नमस्कार! IIBF BC/ BF Certification exam paas होने के बाद 30 से 45 दिनों में आपको अपना IIBF certificate ईमेल पर मिल जाता है। सादर, टीम स्पाइस मनी</t>
  </si>
  <si>
    <t>2024-03-28 10:48:29</t>
  </si>
  <si>
    <t>2024-03-28 10:40:07</t>
  </si>
  <si>
    <t>Dear Sir, Greetings!  RBI ne sabhi BC partners ke liye IIBF BC/BF Certification jaruri kiya hai, Spice Money ke taraf se sirf aapko training sessions ke jariye exam ka taiyari karaya ja raha hai. Regards, Team Spice Money</t>
  </si>
  <si>
    <t>2024-03-28 10:34:13</t>
  </si>
  <si>
    <t>2024-03-28 10:21:17</t>
  </si>
  <si>
    <t>स्पाइस मनी ग्राहक ऐप के साथ फाइनेंसियल ट्रांसक्शन्स हुआ और भी सेफ और इजी!</t>
  </si>
  <si>
    <t>2024-03-28 10:21:01</t>
  </si>
  <si>
    <t>स्पाइस मनी अपने प्लेटफ़ॉर्म पर आप IIBF BC/BF सर्टिफाइड अधिकारियों के लिए लाए हैं ख़ुद अपना सर्टिफिकेट अपलोड करने की सुविधा। 
अपलोडिंग प्रोसेस जानने के लिए इस https://youtu.be/7pMfSyYFp5U?feature=shared वीडियो लिंक  पर क्लिक करें।
#SpiceMoney #SpiceMoneyTohLifeBani
#RuralFintech
#IIBF #CertificateProcess #Training
#MainAdhikariKhudHoonGuarantee
स्पाइस मनी अपने प्लेटफ़ॉर्म पर आप IIBF BC/BF सर्टिफाइड अधिकारियों के लिए लाए हैं ख़ुद अपना सर्टिफिकेट अपलोड करने की सुविधा। 
अपलोडिंग प्रोसेस जानने के लिए इस https://youtu.be/7pMfSyYFp5U?feature=shared वीडियो लिंक  पर क्लिक करें।
#SpiceMoney #SpiceMoneyTohLifeBani
#RuralFintech
#IIBF #CertificateProcess #Training
#MainAdhikariKhudHoonGuarantee</t>
  </si>
  <si>
    <t>2024-03-28 10:00:10</t>
  </si>
  <si>
    <t>Dear Sir, Greetings!  IIBF training complete karne ke baad aapko IIBF ki official website par jakar exam ke liye apply karna hoga, iski puri jankari aapko training session me provide ki jayegi. Regards , Team Spice Money</t>
  </si>
  <si>
    <t>2024-03-28 09:51:14</t>
  </si>
  <si>
    <t>मेरी आईडी बन्द हो गई है कोई सुनवाई नहीं हो रही है इसमें कोई भी आईडी मत लेना इसकी सर्विस सही नहीं है कोई सुनता नहीं 😅😅😅😢😢😢😢</t>
  </si>
  <si>
    <t>2024-03-28 09:43:56</t>
  </si>
  <si>
    <t>2024-03-28 09:37:40</t>
  </si>
  <si>
    <t>@utpallagachu</t>
  </si>
  <si>
    <t>I don't have certificate, where can i join for training?</t>
  </si>
  <si>
    <t>2024-03-28 08:41:58</t>
  </si>
  <si>
    <t>@hellomrprfect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</si>
  <si>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2024-03-28 08:29:59</t>
  </si>
  <si>
    <t>2024-03-28 08:19:50</t>
  </si>
  <si>
    <t>@serajuddinansari8205</t>
  </si>
  <si>
    <t>IIBF CERTIFICATE apply k liye kya kya documents Dena hoga</t>
  </si>
  <si>
    <t>2024-03-28 08:00:37</t>
  </si>
  <si>
    <t>@amudyang339</t>
  </si>
  <si>
    <t>DMT service not showing</t>
  </si>
  <si>
    <t>2024-03-28 07:37:35</t>
  </si>
  <si>
    <t>Mohit_5355</t>
  </si>
  <si>
    <t>Mohit Vishwakarma</t>
  </si>
  <si>
    <t>@SpiceMoneyIndia Kya hua sir @SpiceMoneyIndia</t>
  </si>
  <si>
    <t>2024-03-28 07:35:07</t>
  </si>
  <si>
    <t>@lalurajak</t>
  </si>
  <si>
    <t>Jiska pass nhi hai o kya karega sir ji. iibf certificate</t>
  </si>
  <si>
    <t>2024-03-28 05:37:44</t>
  </si>
  <si>
    <t>ManishSingh207</t>
  </si>
  <si>
    <t>Manish Singh</t>
  </si>
  <si>
    <t>@jitendra261988 @Nationalist_IN @SpiceMoneyIndia Do not invest in Companies exposed via #ElectoralBondScam and Definitely #NoVoteToBJP</t>
  </si>
  <si>
    <t>2024-03-28 02:32:33</t>
  </si>
  <si>
    <t>@SpiceMoneyIndia वर्तमान में मैं सीएससी सेंटर चला रहा हूं क्या मुझे स्पाइसमनी की आईडी मिल सकती है क्या।</t>
  </si>
  <si>
    <t>2024-03-28 01:58:45</t>
  </si>
  <si>
    <t>2024-03-27</t>
  </si>
  <si>
    <t>ONLINE MITRA</t>
  </si>
  <si>
    <t>AEPS NPCI NEW RULE SPICE MONEY PAYNEARBY RAPI PAY ROINET FINO PAYMENT BANK AIRTEL BANK</t>
  </si>
  <si>
    <t>2024-03-27 23:18:18</t>
  </si>
  <si>
    <t>@deepyadavofficial4420</t>
  </si>
  <si>
    <t>45 दिन के बाद आता है मेल pr</t>
  </si>
  <si>
    <t>2024-03-27 23:12:07</t>
  </si>
  <si>
    <t>Hi
What about mantra device L0 or L1
 mantra L0 total banned 31 march 2024 why?
This news is right or not tell me.</t>
  </si>
  <si>
    <t>2024-03-27 22:14:23</t>
  </si>
  <si>
    <t>@mdtohidsk1769</t>
  </si>
  <si>
    <t>Sab paysha khane ka bahana hai kon karega Aisha sob log Aisha kam chor do</t>
  </si>
  <si>
    <t>2024-03-27 22:11:31</t>
  </si>
  <si>
    <t>Thkau</t>
  </si>
  <si>
    <t>2024-03-27 21:58:24</t>
  </si>
  <si>
    <t>@sujeetbarobaro</t>
  </si>
  <si>
    <t>Iibf kay bina aeps ka kaam kar saktay hay toy jarrurat kya hay exam ka...apna course bachnay ka trick tiy nahi...😅</t>
  </si>
  <si>
    <t>2024-03-27 20:06:56</t>
  </si>
  <si>
    <t>PayNearby</t>
  </si>
  <si>
    <t>PayNearby 🇮🇳</t>
  </si>
  <si>
    <t>@samyaduvanshi2 @SpiceMoneyIndia @airtelindia @AshwiniVaishnaw @_DigitalIndia Hi Saurabh Yadav, thanks for reaching out to us. If you have any specific concern please share your query with your registered number here: https://t.co/5BjbPnALSa
Thanks.</t>
  </si>
  <si>
    <t>2024-03-27 18:59:11</t>
  </si>
  <si>
    <t>Mumbai, india</t>
  </si>
  <si>
    <t>IIbf training puri karne ke bath, certificate spice money ke taraf se apply hoga?  Ya khud apply karna hoga?</t>
  </si>
  <si>
    <t>2024-03-27 18:56:33</t>
  </si>
  <si>
    <t>SPICE MONEY abhi tak nahi sampark Kiya hai</t>
  </si>
  <si>
    <t>2024-03-27 18:43:31</t>
  </si>
  <si>
    <t>2024-03-27 18:01:38</t>
  </si>
  <si>
    <t>jitendra261988</t>
  </si>
  <si>
    <t>jitendra kushwah</t>
  </si>
  <si>
    <t>@SpiceMoneyIndia कर दो मेरा पेमेंट ब्लॉक है आप लोगो के बिना इन्फॉर्मेशन के कारन
प्लज़ हेल्प</t>
  </si>
  <si>
    <t>2024-03-27 17:48:41</t>
  </si>
  <si>
    <t>@SpiceMoneyIndia होती है क्या छोटे बड़े रिटेलर और डिस्ट्रीब्यूटर की कोई सुनवाई नहीं है स्पाइस मनी में में आप सभी से 1 ईयर से रिक्वेस्ट कर रहा हू कि मेरी id अनब्लॉक कर दो सर पर आप सभी में कोई सुनने को तैयार ही नहीं है और अपने मन मानी तरीके का जवाव रिप्लाई देदेते है सर प्लज़ मेरी id ss460615 एक्टिव</t>
  </si>
  <si>
    <t>2024-03-27 17:48:35</t>
  </si>
  <si>
    <t>@SpiceMoneyIndia सर
जब में स्पाइस मनी के साथ बहुत अच्छा कार्य कर रहा था
फिर भी   बिना इन्फॉर्मेशन ( सूचना ) के मेरी Id ब्लॉक क्यू किया गया सर
मेने 650+ रिटेलर बनाये थे फिर क्यू मुझसे मेहनत कराते रहे जब आपको मेरी id ब्लॉक ही करनी थी 460615
क्या स्पाइस मनी में केवल संजय दंडोतिया सर की ही सुनवाई</t>
  </si>
  <si>
    <t>2024-03-27 17:48:15</t>
  </si>
  <si>
    <t>@dailyshovideo2630</t>
  </si>
  <si>
    <t>IIBF BC Charge bahut jada kar diya ji</t>
  </si>
  <si>
    <t>2024-03-27 17:42:40</t>
  </si>
  <si>
    <t>@jitendra261988 प्रिय महोदय, नमस्कार! हमारे ग्राहक सेवा अधिकारी जल्द ही आपसे संपर्क करेंगे। सादर, टीम स्पाइस मनी</t>
  </si>
  <si>
    <t>2024-03-27 17:39:36</t>
  </si>
  <si>
    <t>2024-03-27 17:37:31</t>
  </si>
  <si>
    <t>IIBF BC,Charge bahut jada kar diya ji</t>
  </si>
  <si>
    <t>2024-03-27 17:35:13</t>
  </si>
  <si>
    <t>@Nationalist_IN @SpiceMoneyIndia
सर क्या स्पाइस मनी में कोई रेस्पोंसेवाल अधिकारी नहीं है
स्पाइस मनी को ( फुल सिक्योर )न समझा जाये
में एक शाल से परेसान हूँ पर कोई स्पाइस मनी में कोई सुनता ही नहीं है
मुझे 2 लाख + का अभी तक लॉस हो चुका है</t>
  </si>
  <si>
    <t>2024-03-27 17:14:26</t>
  </si>
  <si>
    <t>@Sudanshutrivedi @SpiceMoneyIndia
सर क्या स्पाइस मनी में कोई रेस्पोंसेवाल अधिकारी नहीं है
स्पाइस मनी को ( फुल सिक्योर )न समझा जाये
में एक शाल से परेसान हूँ पर कोई स्पाइस मनी में कोई सुनता ही नहीं है
मुझे 2 लाख + का अभी तक लॉस हो चुका है</t>
  </si>
  <si>
    <t>2024-03-27 17:14:16</t>
  </si>
  <si>
    <t>@ChennaiIPL @SpiceMoneyIndia
सर क्या स्पाइस मनी में कोई रेस्पोंसेवाल अधिकारी नहीं है
स्पाइस मनी को ( फुल सिक्योर )न समझा जाये
में एक शाल से परेसान हूँ पर कोई स्पाइस मनी में कोई सुनता ही नहीं है
मुझे 2 लाख + का अभी तक लॉस  हो चुका है https://t.co/qeUc2CQSPO</t>
  </si>
  <si>
    <t>2024-03-27 17:13:53</t>
  </si>
  <si>
    <t>@IPL @SunRisers @mipaltan @SpiceMoneyIndia
सर क्या स्पाइस मनी में कोई रेस्पोंसेवाल अधिकारी है
स्पाइस मनी को सेफ ( फुल सिक्योर )न समझा जाये
में एक शाल से परेसान हूँ पर कोई स्पाइस मनी में कोई सुनता ही नहीं है
मुझे २ लाख + का अभी तक लॉस ( हानि ) हो चुकी है</t>
  </si>
  <si>
    <t>2024-03-27 17:10:23</t>
  </si>
  <si>
    <t>2024-03-27 17:03:02</t>
  </si>
  <si>
    <t>MD Akib kiya saler degi bhai company sirf aapne faide ke liye he.me 5 year se hu distributor+ retiler mere ko nahi mila tha to me DL ko poster ke liya kaha r mujhe postar diya mera 350 retiler he 10 go sirf banner. R poster itna bara diyahe ki retailer ko dene me saram aaraha he.</t>
  </si>
  <si>
    <t>2024-03-27 16:59:54</t>
  </si>
  <si>
    <t>2024-03-27 16:42:58</t>
  </si>
  <si>
    <t>2024-03-27 16:32:03</t>
  </si>
  <si>
    <t>2024-03-27 16:28:53</t>
  </si>
  <si>
    <t>2024-03-27 16:27:28</t>
  </si>
  <si>
    <t>@someshwraraov3466</t>
  </si>
  <si>
    <t>Please explain in English sir/mam</t>
  </si>
  <si>
    <t>2024-03-27 15:23:42</t>
  </si>
  <si>
    <t>Dear Sir, Jee bilkul aap Cash withdrawal kar sakte hain. Regards Team Spice Money</t>
  </si>
  <si>
    <t>2024-03-27 15:04:26</t>
  </si>
  <si>
    <t>Dear Sir, Rs.599 main apko service pack milega jimse ki aap IIBF BC/BF certification ke training sessions join karege, uske baad aap iske exam ke liye apply kar sakte hain, Adhikari jaankari apko training session main provide ki jati hai! Regards Team Spice Money</t>
  </si>
  <si>
    <t>2024-03-27 15:02:51</t>
  </si>
  <si>
    <t>@Official_brotherabhii</t>
  </si>
  <si>
    <t>इस होली पे सभी अधिकारी लोगो के लिए कुछ गिफ्ट या t shirt ही भेज दो❤</t>
  </si>
  <si>
    <t>2024-03-27 15:00:19</t>
  </si>
  <si>
    <t>@user-fc2cr1nw2u</t>
  </si>
  <si>
    <t>2024-03-27 13:56:44</t>
  </si>
  <si>
    <t>Mera abhitak Under process hai SDL 90220
Kab tak hoga</t>
  </si>
  <si>
    <t>2024-03-27 13:43:51</t>
  </si>
  <si>
    <t>जानें कैसे आप स्पाइस मनी प्लेटफ़ॉर्म पर IIBF BC/BF की ट्रेनिंग और सर्टिफ़िकेट अपलोड करने की सुविधा का लाभ उठा सकते हैं!
पूरा वीडियो देखने के लिए लिंक https://youtu.be/7pMfSyYFp5U?feature=shared पर क्लिक करें।
#SpiceMoney #SpiceMoneyTohLifeBani
#RuralFintech
#IIBF #CertificateProcess #Training
#MainAdhikariKhudHoonGuarantee</t>
  </si>
  <si>
    <t>2024-03-27 12:51:13</t>
  </si>
  <si>
    <t>Spice money Acche Platform hai</t>
  </si>
  <si>
    <t>2024-03-27 12:49:34</t>
  </si>
  <si>
    <t>SennftPite97852</t>
  </si>
  <si>
    <t>Piter Sennft</t>
  </si>
  <si>
    <t>@SpiceMoneyIndia 2 : got it now https://t.co/K4956vKsDC 
  Quoted Tweet : @jcesarbsl : This is the next 1000x🚀🚨
Presale: https://t.co/viOEvYCgcu
Binance listing in 3 Days
Coinbase listing in 5 Days
Will pump to the moon for sure ✅💎</t>
  </si>
  <si>
    <t>2024-03-27 12:46:23</t>
  </si>
  <si>
    <t>Latvia</t>
  </si>
  <si>
    <t>जानें कैसे आप स्पाइस मनी प्लेटफ़ॉर्म पर IIBF BC/BF की ट्रेनिंग और सर्टिफ़िकेट अपलोड करने की सुविधा का लाभ उठा सकते हैं!
पूरा वीडियो देखने के लिए लिंक https://t.co/wmSLfXlxHn पर क्लिक करें।
#SpiceMoney #SpiceMoneyTohLifeBani
#RuralFintech
#IIBF #CertificateProcess #Training… https://t.co/5xQO9xM6Uq</t>
  </si>
  <si>
    <t>2024-03-27 12:46:19</t>
  </si>
  <si>
    <t>@Dileep.Maurya.stm12</t>
  </si>
  <si>
    <t>mere aerya me Axis Bank account opening nhi ho Raha hai</t>
  </si>
  <si>
    <t>2024-03-27 12:23:14</t>
  </si>
  <si>
    <t>SPICE MONEY 8004114421
akibm1781@gmail.com</t>
  </si>
  <si>
    <t>2024-03-27 12:13:42</t>
  </si>
  <si>
    <t>2024-03-27 12:09:11</t>
  </si>
  <si>
    <t>Dear Sir, Greetings! We regret the inconvenience caused to you. Please share your email id and mobile number in inbox .we'll reach out to you to resolve all your concerns.Regards, Team Spice Money</t>
  </si>
  <si>
    <t>2024-03-27 12:07:03</t>
  </si>
  <si>
    <t>@soulsofmusic.sanjaytamang3726</t>
  </si>
  <si>
    <t>Kya iibf certificate submit nahi kiya to aeps service bhi closed hojayega ya axix bank account opening bandh hojayega</t>
  </si>
  <si>
    <t>2024-03-27 12:00:22</t>
  </si>
  <si>
    <t>2024-03-27 11:13:17</t>
  </si>
  <si>
    <t>2024-03-27 11:13:06</t>
  </si>
  <si>
    <t>2024-03-27 11:10:56</t>
  </si>
  <si>
    <t>Banking Amma ki Kahaani hai Tarakki ki Guarantee!</t>
  </si>
  <si>
    <t>2024-03-27 10:57:14</t>
  </si>
  <si>
    <t>Spice Money Grahak APP Ke Sath Financial Transactions Hua Aur Bhi Safe &amp; Easy!</t>
  </si>
  <si>
    <t>International Women's Day par Spice Money Naari Adhikariyon se khaas Baatcheet!</t>
  </si>
  <si>
    <t>2024-03-27 10:57:12</t>
  </si>
  <si>
    <t>2024-03-27 10:56:39</t>
  </si>
  <si>
    <t>2024-03-27 10:56:37</t>
  </si>
  <si>
    <t>Spice Money Adhikari APP- SMS permission allow(Mar'24)</t>
  </si>
  <si>
    <t>2024-03-27 10:55:23</t>
  </si>
  <si>
    <t>SPICE MONEY vo kuch nahi dete hai parchese karne ko bolte hai singal chij nahi mili Aaj Tak 5 year ho gai mujhe</t>
  </si>
  <si>
    <t>2024-03-27 10:51:41</t>
  </si>
  <si>
    <t>@forsrisudharsana</t>
  </si>
  <si>
    <t>Spice Money is a fradulent Company</t>
  </si>
  <si>
    <t>2024-03-27 10:47:58</t>
  </si>
  <si>
    <t>@amarlalamarlalgmaeti9206</t>
  </si>
  <si>
    <t>❤</t>
  </si>
  <si>
    <t>2024-03-27 10:47:13</t>
  </si>
  <si>
    <t>Dear Sir, Greetings! Aapko batana chahenge ki branding ke regarding aap aapne area sales person se sampark kar sakte hain. Regards,Team Spice Money</t>
  </si>
  <si>
    <t>2024-03-27 10:46:48</t>
  </si>
  <si>
    <t>@skmarufhossain54</t>
  </si>
  <si>
    <t>me exjam diya pass kiya certificate nehi aya two month hua</t>
  </si>
  <si>
    <t>2024-03-27 10:45:36</t>
  </si>
  <si>
    <t>@SAMAYTIMES9450 @voiceofindiaup Dear Sir, Greetings! Please share your email id and mobile number in inbox .we'll reach out to you to resolve all your concerns.Regards, Team Spice Money</t>
  </si>
  <si>
    <t>2024-03-27 10:28:29</t>
  </si>
  <si>
    <t>2024-03-27 10:25:06</t>
  </si>
  <si>
    <t>2024-03-27 10:16:22</t>
  </si>
  <si>
    <t>2024-03-27 10:14:48</t>
  </si>
  <si>
    <t>Dear Sir, RBI ke nirdeshnusar yeh certification karna jaruri hai, samay rahte ise jarur pura karein. Regards , Team Spice Money</t>
  </si>
  <si>
    <t>2024-03-27 10:06:40</t>
  </si>
  <si>
    <t>2024-03-27 09:59:59</t>
  </si>
  <si>
    <t>@samyaduvanshi2 Dear Sir, Greetings! We are trying to contact you but  you  are not responding the call .  you can also contact us on our official customer care number 0120-3645622 Regards, Team Spice Money</t>
  </si>
  <si>
    <t>2024-03-27 09:57:43</t>
  </si>
  <si>
    <t>2024-03-27 09:55:38</t>
  </si>
  <si>
    <t>@SAMAYTIMES9450 Dear Sir, Greetings! Our customer care officer will get in touch with you shortly. Regards, Team Spice Money</t>
  </si>
  <si>
    <t>2024-03-27 09:53:22</t>
  </si>
  <si>
    <t>samyaduvanshi2</t>
  </si>
  <si>
    <t>Saurabh Yadav</t>
  </si>
  <si>
    <t>@SpiceMoneyIndia Please arrange a call between 1 to 2 pm</t>
  </si>
  <si>
    <t>2024-03-27 09:49:49</t>
  </si>
  <si>
    <t>Uttar pradesh, india</t>
  </si>
  <si>
    <t>@ae3095fccc0c483 Dear Sir, Greetings! As per discussed with you your concern regarding Id suspension, information shared from our end .If you have any query,you can also contact us on our official customer care number 0120-3645645 Regards, Team Spice Money</t>
  </si>
  <si>
    <t>2024-03-27 09:42:01</t>
  </si>
  <si>
    <t>Hi sir.......IIBF BC Certificate dusri jagah many hoga help me</t>
  </si>
  <si>
    <t>2024-03-27 09:33:21</t>
  </si>
  <si>
    <t>SAMAYTIMES9450</t>
  </si>
  <si>
    <t>Samay Times</t>
  </si>
  <si>
    <t>@SpiceMoneyIndia 8400816876
guptamilan15@gmail.com</t>
  </si>
  <si>
    <t>2024-03-27 09:33:00</t>
  </si>
  <si>
    <t>IIBF ka CSC se form kyu nhi bhar Raha hai</t>
  </si>
  <si>
    <t>2024-03-27 09:30:38</t>
  </si>
  <si>
    <t>IIBF BC/BF training aur certificate upload kee suvidha, Live hai Spice Money platform par!</t>
  </si>
  <si>
    <t>2024-03-27 09:24:25</t>
  </si>
  <si>
    <t>@SAMAYTIMES9450 Dear Sir, Greetings! Please share your email id and mobile number in inbox .we'll reach out to you to resolve all your concerns.Regards, Team Spice Money</t>
  </si>
  <si>
    <t>2024-03-27 09:22:24</t>
  </si>
  <si>
    <t>@arunkkumar7789</t>
  </si>
  <si>
    <t>Mere pash nahi hi to kya band ho jayaga aeps</t>
  </si>
  <si>
    <t>2024-03-27 08:51:31</t>
  </si>
  <si>
    <t>voiceofindiaup</t>
  </si>
  <si>
    <t>VOICE OF INDIA</t>
  </si>
  <si>
    <t>ये क्यों आए रहा है @SpiceMoneyIndia https://t.co/Z92Qag8wCZ</t>
  </si>
  <si>
    <t>2024-03-27 08:34:35</t>
  </si>
  <si>
    <t xml:space="preserve">Uttar pradesh </t>
  </si>
  <si>
    <t>2024-03-27 08:30:27</t>
  </si>
  <si>
    <t>ae3095fccc0c483</t>
  </si>
  <si>
    <t>Narayan Inani</t>
  </si>
  <si>
    <t>@SpiceMoneyIndia @NPCI_NPCI @narendramodi 
Spice Money Ne Meri I'd Suspended KR di hai Or Meri I'd Me balance bhi tha abhi Call krte hai to bolte hai 60 days bad open hogi yhe kya karan hua mere ko pese ki jarurat aaj hai 60 days ke bad mere ko us payment ka interest milega kiya</t>
  </si>
  <si>
    <t>2024-03-27 08:02:11</t>
  </si>
  <si>
    <t>राजस्थान, भारत</t>
  </si>
  <si>
    <t>@officialdkraj1</t>
  </si>
  <si>
    <t>I have also passed iibf BC/ BF Exame before 45 days by 46/100 marks but  not get till now mail certificate hope as soon as I receive my mail certificate 🙏</t>
  </si>
  <si>
    <t>2024-03-27 07:38:03</t>
  </si>
  <si>
    <t>@abeshkhan6754</t>
  </si>
  <si>
    <t>IIBF BC/BF KA 599 RUPIYA LAGEGA CHARGE</t>
  </si>
  <si>
    <t>2024-03-27 07:15:22</t>
  </si>
  <si>
    <t>2024-03-26</t>
  </si>
  <si>
    <t>@SpiceMoneyIndia this is the service of spice Money @SpiceMoneyIndia @airtelindia @AshwiniVaishnaw @_DigitalIndia @PayNearby https://t.co/PkeomSScRg</t>
  </si>
  <si>
    <t>2024-03-26 23:52:09</t>
  </si>
  <si>
    <t>@SpiceMoneyIndia If you don't want to talk then say no, don't  copy paste sms  like this.</t>
  </si>
  <si>
    <t>2024-03-26 23:47:21</t>
  </si>
  <si>
    <t>@mohdashrafali6185</t>
  </si>
  <si>
    <t>Sar puri video mein bank detail dalne option to aaya hi nahin FIR Paisa kaun se bank mein Gaya hai kaise pata lagega</t>
  </si>
  <si>
    <t>2024-03-26 23:46:17</t>
  </si>
  <si>
    <t>@lslamicdeenchannel7906</t>
  </si>
  <si>
    <t>Thank mere pass iibf certificate h mai kal upload kar  duga</t>
  </si>
  <si>
    <t>2024-03-26 23:09:59</t>
  </si>
  <si>
    <t>May iibg certificate upload kiya hu lekhi under process dhik raha hai</t>
  </si>
  <si>
    <t>2024-03-26 21:44:07</t>
  </si>
  <si>
    <t>@Funnyshorts33295</t>
  </si>
  <si>
    <t>@@nrahman999 Bhai me spice money se pese nikalta hu mujhe bi banana hai kya please</t>
  </si>
  <si>
    <t>2024-03-26 20:59:05</t>
  </si>
  <si>
    <t>@nrahman999</t>
  </si>
  <si>
    <t>JO Bank Bc Hai Usiko Chye</t>
  </si>
  <si>
    <t>2024-03-26 20:56:02</t>
  </si>
  <si>
    <t>Bana Shakte Hai 957 Rs Kate Ga</t>
  </si>
  <si>
    <t>2024-03-26 20:55:17</t>
  </si>
  <si>
    <t>Koi Education Nahi Dik te Hai</t>
  </si>
  <si>
    <t>2024-03-26 20:54:56</t>
  </si>
  <si>
    <t>@OMSnuff</t>
  </si>
  <si>
    <t>Please ❤❤❤❤ Content Me Spice Money ❤❤❤❤</t>
  </si>
  <si>
    <t>2024-03-26 19:43:58</t>
  </si>
  <si>
    <t>Content me Spice Money ❤❤❤</t>
  </si>
  <si>
    <t>2024-03-26 19:41:31</t>
  </si>
  <si>
    <t>Bina iiBF Certificate Ke Addhar Widrawl Kar Saktha kai kya Reply Me ❤❤❤❤</t>
  </si>
  <si>
    <t>2024-03-26 19:32:26</t>
  </si>
  <si>
    <t>iibf certificate kin logo ke liye jaruri hai please reply</t>
  </si>
  <si>
    <t>2024-03-26 19:06:26</t>
  </si>
  <si>
    <t>Branding nahi deti hai company</t>
  </si>
  <si>
    <t>2024-03-26 17:54:28</t>
  </si>
  <si>
    <t>2024-03-26 16:31:12</t>
  </si>
  <si>
    <t>2024-03-26 16:29:40</t>
  </si>
  <si>
    <t>2024-03-26 16:28:18</t>
  </si>
  <si>
    <t>2024-03-26 16:26:48</t>
  </si>
  <si>
    <t>@sarojkumarhardoi7201</t>
  </si>
  <si>
    <t>Uti ka process bahut lamba hai koi Aadhaar ki problem se paise cutt jate hain wo Pisa wapas nhi hota hai 
Nsdl ka potal sahi hai 
Aur nsdl se hi pan card banaye  bhai log</t>
  </si>
  <si>
    <t>2024-03-26 15:08:30</t>
  </si>
  <si>
    <t>2024-03-26 14:35:12</t>
  </si>
  <si>
    <t>Email-rohitbhojiyan@gmail.com</t>
  </si>
  <si>
    <t>2024-03-26 14:34:36</t>
  </si>
  <si>
    <t>2024-03-26 14:34:13</t>
  </si>
  <si>
    <t>@chandanguptafinopaymentban8547</t>
  </si>
  <si>
    <t>Mera spice money id inactive hai koie response nahi leta hai</t>
  </si>
  <si>
    <t>2024-03-26 14:20:38</t>
  </si>
  <si>
    <t>2024-03-26 14:13:59</t>
  </si>
  <si>
    <t>SPICE MONEY 9572413183</t>
  </si>
  <si>
    <t>2024-03-26 14:03:27</t>
  </si>
  <si>
    <t>2024-03-26 13:50:26</t>
  </si>
  <si>
    <t>2024-03-26 13:49:53</t>
  </si>
  <si>
    <t>2024-03-26 13:49:22</t>
  </si>
  <si>
    <t>2024-03-26 13:48:21</t>
  </si>
  <si>
    <t>हम आपको कॉल करने की कोशिश कर रहे हैं लेकिन आपका नंबर उपलब्ध नहीं है कृपया अपना संपर्क नंबर साझा करें. टीम स्पाइस मनी</t>
  </si>
  <si>
    <t>2024-03-26 13:36:41</t>
  </si>
  <si>
    <t>2024-03-26 12:56:21</t>
  </si>
  <si>
    <t>2024-03-26 12:56:05</t>
  </si>
  <si>
    <t>2024-03-26 12:51:20</t>
  </si>
  <si>
    <t>2024-03-26 12:41:18</t>
  </si>
  <si>
    <t>@abhaypratapsinghchauhan6405</t>
  </si>
  <si>
    <t>Ha ji bn skat hai</t>
  </si>
  <si>
    <t>2024-03-26 12:37:46</t>
  </si>
  <si>
    <t>@mohdshah6995</t>
  </si>
  <si>
    <t>Dear Spice money team.  kya class 10th pass se kam padhe likhe ka bhi IIBF certificate ban sakta hai</t>
  </si>
  <si>
    <t>2024-03-26 12:29:26</t>
  </si>
  <si>
    <t>@rashidhussain4650</t>
  </si>
  <si>
    <t>Mujhe IIBF CERTIFICATE nahi milega. Black list me naam hai😅 
Toh mujhe kya karna hoga?</t>
  </si>
  <si>
    <t>2024-03-26 12:27:48</t>
  </si>
  <si>
    <t>2024-03-26 12:27:41</t>
  </si>
  <si>
    <t>@balrammurmu9269</t>
  </si>
  <si>
    <t>i महीना पहले में iibf bc certificate ke liye exam de chuka hu 52/100 marks aaye the par abhi tak mail me certificate nahi aaya hai 
kuchh din me aa jane ki sanka hai</t>
  </si>
  <si>
    <t>2024-03-26 12:26:55</t>
  </si>
  <si>
    <t>@VeerendraThakurJi780</t>
  </si>
  <si>
    <t>Hello</t>
  </si>
  <si>
    <t>2024-03-26 12:26:20</t>
  </si>
  <si>
    <t>2024-03-26 12:24:19</t>
  </si>
  <si>
    <t>@KHANSAAB-oj5jy</t>
  </si>
  <si>
    <t>Kab tak upload karna hai iibf certificate</t>
  </si>
  <si>
    <t>2024-03-26 12:15:12</t>
  </si>
  <si>
    <t>Meri id NPCI ne suspend kr di , usme 6000 rupye hai wo settled kre plzzz.</t>
  </si>
  <si>
    <t>2024-03-26 12:13:27</t>
  </si>
  <si>
    <t>2024-03-26 12:13:26</t>
  </si>
  <si>
    <t>2024-03-26 12:13:21</t>
  </si>
  <si>
    <t>@ajaykumar-ly6ex</t>
  </si>
  <si>
    <t>Sirf aeps use karne ke liye bhi jaruri hai</t>
  </si>
  <si>
    <t>2024-03-26 12:09:18</t>
  </si>
  <si>
    <t>@user-ji5du4lm5w</t>
  </si>
  <si>
    <t>Nere certificate Nehi hai , mujhe kaise mikegi</t>
  </si>
  <si>
    <t>2024-03-26 12:09:14</t>
  </si>
  <si>
    <t>@prabhastiger</t>
  </si>
  <si>
    <t>Iibf certificate nahi banayenge to ky aeps chalane main problem hoga</t>
  </si>
  <si>
    <t>2024-03-26 12:08:53</t>
  </si>
  <si>
    <t>@rolipateldigitalgraminseva708</t>
  </si>
  <si>
    <t>❤❤</t>
  </si>
  <si>
    <t>2024-03-26 12:08:33</t>
  </si>
  <si>
    <t>Dear Sir, RBI ke nireshnusar yeh certification karna jaruri hai, samay rehte ise jarur pura karien!</t>
  </si>
  <si>
    <t>2024-03-26 11:46:00</t>
  </si>
  <si>
    <t>2024-03-26 11:43:45</t>
  </si>
  <si>
    <t>2024-03-26 11:39:38</t>
  </si>
  <si>
    <t>@sahildelhi4483</t>
  </si>
  <si>
    <t>Nhi krege to kya hoga</t>
  </si>
  <si>
    <t>2024-03-26 11:08:58</t>
  </si>
  <si>
    <t>2024-03-26 11:00:00</t>
  </si>
  <si>
    <t>Dear Sir, Greetings! We regret the inconvenience caused to you. Our customer care officer will get in touch with you shortly. Regards, Team Spice Money</t>
  </si>
  <si>
    <t>2024-03-26 10:58:13</t>
  </si>
  <si>
    <t>स्पाइस मनी प्लेटफार्म पर उपलब्ध है IIBF BC/BF की ट्रेनिंग और सर्टिफिकेट अपलोड करने की सुविधा। 
पूरी जानकारी के लिए https://youtu.be/XnF5-uLfaHg?feature=shared लिंक पर क्लिक करें।
#SpiceMoney #SpiceMoneyTohLifeBani
#RuralFintech
#IIBF #SpiceSamachar
#MainAdhikariKhudHoonGuarantee</t>
  </si>
  <si>
    <t>2024-03-26 10:45:20</t>
  </si>
  <si>
    <t>2024-03-26 10:41:54</t>
  </si>
  <si>
    <t>@shivamsoni2897</t>
  </si>
  <si>
    <t>Mai to ab ish company me kaam hi nahi karoonga ish company ne mujhe bahut loss pahuchaya hai jitna mai ish company se commission kamaya nahi tha usse jyada to Mera kha gai dhokhebaaz company.
Mera AePS cash deposit me 5000 fasa hua hai 2 month ho Gaya main email aur call kar kar ke pareshan ho Gaya hun koi nahi sunta company bahane par bahane bana rahi hai.</t>
  </si>
  <si>
    <t>2024-03-26 10:29:14</t>
  </si>
  <si>
    <t>@samyaduvanshi2 Dear Sir, Greetings! We regret the inconvenience caused to you. Our customer care officer will get in touch with you shortly. Regards, Team Spice Money</t>
  </si>
  <si>
    <t>2024-03-26 10:26:09</t>
  </si>
  <si>
    <t>रंगों के त्यौहार होली पर आओ भरें सबकी लाइफ में विश्वास, उन्नति और खुशहाली के रंग!
स्पाइस मनी की ओर से रंगोत्सव की शुभकामनाएं।
#SpiceMoney #HappyHoli https://t.co/LzM65eWgyo</t>
  </si>
  <si>
    <t>2024-03-26 10:22:54</t>
  </si>
  <si>
    <t>2024-03-26 10:20:25</t>
  </si>
  <si>
    <t>2024-03-26 10:18:45</t>
  </si>
  <si>
    <t>2024-03-26 10:15:54</t>
  </si>
  <si>
    <t>2024-03-26 10:11:47</t>
  </si>
  <si>
    <t>@maheshparihar3432</t>
  </si>
  <si>
    <t>Bed neuj</t>
  </si>
  <si>
    <t>2024-03-26 10:10:11</t>
  </si>
  <si>
    <t>Spice Money Platform Par IIBF BC/BF Ki Training Aur Khud Certificate Upload karne Ki Suvidha Payein!</t>
  </si>
  <si>
    <t>2024-03-26 10:09:06</t>
  </si>
  <si>
    <t>Dear Sir, Greetings!  We would like to inform you that we’re unable to found you contact details. Please share your mobile number and suitable times. Regards, Team Spice Money</t>
  </si>
  <si>
    <t>2024-03-26 10:06:00</t>
  </si>
  <si>
    <t>2024-03-26 09:47:36</t>
  </si>
  <si>
    <t>2024-03-26 07:41:01</t>
  </si>
  <si>
    <t>मेरी id NPCI ने ससपेंड कर दी। उसमे 6000 रुपये भी plzz वो सेटल करवाये।</t>
  </si>
  <si>
    <t>2024-03-26 07:40:18</t>
  </si>
  <si>
    <t>@SagarKumar-lk3ym</t>
  </si>
  <si>
    <t>Happy Holy❤❤❤❤</t>
  </si>
  <si>
    <t>2024-03-26 06:49:49</t>
  </si>
  <si>
    <t>@SatyaPrakashSingh-sm2kp</t>
  </si>
  <si>
    <t>SBI se Paisa withdra nhi ho rha hi</t>
  </si>
  <si>
    <t>2024-03-26 05:57:47</t>
  </si>
  <si>
    <t>@SpiceMoneyIndia 9719168952
Time before 1 pm</t>
  </si>
  <si>
    <t>2024-03-26 03:31:27</t>
  </si>
  <si>
    <t>2024-03-25</t>
  </si>
  <si>
    <t>Kaliram Sonare CPV Karwane Ke Liye Apne Distributor Ya FSE Se Contact Kariye</t>
  </si>
  <si>
    <t>2024-03-25 21:15:28</t>
  </si>
  <si>
    <t>55000/- Lost</t>
  </si>
  <si>
    <t>2024-03-25 17:25:44</t>
  </si>
  <si>
    <t>IIBF का क्या मामला है जानकारी साझा किया जाये।</t>
  </si>
  <si>
    <t>2024-03-25 15:45:34</t>
  </si>
  <si>
    <t>@nicework9511</t>
  </si>
  <si>
    <t>@@SpiceMoneyOfficial bas aap log itna hi reply sab din karte hai lekin 100 baar mobile number email I'd bhej chuke hai kuch nahi hota hai</t>
  </si>
  <si>
    <t>2024-03-25 15:17:47</t>
  </si>
  <si>
    <t>Spice Money is the best service portal I proud of you I'm Spice Money Retailer Thank You Spice Money</t>
  </si>
  <si>
    <t>2024-03-25 15:11:56</t>
  </si>
  <si>
    <t>Dear Sir, Greetings! Aapse request hai aap apna Mobile number and email I'd hume share karein ,hamare grahak sewa adhikari aapse jald sampark karenge. Regards, Team Spice Money</t>
  </si>
  <si>
    <t>2024-03-25 14:56:29</t>
  </si>
  <si>
    <t>2024-03-25 14:55:40</t>
  </si>
  <si>
    <t>Dear Sir, Greetings! Aapse request hai aap apna Mobile number and email I'd hume share karein ,hamare grahak sewa adhikari aapse jald sampark karenge. Aap hamare official customer care number 0120-3645645 par bhi hume sampark kar sakte hain. Regards, Team Spice Money</t>
  </si>
  <si>
    <t>2024-03-25 14:52:44</t>
  </si>
  <si>
    <t>2024-03-25 14:51:37</t>
  </si>
  <si>
    <t>Akdam 100% sahi 👍</t>
  </si>
  <si>
    <t>2024-03-25 14:30:16</t>
  </si>
  <si>
    <t>Hum spice money ko itna din se request kar rahe hai ki spice money ka t shirt sabhee retailer ko Diya Jaye lekin koi sune vala nahi hai</t>
  </si>
  <si>
    <t>2024-03-25 10:41:59</t>
  </si>
  <si>
    <t>Holi hai</t>
  </si>
  <si>
    <t>2024-03-25 10:29:12</t>
  </si>
  <si>
    <t>मेरी आईडी बन्द हो गई है कोई सुनवाई नहीं हो रही है इस कम्पनी में कोई सुनवाई नहीं होती है बहुत ही रद्दी कम्पनी है कोई भी आईडी मत लेना दिखाते तो ऐसे हैं जैसे बहुत बढ़िया कम्पनी है लेकिन ऐसी है नहीं कोई दिक्कत हो जाती है तो कोई सुनता नहीं है 😢😢😢😅😅😅</t>
  </si>
  <si>
    <t>2024-03-25 09:19:33</t>
  </si>
  <si>
    <t>Sir mera marpho l1 connect nhi ho raha hai</t>
  </si>
  <si>
    <t>2024-03-25 07:37:32</t>
  </si>
  <si>
    <t>Happy Holi</t>
  </si>
  <si>
    <t>2024-03-25 07:30:39</t>
  </si>
  <si>
    <t>Happy Holi special</t>
  </si>
  <si>
    <t>2024-03-25 07:24:09</t>
  </si>
  <si>
    <t>रंगों के त्यौहार होली पर आओ भरें सबकी लाइफ में विश्वास, उन्नति और खुशहाली के रंग!
स्पाइस मनी की ओर से रंगोत्सव की शुभकामनाएं।
#SpiceMoney #HappyHoli</t>
  </si>
  <si>
    <t>2024-03-25 07:01:05</t>
  </si>
  <si>
    <t>2024-03-24</t>
  </si>
  <si>
    <t>@durgaprasadgajjalapu5625</t>
  </si>
  <si>
    <t>Spice hey Bhai
Pice nahi
Caption change karoo</t>
  </si>
  <si>
    <t>2024-03-24 22:34:30</t>
  </si>
  <si>
    <t>Laparvah aur luteri ak number ki frod company meri to Holi hi kharab kar di
AePS cash deposit me Mera 5000 kha gai 2 month ho Gaya main pareshan ho Gaya hun lekin koi sunne wala nahi. Ab to mujhe umeed bhi nahi hai paise Milne ki lekin ye company ab ish tarah ka kand kar kar ke barbadi ke rashte per chal padi hai. Mai ab ish chor company se kaam hi nahi karoonga aur jitne bhi spice money ke retailers hai sabhi ko ish company ke kand ke bare me jarur bataunga.</t>
  </si>
  <si>
    <t>2024-03-24 21:11:21</t>
  </si>
  <si>
    <t>IIBF KIYA HAI</t>
  </si>
  <si>
    <t>2024-03-24 21:03:33</t>
  </si>
  <si>
    <t>❤ veri Happy Holi</t>
  </si>
  <si>
    <t>2024-03-24 20:56:21</t>
  </si>
  <si>
    <t>बैंक ऑफ इंडिया से महीने मे एक बार ही aeps होता है  ऐसा क्यू</t>
  </si>
  <si>
    <t>2024-03-24 20:19:13</t>
  </si>
  <si>
    <t>SPICE MONEY khategaon dist dewas Madhya pradesh 455336
9926745652
24 hrs</t>
  </si>
  <si>
    <t>2024-03-24 19:15:41</t>
  </si>
  <si>
    <t>pice Money | Holi 2024</t>
  </si>
  <si>
    <t>2024-03-24 18:57:50</t>
  </si>
  <si>
    <t>Up Wala</t>
  </si>
  <si>
    <t>Mantra new update | Morpho new update | Mantra 100, Morpho E3 | Spice Money | Fino Bank | Paynearby</t>
  </si>
  <si>
    <t>2024-03-24 18:39:42</t>
  </si>
  <si>
    <t>@Akashjaiswal9208</t>
  </si>
  <si>
    <t>@@SpiceMoneyOfficial no any call or email.</t>
  </si>
  <si>
    <t>2024-03-24 17:58:22</t>
  </si>
  <si>
    <t>मेरा रु० 5150 वापस करदो।</t>
  </si>
  <si>
    <t>2024-03-24 17:47:51</t>
  </si>
  <si>
    <t>2024-03-24 17:40:24</t>
  </si>
  <si>
    <t>2024-03-24 17:39:11</t>
  </si>
  <si>
    <t>Dear Sir, Greetings! We regret the inconvenience caused to you. Please share your email id and mobile number .we'll reach out to you to resolve all your concerns.Regards, Team Spice Money</t>
  </si>
  <si>
    <t>2024-03-24 17:37:16</t>
  </si>
  <si>
    <t>SPICE MONEY sureshkumarsain@gmail.com</t>
  </si>
  <si>
    <t>2024-03-24 17:29:59</t>
  </si>
  <si>
    <t>SPICE MONEY कोई भी हेल्प नहीं कर रहा है आप ही करे तो ठीक है वरना कोई नहीं</t>
  </si>
  <si>
    <t>2024-03-24 16:27:53</t>
  </si>
  <si>
    <t>2024-03-24 16:26:10</t>
  </si>
  <si>
    <t>@sayediswack5805</t>
  </si>
  <si>
    <t>My M Atm is not working</t>
  </si>
  <si>
    <t>2024-03-24 15:22:15</t>
  </si>
  <si>
    <t>अब ये सर्विस सही में भी घटिया हैं cpv अपडेट नहीं कर रहे है सब के सब बेकुफ़ बना रहे है कब से कंप्लेंट कर रहा हूं कोई नहीं सुनता है 455336</t>
  </si>
  <si>
    <t>2024-03-24 14:40:39</t>
  </si>
  <si>
    <t>Dear Sir, Greetings!  We would like to inform you that your concern regardin id suspension,issue already raised with concern team, team working on it. Regards Team Spice Money</t>
  </si>
  <si>
    <t>2024-03-24 12:03:50</t>
  </si>
  <si>
    <t>2024-03-24 12:00:34</t>
  </si>
  <si>
    <t>@samyaduvanshi2 Dear Sir, Greetings! We are trying to contact you but you are not answering . Please share your contact details and suitable times. Regards, Team Spice Money</t>
  </si>
  <si>
    <t>2024-03-24 11:05:57</t>
  </si>
  <si>
    <t>2024-03-24 11:00:16</t>
  </si>
  <si>
    <t>2024-03-24 10:54:16</t>
  </si>
  <si>
    <t>Call 8009688006</t>
  </si>
  <si>
    <t>2024-03-24 10:50:12</t>
  </si>
  <si>
    <t>@Mohit_5355 Dear Sir, Greetings! We regret the inconvenience caused to you. Our customer care officer will get in touch with you shortly. Regards, Team Spice Money</t>
  </si>
  <si>
    <t>2024-03-24 10:46:07</t>
  </si>
  <si>
    <t>@HamdKhan4 Dear Sir, Greetings! As per discussed with you your concern regarding banner, please allow us sometime for your concern, we’ll update you soon  .Regards, Team spice money</t>
  </si>
  <si>
    <t>2024-03-24 10:38:25</t>
  </si>
  <si>
    <t>@jitendra261988 Dear Sir, Greetings! We regret the inconvenience caused to you. Please share your email id and mobile number in inbox .we'll reach out to you to resolve all your concerns.Regards, Team Spice Money</t>
  </si>
  <si>
    <t>2024-03-24 10:34:26</t>
  </si>
  <si>
    <t>@VirendraYa7136 Dear Sir, Greetings! We regret the inconvenience caused to you. Please share your email id and mobile number in inbox .we'll reach out to you to resolve all your concerns.Regards, Team Spice Money</t>
  </si>
  <si>
    <t>2024-03-24 10:20:29</t>
  </si>
  <si>
    <t>2024-03-24 10:16:44</t>
  </si>
  <si>
    <t>@SpiceMoneyIndia Sir Kitna Wait Kru</t>
  </si>
  <si>
    <t>2024-03-24 10:03:02</t>
  </si>
  <si>
    <t>2024-03-24 10:01:39</t>
  </si>
  <si>
    <t>2024-03-24 09:33:00</t>
  </si>
  <si>
    <t>घटिया services</t>
  </si>
  <si>
    <t>2024-03-24 09:26:46</t>
  </si>
  <si>
    <t>2024-03-23</t>
  </si>
  <si>
    <t>VirendraYa7136</t>
  </si>
  <si>
    <t>Virendra Yadav</t>
  </si>
  <si>
    <t>@SpiceMoneyIndia sir ye company bilkul froad hai Mera I'd six months se band hai koi karwahi nahi kiya ja raha hai na hi koi karamchari meri aawaj ko sun nahi Raha hai</t>
  </si>
  <si>
    <t>2024-03-23 20:09:33</t>
  </si>
  <si>
    <t>@SpiceMoneyIndia Sab bakwas hai ye forad I'd hai Mera I'd six months se band hai koi karwahi nahi kiya ja raha hai</t>
  </si>
  <si>
    <t>2024-03-23 19:59:38</t>
  </si>
  <si>
    <t>@IPL @JioCinema @StarSportsIndia @SpiceMoneyIndia
सर क्या स्पाइस मनी में कोई रेस्पोंसेवाल अधिकारी है
स्पाइस मनी को सेफ ( फुल सिक्योर )न समझा जाये
में एक शाल से परेसान हूँ पर कोई स्पाइस मनी में कोई सुनता ही नहीं है
मुझे २ लाख + का अभी तक लॉस ( हानि ) हो चुकी है</t>
  </si>
  <si>
    <t>2024-03-23 19:34:58</t>
  </si>
  <si>
    <t>@IPL @SpiceMoneyIndia
सर क्या स्पाइस मनी में कोई रेस्पोंसेवाल अधिकारी है
स्पाइस मनी को सेफ ( फुल सिक्योर )न समझा जाये
में एक शाल से परेसान हूँ पर कोई स्पाइस मनी में कोई सुनता ही नहीं है
मुझे २ लाख + का अभी तक लॉस ( हानि ) हो चुकी है https://t.co/NRct8nRplF</t>
  </si>
  <si>
    <t>2024-03-23 19:33:05</t>
  </si>
  <si>
    <t>@Mohit_5355 @SpiceMoneyIndia @RBI @FinoPaymntsBank @RnfiServices Hi Mohit, thank you for sharing this concern with us. We want an opportunity to talk and investigate your feedback further. Kindly share with us your concern and your registered mobile no. here: https://t.co/5BjbPnALSa we'll get back to you as soon as possible. 
Thanks.</t>
  </si>
  <si>
    <t>2024-03-23 15:17:42</t>
  </si>
  <si>
    <t>2024-03-23 14:04:25</t>
  </si>
  <si>
    <t>S2U sar</t>
  </si>
  <si>
    <t>2024-03-23 13:56:10</t>
  </si>
  <si>
    <t>देश के रंग फोटो कॉन्टेस्ट के सभी विजेताओं का हार्दिक अभिनन्दन एवं बधाई! 
इस कांटेस्ट में हिस्सा लेने वाले हर एक पार्टिसिपेंट्स के प्रति दिल से आभार प्रकट करते हैं। 
इस दुरन सबमिट की गई फोटोग्राफ्स से हमें ग्रामीण भारत को देखने और समझने का मौका मिला, हमारे उद्देश्य को अपना सहयोग देने के लिए आपका धन्यवाद।
#CaptureIndia #Winners #DeshKeRangContest #SpiceMoney #SpiceMoneyTohLifeBani</t>
  </si>
  <si>
    <t>2024-03-23 13:30:59</t>
  </si>
  <si>
    <t>@SpiceMoneyIndia @SpiceMoneyIndia #SpiceMoney #SpiceMoneyAdhikari #AdhikariTraining #SubscribeNow #BestCommissionNetwork
सर क्या स्पाइस मनी में कोई रेस्पोंसेवाल अधिकारी है
में एक शाल से परेसान हूँ पर कोई स्पाइस मनी में कोई सुनता ही नहीं है
मुझे २ लाख + का अभी तक लॉस ( हानि ) हो चुकी है</t>
  </si>
  <si>
    <t>2024-03-23 10:33:54</t>
  </si>
  <si>
    <t>स्पाइस मनी केEmployeeमेरा रोजगार छीन रहे है और कंपनी के कोई अधिकारी सुनने के लिए तैयार नहीं है जिसके पास फोन लगाओ कोई फोन रिसीव नही करते है और गलत जानकारी भी देते है मैं सभी के पासफोन मेल करके थक गया हूं ss360508 @SpiceMoneyIndia @PayNearby @RBI  @FinoPaymntsBank @RnfiServices @ https://t.co/B1wPByjHyf</t>
  </si>
  <si>
    <t>2024-03-23 07:36:31</t>
  </si>
  <si>
    <t>2024-03-23 07:15:15</t>
  </si>
  <si>
    <t>2024-03-22</t>
  </si>
  <si>
    <t>Aeps or DMT limit increase koro 6/7 lk per mobile number se per month hona chiye. Aeps 50000 limit hona chiye. Mail koro RBI or NPCI KO apne team ke dwara behalf of all Retailer. Feature may work ho sakta hay.</t>
  </si>
  <si>
    <t>2024-03-22 23:13:26</t>
  </si>
  <si>
    <t>Great 💯</t>
  </si>
  <si>
    <t>2024-03-22 22:55:03</t>
  </si>
  <si>
    <t>@SpiceMoneyIndia Sab bakwas hai ye sab I'd forad kar rahe hai logo ko confidence dekar biswasghat kiya ga raha hai</t>
  </si>
  <si>
    <t>2024-03-22 22:11:06</t>
  </si>
  <si>
    <t>Sir meri I'd 6months se band hai koi karwahi nahi kiya ja raha 
  Quoted Tweet : @IamDilipModi : Just watched an outstanding film @LaapataaLadies showing the grit &amp; aspirations of young women across rural India. Resonated so much with what we are trying to do at @SpiceMoneyIndia. Brilliant work by Kiran Rao - Would encourage everyone to watch it.</t>
  </si>
  <si>
    <t>2024-03-22 21:59:44</t>
  </si>
  <si>
    <t>@IamDilipModi @LaapataaLadies @SpiceMoneyIndia Sir aap se nivedan hai meri I'd chalu karwaye meri I'd 6months se band matter close hone ke baad bhi meri IDsdl1508159 mo8174857693</t>
  </si>
  <si>
    <t>2024-03-22 21:41:40</t>
  </si>
  <si>
    <t>@IamDilipModi @LaapataaLadies @SpiceMoneyIndia Sab bakwas meri I'd 6months se band hai koi karwahi hi nahi kiya ja raha hai</t>
  </si>
  <si>
    <t>2024-03-22 21:31:25</t>
  </si>
  <si>
    <t>@IamDilipModi @LaapataaLadies @SpiceMoneyIndia Sir meri I'd 6months se band koi karwahi nahi kiya ja raha hai</t>
  </si>
  <si>
    <t>2024-03-22 21:26:14</t>
  </si>
  <si>
    <t>@SpiceMoneyIndia @SpiceMoneyIndia में Jitendra Singh Kushwah Bhind से  - ss460615 अब तक 2 लाख के लगभग का हुआ लोस्स (Loss – घाटा) 2साल में स्पाइस मनी ने नहीं की कोई सहायता 47 मेल कर चुका हूँ कई वॉर वॉट्सप ट्वीट भी किया है https://t.co/6ZF3MrQUwq</t>
  </si>
  <si>
    <t>2024-03-22 19:28:09</t>
  </si>
  <si>
    <t>@ashisroy4955</t>
  </si>
  <si>
    <t>Pl help me to collect password</t>
  </si>
  <si>
    <t>2024-03-22 17:08:43</t>
  </si>
  <si>
    <t>@MdSec63 Dear Sir, Namaskar! Aapse Batchit ke anusar ID suspension ke  baare me hamari taraf se aapko jankari share kar di gayi hai. Adhik jankari ke liye aap hamare official customer care number 0120-3645645 par bhi sampark kar sakte hain. Regards, Team Spice Money</t>
  </si>
  <si>
    <t>2024-03-22 16:43:04</t>
  </si>
  <si>
    <t>@jitendra261988 प्रिय महोदय, नमस्कार! आपसे हुई बातचीत के अनुसार आपके ID suspension के संबंध में आपको जानकारी साझा कर दी गई है।सादर, टीम स्पाइस मनी</t>
  </si>
  <si>
    <t>2024-03-22 15:51:36</t>
  </si>
  <si>
    <t>2024-03-22 13:28:24</t>
  </si>
  <si>
    <t>@SpiceMoneyIndia I'd dl56797
Name Saddam
Registered Mob 7541843351
Noc Nahin De Raha Hain Bahut Baar Mail Kar Chuke Hain Sir 
Gmail ID saddam.sec63@gmail.com</t>
  </si>
  <si>
    <t>2024-03-22 11:00:07</t>
  </si>
  <si>
    <t>@SpiceMoneyIndia @SpiceMoneyIndia में Jitendra Singh Kushwah Bhind से  - ss460615 अब तक 2 लाख के लगभग का हुआ लोस्स (Loss – घाटा) 2साल में स्पाइस मनी ने नहीं की कोई सहायता 47 मेल कर चुका हूँ कई वॉर वॉट्सप ट्वीट भी किया है</t>
  </si>
  <si>
    <t>2024-03-22 10:38:12</t>
  </si>
  <si>
    <t>2024-03-22 10:37:29</t>
  </si>
  <si>
    <t>2024-03-22 10:37:20</t>
  </si>
  <si>
    <t>2024-03-22 10:37:12</t>
  </si>
  <si>
    <t>2024-03-22 10:35:44</t>
  </si>
  <si>
    <t>@RBIsays @SpiceMoneyIndia में Jitendra Singh Kushwah Bhind से  - ss460615 अब तक 2 लाख के लगभग का हुआ लोस्स (Loss – घाटा) 2साल में स्पाइस मनी ने नहीं की कोई सहायता 47 मेल कर चुका हूँ कई वॉर वॉट्सप ट्वीट भी किया है</t>
  </si>
  <si>
    <t>2024-03-22 10:35:17</t>
  </si>
  <si>
    <t>JOIN TECH 1</t>
  </si>
  <si>
    <t>Spice Money Dangerous Notice: IIBF Certificate नहीं तो ID बन्द |RBI Guidelines |सब खत्म हो गया</t>
  </si>
  <si>
    <t>2024-03-22 09:06:58</t>
  </si>
  <si>
    <t>2024-03-21</t>
  </si>
  <si>
    <t>SPICE MONEY WhatsApp me</t>
  </si>
  <si>
    <t>2024-03-21 19:11:10</t>
  </si>
  <si>
    <t>2024-03-21 18:24:57</t>
  </si>
  <si>
    <t>UP44100682</t>
  </si>
  <si>
    <t>Thakur Virendra Singh</t>
  </si>
  <si>
    <t>@SpiceMoneyIndia Issue resolved</t>
  </si>
  <si>
    <t>2024-03-21 18:21:14</t>
  </si>
  <si>
    <t>Bidhuna, india</t>
  </si>
  <si>
    <t>Dear Sir, Greetings! As per discussed with you your concern related AEPS service activation. Complaint forwarded to concern team, our team working on it. Regards, Team Spice Money</t>
  </si>
  <si>
    <t>2024-03-21 18:20:11</t>
  </si>
  <si>
    <t>@pijushkantimal Dear Sir, Greetings!  We would like to inform you that we’re unable to found you contact details. Please share your mobile number and suitable times. You can also contact us on our official customer care number 0120-3645645 Regards, Team Spice Money</t>
  </si>
  <si>
    <t>2024-03-21 18:19:45</t>
  </si>
  <si>
    <t>2024-03-21 18:17:52</t>
  </si>
  <si>
    <t>@Shadab_tw Dear Sir, Greetings! We are trying to contact you but you are not answering . Please share your contact details and suitable times. Regards, Team Spice Money</t>
  </si>
  <si>
    <t>2024-03-21 18:15:17</t>
  </si>
  <si>
    <t>@tarikanowar786 Dear Sir, Greetings! We are trying to contact you but your number is switched off . Please share your contact details and suitable times. Regards, Team Spice Money</t>
  </si>
  <si>
    <t>2024-03-21 18:09:35</t>
  </si>
  <si>
    <t>Customer service Sahi karo call uthata nahin 🙏</t>
  </si>
  <si>
    <t>2024-03-21 18:08:25</t>
  </si>
  <si>
    <t>Call</t>
  </si>
  <si>
    <t>2024-03-21 18:06:26</t>
  </si>
  <si>
    <t>pijushkantimal</t>
  </si>
  <si>
    <t>Pijush Kanti Mal</t>
  </si>
  <si>
    <t>@SpiceMoneyIndia Kindly check ur official email id
Ticket ID 1000114290992
Please solve this tickets id problem.
Also u can get my contact details</t>
  </si>
  <si>
    <t>2024-03-21 18:00:21</t>
  </si>
  <si>
    <t>Bardhaman</t>
  </si>
  <si>
    <t>@UP44100682 Dear Sir, Greetings! We are trying to contact you but you are not answering . Please share your contact details and suitable times. Regards, Team Spice Money</t>
  </si>
  <si>
    <t>2024-03-21 17:35:52</t>
  </si>
  <si>
    <t>2024-03-21 17:31:07</t>
  </si>
  <si>
    <t>SPICE MONEY   ry272777@gmail.com</t>
  </si>
  <si>
    <t>2024-03-21 17:30:34</t>
  </si>
  <si>
    <t>2024-03-21 17:26:08</t>
  </si>
  <si>
    <t>Mem meri id ka cpv update karana hai iske liye me sellace menager distributer sabhi se sampark kar chuka hu lekin koi bhi meri help nahi kar raha hai mem</t>
  </si>
  <si>
    <t>2024-03-21 17:22:24</t>
  </si>
  <si>
    <t>प्रिय महोदय, नमस्कार! आपके सुझाव के लिए धन्यवाद, हमने इसे नोट कर लिया है। आपको बताना चाहेंगे कि NPCI की तरफ से जो नियम बनाया जाता है, वो आपकी सुरक्षा को ध्यान में रख कर बनाया जाता है ताकि आप किसी भी  fraud का शिकार न हों। सादर, टीम स्पाइस मनी</t>
  </si>
  <si>
    <t>2024-03-21 17:21:37</t>
  </si>
  <si>
    <t>2024-03-21 17:18:06</t>
  </si>
  <si>
    <t>@itsDeepanshu24 Dear Sir, Greetings! We regret the inconvenience caused to you. Our customer care officer will get in touch with you shortly. Regards, Team Spice Money</t>
  </si>
  <si>
    <t>2024-03-21 17:13:34</t>
  </si>
  <si>
    <t>@sharwanlukkad प्रिय महोदय, नमस्कार! आपसे हुई बातचीत के अनुसार DMT transactionके बारे में आपका concern आगे raise कर दिया गया है । हमारी टीम आपके concern पर काम कर रही है। सादर, टीम स्पाइस मनी</t>
  </si>
  <si>
    <t>2024-03-21 17:10:00</t>
  </si>
  <si>
    <t>@pijushkantimal Dear Sir, Greetings! You can also contact us on our official customer care number 0120-3645645 Regards, Team Spice Money</t>
  </si>
  <si>
    <t>2024-03-21 17:07:21</t>
  </si>
  <si>
    <t>2024-03-21 17:06:44</t>
  </si>
  <si>
    <t>55000/- rs. Kat gya customer ko PTA bhi nhi chala, or abhi tak koi sunwai nhi ho rha hai</t>
  </si>
  <si>
    <t>2024-03-21 17:06:10</t>
  </si>
  <si>
    <t>Spice Mone me froud ho rha hai</t>
  </si>
  <si>
    <t>2024-03-21 17:05:01</t>
  </si>
  <si>
    <t>2024-03-21 16:50:03</t>
  </si>
  <si>
    <t>itsDeepanshu24</t>
  </si>
  <si>
    <t>Deepanshu</t>
  </si>
  <si>
    <t>@pijushkantimal @NPCI_NPCI @RBI @SpiceMoneyIndia Agree! They don’t provide any permanent cancellation button on the portal and deduct lot of charges without our permission. @IamDilipModi would you think you build a successful business after knowing these errors in your team and system.</t>
  </si>
  <si>
    <t>2024-03-21 15:15:27</t>
  </si>
  <si>
    <t>@SpiceMoneyIndia Sorry but your dms are not open for non verified users it said. So my Agent Id is SDL1088980 and phone number is 9354132526. I don’t have any registered email id but u can mail me on “kawaldeep2002@gmail.com”</t>
  </si>
  <si>
    <t>2024-03-21 15:11:51</t>
  </si>
  <si>
    <t>sharwanlukkad</t>
  </si>
  <si>
    <t>Sharwanlukkad</t>
  </si>
  <si>
    <t>@SpiceMoneyIndia स्पाइस मनी एक फर्जी सर्विस है ये हमारे पैसे लूट रहा है मेने 29 फ़रवरी को DMT किया था जो मेरे पैसे लूट लिए अब वापिस नहीं कर रहे हैं🤬🤬🤬🤬🤬🤬🤬🤬🤬🤬🤬🤬🤬🤬🤬🤬🤬🤬🤬🤬🤬🤬🤬🤬🤬🤬🤬🤬🤬🤬🤬🤬🤬🤬🤬🤬🤬🤬🤬🤬🤬🤬🤬🤬🤬🤬🤬🤬🤬🤬🤬🤬😡😡😡😡😡🤬🤬🤬🤬🤬🤬😡🤬🤬</t>
  </si>
  <si>
    <t>2024-03-21 14:53:12</t>
  </si>
  <si>
    <t>@SpiceMoneyIndia You are telling me to message and when I go to message, I see Twitter profile verified only they can message. The habit of making fun of ordinary retailers like us.</t>
  </si>
  <si>
    <t>2024-03-21 13:01:13</t>
  </si>
  <si>
    <t>SPICE MONEY no one take the responsibility and not provide any solution. my problem aeps not working then they reply that new id generation is the solution; what is this fuck new id generation.! and what about my old id and transactions😡</t>
  </si>
  <si>
    <t>2024-03-21 12:06:07</t>
  </si>
  <si>
    <t>aeps not working, error in terminal show ho rha h</t>
  </si>
  <si>
    <t>2024-03-21 12:01:37</t>
  </si>
  <si>
    <t>Thank you spice Money New Update Dene ke liye.</t>
  </si>
  <si>
    <t>2024-03-21 11:51:28</t>
  </si>
  <si>
    <t>@jasimansari6362</t>
  </si>
  <si>
    <t>एक बार में डबल निकासी होना चाहिए ना की बीच में 30 मिनट का गैप होना क्योंकि किसी व्यक्ति का एक बार में 5000 ही निकासी हो पता है तो 10000 अगर निकलता है तो उसे दो बार आनापड़ता है</t>
  </si>
  <si>
    <t>2024-03-21 11:13:53</t>
  </si>
  <si>
    <t>स्पाइस मनी अधिकारियों को क्यों अपना गूगल ब्राउज़र अपडेटेड रखना चाहिए?
जानने के लिए लिंक https://youtu.be/QzeQzK374FA?feature=shared पर क्लिक करें और इस वीडियो को देखें।
#SpiceMoney #SpiceSatark #SpiceMoneyTohLifeBani
#RuralFintech
#BrowserUpdate #FraudAwareness
#MainAdhikariKhudHoonGuarantee</t>
  </si>
  <si>
    <t>2024-03-21 10:30:08</t>
  </si>
  <si>
    <t>प्रिय महोदय, नमस्कार! आपके सुझाव के लिए धन्यवाद, हमने इसे नोट कर लिया है। सादर, टीम स्पाइस मनी</t>
  </si>
  <si>
    <t>2024-03-21 09:56:57</t>
  </si>
  <si>
    <t>@Rishi_yadav0</t>
  </si>
  <si>
    <t>Spice money ki id ke liye paise mang rahe hai</t>
  </si>
  <si>
    <t>2024-03-21 09:27:59</t>
  </si>
  <si>
    <t>2024-03-21 09:00:35</t>
  </si>
  <si>
    <t>2024-03-21 08:53:34</t>
  </si>
  <si>
    <t>@itsDeepanshu24 Dear Sir, Greetings! Please share your email id and mobile number in inbox .we'll reach out to you to resolve all your concerns.Regards, Team Spice Money</t>
  </si>
  <si>
    <t>2024-03-21 08:40:35</t>
  </si>
  <si>
    <t>2024-03-20</t>
  </si>
  <si>
    <t>NPCI AEPS BAND SPICE MONEY PAYNEARBY RAPI PAY FINO PAYMENT BANK SBI CSP</t>
  </si>
  <si>
    <t>2024-03-20 23:54:37</t>
  </si>
  <si>
    <t>Lead</t>
  </si>
  <si>
    <t>@tanzeemahmad4987</t>
  </si>
  <si>
    <t>सर आप डिस्ट्रीब्यूटर के अंदर में प्रमोटर रखकर काम करवाइए। जो आपके डिस्ट्रीब्यूटर और SMA की इज्जत कर सके। और उसको डिस्ट्रीब्यूटर का पूरा सपोर्ट रहेगा। जिससे वो कंपनी का बिजनेस बढ़ा सके। कम सैलरी में अच्छा काम होंगा। और आपका डिस्ट्रीब्यूटर उसके ऊपर काम के लिए दबाओ भी बना सकता है। एक महीना करके देख लीजिए।  बिजनेस में बहुत असर पड़ेगा।।</t>
  </si>
  <si>
    <t>2024-03-20 23:17:46</t>
  </si>
  <si>
    <t>I am a spice money adhikari But few days back one agent came to me for Physical KYC &amp;amp; activated a subscription plan without my permission &amp;amp; said it will cancelled after a month but my money got deducted twice after cancellation.
@SpiceMoneyIndia @IamDilipModi @SanjeevKumar_SM https://t.co/Q6sMTjpCnq</t>
  </si>
  <si>
    <t>2024-03-20 22:14:29</t>
  </si>
  <si>
    <t>@ajay_sahu_5656</t>
  </si>
  <si>
    <t>Dear Agent you do not have sufficient balance to initiate the transaction kya problem hai</t>
  </si>
  <si>
    <t>2024-03-20 21:12:19</t>
  </si>
  <si>
    <t>@user-rr7xg2fq6f</t>
  </si>
  <si>
    <t>Good video</t>
  </si>
  <si>
    <t>2024-03-20 18:21:37</t>
  </si>
  <si>
    <t>@SpiceMoneyIndia Still I didn't receive any response</t>
  </si>
  <si>
    <t>2024-03-20 16:49:49</t>
  </si>
  <si>
    <t>ETBrandEquity</t>
  </si>
  <si>
    <t>ET Brand Equity</t>
  </si>
  <si>
    <t>- Mr. Harsh Mittal, Chief Product &amp;amp; Technology Officer, Spice Money
- Ram Sampath, Music Composer, Producer, Artist
- Preeti Nayyar, SVP Brand Partnerships, Universal Music Group, India and South Asia
Session Chair: Devesh Gupta, Content Lead, Product and Community, ETBrandEquity</t>
  </si>
  <si>
    <t>2024-03-20 16:39:45</t>
  </si>
  <si>
    <t>Mumbai</t>
  </si>
  <si>
    <t>@jitendra261988 प्रिय महोदय, नमस्कार! हमारे तरफ से Id suspension के संबंध में आपको जानकारी साझा कर दी गई है।अधिक जानकारी के लिए आप हमारे आधिकारिक ग्राहक सेवा नंबर 0120-3645644 पर भी संपर्क कर सकते हैं सादर, टीम स्पाइस मनी</t>
  </si>
  <si>
    <t>2024-03-20 16:10:28</t>
  </si>
  <si>
    <t>Sitaram Shop Hadrukh</t>
  </si>
  <si>
    <t>follow this page for more this page for more</t>
  </si>
  <si>
    <t>2024-03-20 15:09:56</t>
  </si>
  <si>
    <t>SPICE MONEY please</t>
  </si>
  <si>
    <t>2024-03-20 15:09:42</t>
  </si>
  <si>
    <t>2024-03-20 14:05:45</t>
  </si>
  <si>
    <t>Dear sir, Greetings! Aapke sujhaav ke liye dhanyavaad, humne ise note kar liya hai.Regards,Team Spice Money</t>
  </si>
  <si>
    <t>2024-03-20 13:58:14</t>
  </si>
  <si>
    <t>🏧 *Agar Kisi Ko Paynerby Ka Retailer ID Chahiye to Turant Contact kare* 🏦9104936193
https://wa.link/q7oynl</t>
  </si>
  <si>
    <t>2024-03-20 13:52:40</t>
  </si>
  <si>
    <t>ashukm</t>
  </si>
  <si>
    <t>Samraat Ashok</t>
  </si>
  <si>
    <t>@SpiceMoneyIndia maa ka bhosdaa Umar</t>
  </si>
  <si>
    <t>2024-03-20 13:49:07</t>
  </si>
  <si>
    <t>@jitendra261988 @SpiceMoneyIndia @RBI @RBIsays @rbinnovationhub @RnfiServices @VidcomS @rapipay Hi Jitendra, there's nothing more precious to us than your love &amp;amp; support, we are overwhelmed after hearing your feedback. We will always be on our toes to ensure you get to experience the best! Join our official Telegram Channel link available on FB profile.
Thank you.</t>
  </si>
  <si>
    <t>2024-03-20 13:42:45</t>
  </si>
  <si>
    <t>@AnkitB2B7</t>
  </si>
  <si>
    <t>Spice money company bekar hai ismein cpv complete karne ke liye koi agent nahin a raha hai</t>
  </si>
  <si>
    <t>2024-03-20 13:26:58</t>
  </si>
  <si>
    <t>@PayNearby @SpiceMoneyIndia @RBI @RBIsays @rbinnovationhub @RnfiServices @VidcomS @rapipay Very Good Servises *****</t>
  </si>
  <si>
    <t>2024-03-20 12:47:38</t>
  </si>
  <si>
    <t>@jitendra261988 @SpiceMoneyIndia @RBI @RBIsays @rbinnovationhub @RnfiServices @VidcomS @rapipay नमस्कार Jitendra जी, जैसा कि कॉल पर चर्चा हुई, आपको PayNearby के संबंध में कोई समस्या नहीं है और आप हमारी सेवा से खुश हैं। आप हमारी सेवा से प्रस्सन है, तो कृपया Google Playstore पर समीक्षा के साथ अपना सकारात्मक अनुभव साझा करें। 
धन्यवाद।</t>
  </si>
  <si>
    <t>2024-03-20 12:32:56</t>
  </si>
  <si>
    <t>IamDilipModi</t>
  </si>
  <si>
    <t>Dilip Modi</t>
  </si>
  <si>
    <t>During the Women's Day Special episode of Spice Money Chaupal, I had the honour of hosting an esteemed panel of esteemed women leaders - Nitasha Shankar, Head Equity Strategy, YES SECURITIES; Shalinee Mimani (She/Her), Chief Risk Officer, Godrej Capital Limited, Aditi Olemann,… https://t.co/S5Uswix9GD</t>
  </si>
  <si>
    <t>2024-03-20 12:09:40</t>
  </si>
  <si>
    <t>During the Women's Day Special episode of Spice Money Chaupal, I had the honour of hosting an esteemed panel of esteemed women leaders - Nitasha Shankar, Head Equity Strategy, YES SECURITIES; Shalinee Mimani (She/Her), Chief Risk Officer, Godrej Capital Limited, Aditi Olemann,… https://t.co/tagtoeKRI5</t>
  </si>
  <si>
    <t>2024-03-20 12:08:23</t>
  </si>
  <si>
    <t>@SpiceMoneyIndia @SpiceMoneyIndia में Jitendra Singh Kushwah Bhind से  - ss460615 अब तक 2 लाख के लगभग का हुआ लोस्स (Loss – घाटा) 2साल में स्पाइस मनी ने नहीं की कोई सहायता 40 मेल कर चुका हूँ कई वॉर वॉट्सप ट्वीट भी किया है @RBI @RBIsays @rbinnovationhub @PayNearby @RnfiServices @VidcomS @rapipay</t>
  </si>
  <si>
    <t>2024-03-20 11:52:15</t>
  </si>
  <si>
    <t>Dear Sir, Namaskar!Aapko batana chahenge ki Spice Money me Happy loan service available nahi hai, aap loan center option se loan apply kar sakte hain. Adhik jankari ke liye aap hamare official customer care number 0120-3645645 par bhi sampark kar sakte hain. Regards, Team Spice Money</t>
  </si>
  <si>
    <t>2024-03-20 11:17:54</t>
  </si>
  <si>
    <t>Dear Sir, Greetings! We thank you for the appreciation .Regards, Team Spice Money</t>
  </si>
  <si>
    <t>2024-03-20 11:15:40</t>
  </si>
  <si>
    <t>It is Best plateform of all time.</t>
  </si>
  <si>
    <t>2024-03-20 11:03:15</t>
  </si>
  <si>
    <t>2024-03-20 10:37:02</t>
  </si>
  <si>
    <t>2024-03-20 10:28:56</t>
  </si>
  <si>
    <t>@pijushkantimal Dear Sir, Greetings! We regret the inconvenience caused to you. Please share your email id and mobile number in inbox .we'll reach out to you to resolve all your concerns.Regards, Team Spice Money</t>
  </si>
  <si>
    <t>2024-03-20 10:26:14</t>
  </si>
  <si>
    <t>2024-03-20 09:58:49</t>
  </si>
  <si>
    <t>2024-03-20 09:10:57</t>
  </si>
  <si>
    <t>@NPCI_NPCI @RBI @SpiceMoneyIndia After informing the customer care about this issue it has been six months and no problem has been resolved. (2/2)</t>
  </si>
  <si>
    <t>2024-03-20 09:06:34</t>
  </si>
  <si>
    <t>@NPCI_NPCI @RBI  If you could help me then I would be greatly benefited.. a company called Spice Money @SpiceMoneyIndia first lured the retailer with free service and then charged the customer with the service.  (1/2) https://t.co/5QHIfxx4x1</t>
  </si>
  <si>
    <t>2024-03-20 09:05:51</t>
  </si>
  <si>
    <t>2024-03-20 09:04:15</t>
  </si>
  <si>
    <t>2024-03-20 09:01:41</t>
  </si>
  <si>
    <t>2024-03-20 08:42:34</t>
  </si>
  <si>
    <t>Sahi baat hai Mera bhi kha gai 200 rupay aur pan card bhi nahi ban Raha hai chor company</t>
  </si>
  <si>
    <t>2024-03-20 07:13:34</t>
  </si>
  <si>
    <t>@naaryanyt01</t>
  </si>
  <si>
    <t>Me bihar, West Champaran,  bagaha,  se hu yaha ka distributor ka number kaise milega</t>
  </si>
  <si>
    <t>2024-03-20 07:05:42</t>
  </si>
  <si>
    <t>2024-03-19</t>
  </si>
  <si>
    <t>@rajkumar2011raj</t>
  </si>
  <si>
    <t>1 pen kard ka kya charge lagega</t>
  </si>
  <si>
    <t>2024-03-19 22:00:00</t>
  </si>
  <si>
    <t>All bc Team write as a feedback or suggestion to NPCI OR PM SUGGESTION portal  for limit increase for one mobile number se dmt 7/8 lk transfer hona chiye in one month or AEPS 40000 pm hona chiye or 6 time transaction limit hona chiye. Plz write on govt portal. I already written as a suggestion.
Nahin to bahut bada problem hoga har BC walo ko, buisness close korna porega. So plz write to npci.</t>
  </si>
  <si>
    <t>2024-03-19 20:39:52</t>
  </si>
  <si>
    <t>SPICE MONEY 9685600784
arstupavar72@gmail.com</t>
  </si>
  <si>
    <t>2024-03-19 19:39:32</t>
  </si>
  <si>
    <t>Mera UPI cash withdrawal me wallet ka option nahi aa raha hai</t>
  </si>
  <si>
    <t>2024-03-19 19:21:50</t>
  </si>
  <si>
    <t>Sir I'd kitna lagata hai</t>
  </si>
  <si>
    <t>2024-03-19 19:02:15</t>
  </si>
  <si>
    <t>Happy Loan ka suvidha nhi hai ?</t>
  </si>
  <si>
    <t>2024-03-19 18:49:53</t>
  </si>
  <si>
    <t>SPICE MONEY don't give me excuse</t>
  </si>
  <si>
    <t>2024-03-19 17:58:04</t>
  </si>
  <si>
    <t>Shahid Raza  WELCOME TO MYRECHARGE</t>
  </si>
  <si>
    <t>2024-03-19 17:54:11</t>
  </si>
  <si>
    <t>Meri I'd me inactive terminal error ka problem aa raha hai costumer care pe mail bhi Kiya 2 din kah kah ke kuch nahi hua</t>
  </si>
  <si>
    <t>2024-03-19 17:37:01</t>
  </si>
  <si>
    <t>9610843273 ravishankarjoshi1938@gmail.com</t>
  </si>
  <si>
    <t>2024-03-19 17:07:21</t>
  </si>
  <si>
    <t>SPICE MONEY kuch hi der pehle hi grahak sewa adhikari se bat ki hai</t>
  </si>
  <si>
    <t>2024-03-19 17:06:25</t>
  </si>
  <si>
    <t>2024-03-19 17:04:39</t>
  </si>
  <si>
    <t>2024-03-19 17:04:03</t>
  </si>
  <si>
    <t>Mera UPI cash withdrawal m wallet ka option nhi aa rha h sattlement m</t>
  </si>
  <si>
    <t>2024-03-19 17:02:23</t>
  </si>
  <si>
    <t>Cpv update nahi ho Raha hai sir iske liye me sellace menager distributer sabhi se sampark kar chuka hu lekin koi bhi meri help nahi kar raha hai bataye kya kare ise service nahi chalegi sir aapke distributer sales manager koi bhi kam karne ko utsuk nahi hai ese logo bharti kar rakha jo aapki company ka name kharab kar rahe hai sir please sir cpv update karaye 2 maha purv se complent kar raha hu 455336</t>
  </si>
  <si>
    <t>2024-03-19 16:44:13</t>
  </si>
  <si>
    <t>2024-03-19 16:40:02</t>
  </si>
  <si>
    <t>2024-03-19 16:39:18</t>
  </si>
  <si>
    <t>2024-03-19 16:38:53</t>
  </si>
  <si>
    <t>2024-03-19 16:38:17</t>
  </si>
  <si>
    <t>2024-03-19 16:36:58</t>
  </si>
  <si>
    <t>2024-03-19 16:35:42</t>
  </si>
  <si>
    <t>@Mohit_5355 Dear Sir, Greetings! Our customer care officer will get in touch with you shortly. Regards, Team Spice Money</t>
  </si>
  <si>
    <t>2024-03-19 16:32:20</t>
  </si>
  <si>
    <t>Thanks</t>
  </si>
  <si>
    <t>2024-03-19 16:32:12</t>
  </si>
  <si>
    <t>Dear sir, Greetings! Aapke sujhaav ke liye dhanyavaad, humne ise note kar liya hai. Regards,Team Spice Money</t>
  </si>
  <si>
    <t>2024-03-19 16:30:39</t>
  </si>
  <si>
    <t>2024-03-19 16:26:16</t>
  </si>
  <si>
    <t>2024-03-19 16:18:26</t>
  </si>
  <si>
    <t>@Mohit_5355 @SpiceMoneyIndia @Spicemoneysales @RnfiServices @FinoPaymntsBank @NPCI_NPCI Hi Mohit, thank you for sharing this concern with us. We would like an opportunity to talk and investigate your feedback further. Kindly share with us your concern and your registered mobile no. here: https://t.co/5BjbPnALSa we'll get back to you as soon as possible.
Thanks.</t>
  </si>
  <si>
    <t>2024-03-19 13:04:58</t>
  </si>
  <si>
    <t>स्पाइस मनी अकेडमी पर आप पाते हैं सभी प्रोडक्ट्स से जुड़े अपडेट्स, नए प्रोडक्ट्स की ट्रेनिंग आदि,जिनकी मदद से आप बढ़ा सकते हैं अपना व्यापार!
#SpiceMoney #SpiceMoneyAdhikari #AdhikariTraining #InternationalWomensDay #SubscribeNow #BestCommissionNetwork
स्पाइस मनी अकेडमी पर आप पाते हैं सभी प्रोडक्ट्स से जुड़े अपडेट्स, नए प्रोडक्ट्स की ट्रेनिंग आदि,जिनकी मदद से आप बढ़ा सकते हैं अपना व्यापार!
#SpiceMoney #SpiceMoneyAdhikari #AdhikariTraining #InternationalWomensDay #SubscribeNow #BestCommissionNetwork</t>
  </si>
  <si>
    <t>2024-03-19 11:54:26</t>
  </si>
  <si>
    <t>@SpiceMoneyIndia @SpiceMoneyIndia स्पाइस मनी का संजय दंडोतिया फ्रॉड अधिकारी है स्पाइस में केवल संजय दंडोतिया की चलती है वह चाहे गलत करे सब उसके कारन डरते है अधिकारी जी @FINTECHCircle @fintechfrank @FinTech</t>
  </si>
  <si>
    <t>2024-03-19 10:01:07</t>
  </si>
  <si>
    <t>Iris ka option add kare</t>
  </si>
  <si>
    <t>2024-03-19 09:59:16</t>
  </si>
  <si>
    <t>Not authorised
Invalid QR likh raha hai</t>
  </si>
  <si>
    <t>2024-03-19 09:05:21</t>
  </si>
  <si>
    <t>Employee Behaviour Issue @SpiceMoneyIndia @Spicemoneysales @RnfiServices @PayNearby @FinoPaymntsBank @NPCI_NPCI https://t.co/IasKg1Bd1c</t>
  </si>
  <si>
    <t>2024-03-19 07:21:40</t>
  </si>
  <si>
    <t>Complaint</t>
  </si>
  <si>
    <t>No commission spice money company 😭😭😭</t>
  </si>
  <si>
    <t>2024-03-19 06:15:37</t>
  </si>
  <si>
    <t>Mukesh Sahoo call for distributer</t>
  </si>
  <si>
    <t>2024-03-19 00:37:13</t>
  </si>
  <si>
    <t>2024-03-18</t>
  </si>
  <si>
    <t>NPCI AEPS BMD NEW UPDATE SPICE MONEY PAYNEARBY RAPI PAY FINO PAYMENT SBI CSP</t>
  </si>
  <si>
    <t>2024-03-18 23:48:16</t>
  </si>
  <si>
    <t>Cheater my money debited from my wallet and no one cannot help me,</t>
  </si>
  <si>
    <t>2024-03-18 23:46:12</t>
  </si>
  <si>
    <t>Bekar ho gayi ab ye company. Daily bahut charges katne lage.</t>
  </si>
  <si>
    <t>2024-03-18 22:16:56</t>
  </si>
  <si>
    <t>@smartvideo1730</t>
  </si>
  <si>
    <t>Meri ID mein bhi hai problem a rahi hai</t>
  </si>
  <si>
    <t>2024-03-18 21:53:27</t>
  </si>
  <si>
    <t>DMT Nahin ho raha hai mera</t>
  </si>
  <si>
    <t>2024-03-18 21:25:23</t>
  </si>
  <si>
    <t>Mere dmet bandh hogaya hai</t>
  </si>
  <si>
    <t>2024-03-18 20:18:39</t>
  </si>
  <si>
    <t>DMT nhi kr pa rha hu. Please help me...</t>
  </si>
  <si>
    <t>2024-03-18 19:15:29</t>
  </si>
  <si>
    <t>2024-03-18 16:53:11</t>
  </si>
  <si>
    <t>2024-03-18 16:51:06</t>
  </si>
  <si>
    <t>@UP44100682 Dear Sir, Greetings! Our customer care officer will get in touch with you shortly. Regards, Team Spice Money</t>
  </si>
  <si>
    <t>2024-03-18 16:50:22</t>
  </si>
  <si>
    <t>Service ke maamle me best company
But Commission is not good</t>
  </si>
  <si>
    <t>2024-03-18 16:27:00</t>
  </si>
  <si>
    <t>2024-03-18 16:22:32</t>
  </si>
  <si>
    <t>Id</t>
  </si>
  <si>
    <t>2024-03-18 15:58:28</t>
  </si>
  <si>
    <t>स्पाइस मनी DMT द्वारा पूरी सुरक्षा के साथ इंस्टेंटली अपने ग्राहकों का मनी ट्रांसफ़र करें और कमाएं आकर्षक कमीशन!
#SpiceMoney #SpiceMoneyTohLifeBani #SpiceMoneyGuarantee
#RuralFintech #DMT #MainAdhikariKhudHoonGuarantee https://t.co/SOYzbV9Ebx</t>
  </si>
  <si>
    <t>2024-03-18 15:56:21</t>
  </si>
  <si>
    <t>स्पाइस मनी DMT द्वारा पूरी सुरक्षा के साथ इंस्टेंटली अपने ग्राहकों का मनी ट्रांसफ़र करें और कमाएं आकर्षक कमीशन!
#SpiceMoney #SpiceMoneyTohLifeBani #SpiceMoneyGuarantee
#RuralFintech #DMT #MainAdhikariKhudHoonGuarantee
स्पाइस मनी DMT द्वारा पूरी सुरक्षा के साथ इंस्टेंटली अपने ग्राहकों का मनी ट्रांसफ़र करें और कमाएं आकर्षक कमीशन!
#SpiceMoney #SpiceMoneyTohLifeBani #SpiceMoneyGuarantee
#RuralFintech #DMT #MainAdhikariKhudHoonGuarantee</t>
  </si>
  <si>
    <t>2024-03-18 15:55:26</t>
  </si>
  <si>
    <t>2024-03-18 14:31:39</t>
  </si>
  <si>
    <t>@prasenjitpaul7654</t>
  </si>
  <si>
    <t>Email mai pan card aane mai kitne time lage ga</t>
  </si>
  <si>
    <t>2024-03-18 12:19:11</t>
  </si>
  <si>
    <t>@AMayankTiwari Dear Sir, Greetings! We would like to inform you that your concern regarding new id request , you can contact us on our official customer care number 0120-3645622 Regards, Team Spice Money</t>
  </si>
  <si>
    <t>2024-03-18 11:35:51</t>
  </si>
  <si>
    <t>@SpiceMoneyIndia Mera I'd sdl636173 mian forget password kr rha hu otp bhi aata hain but manually nhi le rha OTP or na automatically le rha plzz help to change password.
9794313680</t>
  </si>
  <si>
    <t>2024-03-18 11:07:04</t>
  </si>
  <si>
    <t>AEPS Banking New Update: 1 अप्रैल से बदल जायेंगे Aeps के 7 नियम | Spice money &amp;amp; Paynearby</t>
  </si>
  <si>
    <t>2024-03-18 09:27:12</t>
  </si>
  <si>
    <t>@user-bj4tx6xr1c</t>
  </si>
  <si>
    <t>bank of baroda ka payment nhi nikal raha hai</t>
  </si>
  <si>
    <t>2024-03-18 09:25:59</t>
  </si>
  <si>
    <t>2024-03-17</t>
  </si>
  <si>
    <t>npci रोज नए नए नियम बनाते जा रही और ग्राहकों का अंगूठा एक महीने में 1 बार ही लग रहा है 
कितना गन्दा मजाक रिटेलर भाइयो के साथ हो रहा आर्यावर्त बैंक बैंक ऑफ़ इंडिया यूनिअन बैंक जिनका अंगूठा केवल एक बार ही महीने लग रहा</t>
  </si>
  <si>
    <t>2024-03-17 21:38:50</t>
  </si>
  <si>
    <t>Please! Sir, I want to make I'd 
Aeps and miniAtm
Mobile-7629969141
gmail- tongchangyamadan@gmail.com</t>
  </si>
  <si>
    <t>2024-03-17 20:05:48</t>
  </si>
  <si>
    <t>Mobile-7629969141
gmail- tongchangyamadan@gmail.com</t>
  </si>
  <si>
    <t>2024-03-17 17:50:58</t>
  </si>
  <si>
    <t>2024-03-17 17:17:35</t>
  </si>
  <si>
    <t>@ArunRj94484632 प्रिय महोदय, नमस्कार! सराहना के लिए हम आपको धन्यवाद देते हैं। सादर, टीम स्पाइस मनी</t>
  </si>
  <si>
    <t>2024-03-17 17:17:02</t>
  </si>
  <si>
    <t>2024-03-17 16:43:17</t>
  </si>
  <si>
    <t>2024-03-17 16:20:52</t>
  </si>
  <si>
    <t>ArunRj94484632</t>
  </si>
  <si>
    <t>Arun Rj</t>
  </si>
  <si>
    <t>@SpiceMoneyIndia Spice money अधिकारियों को धन्यवाद मेरे समस्या का समाधान करने के लिए, मुझे इमेल पर भी जवाब देने के लिए धन्यवाद।
और spice money अधिकारियों ने मुझे फोन किया और समस्या सुन कर उसका समाधान किया। मुझसे बात करने के लिए धन्यवाद।
 Thanks Spice Money</t>
  </si>
  <si>
    <t>2024-03-17 16:12:20</t>
  </si>
  <si>
    <t>@MdSec63 Dear Sir, Greetings! We are trying to contact you but you are not answering . Please share your contact details and suitable times. Regards, Team Spice Money</t>
  </si>
  <si>
    <t>2024-03-17 16:07:33</t>
  </si>
  <si>
    <t>एक दिन में एक से अधिक बार निकसी में प्रेसानी हो रही है जो पहले से ज्यादा प्रेसानी उत्पन्न कर रही है</t>
  </si>
  <si>
    <t>2024-03-17 15:59:03</t>
  </si>
  <si>
    <t>2024-03-17 15:50:14</t>
  </si>
  <si>
    <t>@Sachinpatel952 Dear Sir, Namaskar! Aapse Batchit ke anusar SPP plan activation ke  baare me hamari taraf se aapko jankari share kar di gayi hai. Adhik jankari ke liye aap hamare official customer care number 0120-3645645 par bhi sampark kar sakte hain. Regards, Team Spice Money</t>
  </si>
  <si>
    <t>2024-03-17 15:48:56</t>
  </si>
  <si>
    <t>@ae3095fccc0c483 Dear Sir, Greetings! As per discussed with you your concern  regarding Id suspension, information  shared from our end .If you have any query,you can also contact us on our official customer care number 0120-3645645 Regards, Team Spice Money</t>
  </si>
  <si>
    <t>2024-03-17 15:28:38</t>
  </si>
  <si>
    <t>@ArunRj94484632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</si>
  <si>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2024-03-17 15:20:11</t>
  </si>
  <si>
    <t>2024-03-17 14:57:51</t>
  </si>
  <si>
    <t>Dear Sir, Namaskar! Aapse request hai ki please apna Mobile number &amp; email id hume inbox me share karein, hamari customer care team aapse jald hi sampark karegi. Aap hamare official customer care number 0120-3645645 par bhi sampark kar sakte hain. Regards, Team Spice Money</t>
  </si>
  <si>
    <t>2024-03-17 14:42:40</t>
  </si>
  <si>
    <t>2024-03-17 14:39:26</t>
  </si>
  <si>
    <t>2024-03-17 14:36:32</t>
  </si>
  <si>
    <t>Fraud company hai Instant pan ka subscription kharidwa kar service band kar diya</t>
  </si>
  <si>
    <t>2024-03-17 13:44:02</t>
  </si>
  <si>
    <t>SPICE MONEY Mera LPG ka Gas Booking Mai inta bar fasa hai app ko r Kay bolu isliye r korta Nehi hi bekar hai</t>
  </si>
  <si>
    <t>2024-03-17 13:30:06</t>
  </si>
  <si>
    <t>@HamdKhan4 Dear Sir, Greetings! As per discussed with you your concern related banner and poster issue, concern forwarded to concern team, our team working on it. Regards, Team Spice Money</t>
  </si>
  <si>
    <t>2024-03-17 12:58:41</t>
  </si>
  <si>
    <t>@SachinKumar-fc7wq</t>
  </si>
  <si>
    <t>Sipce chal nahi Rahi</t>
  </si>
  <si>
    <t>2024-03-17 12:36:51</t>
  </si>
  <si>
    <t>Kamlesh70896931</t>
  </si>
  <si>
    <t>Kamlesh Mahto</t>
  </si>
  <si>
    <t>@SpiceMoneyIndia My I'd sdl797459 Dear spice money team abhi tak
 hamara problem solve nahin hua hai err ka samasya solve kab tak hoga https://t.co/bzpygr3ztO</t>
  </si>
  <si>
    <t>2024-03-17 12:36:43</t>
  </si>
  <si>
    <t>Chal</t>
  </si>
  <si>
    <t>2024-03-17 12:29:55</t>
  </si>
  <si>
    <t>Dear Sir, Greetings! As per discussed with you your concern related retailor mapping on your distributor id. issue forwarded to concern team, our team working on it. Regards, Team Spice Money</t>
  </si>
  <si>
    <t>2024-03-17 12:06:51</t>
  </si>
  <si>
    <t>Meri to id nhi chal rhi na koi response de rha</t>
  </si>
  <si>
    <t>2024-03-17 11:42:24</t>
  </si>
  <si>
    <t>Sir brkgb ke paise nhi nikalte h</t>
  </si>
  <si>
    <t>2024-03-17 11:22:54</t>
  </si>
  <si>
    <t>@Rajput_Sandeep_vlogs</t>
  </si>
  <si>
    <t>Adhikari id procces</t>
  </si>
  <si>
    <t>2024-03-17 10:46:57</t>
  </si>
  <si>
    <t>2024-03-17 10:06:40</t>
  </si>
  <si>
    <t>tarikanowar786</t>
  </si>
  <si>
    <t>Tarik Anowar gazi</t>
  </si>
  <si>
    <t>@SpiceMoneyIndia also call me 9593884464</t>
  </si>
  <si>
    <t>2024-03-17 10:01:47</t>
  </si>
  <si>
    <t>Basirhat, india</t>
  </si>
  <si>
    <t>@tarikanowar786 Dear Sir, Greetings! Our customer care officer will get in touch with you shortly. Regards, Team Spice Money</t>
  </si>
  <si>
    <t>2024-03-17 09:47:24</t>
  </si>
  <si>
    <t>Dear Sir, Greetings! Aapko batana chahenge ki jo hi niyam banaya jata hai, wo aapki suraksha ko dhyan me rakhkar banaya jata hai jisse ki aap kisi bhi fraud ka shikaar na ho. Regards Team Spice Money.</t>
  </si>
  <si>
    <t>2024-03-17 09:45:25</t>
  </si>
  <si>
    <t>@SpiceMoneyIndia +919735545164</t>
  </si>
  <si>
    <t>2024-03-17 09:20:50</t>
  </si>
  <si>
    <t>@tarikanowar786 Dear Sir, Greetings! Please share your email id and mobile number in inbox .we'll reach out to you to resolve all your concerns.Regards, Team Spice Money</t>
  </si>
  <si>
    <t>2024-03-17 09:04:21</t>
  </si>
  <si>
    <t>@sharwanlukkad प्रिय महोदय, नमस्कार! हमारे ग्राहक सेवा अधिकारी जल्द ही आपसे संपर्क करेंगे। सादर, टीम स्पाइस मनी</t>
  </si>
  <si>
    <t>2024-03-17 08:41:55</t>
  </si>
  <si>
    <t>karthik92</t>
  </si>
  <si>
    <t>k.karthik</t>
  </si>
  <si>
    <t>@SpiceMoneyIndia @PayNearby @SpiceMoneyIndia @RnfiServices @VidcomS @rapipay @airtelbank@FinoPaymntsBank @roinetsol Jitendra Singh Kushwah Bhind - ss460615 अब तक 2 लाख के लगभग का हुआ लोस्स (Loss – घ|टा ) 2साल में स्पाइस मनी ने नहीं की कोई सहायता 40 मेल कर चुका हूँ कई वॉर वॉट्सप ट्वीट भी किया है</t>
  </si>
  <si>
    <t>2024-03-17 00:50:23</t>
  </si>
  <si>
    <t>Jangareddigudem</t>
  </si>
  <si>
    <t>2024-03-16</t>
  </si>
  <si>
    <t>SPICE MONEY उससे सर क्या होगा कौन सा आप मुझे 5 रूपये कमीसन बढ़ा के दे दोगे बाकी aeps और मनी ट्रान्सफर से संतुस्ट हु रीचार्ज और बिल पेमेंट के हाथ जोड़ता हु</t>
  </si>
  <si>
    <t>2024-03-16 21:12:31</t>
  </si>
  <si>
    <t>Aadhar pay se maximum 2500/- Rupees hi nikal sakte h jo ki customer ke hisab se hmlog Paisa nhi de pate h kindly please limit ko badhane ki kripa kre ..</t>
  </si>
  <si>
    <t>2024-03-16 20:38:25</t>
  </si>
  <si>
    <t>Brkgb ke paise nhi nikalte h kya karu</t>
  </si>
  <si>
    <t>2024-03-16 18:40:28</t>
  </si>
  <si>
    <t>@SpiceMoneyIndia Dear Spice money Unable to withdraw money by matm for Rbl Bank Debit card But Rbl card is working on paynearby it is from 5 days ago . please fix it. https://t.co/h9Ew9pMLFL</t>
  </si>
  <si>
    <t>2024-03-16 18:19:48</t>
  </si>
  <si>
    <t>@SpiceMoneyIndia मेरा नाम श्रवण कुमार है मैरी स्पाइस मनी id sdl955537 हैं मैने 29 फ़रवरी को DMT किया था और मेरे वॉलेट से पैसा भी कट गए थे मुझे रेसिप्ट भी मिल गई थी परन्तु पैसा  ग्राहक के खाते में जमा नहीं हुआ जब मेने कस्टमर केयर वाले मेरी समस्या का समाधान नहीं करते हैं</t>
  </si>
  <si>
    <t>2024-03-16 18:05:58</t>
  </si>
  <si>
    <t>JuniorThro52210</t>
  </si>
  <si>
    <t>junior throat</t>
  </si>
  <si>
    <t>@SpiceMoneyIndia @Kamlesh70896931 https://t.co/TQGKtFiJWR 
  Quoted Tweet : @TAlbin84771 : Я вже давно не вірю в ці всі обіцянки. Час показує, що обіцяти - не значить виконати. https://t.co/Floqiw7su8 https://t.co/QydNxLdz3N</t>
  </si>
  <si>
    <t>2024-03-16 16:59:00</t>
  </si>
  <si>
    <t>BuyReveal21277</t>
  </si>
  <si>
    <t>reveal buy</t>
  </si>
  <si>
    <t>@SpiceMoneyIndia @Kamlesh70896931 Здається, для Зеленського корупція та зловживання - це норма, як для справжнього москаля. https://t.co/mGJQOr9Ixo</t>
  </si>
  <si>
    <t>2024-03-16 16:58:58</t>
  </si>
  <si>
    <t>FBreast56866</t>
  </si>
  <si>
    <t>flavor breast</t>
  </si>
  <si>
    <t>@SpiceMoneyIndia @Kamlesh70896931 https://t.co/tTalTnz3sB 
  Quoted Tweet : @tylisha93428 : Якщо ми все-таки виберемося з цієї ситуації, то це буде справжнім чудом. https://t.co/DJDby2Mvki https://t.co/x1jjrkL5M2</t>
  </si>
  <si>
    <t>2024-03-16 16:58:57</t>
  </si>
  <si>
    <t>@Kamlesh70896931 Dear Sir, Greetings! Our customer care officer will get in touch with you shortly. Regards, Team Spice Money</t>
  </si>
  <si>
    <t>2024-03-16 16:54:27</t>
  </si>
  <si>
    <t>I ❤️ you spice</t>
  </si>
  <si>
    <t>2024-03-16 16:42:42</t>
  </si>
  <si>
    <t>2024-03-16 16:28:14</t>
  </si>
  <si>
    <t>2024-03-16 16:27:12</t>
  </si>
  <si>
    <t>@SpiceMoneyIndia My id sdl797459
Dear spice money team
 daily security pass to use Adhaar based services ERR invalid terminal
Kyun aa raha hai https://t.co/9hczYfYKGW</t>
  </si>
  <si>
    <t>2024-03-16 16:23:29</t>
  </si>
  <si>
    <t>अब स्पाइस मनी प्लेटफार्म द्वारा डबल सिक्योरिटी के साथ AePS और आधार पे ट्रांसेक्शन करें I
पूरी जानकारी के लिए वीडियो लिंक https://youtu.be/fN1bfPBTgpI?feature=shared पर क्लिक करें।
#SpiceMoney #SpiceMoneyTohLifeBani
#RuralFintech
#AePS #AadhaarPay
#MainAdhikariKhudHoonGuarantee</t>
  </si>
  <si>
    <t>2024-03-16 14:36:21</t>
  </si>
  <si>
    <t>अब स्पाइस मनी प्लेटफार्म द्वारा डबल सिक्योरिटी के साथ AePS और आधार पे ट्रांसेक्शन करें I
पूरी जानकारी के लिए वीडियो लिंक https://t.co/yIzKbPa6RS पर क्लिक करें।
#SpiceMoney #SpiceMoneyTohLifeBani
#RuralFintech
#AePS #AadhaarPay
#MainAdhikariKhudHoonGuarantee https://t.co/H9CBLZcP4g</t>
  </si>
  <si>
    <t>2024-03-16 14:34:24</t>
  </si>
  <si>
    <t>Kya spice Money me transaction multiple hote hai ya 10,20,...ho jate hai.</t>
  </si>
  <si>
    <t>2024-03-16 14:24:41</t>
  </si>
  <si>
    <t>2024-03-16 14:04:34</t>
  </si>
  <si>
    <t>Dear Sir, Greetings! Aapse request hai ki Distributor change karane ke liye aap hume hamare official customer case email customercare@spicemoney.com par sampark karein. Regards, Team Spice Money</t>
  </si>
  <si>
    <t>2024-03-16 14:03:46</t>
  </si>
  <si>
    <t>2024-03-16 14:00:23</t>
  </si>
  <si>
    <t>2024-03-16 13:59:53</t>
  </si>
  <si>
    <t>BBPS bekar hai spice money ka</t>
  </si>
  <si>
    <t>2024-03-16 11:38:47</t>
  </si>
  <si>
    <t>2024-03-16 11:34:38</t>
  </si>
  <si>
    <t>Distributor change karvana hai</t>
  </si>
  <si>
    <t>2024-03-16 11:34:10</t>
  </si>
  <si>
    <t>9413414712    devsharma4712@gmail.com</t>
  </si>
  <si>
    <t>2024-03-16 11:28:19</t>
  </si>
  <si>
    <t>Dear Sir, Namaskar! Aapko batana chahenge ki aap forgot password option par click karke new password create kar sakate hain. Adhik jankari ke liye aap hamare official customer care number 0120-3645645 par bhi sampark kar sakte hain. Regards, Team Spice Money</t>
  </si>
  <si>
    <t>2024-03-16 10:22:27</t>
  </si>
  <si>
    <t>Dear sir, Greetings! Aapke sujhaav ke liye dhanyavaad, humne ise note kar liya hai.Regards, Team Spice Money</t>
  </si>
  <si>
    <t>2024-03-16 10:12:57</t>
  </si>
  <si>
    <t>2024-03-16 09:46:15</t>
  </si>
  <si>
    <t>SPICE MONEY thanks</t>
  </si>
  <si>
    <t>2024-03-16 09:26:35</t>
  </si>
  <si>
    <t>2024-03-16 09:23:53</t>
  </si>
  <si>
    <t>2024-03-16 09:20:37</t>
  </si>
  <si>
    <t>2024-03-16 09:19:44</t>
  </si>
  <si>
    <t>Call me</t>
  </si>
  <si>
    <t>2024-03-16 09:19:17</t>
  </si>
  <si>
    <t>2024-03-16 09:18:16</t>
  </si>
  <si>
    <t>2024-03-16 09:17:20</t>
  </si>
  <si>
    <t>2024-03-16 09:16:23</t>
  </si>
  <si>
    <t>2024-03-16 09:14:03</t>
  </si>
  <si>
    <t>2024-03-16 09:12:48</t>
  </si>
  <si>
    <t>2024-03-16 09:12:01</t>
  </si>
  <si>
    <t>2024-03-16 09:11:02</t>
  </si>
  <si>
    <t>2024-03-16 09:10:15</t>
  </si>
  <si>
    <t>@Shadab_tw Dear Sir, Greetings! Our customer care officer will get in touch with you shortly. Regards, Team Spice Money</t>
  </si>
  <si>
    <t>2024-03-16 09:09:19</t>
  </si>
  <si>
    <t>Dear Sir, Namaskar! Aapko batana chahenge ki is concern ke regarding aapke area ke sales person se aap sampark kar sakte hain. Regards, Team Spice Money</t>
  </si>
  <si>
    <t>2024-03-16 09:05:09</t>
  </si>
  <si>
    <t>@ARMANMANDEY357</t>
  </si>
  <si>
    <t>@@SpiceMoneyOfficial kal distributer aaye 300 rupye leke kyc kiye ab waha likh raha agent not activet</t>
  </si>
  <si>
    <t>2024-03-16 08:59:36</t>
  </si>
  <si>
    <t>2024-03-16 08:59:28</t>
  </si>
  <si>
    <t>2024-03-16 08:56:01</t>
  </si>
  <si>
    <t>2024-03-16 08:49:59</t>
  </si>
  <si>
    <t>2024-03-16 08:45:58</t>
  </si>
  <si>
    <t>@imdeb76 Dear Sir, Greetings! Please share your email id and mobile number in inbox .we'll reach out to you to resolve all your concerns.Regards, Team Spice Money</t>
  </si>
  <si>
    <t>2024-03-16 08:18:03</t>
  </si>
  <si>
    <t>Recharge service baht bekar h spice ka
Paisa fas jata h</t>
  </si>
  <si>
    <t>2024-03-16 07:56:11</t>
  </si>
  <si>
    <t>2024-03-16 07:50:31</t>
  </si>
  <si>
    <t>New I'd chahiye</t>
  </si>
  <si>
    <t>2024-03-16 07:50:25</t>
  </si>
  <si>
    <t>@sachinvlogs8821</t>
  </si>
  <si>
    <t>Sir mere me pan service activate nahi hua hai</t>
  </si>
  <si>
    <t>2024-03-16 07:05:59</t>
  </si>
  <si>
    <t>2024-03-15</t>
  </si>
  <si>
    <t>SS522863 CODE BLOCK OR SUSPENDED... ADVICE LAST 1 MONTHS TRY OR MAIL TO GUJARAT STATE TEAM</t>
  </si>
  <si>
    <t>2024-03-15 21:09:54</t>
  </si>
  <si>
    <t>imdeb76</t>
  </si>
  <si>
    <t>Debabrata Ghosh</t>
  </si>
  <si>
    <t>@bankofbaroda Dear Sir, because of a mistake the money supposed to be sent to a Baroda Uttar Pradesh Grameen bank account holder went to another account holder, please help. @SpiceMoneyIndia</t>
  </si>
  <si>
    <t>2024-03-15 18:53:56</t>
  </si>
  <si>
    <t>Sambalpur</t>
  </si>
  <si>
    <t>Spice money Fraud Company he</t>
  </si>
  <si>
    <t>2024-03-15 17:58:58</t>
  </si>
  <si>
    <t>Jiten Sindhu fake Company he</t>
  </si>
  <si>
    <t>2024-03-15 17:58:30</t>
  </si>
  <si>
    <t>Hmm BB. 😯 😯 B kk lbyv. 
.</t>
  </si>
  <si>
    <t>2024-03-15 17:32:35</t>
  </si>
  <si>
    <t>Err invalid terminal mere app me aarhaa likh k</t>
  </si>
  <si>
    <t>2024-03-15 16:11:11</t>
  </si>
  <si>
    <t>कमीसन देते हो 200 रूपये पर 1 रु0 और तमसा दुनिया भर का सोसल मीडिया पर करते हो अगर रिचार्ज पेंडिंग में चला जाये तो ग्राहक सर खाता है अब 1 रूपये के पीछे दुनिया भर का झंझट क्यों पाले रिटेलर 
इससे अच्छा सेतु पे से रिचार्ज करो 239 का 9 रूपये मिलते है</t>
  </si>
  <si>
    <t>2024-03-15 15:41:00</t>
  </si>
  <si>
    <t>@jitendra261988 @SpiceMoneyIndia @RnfiServices @VidcomS @rapipay @roinetsol Hi Jitendra, thanks for the positive feedback. We're excited that you love our app. Your support is invaluable. If you have suggestions or areas for improvement, do share. For updates, join our Telegram Channel linked on our FB profile.
Thank you</t>
  </si>
  <si>
    <t>2024-03-15 15:32:54</t>
  </si>
  <si>
    <t>Mujhe v chhiye</t>
  </si>
  <si>
    <t>2024-03-15 14:31:10</t>
  </si>
  <si>
    <t>स्पाइस मनी अधिकारी, आपके ग्राहकों को रिचार्ज करने के साथ-साथ उनके संपर्क में और जुड़े रहने में मदद करें।
#SpiceMoney #SpiceMoneyTohLifeBani #SpiceMoneyGuarantee
#RuralFintech #BBPS #Recharge #MainAdhikariKhudHoonGuarantee
स्पाइस मनी अधिकारी, आपके ग्राहकों को रिचार्ज करने के साथ-साथ उनके संपर्क में और जुड़े रहने में मदद करें।
#SpiceMoney #SpiceMoneyTohLifeBani #SpiceMoneyGuarantee
#RuralFintech #BBPS #Recharge #MainAdhikariKhudHoonGuarantee</t>
  </si>
  <si>
    <t>2024-03-15 13:08:20</t>
  </si>
  <si>
    <t>SPICE MONEY  no solution my problem</t>
  </si>
  <si>
    <t>2024-03-15 12:57:53</t>
  </si>
  <si>
    <t>SPICE MONEY  agar aapke pass 50 member hai to 50 email daliye NPCI OR PM suggestion por to ismein unko yah lagega ki log is kam ke liye request kar rahe hain.
Maine bhi already apna suggestion written ki hai, har BC ka yah demand hai ki ek mobile number se minimum 7 se 8 lakh transfer kiya jaaye. OR AEPS 50000 TAK KI JAYE OR LIMIT V BARANA CHIYE. PLEASE RIGHT KIJIYE, ISSE WORK AJ NAHI THO KL HOGA.</t>
  </si>
  <si>
    <t>2024-03-15 12:24:13</t>
  </si>
  <si>
    <t>@PayNearby @SpiceMoneyIndia @RnfiServices @VidcomS @rapipay @roinetsol @PayNearBy All Servises Good PayNearBy *******</t>
  </si>
  <si>
    <t>2024-03-15 12:00:57</t>
  </si>
  <si>
    <t>@jitendra261988 @SpiceMoneyIndia @RnfiServices @VidcomS @rapipay @roinetsol नमस्कार Jitendra जी, जैसा कि कॉल पर चर्चा हुई, आपको PayNearby के संबंध में कोई समस्या नहीं है और आप हमारी सेवा से खुश हैं। आप हमारी सेवा से प्रस्सन है, तो कृपया Google Playstore पर समीक्षा के साथ अपना सकारात्मक अनुभव साझा करें। 
धन्यवाद।</t>
  </si>
  <si>
    <t>2024-03-15 11:44:26</t>
  </si>
  <si>
    <t>2024-03-15 11:32:42</t>
  </si>
  <si>
    <t>2024-03-15 11:10:04</t>
  </si>
  <si>
    <t>@SpiceMoneyIndia Jitendra Singh Kushwah Bhind - ss460615 अब तक 2 लाख के लगभग का हुआ लोस्स (Loss – घ|टा ) 2साल में स्पाइस मनी ने नहीं की कोई सहायता 40 मेल कर चुका हूँ कई वॉर वॉट्सप ट्वीट भी किया है</t>
  </si>
  <si>
    <t>2024-03-15 11:08:17</t>
  </si>
  <si>
    <t>Fixed Deposit suvidha ab Axis Bank Account ke sath!</t>
  </si>
  <si>
    <t>2024-03-15 11:06:31</t>
  </si>
  <si>
    <t>@SpiceMoneyIndia #SpiceMoney #SpiceMoneyAdhikari #AdhikariTraining #InternationalWomensDay📷 #SubscribeNow #BestCommissionNetwork https://t.co/80ChKUcPYB
स्पाइस मनी का संजय दंडोतिया फ्रॉड अधिकारी है स्पाइस में केवल संजय दंडोतिया की चलती है वह चाहे गलत करे या चोरी करे सब उसके कारन डरते है अधिकारी https://t.co/hL0Jwg9Y8B</t>
  </si>
  <si>
    <t>2024-03-15 10:31:20</t>
  </si>
  <si>
    <t>@Jpchaudhary786</t>
  </si>
  <si>
    <t>Hamne I'd ka password 1 din me bhul gya.. to wo dabara change hoga kya</t>
  </si>
  <si>
    <t>2024-03-15 09:30:58</t>
  </si>
  <si>
    <t>@guptaediting172</t>
  </si>
  <si>
    <t>nice</t>
  </si>
  <si>
    <t>2024-03-15 08:33:39</t>
  </si>
  <si>
    <t>Spice Mani ka Id chaia tha</t>
  </si>
  <si>
    <t>2024-03-15 07:21:37</t>
  </si>
  <si>
    <t>मैम,स्पाइस मनी में जो अधिकारी cash कलेक्शन का काम करता है। उसके लिए कोई बीमा नहीं है यदि उसके साथ कोई घटना होती है तो कंपनी उसके लिए क्या करती है। अधिकारी के लिए बीमा सुविधा होनी चाहिए।
Mo no 9219129646</t>
  </si>
  <si>
    <t>2024-03-15 00:17:11</t>
  </si>
  <si>
    <t>2024-03-14</t>
  </si>
  <si>
    <t>Meri id deactivate krdi or daily ye mail dalo vo mail dalo krna kuch nhi paise b fasge mere</t>
  </si>
  <si>
    <t>2024-03-14 23:16:19</t>
  </si>
  <si>
    <t>Anuj Modanwal  khatam samjo ye line ab Fintech industry finished</t>
  </si>
  <si>
    <t>2024-03-14 22:37:52</t>
  </si>
  <si>
    <t>Ramroop Rajoriya nhi hoga</t>
  </si>
  <si>
    <t>2024-03-14 20:52:10</t>
  </si>
  <si>
    <t>@gokulkushwahaji8797</t>
  </si>
  <si>
    <t>Jese koi ata hai costumes account band krbana chahta hai to ho jayega or DBT hat jayegi</t>
  </si>
  <si>
    <t>2024-03-14 20:49:53</t>
  </si>
  <si>
    <t>Shadab_tw</t>
  </si>
  <si>
    <t>SHADAB 🇮🇳</t>
  </si>
  <si>
    <t>@SpiceMoneyIndia @RBI Dear team, 
Monthly charge of 199 is being charged on my spice money id. I don't need this subscription, Kindly deactivate the plan and stop deducting any amount from my account, also refund the same.
If plan can't be deactivated and refunded.
SDL143739</t>
  </si>
  <si>
    <t>2024-03-14 19:52:59</t>
  </si>
  <si>
    <t>Hardoi, india</t>
  </si>
  <si>
    <t>Brkgb ke paise nahi nikalte h kya karu</t>
  </si>
  <si>
    <t>2024-03-14 19:49:27</t>
  </si>
  <si>
    <t>@educationrajuclasses503</t>
  </si>
  <si>
    <t>Mera ek aur request hai ki spice money ka t shirt sabhee adhikari ko Diya Jaye taki hum dukan par t-shirt pahankar dukaan per baith sake naam ke sath t shirt</t>
  </si>
  <si>
    <t>2024-03-14 18:38:40</t>
  </si>
  <si>
    <t>2024-03-14 17:58:07</t>
  </si>
  <si>
    <t>@SevaAmar24947 Dear Sir, Greetings! As per discussed with you your concern  regarding Account opening option, information  shared from our end .If you have any query,you can also contact us on our official customer care number 0120-3645645 Regards, Team Spice Money</t>
  </si>
  <si>
    <t>2024-03-14 17:54:26</t>
  </si>
  <si>
    <t>@KapilIndurkahya प्रिय महोदय, नमस्कार! हमारे तरफ से YBL ekyc के संबंध में आपको जानकारी साझा कर दी गई है।अधिक जानकारी के लिए आप हमारे आधिकारिक ग्राहक सेवा नंबर 0120-3645645 पर भी संपर्क कर सकते हैं सादर, टीम स्पाइस मनी</t>
  </si>
  <si>
    <t>2024-03-14 17:48:16</t>
  </si>
  <si>
    <t>प्रिय महोदय, नमस्कार! आपसे निवेदन है कि आप अपना concern हमारे official mail customercare@spicemoney.com पर share करें.सादर, टीम स्पाइस मनी</t>
  </si>
  <si>
    <t>2024-03-14 17:27:49</t>
  </si>
  <si>
    <t>2024-03-14 17:21:08</t>
  </si>
  <si>
    <t>Dear Sir, Greetings! Spice Money ki taraf se aapke paas verification ke liye ya fir id password share karne ke liye koi bhi call nahi jati hai ,aapse requst hai ki kripya aisi kisi bhi link  par click na kare aur na hi apni details share karein ,otherwise aap fraud ke shikaar ho sakte hain, Regards, Team Spice Money</t>
  </si>
  <si>
    <t>2024-03-14 17:20:17</t>
  </si>
  <si>
    <t>2024-03-14 17:09:25</t>
  </si>
  <si>
    <t>प्रिय महोदय, नमस्कार! आपको बताना चाहेंगे कि NPCI की तरफ से जो नियम बनाया जाता है, वो आपकी सुरक्षा को ध्यान में रख कर बनाया जाता है ताकि आप किसी भी  fraud का शिकार न हों।सादर, टीम स्पाइस मनी</t>
  </si>
  <si>
    <t>2024-03-14 17:09:03</t>
  </si>
  <si>
    <t>मैम,स्पाइस मनी में जो अधिकारी cash कलेक्शन का काम करता है। उसके लिए कोई बीमा नहीं है यदि उसके साथ कोई घटना होती है तो कंपनी उसके लिए क्या करती है। अधिकारी के लिए बीमा सुविधा होनी चाहिए।</t>
  </si>
  <si>
    <t>2024-03-14 16:44:03</t>
  </si>
  <si>
    <t>Bhai AEPS ke future ke liye plz aap log kuch kijiye warna sare retailers barbad ho jaayenge plz sir</t>
  </si>
  <si>
    <t>2024-03-14 16:41:30</t>
  </si>
  <si>
    <t>@sanjaysingh-zq6ql</t>
  </si>
  <si>
    <t>फरोड़ हो रहा कंपनी के नाम पर बेकार है वे सब</t>
  </si>
  <si>
    <t>2024-03-14 16:39:09</t>
  </si>
  <si>
    <t>2024-03-14 16:13:48</t>
  </si>
  <si>
    <t>@rdshortyt</t>
  </si>
  <si>
    <t>bhai log koi bhi spice money mat lo bhai Ae log frod karta hai lutne wall compni hai koi mat lo sab mila huwa rahta hai isme frod call bahut Aata hai       mera id me multiple invalid password Type kar diya tha mene to kisi ko id diya hi nhi to multiple password kaise Type ho Gaya KOi BHi ID Mat Lo Bhai nhi TO pachtao ge</t>
  </si>
  <si>
    <t>2024-03-14 15:21:21</t>
  </si>
  <si>
    <t>@excelhinditips Dear Sir, Greetings!  As per discussed with you your concern related transaction issue in Uttarakhand grameen bank, information shared from our end.If you have any query,you can also contact us on our official customer care number 0120-3645645. Regards, Team Spice Money</t>
  </si>
  <si>
    <t>2024-03-14 11:38:53</t>
  </si>
  <si>
    <t>@AMayankTiwari Dear Sir, Greetings! Our customer care officer will get in touch with you shortly. Regards, Team Spice Money</t>
  </si>
  <si>
    <t>2024-03-14 10:28:42</t>
  </si>
  <si>
    <t>2024-03-14 10:28:08</t>
  </si>
  <si>
    <t>@gouravsharma6674</t>
  </si>
  <si>
    <t>Kitne din ke under bhejne hote h physical dacument</t>
  </si>
  <si>
    <t>2024-03-14 10:08:08</t>
  </si>
  <si>
    <t>@user-dg4xk8xb7z</t>
  </si>
  <si>
    <t>Jai Shree ram❤</t>
  </si>
  <si>
    <t>2024-03-14 09:53:21</t>
  </si>
  <si>
    <t>NPCI SBI AEPS GOOD NEWS || Spice Money Paynearby Rapi pay Fino Payment bank</t>
  </si>
  <si>
    <t>2024-03-14 00:09:32</t>
  </si>
  <si>
    <t>2024-03-13</t>
  </si>
  <si>
    <t>मैम,स्पाइस मनी में जो अधिकारी cash कलेक्शन का काम करता है। उसके लिए कोई बीमा नहीं है यदि उसके साथ कोई घटना होती है तो कंपनी उसके लिए क्या करती है। अधिकारी के लिए बीमा सुविधा होनी चाहिए।
Mo no 8863003500</t>
  </si>
  <si>
    <t>2024-03-13 22:27:41</t>
  </si>
  <si>
    <t>Sir mujhe spice money ki id chahiye help me🙏</t>
  </si>
  <si>
    <t>2024-03-13 21:57:13</t>
  </si>
  <si>
    <t>B Pangan</t>
  </si>
  <si>
    <t>npci aeps new update 2024 me | sbi, Bank of Baroda, spice money | aeps new update 2024 today news</t>
  </si>
  <si>
    <t>2024-03-13 21:45:59</t>
  </si>
  <si>
    <t>AMayankTiwari</t>
  </si>
  <si>
    <t>Mayank Tiwari</t>
  </si>
  <si>
    <t>@SpiceMoneyIndia I can't message you in your inbox because I don't have a verified account, so I am mentioning my email ID and mobile number below. 
 Email id- utsavmayank1930@gmail.com
Mobile no- 8009964949</t>
  </si>
  <si>
    <t>2024-03-13 17:35:09</t>
  </si>
  <si>
    <t>Ayodhya, india</t>
  </si>
  <si>
    <t>@AMayankTiwari Dear Sir, Greetings! Please share your email id and mobile number in inbox .we'll reach out to you to resolve all your concerns.Regards, Team Spice Money</t>
  </si>
  <si>
    <t>2024-03-13 17:30:17</t>
  </si>
  <si>
    <t>sir i want to join spice money
When I talk to the nearest distributor/agent since last 2 months, he says ok sir, will come tomorrow.
But till now no agent has come to my shop.
please connect me with spice money🙏
@SpiceMoneyIndia 
@SonuSood</t>
  </si>
  <si>
    <t>2024-03-13 17:20:09</t>
  </si>
  <si>
    <t>Sir i want to join spice money
When I talk to the nearest distributor/agent since last 2 months, he says ok sir, will come tomorrow.
But till now no agent has come to my shop.
please connect me with spice money
@SpiceMoneyIndia 
@sonu</t>
  </si>
  <si>
    <t>2024-03-13 17:16:39</t>
  </si>
  <si>
    <t>Dear Sir, Greetings!  We would like to inform you that without Aadhar card you can not apply for PAN card. If you have any query, you can also contact us on our official customer care number 0120-3645645 Regards, Team Spice Money</t>
  </si>
  <si>
    <t>2024-03-13 17:14:05</t>
  </si>
  <si>
    <t>Dear Sir, Namaskar!Aapko batana chahenge ki Spice Money me abhi morpho L1 device supported nahi hai. In future, agar ye device supported hoti hai to aapko aapke sales person ki taraf se jankari share kar di jayegi. Adhik jankari ke liye aap hamare official customer care number 0120-3645645 par bhi sampark kar sakte hain. Regards, Team Spice Money</t>
  </si>
  <si>
    <t>2024-03-13 17:04:00</t>
  </si>
  <si>
    <t>Ravi Prakash Saini sahi baat h</t>
  </si>
  <si>
    <t>2024-03-13 17:01:26</t>
  </si>
  <si>
    <t>@samyaduvanshi2 Dear Sir, Greetings! Our customer care officer will get in touch with you shortly. Regards, Team Spice Money</t>
  </si>
  <si>
    <t>2024-03-13 17:01:04</t>
  </si>
  <si>
    <t>@MdSec63 Dear Sir, Greetings! Our customer care officer will get in touch with you shortly. Regards, Team Spice Money</t>
  </si>
  <si>
    <t>2024-03-13 16:58:46</t>
  </si>
  <si>
    <t>2024-03-13 16:58:16</t>
  </si>
  <si>
    <t>@Mdsajidyaara Dear Sir, Greetings! Hope you are good .If you have any issue related to our service let us know. Regards, Team Spice Money</t>
  </si>
  <si>
    <t>2024-03-13 16:57:41</t>
  </si>
  <si>
    <t>@ArunRj94484632 प्रिय महोदय, नमस्कार! हमारे ग्राहक सेवा अधिकारी जल्द ही आपसे संपर्क करेंगे। सादर, टीम स्पाइस मनी</t>
  </si>
  <si>
    <t>2024-03-13 16:57:13</t>
  </si>
  <si>
    <t>@sujoy232428 Dear Sir, Greetings! As per discussed with you your concern  regarding Account opening option, information  shared from our end .If you have any query,you can also contact us on our official customer care number 0120-3645645 Regards, Team Spice Money</t>
  </si>
  <si>
    <t>2024-03-13 16:56:05</t>
  </si>
  <si>
    <t>@ArbajAlam0786 @Arbaj956518  Dear Sir, Namaskar! Aapse Batchit ke anusar Address updation ke baare me hamari taraf se aapko jankari share kar di gayi hai. Adhik jankari ke liye aap hamare official customer care number 0120-3645645 par bhi sampark kar sakte hain. Regards, Team Spice Money</t>
  </si>
  <si>
    <t>2024-03-13 16:39:42</t>
  </si>
  <si>
    <t>@DangilBabu Dear Sir, Greetings! We are trying to contact you but you are not answering . Please share your contact details and suitable times. Regards, Team Spice Money</t>
  </si>
  <si>
    <t>2024-03-13 16:24:34</t>
  </si>
  <si>
    <t>@habiburrahman1937</t>
  </si>
  <si>
    <t>Can i apply for a pan card without aadhar card</t>
  </si>
  <si>
    <t>2024-03-13 14:11:01</t>
  </si>
  <si>
    <t>@SpiceMoneyIndia My email I'd saddam.sksk937@gmail.com
Mob 7541843351
 Sdl56797</t>
  </si>
  <si>
    <t>2024-03-13 14:08:52</t>
  </si>
  <si>
    <t>मैम,स्पाइस मनी में जो अधिकारी cash कलेक्शन का काम करता है। उसके लिए कोई बीमा नहीं है यदि उसके साथ कोई घटना होती है तो कंपनी उसके लिए क्या करती है। अधिकारी के लिए बीमा सुविधा होनी चाहिए।
Mo no 9587910787</t>
  </si>
  <si>
    <t>2024-03-13 13:25:43</t>
  </si>
  <si>
    <t>Mdsajidyaara</t>
  </si>
  <si>
    <t>Md Sajid Yaara0786</t>
  </si>
  <si>
    <t>@SpiceMoneyIndia  please</t>
  </si>
  <si>
    <t>2024-03-13 11:29:11</t>
  </si>
  <si>
    <t>Rehanal15694703</t>
  </si>
  <si>
    <t>Rehan ali🏹</t>
  </si>
  <si>
    <t>Dear @SonuSood sir you are brand ambassador of @SpiceMoneyIndia I am working in Karnataka team as distributor promoter after working for 1 month I got salary Rs 1019 if I ask anyone I am getting reason I am getting reason u didn't work properly now don't know how to manage</t>
  </si>
  <si>
    <t>2024-03-13 11:01:57</t>
  </si>
  <si>
    <t>@SpiceMoneyIndia @IamDilipModi @SonuSood dear sir your Karnataka state head is not releasing my salary I am working as distributor promoter
After working for 40days no proper salary received
Not able to pay my emi,no money left to buy household daily needs</t>
  </si>
  <si>
    <t>2024-03-13 11:01:47</t>
  </si>
  <si>
    <t>Bokaro spice money manager name :- Vivek Kumar,
Mob no:- 9199212223,
सर कृप्या करके खाता जल्द से जल्द चालु करवा दे।
Reference no :- 2024031101376
@NSDL_Depository @nsdlpb https://t.co/cO2cg5WWNc</t>
  </si>
  <si>
    <t>2024-03-13 10:33:31</t>
  </si>
  <si>
    <t>@SpiceMoneyIndia #SPICEMONEY spice not saport https://t.co/f4laNRcWbe</t>
  </si>
  <si>
    <t>2024-03-13 10:00:00</t>
  </si>
  <si>
    <t>@SpiceMoneyIndia 9719168952 anytime</t>
  </si>
  <si>
    <t>2024-03-13 09:42:01</t>
  </si>
  <si>
    <t>@NitishK3665381 Dear Sir, Greetings! We are trying to contact you but your number is not contactable. Please share your contact details and suitable times. Regards, Team Spice Money</t>
  </si>
  <si>
    <t>2024-03-13 09:34:11</t>
  </si>
  <si>
    <t>@samyaduvanshi2 Dear Sir, Greetings!  We would like to inform you that we’re unable to found you contact details. Please share your mobile number and suitable times. Regards, Team Spice Money</t>
  </si>
  <si>
    <t>2024-03-13 09:29:19</t>
  </si>
  <si>
    <t>@Rehanal15694703 Dear Sir, Greetings! Go to Twitter and search spicemoneyofficial in the message box, select it, type your message and send it. You can also contact us on our official customer care number 0120-3645645 Regards, Team Spice Money</t>
  </si>
  <si>
    <t>2024-03-13 09:27:23</t>
  </si>
  <si>
    <t>@SpiceMoneyIndia Kindly contact on my mail mukhiyanms@gmail.com</t>
  </si>
  <si>
    <t>2024-03-13 09:12:55</t>
  </si>
  <si>
    <t>@samyaduvanshi2 Dear Sir, Greetings! Please share your email id and mobile number in inbox .we'll reach out to you to resolve all your concerns.Regards, Team Spice Money</t>
  </si>
  <si>
    <t>2024-03-13 08:58:10</t>
  </si>
  <si>
    <t>2024-03-13 03:15:43</t>
  </si>
  <si>
    <t>2024-03-12</t>
  </si>
  <si>
    <t>@SpiceMoneyIndia Your agent asking for money for new id</t>
  </si>
  <si>
    <t>2024-03-12 23:20:47</t>
  </si>
  <si>
    <t>@SpiceMoneyIndia Otherwise please provide state or dist manager number details like mail id or phone no</t>
  </si>
  <si>
    <t>2024-03-12 23:20:07</t>
  </si>
  <si>
    <t>@SpiceMoneyIndia I didn't get any response from your number
Kindly issue New id</t>
  </si>
  <si>
    <t>2024-03-12 23:18:52</t>
  </si>
  <si>
    <t>@SpiceMoneyIndia @RBI @NPCI_NPCI     Is Number se mere ko msg Aaya Or Mere Ko Bola Me Spice Money se Bol Raha hu Or Otp Bhi Mang raha tha Plz chq And Action This Type Contact https://t.co/o2zq2brYlH</t>
  </si>
  <si>
    <t>2024-03-12 21:57:26</t>
  </si>
  <si>
    <t>@SpiceMoneyIndia Kab Tkk Kroge Contact</t>
  </si>
  <si>
    <t>2024-03-12 21:44:54</t>
  </si>
  <si>
    <t>Sachinpatel952</t>
  </si>
  <si>
    <t>Sachin patel</t>
  </si>
  <si>
    <t>@SpiceMoneyIndia Koi fayda nahi sir esse to. Aacha reply nhi dete @SpiceMoneyIndia</t>
  </si>
  <si>
    <t>2024-03-12 21:14:39</t>
  </si>
  <si>
    <t>HamdKhan4</t>
  </si>
  <si>
    <t>Hamd Khan</t>
  </si>
  <si>
    <t>@SpiceMoneyIndia No one contacted yet ,still waiting resolution from your side.</t>
  </si>
  <si>
    <t>2024-03-12 20:59:08</t>
  </si>
  <si>
    <t xml:space="preserve">India </t>
  </si>
  <si>
    <t>@goutamgd85</t>
  </si>
  <si>
    <t>Spice money main morpho L1 Divice kab active hoga please reply</t>
  </si>
  <si>
    <t>2024-03-12 20:37:28</t>
  </si>
  <si>
    <t>❤❤❤❤❤❤❤❤❤❤</t>
  </si>
  <si>
    <t>2024-03-12 19:44:47</t>
  </si>
  <si>
    <t>मेरी आईडी भी चालू कर दिया जाय मेरा नम्बर बन्द हो गया है कोई सुनवाई नहीं हो रही है</t>
  </si>
  <si>
    <t>2024-03-12 18:37:39</t>
  </si>
  <si>
    <t>@SpiceMoneyIndia Not able to send in inbox</t>
  </si>
  <si>
    <t>2024-03-12 18:20:15</t>
  </si>
  <si>
    <t>SPICE MONEY Ok I will send inbox</t>
  </si>
  <si>
    <t>2024-03-12 17:14:10</t>
  </si>
  <si>
    <t>2024-03-12 16:36:11</t>
  </si>
  <si>
    <t>Dear Sir, Namaskar! Aapko batana chahenge ki Instant PAN service me abhi thumb impression option available nahi hai.Adhik jankari ke liye aap hamare official customer care number 0120-3645645 par bhi sampark kar sakte hain. Regards, Team Spice Money</t>
  </si>
  <si>
    <t>2024-03-12 16:31:59</t>
  </si>
  <si>
    <t>2024-03-12 16:22:57</t>
  </si>
  <si>
    <t>@MdSec63 Dear Sir, Greetings! Please share your email id and mobile number in inbox .we'll reach out to you to resolve all your concerns.Regards, Team Spice Money</t>
  </si>
  <si>
    <t>2024-03-12 15:29:25</t>
  </si>
  <si>
    <t>2024-03-12 15:24:11</t>
  </si>
  <si>
    <t>@Rehanal15694703 Dear Sir, Greetings! Please share your email id and mobile number in inbox .we'll reach out to you to resolve all your concerns.Regards, Team Spice Money</t>
  </si>
  <si>
    <t>2024-03-12 15:23:40</t>
  </si>
  <si>
    <t>@mr.sunilmeena1490</t>
  </si>
  <si>
    <t>Gjb amma ji 🙏🙏🙏</t>
  </si>
  <si>
    <t>2024-03-12 15:22:14</t>
  </si>
  <si>
    <t>I love you spice money</t>
  </si>
  <si>
    <t>2024-03-12 13:49:47</t>
  </si>
  <si>
    <t>Nice ❤❤❤❤❤❤</t>
  </si>
  <si>
    <t>2024-03-12 13:43:13</t>
  </si>
  <si>
    <t>Sabse Jyada froad Spice Money hi kar rahi hai</t>
  </si>
  <si>
    <t>2024-03-12 13:09:04</t>
  </si>
  <si>
    <t>वीणा की तरह फ्रॉड से बचे और स्पाइस मनी का सही तरीके से उपयोग करें I 
पूरा वीडियो देखने के लिए https://youtube.com/shorts/mywlDWI77_k?feature=share लिंक पर क्लिक करें।
#KamaalKiCharcha</t>
  </si>
  <si>
    <t>2024-03-12 13:07:07</t>
  </si>
  <si>
    <t>#KamaalKiCharcha Veena Amma humko Fraud se bachne ke tareeke bata rahi hai!</t>
  </si>
  <si>
    <t>2024-03-12 13:03:30</t>
  </si>
  <si>
    <t>2024-03-12 13:01:07</t>
  </si>
  <si>
    <t>Dear Sir, Namaskar! Aapse Batchit ke anusar AEPS cash deposit option ke  baare me hamari taraf se aapko jankari share kar di gayi hai. Adhik jankari ke liye aap hamare official customer care number 0120-3645645 par bhi sampark kar sakte hain. Regards, Team Spice Money</t>
  </si>
  <si>
    <t>2024-03-12 12:46:30</t>
  </si>
  <si>
    <t>@sargupta5138</t>
  </si>
  <si>
    <t>UPI MONEY TRANSFER kab ayega account number se aab money transfer nhi ho raha hai aab customer UPI MONEY TRANSFER ke liye aata hai mobile number se money transfer aur QR CODE SCAN se money transfer ke customer jyeda aate hai</t>
  </si>
  <si>
    <t>2024-03-12 12:30:20</t>
  </si>
  <si>
    <t>@SpiceMoneyIndia 
I need no dues certificate of spice money, I will close your merchant.</t>
  </si>
  <si>
    <t>2024-03-12 12:26:16</t>
  </si>
  <si>
    <t>2024-03-12 11:50:53</t>
  </si>
  <si>
    <t>2024-03-12 11:30:06</t>
  </si>
  <si>
    <t>प्रिय महोदय, नमस्कार!आप अपने concern के लिए customercare@spicemoney.com पर भी संपर्क कर सकते हैं ।सादर, टीम स्पाइस मनी</t>
  </si>
  <si>
    <t>2024-03-12 11:29:22</t>
  </si>
  <si>
    <t>@ae3095fccc0c483 Dear Sir, Greetings! Hamare grahak sewa adhikari aapse jald hi sampark karenge. Regards, Team Spice Money</t>
  </si>
  <si>
    <t>2024-03-12 09:49:58</t>
  </si>
  <si>
    <t>2024-03-12 09:49:11</t>
  </si>
  <si>
    <t>2024-03-12 09:35:01</t>
  </si>
  <si>
    <t>2024-03-12 09:32:40</t>
  </si>
  <si>
    <t>@gauramaizilabudaun5150</t>
  </si>
  <si>
    <t>Sir mai Adhikari hun kisi bhi bank ke paise withdrawal nahi ho rahe balance check hota hai sabhi ka</t>
  </si>
  <si>
    <t>2024-03-12 09:07:58</t>
  </si>
  <si>
    <t>@dksahu3590</t>
  </si>
  <si>
    <t>Video upload nahi jo rha hai 24 hours se tera kar rha hu..</t>
  </si>
  <si>
    <t>2024-03-12 06:54:29</t>
  </si>
  <si>
    <t>2024-03-12 06:53:56</t>
  </si>
  <si>
    <t>2024-03-12 06:53:01</t>
  </si>
  <si>
    <t>2024-03-11</t>
  </si>
  <si>
    <t>@kunduservice3864</t>
  </si>
  <si>
    <t>signature ke badle agar koi Thum impression lagana chahe (Illiterate person) to kaise kare ? pls bataiye.</t>
  </si>
  <si>
    <t>2024-03-11 23:13:27</t>
  </si>
  <si>
    <t>@SpiceMoneyIndia कोई सहयोग नहीं है
मेहनत करे हम मजे ले स्पाइसमनी के कर्मचारी ss460615 https://t.co/MvAy9NHeH7</t>
  </si>
  <si>
    <t>2024-03-11 19:39:47</t>
  </si>
  <si>
    <t>@SpiceMoneyIndia frod company hai spice money kabhi bhi id band kr deta hai bina kisi vjah</t>
  </si>
  <si>
    <t>2024-03-11 19:16:50</t>
  </si>
  <si>
    <t>ख़ास नारी अधिकारियों के लिए!
जुड़े रहें, जुटे रहें क्योंकि स्पाइस मनी अकेडमी आपके लिए है, आपको सिखाकर, अपडेटेड रखते हुए आपको आगे बढ़ाने के लिए!
#SpiceMoney #SpiceMoneyAdhikari #AdhikariTraining #InternationalWomensDay #SubscribeNow #BestCommissionNetwork https://t.co/CwlW4oOY7m</t>
  </si>
  <si>
    <t>2024-03-11 18:34:51</t>
  </si>
  <si>
    <t>Kaliram Sonare Distributor Se Baat Kariye</t>
  </si>
  <si>
    <t>2024-03-11 18:31:25</t>
  </si>
  <si>
    <t>Kaliram Sonare distubutar se sampark karo</t>
  </si>
  <si>
    <t>2024-03-11 18:18:56</t>
  </si>
  <si>
    <t>We're delighted to reveal @Kuldippawar, CMO, @SpiceMoneyIndia, as one of our distinguished speakers at #ETiStreamCongress! 
Don't miss this opportunity!
Link: https://t.co/kGt8czT1o9
#StreamingRevolution #FutureOfStreaming #OTTInsights #ETiStream #AudioStreaming #Influencer https://t.co/zx7GXhVqYL</t>
  </si>
  <si>
    <t>2024-03-11 18:16:12</t>
  </si>
  <si>
    <t>@prakashchand8780</t>
  </si>
  <si>
    <t>VERI good</t>
  </si>
  <si>
    <t>2024-03-11 17:30:01</t>
  </si>
  <si>
    <t>Dear sir my spice I'd main AEPS CASH DEPOSIT OPTION SHOW NHI HO RAHA</t>
  </si>
  <si>
    <t>2024-03-11 16:52:31</t>
  </si>
  <si>
    <t>प्रिय महोदय, नमस्कार! हमारे तरफ से  CPV  के संबंध में आपको जानकारी साझा कर दी गई है।आपसे अनुरोध है कि आवश्यक दस्तावेज़ हमें customercare@spicemoney.com पर साझा करें। हमारी टीम की तरफ से आपका concern raise कर दिया जायेगा।अधिक जानकारी के लिए आप हमारे आधिकारिक ग्राहक सेवा नंबर 0120-3645645 पर भी संपर्क कर सकते हैं सादर, टीम स्पाइस मनी</t>
  </si>
  <si>
    <t>2024-03-11 16:32:35</t>
  </si>
  <si>
    <t>2024-03-11 16:02:31</t>
  </si>
  <si>
    <t>2024-03-11 15:46:52</t>
  </si>
  <si>
    <t>@SpiceMoneyIndia 4 baje</t>
  </si>
  <si>
    <t>2024-03-11 15:43:53</t>
  </si>
  <si>
    <t>@SpiceMoneyIndia 9571762727</t>
  </si>
  <si>
    <t>2024-03-11 15:43:25</t>
  </si>
  <si>
    <t>@ae3095fccc0c483 Dear Sir, Greetings! We are trying to contact you but your number is not contactable. Please share your contact details and suitable times. Regards, Team Spice Money</t>
  </si>
  <si>
    <t>2024-03-11 15:40:35</t>
  </si>
  <si>
    <t>MANOJMNGD</t>
  </si>
  <si>
    <t>MANOJ KUMAR SAHU</t>
  </si>
  <si>
    <t>@CyberGujarat 
@sprayagada 
@nsitharaman
@PMOIndia 
@RBI
@UnionBankTweets
Dear sir/ madam
 i am manoj kumar sahu doing sales and service of mobile and accessories products with distributors of airtel payment bank, Spice Money Ltd and paynearby Technologies Ltd. at muniguda,odisha</t>
  </si>
  <si>
    <t>2024-03-11 15:38:47</t>
  </si>
  <si>
    <t>Muniguda,odisha,india</t>
  </si>
  <si>
    <t>2024-03-11 14:55:24</t>
  </si>
  <si>
    <t>Mera photo &amp; live upload nahi ho rha h</t>
  </si>
  <si>
    <t>2024-03-11 13:59:10</t>
  </si>
  <si>
    <t>AguilarDer44675</t>
  </si>
  <si>
    <t>Derrick Aguilar</t>
  </si>
  <si>
    <t>@SpiceMoneyIndia Heyo. i think u like this , :D https://t.co/QoY5kIbq87 
  Quoted Tweet : @hodoo313 : 🚨🤑I made ~12 ETH last month!🤑🚨
HOW: 🔗https://t.co/oyc2eQ2WRG
It works great for me and it's my biggest source of income right now.✅
I've been using it for 2 months now.
It's the best i've seen so far♥️
Literally a gamechanger!💎
#mev #eth https://t.co/ND3Ryqf1MV</t>
  </si>
  <si>
    <t>2024-03-11 13:15:22</t>
  </si>
  <si>
    <t xml:space="preserve">Las vagas
</t>
  </si>
  <si>
    <t>इंटरनेशनल विमेंस डे पर स्पाइस मनी बैंकिंग अम्मा के नाम से मशहूर वीणा अम्मा जैसी महिलाओं को प्रणाम एवं देश की दिशा व दशा बदलने में अपना महान योगदान देने के लिए धन्यवाद करता है।
#InternationalWomenDay #InspiringInclusion #SpiceMoneyGuarantee #SpiceMoney https://t.co/jAVw9bu28v</t>
  </si>
  <si>
    <t>2024-03-11 13:15:18</t>
  </si>
  <si>
    <t>सर मेने मेरी वाइफ के नाम से आईडी बनाई है उसका लिमिट खत्म हो गया है जिसके लिए cpv अपडेट करना है कोई भी हेल्प नहीं कर रहा है सर प्लीज हेल्प कीजिए सर 455336</t>
  </si>
  <si>
    <t>2024-03-11 13:06:15</t>
  </si>
  <si>
    <t>ख़ास नारी अधिकारियों के लिए!
जुड़े रहें, जुटे रहें क्योंकि स्पाइस मनी अकेडमी आपके लिए है, आपको सिखाकर, अपडेटेड रखते हुए आपको आगे बढ़ाने के लिए!
#SpiceMoney #SpiceMoneyAdhikari #AdhikariTraining #InternationalWomensDay #SubscribeNow #BestCommissionNetwork
ख़ास नारी अधिकारियों के लिए!
जुड़े रहें, जुटे रहें क्योंकि स्पाइस मनी अकेडमी आपके लिए है, आपको सिखाकर, अपडेटेड रखते हुए आपको आगे बढ़ाने के लिए!
#SpiceMoney #SpiceMoneyAdhikari #AdhikariTraining #InternationalWomensDay #SubscribeNow #BestCommissionNetwork</t>
  </si>
  <si>
    <t>2024-03-11 12:53:57</t>
  </si>
  <si>
    <t>@atozinonetv.5136</t>
  </si>
  <si>
    <t>Spice money Team write as a feedback or suggestion to NPCI OR PM SUGGESTION portal behalf of BC for limit increase for one mobile number se 7/8 lk transfer hona chiye in one month or AEPS 40000 pm hona chiye or 6 time transaction limit hona chiye. Plz write on govr portal. I already written as a suggestion.</t>
  </si>
  <si>
    <t>2024-03-11 11:49:02</t>
  </si>
  <si>
    <t>@SpiceMoneyIndia Spice Money ke sabhi Retailers Se Mera Nivedan Hai Ki Aapki Spice Money ki I'd Kabhi Bhi Block ho sakti Hai Iska company ke pass koi proper reason nahi hoga or aapka payment bhi block ho jayega Jessa ki Mera hua hai 
Spice money Me Kam nahi kre</t>
  </si>
  <si>
    <t>2024-03-11 11:43:13</t>
  </si>
  <si>
    <t>@akbarkagonjharkhandA4790</t>
  </si>
  <si>
    <t>super</t>
  </si>
  <si>
    <t>2024-03-11 11:29:12</t>
  </si>
  <si>
    <t>@SpiceMoneyIndia sir abhi tkk koi call nahi aaya</t>
  </si>
  <si>
    <t>2024-03-11 11:10:01</t>
  </si>
  <si>
    <t>@SevaAmar24947 Dear Sir, Greetings! Our customer care officer will get in touch with you shortly. Regards, Team Spice Money</t>
  </si>
  <si>
    <t>2024-03-11 08:57:16</t>
  </si>
  <si>
    <t>2024-03-11 08:55:34</t>
  </si>
  <si>
    <t>SevaAmar24947</t>
  </si>
  <si>
    <t>Amar Seva Sobar Jonno</t>
  </si>
  <si>
    <t>@SpiceMoneyIndia I want account opening service in my spice money portal please help me
ID - sdl935915
I have IIBF CERTIFICATE
YBL EKYC DONE</t>
  </si>
  <si>
    <t>2024-03-11 08:55:26</t>
  </si>
  <si>
    <t>2024-03-10</t>
  </si>
  <si>
    <t>@user-vg9lr6ky3w</t>
  </si>
  <si>
    <t>Me Spice money me 4 sal se kam kar raha hu ... Service  Bahut Atcha he ..</t>
  </si>
  <si>
    <t>2024-03-10 19:30:01</t>
  </si>
  <si>
    <t>Spice many</t>
  </si>
  <si>
    <t>2024-03-10 18:52:10</t>
  </si>
  <si>
    <t>MD Ajim Ali  idi block hoi giya</t>
  </si>
  <si>
    <t>2024-03-10 18:52:02</t>
  </si>
  <si>
    <t>Distributer  banana hai mobile no **********</t>
  </si>
  <si>
    <t>2024-03-10 18:36:26</t>
  </si>
  <si>
    <t>सहरसा जिला में spice money ka distributer hai to number send ķijiye</t>
  </si>
  <si>
    <t>2024-03-10 18:34:38</t>
  </si>
  <si>
    <t>जय हो</t>
  </si>
  <si>
    <t>2024-03-10 18:32:19</t>
  </si>
  <si>
    <t>सर्विस सही नहीं है</t>
  </si>
  <si>
    <t>2024-03-10 17:22:34</t>
  </si>
  <si>
    <t>Koi sport nhi mehnat kro salo isme kam band kr dete  h company wale turant</t>
  </si>
  <si>
    <t>2024-03-10 15:55:55</t>
  </si>
  <si>
    <t>@PankajK0055 Dear Sir, Greetings! As per discussed with you your concern  regarding ID suspension, information  shared from our end .If you have any query,you can also contact us on our official customer care number 0120-3645645 Regards, Team Spice Money</t>
  </si>
  <si>
    <t>2024-03-10 15:16:16</t>
  </si>
  <si>
    <t>प्रिय महोदय, नमस्कार! हम आपको सूचित करना चाहेंगे कि हम आपका संपर्क विवरण ढूंढने में असमर्थ हैं। , कृपया अपना मोबाइल नंबर और उपयुक्त समय साझा करें। सादर, टीम स्पाइस मनी</t>
  </si>
  <si>
    <t>2024-03-10 15:11:32</t>
  </si>
  <si>
    <t>@pentyala_satish Dear Sir, Greetings! We are trying to contact you but you are not answering . Please share your contact details and suitable times. Regards, Team Spice Money</t>
  </si>
  <si>
    <t>2024-03-10 14:53:19</t>
  </si>
  <si>
    <t>@Vikramg68502516 Dear Sir, Greetings! We thank you for the appreciation.Regards, Team Spice Money</t>
  </si>
  <si>
    <t>2024-03-10 13:10:48</t>
  </si>
  <si>
    <t>@KapilIndurkahya प्रिय महोदय, नमस्कार! आपसे हुई बातचीत के अनुसार आपके concern  को आगे forward कर दिया गया है, हम आपकी concern के बारे में आपको जल्दी से जल्दी अपडेट करेंगे।सादर, टीम स्पाइस मनी</t>
  </si>
  <si>
    <t>2024-03-10 13:10:18</t>
  </si>
  <si>
    <t>2024-03-10 12:28:51</t>
  </si>
  <si>
    <t>2024-03-10 12:26:20</t>
  </si>
  <si>
    <t>Dear sir, Greetings! Aapke sujhaav ke liye dhanyavaad, humne ise note kar liya hai. Regards, Team Spice Moneyn</t>
  </si>
  <si>
    <t>2024-03-10 12:25:06</t>
  </si>
  <si>
    <t>2024-03-10 12:22:46</t>
  </si>
  <si>
    <t>2024-03-10 10:42:21</t>
  </si>
  <si>
    <t>Muje I'd chaiye par mere pass shop nhi hai me kya hone sw kaam kar sakta hu</t>
  </si>
  <si>
    <t>2024-03-10 10:42:12</t>
  </si>
  <si>
    <t>KapilIndurkahya</t>
  </si>
  <si>
    <t>kapil indurkahya</t>
  </si>
  <si>
    <t>@SpiceMoneyIndia आपके कस्टमर केयर ऑफिसर ने अभी तक कोई कॉल या संपर्क और कोई सहायता नहीं की मेरी मैं आपसे 3 साल से जुड़ा हूं। पुराने कस्टमर की कोई वैल्यू नही है क्या। समझ में नहीं आता आपके बड़े अधिकारी ट्वीट पढ़ते हैं कि नहीं ।</t>
  </si>
  <si>
    <t>2024-03-10 08:35:06</t>
  </si>
  <si>
    <t>@mstarhemanta Dear Sir, Greetings! Please share your email id and mobile number in inbox .we'll reach out to you to resolve all your concerns.Regards, Team Spice Money</t>
  </si>
  <si>
    <t>2024-03-10 08:31:07</t>
  </si>
  <si>
    <t>2024-03-10 08:29:49</t>
  </si>
  <si>
    <t>@papanbarman4745</t>
  </si>
  <si>
    <t>AEPS ABI 10% hota hai..sbi band kar diya</t>
  </si>
  <si>
    <t>2024-03-10 06:15:19</t>
  </si>
  <si>
    <t>2024-03-09</t>
  </si>
  <si>
    <t>AEPS SBI BIG ISSUE || SPICE MONEY PAYNEARBY RAPI PAY FINO PAYMENT BANK SBI</t>
  </si>
  <si>
    <t>2024-03-09 23:59:27</t>
  </si>
  <si>
    <t>Rinku Kumar Attention Attention Attention
Jitne bhi fintech company hai, like spice money paynearby, usmein dmt ki limit ek mobile number se 4/5 lk rupees hona chahie.
Aur aeps iski limit 30000 hona chahie all in one month,or five time limit hona chahie. Nahin to jitne bhi BC agent hai unki business धीरे-धीरे band Ho jaega aur isase India mein economic bahut bada problem hoga, aur UN employment generate hoga. Bekar ki sankhya badh jaenge isase India ki economic status kharab ho jaega bc bekar Ho jaenge. Aur fintech company mein upi facility Lana chahie. Taki logon Ko transaction karne mein aur aasan Ho.
Plz NPCI work on it.  
As a feedback Maine yah share ki hai npci may or suggestion bhi right ki hai PM suggestion portal por. Plz BC write NPCI OR PM SUGGESTION PORTAL. Then all bc can work normallly</t>
  </si>
  <si>
    <t>2024-03-09 23:41:24</t>
  </si>
  <si>
    <t>mstarhemanta</t>
  </si>
  <si>
    <t>Hemanta Kumar Marndi</t>
  </si>
  <si>
    <t>I registered in 4th Feb and today is 9th March, I think this type service provides @SpiceMoneyIndia , thank God I m not a part of @spicemo https://t.co/pPe8dQN3ZU</t>
  </si>
  <si>
    <t>2024-03-09 21:50:17</t>
  </si>
  <si>
    <t>Baripada</t>
  </si>
  <si>
    <t>Hindi nhi aati kyaa</t>
  </si>
  <si>
    <t>2024-03-09 20:20:38</t>
  </si>
  <si>
    <t>@DJDharmRajBanSiwal</t>
  </si>
  <si>
    <t>India's no one froud company 200 rupees kha gai pen service ka😂😂😂</t>
  </si>
  <si>
    <t>2024-03-09 20:16:22</t>
  </si>
  <si>
    <t>@thesmartindiagroupthedigit3898</t>
  </si>
  <si>
    <t>@@SpiceMoneyOfficial respectable management of spice money hamara sujhav note down karke kya hoga usmein koi fayda hi nahin hai vah to sirf aap log ka notebook mein padhaai rahega practically implement nahin hoga naya kuchh sochana padega like loan product easy way to distribute loan to customer small amount maximum 50000 minimum 20000 first time and Aisa kuchh business sochana chahie jisse customer hamare pass aane ke liye hamesha ready rahe Jaise acche se acche company ka mobile finance karke customer ko EMI se product ko purchase karne mein spice money portal se behtar se behtar suvidha mile mobile business is a recurring business today is high demand product in market everyone want to buy costly mobile in EMI not for cash as per my knowledge I request to spice money please think difference otherwise banking business are going to close as very soon wait for time</t>
  </si>
  <si>
    <t>2024-03-09 20:01:09</t>
  </si>
  <si>
    <t>Jitne bhi fintech company hai, like spice money paynearby, usmein dmt ki limit ek mobile number se 4/5 lk rupees hona chahie.
Aur aeps iski limit 30000 hona chahie all in one month,or five time limit hona chahie. Nahin to jitne bhi BC agent hai unki business धीरे-धीरे band Ho jaega aur isase India mein economic bahut bada problem hoga, aur UN employment generate hoga. Bekar ki sankhya badh jaenge isase India ki economic status kharab ho jaega bc bekar Ho jaenge. Aur fintech company mein upi facility Lana chahie. Taki logon Ko transaction karne mein aur aasan Ho.
Plz NPCI work on it.  
As a feedback Maine yah share ki hai npci may or suggestion bhi right ki hai PM suggestion portal por. Plz BC write NPCI OR PM SUGGESTION PORTAL. Then all bc can work normallly</t>
  </si>
  <si>
    <t>2024-03-09 18:15:28</t>
  </si>
  <si>
    <t>2024-03-09 18:15:12</t>
  </si>
  <si>
    <t>Very bad service,,my id is blocked from 3years,,,written many times sdl80188</t>
  </si>
  <si>
    <t>2024-03-09 18:00:04</t>
  </si>
  <si>
    <t>2024-03-09 17:21:55</t>
  </si>
  <si>
    <t>2024-03-09 17:21:01</t>
  </si>
  <si>
    <t>@HamdKhan4 Dear Sir, Greetings! We regret the inconvenience caused to you. Our customer care officer will get in touch with you shortly. Regards, Team Spice Money</t>
  </si>
  <si>
    <t>2024-03-09 17:12:08</t>
  </si>
  <si>
    <t>2024-03-09 17:11:21</t>
  </si>
  <si>
    <t>2024-03-09 17:08:51</t>
  </si>
  <si>
    <t>@ArbajAlam0786 @Arbaj956518 Dear Sir, Greetings! Hamare grahak sewa adhikari aapse jald hi sampark karenge. Regards, Team Spice Money</t>
  </si>
  <si>
    <t>2024-03-09 17:07:19</t>
  </si>
  <si>
    <t>Kya khuch nhi hoga mera @RBI @SpiceMoneyIndia @SonuSood</t>
  </si>
  <si>
    <t>2024-03-09 17:05:46</t>
  </si>
  <si>
    <t>Dear Sir, Namaskar! Aapse request hai ki  aap ek baar fir se apna Mobile number &amp; email id hume share karein, hamari official customer care team aapse jald hi sampark karegi. aap hamse hamare official customer care 0120-3645645  par bhi sampark kar sakate hain. Regards, Team Spice Money</t>
  </si>
  <si>
    <t>2024-03-09 16:57:28</t>
  </si>
  <si>
    <t>2024-03-09 16:37:38</t>
  </si>
  <si>
    <t>2024-03-09 16:35:44</t>
  </si>
  <si>
    <t>2024-03-09 16:34:58</t>
  </si>
  <si>
    <t>2024-03-09 16:33:48</t>
  </si>
  <si>
    <t>@cleavlandmingins1861</t>
  </si>
  <si>
    <t>Nice share!! If I was you I would employ SMZeus!</t>
  </si>
  <si>
    <t>2024-03-09 16:10:34</t>
  </si>
  <si>
    <t>Dear sir, Greetings! Aapke sujhaav ke liye dhanyavaad, humne ise note kar liya hai .Regards, Team Spice Money</t>
  </si>
  <si>
    <t>2024-03-09 15:42:30</t>
  </si>
  <si>
    <t>@SpiceMoneyIndia as discussed with you over the phone about not able to see the mini statement &amp;amp; balance inquiry for the uttarakhand gramin bank last 1 month . please share your input on this . https://t.co/nBqF2ZQyhd</t>
  </si>
  <si>
    <t>2024-03-09 15:40:19</t>
  </si>
  <si>
    <t>2024-03-09 15:38:07</t>
  </si>
  <si>
    <t>2024-03-09 15:37:50</t>
  </si>
  <si>
    <t>10000 Se Jad Nikale jaishe</t>
  </si>
  <si>
    <t>2024-03-09 15:31:31</t>
  </si>
  <si>
    <t>@thebijroniyoutuber</t>
  </si>
  <si>
    <t>@@SpiceMoneyOfficial Mobile No Email Kaha bhejuu</t>
  </si>
  <si>
    <t>2024-03-09 15:02:32</t>
  </si>
  <si>
    <t>2024-03-09 14:35:27</t>
  </si>
  <si>
    <t>2024-03-09 14:34:55</t>
  </si>
  <si>
    <t>2024-03-09 14:31:58</t>
  </si>
  <si>
    <t>2024-03-09 14:27:29</t>
  </si>
  <si>
    <t>@nirajsen3260</t>
  </si>
  <si>
    <t>@@SpiceMoneyOfficial Sir Aapko 4 Time Mobile Number id de diya But  aapka Call Nahi Ata hai</t>
  </si>
  <si>
    <t>2024-03-09 14:27:24</t>
  </si>
  <si>
    <t>2024-03-09 14:26:57</t>
  </si>
  <si>
    <t>@@SpiceMoneyOfficial kaha par Share karen apna mobile number aur email id ?</t>
  </si>
  <si>
    <t>2024-03-09 14:24:53</t>
  </si>
  <si>
    <t>2024-03-09 14:22:19</t>
  </si>
  <si>
    <t>2024-03-09 14:13:58</t>
  </si>
  <si>
    <t>2024-03-09 14:13:11</t>
  </si>
  <si>
    <t>2024-03-09 14:11:57</t>
  </si>
  <si>
    <t>@Sunil.Singh.Chauhan</t>
  </si>
  <si>
    <t>Aeps ki to what lagadi NPCI ne</t>
  </si>
  <si>
    <t>2024-03-09 11:12:06</t>
  </si>
  <si>
    <t>2024-03-09 10:15:31</t>
  </si>
  <si>
    <t>2024-03-09 08:29:14</t>
  </si>
  <si>
    <t>2024-03-09 08:27:40</t>
  </si>
  <si>
    <t>@pradeepkumar-ep3wc</t>
  </si>
  <si>
    <t>Congratulations 💐💐💐💐</t>
  </si>
  <si>
    <t>2024-03-09 08:15:40</t>
  </si>
  <si>
    <t>2024-03-09 07:06:08</t>
  </si>
  <si>
    <t>भाई स्पाइस मनी की आईडी कोई भूल कर भी मत लेना यह बहुत खराब कंपनी है मैं 2020 से इस कंपनी के साथ जोड़कर कम कर रहा था लेकिन पिछले साल अगस्त के महीने में ऑटोमेटिक 12:00 बजे दिन में मेरा आईडी लॉग आउट कर दिया गया और मैंने कस्टमर केयर को कॉल भी की और जीमेल भी किया लेकिन अभी 6 महीना हो चुका है मेरे आईडी को चालू नहीं कर रहे हैं मैं कंपनी से रीजन पूछता हूं की मेरी आईडी को क्यों बंद किया गया तो कोई जवाब नहीं देता है भाई जब तक ईद में काम बैलेंस रखोगे तब तक आईडी काम करेगा जैसे ही आईडी में ज्यादा बैलेंस एक बार आया ईद ऑटोमेटिक ब्लॉक कर दिया जाएगा अब सोचो तुम की ₹2 कमाने के चक्कर में कंपनी ने तुम्हारी आईडी को ब्लॉक कर दिया और उसे आईडी में तुम्हारा कितना पैसा फस गया जिसे तुम निकल नहीं सकते इसीलिए मेरी सलाह है के कोई दूसरे कंपनी की आईडी ले लो लेकिन भूल कर भी स्पाइस मनी की आईडी मत लेना नहीं तो मेरे तरह तुम्हें भी परेशान होना पड़ेगा धन्यवाद</t>
  </si>
  <si>
    <t>2024-03-09 06:33:04</t>
  </si>
  <si>
    <t>भाई यह बेकार आईडी है कोई भी इस आईडी को यूज मत करना मेरा पिछले साल अगस्त महीने में आईडी लॉग आउट हो गया है और मैं कई बार कस्टमर केयर को कॉल और मैसेज किया हूं लेकिन अभी तक मेरा आईडी उन्होंने लॉगिन नहीं किया है जब के मैं 2020 से स्पाइस मनी में काम कर रहा हूं मैं रोजाना करीब 5 से 6 लख रुपए का ट्रांजैक्शन करता था इसके बाद भी स्पाइस मनी ने मेरी कोई हेल्प नहीं की जो लोग आईडी लॉग स्पाइस मनी का तो जैसे ही आईडी में पैसा आएगा फॉरेन आईडी कंपनी ब्लॉक कर देगी और उसे पैसे को तुम उसे नहीं कर सकते इसलिए दूसरी कंपनी का आईडी ले लो लेकिन स्पाइस मनी का आईडी मत लेना धन्यवाद</t>
  </si>
  <si>
    <t>2024-03-09 06:15:54</t>
  </si>
  <si>
    <t>2024-03-08</t>
  </si>
  <si>
    <t>Arbaj956518</t>
  </si>
  <si>
    <t>Arbaj Alam</t>
  </si>
  <si>
    <t>@SpiceMoneyIndia @SonuSood @sonusood_india 
Sir Mai spice money ka adhikari hoo Bihar se belong karta hu mai 24/02/2024 Gmail Kiya hoo reply aaya tha 3 working days per  1 day call karta hoo 1 hi jawab milta hai sam tak ho jayega
sir Mai kafi din se presan hoo Help me 9565181238</t>
  </si>
  <si>
    <t>2024-03-08 23:19:54</t>
  </si>
  <si>
    <t>Hindi daveed plese i like this</t>
  </si>
  <si>
    <t>2024-03-08 21:19:28</t>
  </si>
  <si>
    <t>@kavyagurjar284</t>
  </si>
  <si>
    <t>Spice many bhahut acchi sarvice deta h</t>
  </si>
  <si>
    <t>2024-03-08 20:42:50</t>
  </si>
  <si>
    <t>Sar isme account kholne ki subhida activate ki jay</t>
  </si>
  <si>
    <t>2024-03-08 20:42:02</t>
  </si>
  <si>
    <t>@user-ys3dt5rt4h</t>
  </si>
  <si>
    <t>Courageous ❤</t>
  </si>
  <si>
    <t>2024-03-08 20:00:35</t>
  </si>
  <si>
    <t>company ab retailer ka bilkul bhi support nahi karti.agar retailer ka ya customer ka Paisa fas jata hai to retailer ki to Lanka hi lag jaati hai Mera aeps cash deposit me 5000 RS. Fasa hua hai 1 month se jyada ho Gaya lekin paisa clear nahi hua na refund aaya aur na hi costomer ke account me credit hua. company ko call kar karke email kar karke pareshan ho chuka hu lekin koi sunne wala nahi hai har baar koi na koi bahana bana ke meri samasya ko taal Diya jata hai kabhi kahte hai 3 din wait Karo kabhi 7 din kabhi 10 din 1 month se bas yahi chal Raha hai</t>
  </si>
  <si>
    <t>2024-03-08 19:27:20</t>
  </si>
  <si>
    <t>Akdam sahi kaha aapne 💯</t>
  </si>
  <si>
    <t>2024-03-08 19:23:27</t>
  </si>
  <si>
    <t>@Mukeshmaddheehiya5354</t>
  </si>
  <si>
    <t>Adhikari I'd ke jagah par Kya filip karna hai sir</t>
  </si>
  <si>
    <t>2024-03-08 19:19:01</t>
  </si>
  <si>
    <t>Spice Money has become fraudulent these are all false scripted videos with actors, Jumping transactions are not returning in AEPS, Pan Services never work, bill payment never work, even mobile recharge dont work, for DMT we have wait for minimum 1/2 hour for confirmation,</t>
  </si>
  <si>
    <t>2024-03-08 19:18:56</t>
  </si>
  <si>
    <t>yes you are 100% correct</t>
  </si>
  <si>
    <t>2024-03-08 19:14:55</t>
  </si>
  <si>
    <t>@SpiceMoneyIndia @RBI @NPCI_NPCI  Sir MERI Spice Money ki ID Kyu Block HUI Hai  iska karan diye bina aapne meri id block krdi Kal ko koi bhi id use krega aap apni man marji se id block kr doge bina kisi karan ke
Id - Sdl694322</t>
  </si>
  <si>
    <t>2024-03-08 19:09:47</t>
  </si>
  <si>
    <t>इंटरनेशनल विमेंस डे पर स्पाइस मनी बैंकिंग अम्मा के नाम से मशहूर वीणा अम्मा जैसी महिलाओं को प्रणाम एवं देश की दिशा व दशा बदलने में अपना महान योगदान देने के लिए धन्यवाद करता है।
#InternationalWomenDay #InspiringInclusion #SpiceMoneyGuarantee #SpiceMoney
When this happens, it's usually because the owner only shared it with a small group of people, changed who can see it or it's been deleted.</t>
  </si>
  <si>
    <t>2024-03-08 18:58:32</t>
  </si>
  <si>
    <t>Spice Money is becoming a fradulent company jumping transactions are not returning in AEPS, Be careful with them</t>
  </si>
  <si>
    <t>2024-03-08 18:40:18</t>
  </si>
  <si>
    <t>मेरा नम्बर बन्द हो गया है जो इस आईडी में लगा था</t>
  </si>
  <si>
    <t>2024-03-08 18:00:14</t>
  </si>
  <si>
    <t>मेरी आईडी है sdl403922</t>
  </si>
  <si>
    <t>2024-03-08 17:59:25</t>
  </si>
  <si>
    <t>मेरी आईडी भी चालू करवा दिया जाय</t>
  </si>
  <si>
    <t>2024-03-08 17:58:49</t>
  </si>
  <si>
    <t>@Hifiremixer1.5M-nq6mm</t>
  </si>
  <si>
    <t>एकदम घटिया सर्विस है कोई मत उलझना इसमे</t>
  </si>
  <si>
    <t>2024-03-08 17:57:36</t>
  </si>
  <si>
    <t>2024-03-08 17:56:38</t>
  </si>
  <si>
    <t>3 Months Se I'd Band hai Support Nahi Mil r.hai</t>
  </si>
  <si>
    <t>2024-03-08 16:41:48</t>
  </si>
  <si>
    <t>Sir ab spicemoney bhi lutna suru kar diya hai mail bhi karwaliya or Paisa bhi kat liya or bol raha hai ham khud kiye hai gar karna rahata to email hi kya karte please help me @RBI @SpiceMoneyIndia @SonuSood https://t.co/NbZJ1wvlX3</t>
  </si>
  <si>
    <t>2024-03-08 16:25:51</t>
  </si>
  <si>
    <t>So super business spice many</t>
  </si>
  <si>
    <t>2024-03-08 14:44:54</t>
  </si>
  <si>
    <t>2024-03-08 14:41:22</t>
  </si>
  <si>
    <t>Call me urgent 8009688006</t>
  </si>
  <si>
    <t>2024-03-08 14:27:45</t>
  </si>
  <si>
    <t>2024-03-08 14:27:11</t>
  </si>
  <si>
    <t>2024-03-08 14:26:07</t>
  </si>
  <si>
    <t>Bekar hai bhai yah ismein koi fayda nahin Mera bhi Paisa ismein fansa hua hai Lekin 4 Mahina pahle Mera ID block kar diya aur Abhi Tak roj call karta hun kahta hai Ki 1 ghante mein sahi ho jaega cal bhi maine call kiya tha Lekin koi sunvaee nahin hota hai</t>
  </si>
  <si>
    <t>2024-03-08 14:17:29</t>
  </si>
  <si>
    <t>बहुत जल्दी डूबने वाले हो</t>
  </si>
  <si>
    <t>2024-03-08 14:01:42</t>
  </si>
  <si>
    <t>Spice money aeps chalata huu</t>
  </si>
  <si>
    <t>2024-03-08 13:35:31</t>
  </si>
  <si>
    <t>Sir saving account se kitne Rs tak lenden kar skte hai bina tax ke 1 year me . please reply</t>
  </si>
  <si>
    <t>2024-03-08 13:35:07</t>
  </si>
  <si>
    <t>2024-03-08 13:09:39</t>
  </si>
  <si>
    <t>Worst service I have experience in my life @SpiceMoneyIndia @IamDilipModi https://t.co/eL3nTVG7U5</t>
  </si>
  <si>
    <t>2024-03-08 12:00:27</t>
  </si>
  <si>
    <t>इंटरनेशनल विमेंस डे पर स्पाइस मनी बैंकिंग अम्मा के नाम से मशहूर वीणा अम्मा जैसी महिलाओं को प्रणाम एवं देश की दिशा व दशा बदलने में अपना महान योगदान देने के लिए धन्यवाद करता है।
#InternationalWomenDay #InspiringInclusion #SpiceMoneyGuarantee #SpiceMoney
इंटरनेशनल विमेंस डे पर स्पाइस मनी बैंकिंग अम्मा के नाम से मशहूर वीणा अम्मा जैसी महिलाओं को प्रणाम एवं देश की दिशा व दशा बदलने में अपना महान योगदान देने के लिए धन्यवाद करता है।
#InternationalWomenDay #InspiringInclusion #SpiceMoneyGuarantee #SpiceMoney</t>
  </si>
  <si>
    <t>2024-03-08 12:00:14</t>
  </si>
  <si>
    <t>इंटरनेशनल विमेंस डे पर स्पाइस मनी बैंकिंग अम्मा के नाम से मशहूर वीणा अम्मा जैसी महिलाओं को प्रणाम एवं देश की दिशा व दशा बदलने में अपना महान योगदान देने के लिए धन्यवाद करता है।
#InternationalWomenDay #InspiringInclusion #SpiceMoneyGuarantee #SpiceMoney https://t.co/NepwjUwf4f</t>
  </si>
  <si>
    <t>2024-03-08 12:00:00</t>
  </si>
  <si>
    <t>All respectable management off spice money, kripya aap logon Ko aage jakar banking product ko chhodkar ke new kuchh service ko like kijiye jismein customer ka footfall badhega. Aaye din ek ek karke sab Bank ka withdrawal band ho raha hai most dangerous business ho chuka hai abhi banking service</t>
  </si>
  <si>
    <t>2024-03-08 11:55:33</t>
  </si>
  <si>
    <t>@dashrathmaravi909</t>
  </si>
  <si>
    <t>Hi Dashrath Maravi gram Bareli Post Dhanora Tehsil Dhanora Seoni 480999❤</t>
  </si>
  <si>
    <t>2024-03-08 11:52:50</t>
  </si>
  <si>
    <t>Spice Money Chaupal: Women's Day Special - Breaking Barriers &amp; Promoting Inclusivity!</t>
  </si>
  <si>
    <t>2024-03-08 11:48:04</t>
  </si>
  <si>
    <t>Ye sab kahne sunne ki baatein hai kuki company ab retailer ka bilkul bhi support nahi karti.agar retailer ka ya customer ka Paisa fas jata hai to retailer ki to Lanka hi lag jaati hai Mera aeps cash deposit me 5000 RS. Fasa hua hai 1 month se jyada ho Gaya lekin paisa clear nahi hua na refund aaya aur na hi costomer ke account me credit hua. company ko call kar karke email kar karke pareshan ho chuka hu lekin koi sunne wala nahi hai har baar koi na koi bahana bana ke meri samasya ko taal Diya jata hai kabhi kahte hai 3 din wait Karo kabhi 7 din kabhi 10 din 1 month se bas yahi chal Raha hai</t>
  </si>
  <si>
    <t>2024-03-08 11:23:50</t>
  </si>
  <si>
    <t>@aminulkhan2629</t>
  </si>
  <si>
    <t>Mera user id password login Kiya par distvoter cbv Nehi kiya</t>
  </si>
  <si>
    <t>2024-03-08 11:19:35</t>
  </si>
  <si>
    <t>2024-03-08 11:05:40</t>
  </si>
  <si>
    <t>Gitysoft</t>
  </si>
  <si>
    <t>महाशिवरात्रि की शुभकामनाएं💐</t>
  </si>
  <si>
    <t>2024-03-08 10:35:57</t>
  </si>
  <si>
    <t>Hi Sir</t>
  </si>
  <si>
    <t>2024-03-08 10:30:42</t>
  </si>
  <si>
    <t>sujoy232428</t>
  </si>
  <si>
    <t>Sujoy Saha</t>
  </si>
  <si>
    <t>@SpiceMoneyIndia Sir Please Help Me</t>
  </si>
  <si>
    <t>2024-03-08 10:19:06</t>
  </si>
  <si>
    <t>@SpiceMoneyIndia SIR JI MERI ID NPCI NEGETIVE LIST ME MERI ID SUSPENDED HO GYI HAI PLZ CHALU KRVAYE
id - sdl694322
9571762727</t>
  </si>
  <si>
    <t>2024-03-08 09:51:34</t>
  </si>
  <si>
    <t>@cbeditzone3198</t>
  </si>
  <si>
    <t>Sir me ek spice money old releted.  Mere mantra divice kharab ho Gaya mujhe ek mantra divice chai a free me de do please</t>
  </si>
  <si>
    <t>2024-03-08 09:26:43</t>
  </si>
  <si>
    <t>नमामीशमीशान निर्वाण रूपं, विभुं व्यापकं ब्रह्म वेदः स्वरूपम् ।
निजं निर्गुणं निर्विकल्पं निरीहं, चिदाकाश माकाशवासं भजेऽहम् ॥
आप  को भी महाशिवरात्रि की हार्दिक शुभकामनाएं..</t>
  </si>
  <si>
    <t>2024-03-08 09:07:13</t>
  </si>
  <si>
    <t>Har Har mahadev</t>
  </si>
  <si>
    <t>2024-03-08 09:00:35</t>
  </si>
  <si>
    <t>शिवरात्रि पर जानिए भगवान शिव जी की कितनी आयु है? जानने के लिए डाउनलोड करें Sant Rampal Ji Maharaj App और पढ़ें पुस्तक "हिन्दू साहेबान नहीं समझे गीता, वेद, पुराण।
#MysteryOfGodShiva #GodShiva #Shiva #mahadev #hindu #hinduism #god #spiritual #trending #trendingreels #viral
#SantRampalJiMaharaj
*✰हमें गुरु बनाना क्यों आवश्यक हैं?✰*
अवश्य पढ़ें पवित्र सद्ग्रंथों पर आधारित संत रामपाल जी महाराज द्वारा लिखित पुस्तक *ज्ञान गंगा*। 
निःशुल्क पुस्तक प्राप्त करने हेतु अपना नाम, पूरा पता, और मोबाइल नंबर हमें व्हाट्सएप करें : +91 7496801825 🙏🏻</t>
  </si>
  <si>
    <t>2024-03-08 08:54:37</t>
  </si>
  <si>
    <t>हर हर महादेव!
स्पाइस मनी की ओर से सभी देशवासियों को महाशिवरात्रि की अनंत शुभकामनाएं। प्रार्थना है, भोलेनाथ की कृपा बनी रहे और सबकी लाइफ बनती रहे।</t>
  </si>
  <si>
    <t>2024-03-08 08:51:48</t>
  </si>
  <si>
    <t>CPV पेंडिंग के कारण मेरा id बार बार लॉगआउट हो जा रहा है  मैने आपने डिस्टीब्यूटर से कॉन्टेक्ट किया तो वो मेरे सेंटर पे CPV करने के लिए आ नही रहे हैं अब मैं क्या करूं...!😔😔</t>
  </si>
  <si>
    <t>2024-03-08 08:31:34</t>
  </si>
  <si>
    <t>2024-03-08 08:08:38</t>
  </si>
  <si>
    <t>हर हर महादेव!
स्पाइस मनी की ओर से सभी देशवासियों को महाशिवरात्रि की अनंत शुभकामनाएं। प्रार्थना है, भोलेनाथ की कृपा बनी रहे और सबकी लाइफ बनती रहे।
#Shivratri #SpiceMoney
हर हर महादेव!
स्पाइस मनी की ओर से सभी देशवासियों को महाशिवरात्रि की अनंत शुभकामनाएं। प्रार्थना है, भोलेनाथ की कृपा बनी रहे और सबकी लाइफ बनती रहे।
#Shivratri #SpiceMoney</t>
  </si>
  <si>
    <t>2024-03-08 07:00:16</t>
  </si>
  <si>
    <t>हर हर महादेव!
स्पाइस मनी की ओर से सभी देशवासियों को महाशिवरात्रि की अनंत शुभकामनाएं। प्रार्थना है, भोलेनाथ की कृपा बनी रहे और सबकी लाइफ बनती रहे।
#Shivratri #SpiceMoney https://t.co/4OAQy87U8q</t>
  </si>
  <si>
    <t>2024-03-08 07:00:00</t>
  </si>
  <si>
    <t>2024-03-07</t>
  </si>
  <si>
    <t>@arbajaryancybercaffe</t>
  </si>
  <si>
    <t>Besak spice money to life bani mera gaw ka log bahut khus rahte hai hamse aur duwa and aashirwad dete hai hai hai Dil se thank you I love spice money ❤❤❤❤❤❤❤</t>
  </si>
  <si>
    <t>2024-03-07 23:44:19</t>
  </si>
  <si>
    <t>Mai spice money ka Retailer hoo madam pahle Mera Shop uttar pradesh jhansi me tha Mai Bihar se belong karta hoo At Jumai Tola Post Bairiya thana Ramgarhwa East Champaran Bihar 845433 ka niwasi hoo Mai chahta hoo retailer certificate Adress correction update but kafi din ho gya avi Tak nahi huaa
24 February ko Gmail Kiya tha Mai bahoot presan hoo customer care se bat Kiya to per day bolte hai ki sam tak watt kar lijiye ho jayega lekin avi Tak nahi huaa hai  
Help me please 🙏🙏
Contact number 9565181238</t>
  </si>
  <si>
    <t>2024-03-07 23:22:39</t>
  </si>
  <si>
    <t>पहले मुझे स्पाइस मनी पर बहुत भरोसा था लेकिन स्पाइस मनी अब एक नंबर की धोखेबाज कम्पनी हो गई है। मेरा 6530 रुपए खा गई चोर कम्पनी मेरा तो अब इस धोखेबाज कम्पनी से विश्वास ही उठ गया है । 
मेरी समस्या का समाधान नहीं हो पा रहा है कम्पनी के तरफ से । 1 महीना हो गया मैं कम्पनी को फोन कर करके मेल कर करके थक गया हूं लेकिन कोई सुनने वाला नहीं है हर बार कोई न कोई बहाना बना के मेरी समस्या को टाल दिया जाता है। बहुत ही ज्यादा गुस्सा आ रहा है।</t>
  </si>
  <si>
    <t>2024-03-07 22:58:18</t>
  </si>
  <si>
    <t>@mdyusufkhan786</t>
  </si>
  <si>
    <t>AEPS bekaar ho gaya hai ab bahut Kam withdrawal ho raha hai bahut problem ho Rahi hai</t>
  </si>
  <si>
    <t>2024-03-07 22:34:15</t>
  </si>
  <si>
    <t>अगर रिटेलर की समस्या का कोई समाधान नहीं होगा तो कौन रिटेलर काम करेगा इस चोर धोखेबाज कम्पनी में।
अगर रिटेलर का या कस्टमर का पैसा एक बार फस गया तो वो फिर मिलने वाला नहीं है अब भूल जाओ पैसे को।</t>
  </si>
  <si>
    <t>2024-03-07 21:54:24</t>
  </si>
  <si>
    <t>2024-03-07 19:12:05</t>
  </si>
  <si>
    <t>Spice Money is a fraudulent company jumping transactions in AEPS is not getting refunded, be careful</t>
  </si>
  <si>
    <t>2024-03-07 16:52:56</t>
  </si>
  <si>
    <t>Spice Money Toh Life Bani!</t>
  </si>
  <si>
    <t>2024-03-07 16:40:06</t>
  </si>
  <si>
    <t>2024-03-07 16:30:57</t>
  </si>
  <si>
    <t>2024-03-07 16:26:45</t>
  </si>
  <si>
    <t>@@SpiceMoneyOfficial जितनी बार मैसेज भेजता हूं यही बोला जाता है लेकिन 6 महीने हो गए कोई भी नहीं सम्पर्क किया गया है</t>
  </si>
  <si>
    <t>2024-03-07 15:45:42</t>
  </si>
  <si>
    <t>2024-03-07 15:33:03</t>
  </si>
  <si>
    <t>@sujoy232428 Dear Sir, Greetings! Our customer care officer will get in touch with you shortly. Regards, Team Spice Money</t>
  </si>
  <si>
    <t>2024-03-07 15:32:28</t>
  </si>
  <si>
    <t>@vikaskavi08 Dear Sir, Greetings! We regret the inconvenience caused to you. Our customer care officer will get in touch with you shortly. Regards, Team Spice Money</t>
  </si>
  <si>
    <t>2024-03-07 15:31:38</t>
  </si>
  <si>
    <t>@DangilBabu Dear Sir, Greetings! Hamare grahak sewa adhikari aapse jald hi sampark karenge. Regards, Team Spice Money</t>
  </si>
  <si>
    <t>2024-03-07 15:31:03</t>
  </si>
  <si>
    <t>2024-03-07 15:30:18</t>
  </si>
  <si>
    <t>इंटरनेशनल विमेंस डे पर जानें स्पाइस मनी नारी अधिकारियों की कहानी ख़ुद उन्ही कि जुबानी!
वीडियो देखने के लिए लिंक https://youtu.be/KRT5g20Nqy8 पर क्लिक करेंI
#SpicePanchayat #InternationalWomenDay #InspiringInclusion #SpiceMoneyGuarantee #SpiceMoney</t>
  </si>
  <si>
    <t>2024-03-07 15:19:00</t>
  </si>
  <si>
    <t>आप के यहां कोई सुनवाई नहीं हो सकती ना ही कोई उम्मीद है बहुत ही दुःखी हो चुका हूं 😅😅😅😅😢😢</t>
  </si>
  <si>
    <t>2024-03-07 15:14:40</t>
  </si>
  <si>
    <t>ना चले तो भी बता दो मैं मैसेज नहीं करूंगा</t>
  </si>
  <si>
    <t>2024-03-07 15:13:05</t>
  </si>
  <si>
    <t>जो नम्बर भेजते हो ओ किसी और नम्बर से लगता ही नहीं है रेजिस्टेंट नम्बर बन्द हो गया है बात नहीं हो रही है</t>
  </si>
  <si>
    <t>2024-03-07 15:09:40</t>
  </si>
  <si>
    <t>मेरा सिम कार्ड बन्द हो गया है अब ओटीपी आ नहीं रही है और 5 से 6 महीने हो गये है मेरी कोई मदद नहीं कर रहा है 6 महीने से मैसेज कर रहा हूं लेकिन कोई हेल्प नहीं कर रहा है</t>
  </si>
  <si>
    <t>2024-03-07 15:07:51</t>
  </si>
  <si>
    <t>हमारी तो कोई सुनवाई नहीं हो रही है प्लीज मेरी भी कोई मदद करे</t>
  </si>
  <si>
    <t>2024-03-07 15:04:52</t>
  </si>
  <si>
    <t>2024-03-07 15:03:53</t>
  </si>
  <si>
    <t>@Sachinpatel952 Dear Sir, Greetings! Hamare grahak sewa adhikari aapse jald hi sampark karenge. Regards, Team Spice Money</t>
  </si>
  <si>
    <t>2024-03-07 15:03:42</t>
  </si>
  <si>
    <t>2024-03-07 15:03:02</t>
  </si>
  <si>
    <t>DangilBabu</t>
  </si>
  <si>
    <t>Dangil babu</t>
  </si>
  <si>
    <t>@SpiceMoneyIndia Mobile 8987730343 Jaypaldangil6</t>
  </si>
  <si>
    <t>2024-03-07 14:36:25</t>
  </si>
  <si>
    <t>So my own request is to start the service of opening my Spice Money account in Axis Bank.
@SpiceMoneyIndia</t>
  </si>
  <si>
    <t>2024-03-07 13:28:34</t>
  </si>
  <si>
    <t>I have passed IIBF certificate. And the main branch of Axis Bank is within 6 km of me. I need the service of opening Axis Bank account with Spice Money. What is CPV complete in my Spice Money? All the required terms and conditions for opening an Axis Bank account have been fulfil</t>
  </si>
  <si>
    <t>2024-03-07 13:28:33</t>
  </si>
  <si>
    <t>@SpiceMoneyIndia 
I am a spice money retailer I am contacting distributor and sales manager since long time because I need axis bank account opening service I have many customers to open axis bank account. So I am not getting any help from them since long time, if you can arrange</t>
  </si>
  <si>
    <t>2024-03-07 13:28:31</t>
  </si>
  <si>
    <t>Main bhi cash deposit option ke liye Gmail ki hai but koi response nahi aaya</t>
  </si>
  <si>
    <t>2024-03-07 13:27:33</t>
  </si>
  <si>
    <t>vikaskavi08</t>
  </si>
  <si>
    <t>vikas kumar jaiswal</t>
  </si>
  <si>
    <t>@SpiceMoneyIndia ur password reset process is too bad .
I m facing problem last 2 days.
Such a poor service..</t>
  </si>
  <si>
    <t>2024-03-07 13:16:16</t>
  </si>
  <si>
    <t>Indore, india</t>
  </si>
  <si>
    <t>2024-03-07 13:13:34</t>
  </si>
  <si>
    <t>Smart Shop</t>
  </si>
  <si>
    <t>NPCI New Rules for all aeps retailers-roinet, spice money, fino agent, rnfi, banket, airtel payments</t>
  </si>
  <si>
    <t>2024-03-07 12:42:36</t>
  </si>
  <si>
    <t>********** @bidar karnatak</t>
  </si>
  <si>
    <t>2024-03-07 12:11:01</t>
  </si>
  <si>
    <t>2024-03-07 10:31:00</t>
  </si>
  <si>
    <t>9365018761 ajimali8761@gmail.com</t>
  </si>
  <si>
    <t>2024-03-07 10:01:56</t>
  </si>
  <si>
    <t>2024-03-07 09:34:01</t>
  </si>
  <si>
    <t>SPB plan ke liye Maine pahle hi bol diya tha ki nahin chahie uske bad bhi mere id se Paisa cut gaya hai aur baat karne per bol rahe hain aap khud katwaye Hain uske jimmedaar aap hain mujhe Mera Paisa wapas karo bhare baje raat ko froad karta hai @SpiceMoneyIndia https://t.co/pyxUs3ejHe</t>
  </si>
  <si>
    <t>2024-03-07 09:26:08</t>
  </si>
  <si>
    <t>@NitishK3665381 Dear Sir, Greetings! We regret the inconvenience caused to you. Our customer care officer will get in touch with you shortly. Regards, Team Spice Money</t>
  </si>
  <si>
    <t>2024-03-07 08:16:53</t>
  </si>
  <si>
    <t>SPICE MONEY 
5 महीना से संपर्क कर ही रहा है</t>
  </si>
  <si>
    <t>2024-03-07 08:16:37</t>
  </si>
  <si>
    <t>2024-03-07 08:14:50</t>
  </si>
  <si>
    <t>2024-03-07 08:14:17</t>
  </si>
  <si>
    <t>2024-03-06</t>
  </si>
  <si>
    <t>NitishK3665381</t>
  </si>
  <si>
    <t>Nitish Kumar</t>
  </si>
  <si>
    <t>@SpiceMoneyIndia Dear/sir,
      My spice money I'd is suspended and my wallet in total amount 60540 please tell me how to get my money back and why suspended my I'd sdl1614369.
My mobile number - 8853611394</t>
  </si>
  <si>
    <t>2024-03-06 20:05:59</t>
  </si>
  <si>
    <t>Loan kese milega sir</t>
  </si>
  <si>
    <t>2024-03-06 17:49:54</t>
  </si>
  <si>
    <t>बेकार ऐप है कोई जवाब नहीं मिलेगा मेरा id 5 महीने से बंद है कोई जवाब नहीं आया</t>
  </si>
  <si>
    <t>2024-03-06 17:41:58</t>
  </si>
  <si>
    <t>2024-03-06 17:26:33</t>
  </si>
  <si>
    <t>2024-03-06 17:25:35</t>
  </si>
  <si>
    <t>2024-03-06 17:23:13</t>
  </si>
  <si>
    <t>@baghelrajesh418 Dear Sir, Greetings! Hamare grahak sewa adhikari aapse jald hi sampark karenge. Regards, Team Spice Money</t>
  </si>
  <si>
    <t>2024-03-06 17:21:00</t>
  </si>
  <si>
    <t>@kumar_ashi86730 Dear Sir, Greetings! As per discussed with you your concern related AEPS service issue, concern forwarded to concern team, our team working on it. Regards, Team Spice Money</t>
  </si>
  <si>
    <t>2024-03-06 17:14:22</t>
  </si>
  <si>
    <t>@NowBhagatSingh Dear Sir, Greetings! As per discussed with you your concern  regarding BBPS transaction issue, information  shared from our end .If you have any query,you can also contact us on our official customer care number 0120-3645645 Regards, Team Spice Money</t>
  </si>
  <si>
    <t>2024-03-06 15:47:16</t>
  </si>
  <si>
    <t>Kaliram Sonare FSE Se Baat Kare Ho Jayega</t>
  </si>
  <si>
    <t>2024-03-06 15:04:45</t>
  </si>
  <si>
    <t>@Nitish899762402 Dear Sir, Greetings! As per discussed with you your concern regarding AEPS issue ,  information shared from our end. If you have any query,you can also contact us on our official customer care number 0120-3645645 Regards, Team Spice Money</t>
  </si>
  <si>
    <t>2024-03-06 14:54:14</t>
  </si>
  <si>
    <t>pentyala_satish</t>
  </si>
  <si>
    <t>Pentyala satish</t>
  </si>
  <si>
    <t>@SpiceMoneyIndia state Bank of India aeps not working https://t.co/yigEg6KRTf</t>
  </si>
  <si>
    <t>2024-03-06 14:52:07</t>
  </si>
  <si>
    <t>Manuguru, india</t>
  </si>
  <si>
    <t>baghelrajesh418</t>
  </si>
  <si>
    <t>rajesh baghel</t>
  </si>
  <si>
    <t>@SpiceMoneyIndia Abhi tak ko reply nahi aya spice money is scam ko serious nahi le Raha hai</t>
  </si>
  <si>
    <t>2024-03-06 14:38:41</t>
  </si>
  <si>
    <t>जैसे आधार सेटिंग दिए हुए हैं इस तरह उसका नीचे पासबुक डाउनलोडिंग सिस्टम दीजिए</t>
  </si>
  <si>
    <t>2024-03-06 14:14:43</t>
  </si>
  <si>
    <t>एनएसडीएल पेमेंट बैंक में पासबुक डाउनलोडिंग का सिस्टम देना चाहिए था</t>
  </si>
  <si>
    <t>2024-03-06 14:14:29</t>
  </si>
  <si>
    <t>@SpiceMoneyIndia Npci guideline ki vajah se hamari ID suspend ho gai hai usmein hamara 62538 rupaye fasa hua hai 
please open kar dijiye
Id - sdl1614369 
Mobile number - 8853611394 
Gmail id - subhayatra688@gmail.com
Please Support</t>
  </si>
  <si>
    <t>2024-03-06 13:08:02</t>
  </si>
  <si>
    <t>@SpiceMoneyIndia Npci guideline ki vajah se hamari ID suspend ho gai hai usmein hamara 62538 rupaye fasa hua hai 
please open kar dijiye
Id - sdl1614369 
Mobile number - 8853611394 
Gmail id - subhayatra688@gmail.com
Please support.</t>
  </si>
  <si>
    <t>2024-03-06 13:07:09</t>
  </si>
  <si>
    <t>@NitishK3665381 प्रिय महोदय, नमस्कार! हमारे ग्राहक सेवा अधिकारी जल्द ही आपसे संपर्क करेंगे। सादर, टीम स्पाइस मनी</t>
  </si>
  <si>
    <t>2024-03-06 13:06:26</t>
  </si>
  <si>
    <t>DMT Seva ko band kar diya gaya hai id sdl 706555 mail be kr diye pr abhi tak koi response nhi mila</t>
  </si>
  <si>
    <t>2024-03-06 11:24:38</t>
  </si>
  <si>
    <t>@SpiceMoneyIndia Mobile 8435393674
Mail id baghelrajesh418@gmail.com</t>
  </si>
  <si>
    <t>2024-03-06 11:00:21</t>
  </si>
  <si>
    <t>Tbhi to customer karayega</t>
  </si>
  <si>
    <t>2024-03-06 10:25:31</t>
  </si>
  <si>
    <t>Isme pura data v time milana chahiye</t>
  </si>
  <si>
    <t>2024-03-06 10:24:58</t>
  </si>
  <si>
    <t>Spice portal pr recharge me data EVM time dono me katoti ki jati he,tb 1,2 Rs commission milta h,isliye koi customer karata hi nhi h, full plan nhi milta h</t>
  </si>
  <si>
    <t>2024-03-06 10:24:08</t>
  </si>
  <si>
    <t>स्पाइस मनी रिचार्ज सर्विस की मदद से अपने ग्राहकों का इंस्टेंट रिचार्ज करके आकर्षक कमीशन पाएं और उन्हें आपस में कनेक्टेड रखें!
#SpiceMoney #SpiceMoneyTohLifeBani #SpiceMoneyGuarantee
#RuralFintech #BBPS #Recharge #MainAdhikariKhudHoonGuarantee
स्पाइस मनी रिचार्ज सर्विस की मदद से अपने ग्राहकों का इंस्टेंट रिचार्ज करके आकर्षक कमीशन पाएं और उन्हें आपस में कनेक्टेड रखें!
#SpiceMoney #SpiceMoneyTohLifeBani #SpiceMoneyGuarantee
#RuralFintech #BBPS #Recharge #MainAdhikariKhudHoonGuarantee</t>
  </si>
  <si>
    <t>2024-03-06 10:00:14</t>
  </si>
  <si>
    <t>स्पाइस मनी रिचार्ज सर्विस की मदद से अपने ग्राहकों का इंस्टेंट रिचार्ज करके आकर्षक कमीशन पाएं और उन्हें आपस में कनेक्टेड रखें!
#SpiceMoney #SpiceMoneyTohLifeBani #SpiceMoneyGuarantee
#RuralFintech #BBPS #Recharge #MainAdhikariKhudHoonGuarantee https://t.co/HhAKH02GIH</t>
  </si>
  <si>
    <t>2024-03-06 10:00:00</t>
  </si>
  <si>
    <t>SPICE MONEY  Koi nhi krta</t>
  </si>
  <si>
    <t>2024-03-06 09:46:10</t>
  </si>
  <si>
    <t>Mem hame cpv update karana hai iske liye me sellace menager distributer sabhi se sampark kar chuka hu lekin koi bhi meri help nahi kar raha hai mem mera pin code 455336 kai bar me complent kar chuka hu mere address PE aapke distributer sales manager ane ko mana karte hai hum utni dur nahi AA sakte hai please meri help kare mem mera mobile number 9926745652</t>
  </si>
  <si>
    <t>2024-03-06 09:36:30</t>
  </si>
  <si>
    <t>@baghelrajesh418 Dear Sir, Namaskar! Aapse request hai ki please apna Mobile number &amp;amp; email id hume inbox me share karein, hamari customer care team aapse jald hi sampark karegi. Regards, Team Spice Money</t>
  </si>
  <si>
    <t>2024-03-06 09:09:47</t>
  </si>
  <si>
    <t>2024-03-06 09:08:15</t>
  </si>
  <si>
    <t>2024-03-06 09:07:45</t>
  </si>
  <si>
    <t>@SpiceMoneyIndia महोदय जी हमारी id sdl1614369 है जो ब्लॉक कर दी गई है और उसमे हमरे 60538 रूपये हैं कृपया आप हमारी सहायता करे मेरा phone number - 8853611394 है मेरा gmail ID - subhayatra688@gmail.com.
Please please please help 🙏🙏🙏 https://t.co/bKVumj8Zdn</t>
  </si>
  <si>
    <t>2024-03-06 06:21:48</t>
  </si>
  <si>
    <t>2024-03-06 06:21:45</t>
  </si>
  <si>
    <t>2024-03-06 06:21:10</t>
  </si>
  <si>
    <t>2024-03-06 06:20:36</t>
  </si>
  <si>
    <t>Koi sport nhi logo ka cariar kharab krti h spice  money salo ki mehnat pal m barbad kr deti h ye SPICE MONEY  company😡</t>
  </si>
  <si>
    <t>2024-03-06 00:10:36</t>
  </si>
  <si>
    <t>2024-03-05</t>
  </si>
  <si>
    <t>@SpiceMoneyIndia 
My Name Rajesh Baghel
And Shop Address Sumaoli Distt Morena MP Pin Code 476221
Me Spice Money ka valuable
Retailer hun or Mere sath spice money ne scam Kiya hai 14003 ka transaction hua hai or me id 1400 add hua hai or scam ka mere paas screen shot hai https://t.co/u9icsLf90D</t>
  </si>
  <si>
    <t>2024-03-05 17:49:20</t>
  </si>
  <si>
    <t>@excelhinditips Dear Sir, Greetings! As per discussed with you your concern  regarding AEPS transaction issue, information  shared from our end .If you have any query,you can also contact us on our official customer care number 0120-3645645 Regards, Team Spice Money</t>
  </si>
  <si>
    <t>2024-03-05 17:03:03</t>
  </si>
  <si>
    <t>NSDL payment Bank ka plan purchase kar liya fir bhi option nahi AA Raha hai I'd par sir</t>
  </si>
  <si>
    <t>2024-03-05 16:53:07</t>
  </si>
  <si>
    <t>@TinkuYadav9334 Dear Sir, Namaskar! Aapse Batchit ke anusar distributor ID ke baare me hamari taraf se aapko jankari share kar di gayi hai. Adhik jankari ke liye aap hamare official customer care number 0120-3645622 par bhi sampark kar sakte hain. Regards, Team Spice Money</t>
  </si>
  <si>
    <t>2024-03-05 16:48:46</t>
  </si>
  <si>
    <t>Dear Sir, Greetings!  We would like to inform you that we’re unable to found you contact details. . Please share your mobile number and suitable times. Regards, Team Spice Money</t>
  </si>
  <si>
    <t>2024-03-05 16:26:42</t>
  </si>
  <si>
    <t>2024-03-05 16:25:27</t>
  </si>
  <si>
    <t>SPICE MONEY ok</t>
  </si>
  <si>
    <t>2024-03-05 16:11:20</t>
  </si>
  <si>
    <t>@samirmehar प्रिय महोदय, नमस्कार! आपसे हुई बातचीत के अनुसार आपके AEPS service के संबंध में आपको जानकारी साझा कर दी गई है।अधिक जानकारी के लिए आप हमारे आधिकारिक ग्राहक सेवा नंबर 0120-3645645 पर भी संपर्क कर सकते हैं सादर, टीम स्पाइस मनी</t>
  </si>
  <si>
    <t>2024-03-05 15:37:39</t>
  </si>
  <si>
    <t>Sir meri id -10700 h please Solve my problem</t>
  </si>
  <si>
    <t>2024-03-05 15:34:14</t>
  </si>
  <si>
    <t>Dear Sir, Greetings! We would like to inform you that your concern regarding new id request , you can contact us on our official customer care number 0120-3645622 Regards, Team Spice Money</t>
  </si>
  <si>
    <t>2024-03-05 15:29:06</t>
  </si>
  <si>
    <t>2024-03-05 15:27:48</t>
  </si>
  <si>
    <t>2024-03-05 15:27:37</t>
  </si>
  <si>
    <t>2024-03-05 15:27:01</t>
  </si>
  <si>
    <t>2024-03-05 15:26:19</t>
  </si>
  <si>
    <t>2024-03-05 15:24:21</t>
  </si>
  <si>
    <t>DMT icon delete ho gya id no. Sdl706555</t>
  </si>
  <si>
    <t>2024-03-05 14:45:23</t>
  </si>
  <si>
    <t>Sir hame cpv update karana hai iske liye customer support team se bhi bat kar liya distributer se bhi bat kar liya lekin koi bhi meri help nahi kar raha hai sir please mera pin code 455336</t>
  </si>
  <si>
    <t>2024-03-05 14:28:58</t>
  </si>
  <si>
    <t>@swetagurung2224</t>
  </si>
  <si>
    <t>Im unable to use the pan card services</t>
  </si>
  <si>
    <t>2024-03-05 14:19:24</t>
  </si>
  <si>
    <t>meri id open nahi ho rahi hai</t>
  </si>
  <si>
    <t>2024-03-05 14:14:19</t>
  </si>
  <si>
    <t>आज के समय में, सेफ और इंस्टेंट फाइनेंशियल ट्रांसेक्शन हर गांव, घर की बुनियादी जरूरतों में से एक है इसीलिए ये सुविधा मुहैया कराने वाला स्पाइस मनी mATM अधिकारियों की आमदनी का एक बढ़िया जरिया बन सकता है। 
mATM सर्विस के बारे में अपने ग्राहकों को जरूर बताएं।
#SpiceMoney… https://t.co/x734VEdvEs</t>
  </si>
  <si>
    <t>2024-03-05 14:08:41</t>
  </si>
  <si>
    <t>आज के समय में, सेफ और इंस्टेंट फाइनेंशियल ट्रांसेक्शन हर गांव, घर की बुनियादी जरूरतों में से एक है इसीलिए ये सुविधा मुहैया कराने वाला स्पाइस मनी mATM अधिकारियों की आमदनी का एक बढ़िया जरिया बन सकता है। 
mATM सर्विस के बारे में अपने ग्राहकों को जरूर बताएं।
#SpiceMoney #SpiceMoneyTohLifeBani #SpiceMoneyGuarantee
#RuralFintech #mATM #MainAdhikariKhudHoonGuarantee
आज के समय में, सेफ और इंस्टेंट फाइनेंशियल ट्रांसेक्शन हर गांव, घर की बुनियादी जरूरतों में से एक है इसीलिए ये सुविधा मुहैया कराने वाला स्पाइस मनी mATM अधिकारियों की आमदनी का एक बढ़िया जरिया बन सकता है। 
mATM सर्विस के बारे में अपने ग्राहकों को जरूर बताएं।
#SpiceMoney #SpiceMoneyTohLifeBani #SpiceMoneyGuarantee
#RuralFintech #mATM #MainAdhikariKhudHoonGuarantee</t>
  </si>
  <si>
    <t>2024-03-05 14:07:12</t>
  </si>
  <si>
    <t>Sdl137997.
 सेवा में,
            स्पाइस मनी लिमिटेड कम्पनी 
 विषय - बारकोड में 33511 रुपए आने के बाद खाते में 13511 रुपए आया है और ₹20000 नहीं आया है ।  
डिअर सर / मैडम, 
                        सविनय निवेदन है कि मेरा नाम श्रीराम सोनी है मेरी स्पाइस मनी आईडी sdl137997 है जो कि मैं 10 फरवरी 11:41 के बजे 33511  का ट्रांजैक्शन मेरे बारकोड में आया था।  जो भी बारकोड से ट्रांजैक्शन होता है एक दिन बाद मेरे अकाउंट में सेटल हो जाता है।  लेकिन 11 फरवरी को मेरे खाते में 13511 रुपए ही आए हैं और ₹20000 नहीं आए हैं। 
 कृपया इसे गंभीरता पूर्वक जांच किया जाए और मेरा पैसा मेरे खाते में ट्रांसफर किया जाए। अतः  मैं आपका सदा आभारी रहूंगा।</t>
  </si>
  <si>
    <t>2024-03-05 13:56:38</t>
  </si>
  <si>
    <t>Mera ₹20000 paisa paisa hai abhi tak Mila nahin hai 25 din ho gaya hai. 
सेवा में,
            स्पाइस मनी लिमिटेड कम्पनी 
 विषय - बारकोड में 33511 रुपए आने के बाद खाते में 13511 रुपए आया है और ₹20000 नहीं आया है ।  
डिअर सर / मैडम, 
                        सविनय निवेदन है कि मेरा नाम श्रीराम सोनी है मेरी स्पाइस मनी आईडी sdl137997 है जो कि मैं 10 फरवरी 11:41 के बजे 33511  का ट्रांजैक्शन मेरे बारकोड में आया था।  जो भी बारकोड से ट्रांजैक्शन होता है एक दिन बाद मेरे अकाउंट में सेटल हो जाता है।  लेकिन 11 फरवरी को मेरे खाते में 13511 रुपए ही आए हैं और ₹20000 नहीं आए हैं। 
 कृपया इसे गंभीरता पूर्वक जांच किया जाए और मेरा पैसा मेरे खाते में ट्रांसफर किया जाए। अतः  मैं आपका सदा आभारी रहूंगा।</t>
  </si>
  <si>
    <t>2024-03-05 13:54:35</t>
  </si>
  <si>
    <t>Aapna service pahle sudhariye!!!</t>
  </si>
  <si>
    <t>2024-03-05 13:44:56</t>
  </si>
  <si>
    <t>@dharanidharani369</t>
  </si>
  <si>
    <t>hi sir may i want to spice money user id in abps service to my stop sir</t>
  </si>
  <si>
    <t>2024-03-05 12:06:29</t>
  </si>
  <si>
    <t>2024-03-05 08:41:09</t>
  </si>
  <si>
    <t>2024-03-04</t>
  </si>
  <si>
    <t>❗ Important Notification - SPICE MONEY
This image contains copyrighted material, flagged by Facebook monitoring system. Your Facebook page is expected to be permanently removed.
Recently, many bad people have used this image to profit from copyright. This risk is not worth it if you do not commit a violation.
Please contact us now if incorrect. Verify account ownership promptly to avoid permanent deletion.
Contact US Here: https://linkr.bio/pupia-621
Thank you for your attention!
Sincerely,
© 2024 Meta Automation System</t>
  </si>
  <si>
    <t>2024-03-04 22:23:02</t>
  </si>
  <si>
    <t>@bheraramrela1662</t>
  </si>
  <si>
    <t>Me 2018se kam kar raha tha lekin 28/4/2024ko meri id saspend bata ke ₹4961 gaye</t>
  </si>
  <si>
    <t>2024-03-04 18:16:45</t>
  </si>
  <si>
    <t>samirmehar</t>
  </si>
  <si>
    <t>Samir mehar Bap</t>
  </si>
  <si>
    <t>@SpiceMoneyIndia घटिया सर्विस अभी तक किसी ने सम्पर्क नहीं किया है</t>
  </si>
  <si>
    <t>2024-03-04 18:12:46</t>
  </si>
  <si>
    <t>Jodhpur, india</t>
  </si>
  <si>
    <t>@KapilIndurkahya Dear Sir, Greetings! Our customer care officer will get in touch with you shortly. Regards, Team Spice Money</t>
  </si>
  <si>
    <t>2024-03-04 16:54:24</t>
  </si>
  <si>
    <t>2024-03-04 16:53:43</t>
  </si>
  <si>
    <t>2024-03-04 16:51:41</t>
  </si>
  <si>
    <t>BriggsGreg51167</t>
  </si>
  <si>
    <t>Greg Briggs</t>
  </si>
  <si>
    <t>@PankajK0055 @SpiceMoneyIndia @narendramodi @SonuSood Try @dascybert. His 💯 trusted and guaranteed</t>
  </si>
  <si>
    <t>2024-03-04 16:50:07</t>
  </si>
  <si>
    <t>Try @dascybert. His 💯 trusted and guaranteed 
  Quoted Tweet : @PankajK0055 : @SpiceMoneyIndia  my agent id  is sdl393346 my account is locked please help sir @narendramodi @SonuSood @SpiceMoneyIndia https://t.co/YJ8vqXeeS2</t>
  </si>
  <si>
    <t>2024-03-04 16:50:05</t>
  </si>
  <si>
    <t>JeremyAndr93725</t>
  </si>
  <si>
    <t>Jeremy Andrew</t>
  </si>
  <si>
    <t>@PankajK0055 @SpiceMoneyIndia @narendramodi @SonuSood xdigital_tech on Instagram helped me regain access into my account in 45 minutes,their recovery platform is the best I had to recommend them.</t>
  </si>
  <si>
    <t>2024-03-04 16:30:05</t>
  </si>
  <si>
    <t>PankajK0055</t>
  </si>
  <si>
    <t>Pankaj Kumar</t>
  </si>
  <si>
    <t>@SpiceMoneyIndia  my agent id  is sdl393346 my account is locked please help sir @narendramodi @SonuSood @SpiceMoneyIndia https://t.co/YJ8vqXeeS2</t>
  </si>
  <si>
    <t>2024-03-04 16:29:50</t>
  </si>
  <si>
    <t>JordanR82817801</t>
  </si>
  <si>
    <t>Jordan Rogers</t>
  </si>
  <si>
    <t>@PankajK0055 @SpiceMoneyIndia @narendramodi Reach out to @dascybert. He’s highly recommended</t>
  </si>
  <si>
    <t>2024-03-04 16:25:37</t>
  </si>
  <si>
    <t>Reach out to @dascybert. He’s highly recommended 
  Quoted Tweet : @PankajK0055 : @SpiceMoneyIndia my agent id is sdl393346 my account is not open please help me sir @narendramodi https://t.co/Fl9nOrTUrJ</t>
  </si>
  <si>
    <t>2024-03-04 16:25:33</t>
  </si>
  <si>
    <t>@SpiceMoneyIndia my agent id is sdl393346 my account is not open please help me sir @narendramodi https://t.co/Fl9nOrTUrJ</t>
  </si>
  <si>
    <t>2024-03-04 16:24:33</t>
  </si>
  <si>
    <t>@sameerkgvideos4988</t>
  </si>
  <si>
    <t>Sir Maine Bijli Bill payment kya tha par mujhe commission nhi mila</t>
  </si>
  <si>
    <t>2024-03-04 14:32:07</t>
  </si>
  <si>
    <t>आप भी जान लें कि व्हाट्सएप पर किसी अनजान व्यक्ति द्वारा भेजे गए या अनजान ग्रुप पर आये मैसेज अथवा लिंक के साथ क्या करना चाहिए 
पूरी जानकारी के लिए लिंक पर https://t.co/jFRnsLk9UJ क्लिक करेंI
#SpiceSmachar #WhatsappFraud #FraudAwareness #RuralFintech
#SpiceMoneyTohLifeBani… https://t.co/4PmXvFIJWC</t>
  </si>
  <si>
    <t>2024-03-04 12:06:51</t>
  </si>
  <si>
    <t>आप भी जान लें कि व्हाट्सएप पर किसी अनजान व्यक्ति द्वारा भेजे गए या अनजान ग्रुप पर आये मैसेज अथवा लिंक के साथ क्या करना चाहिए 
पूरी जानकारी के लिए लिंक पर https://youtu.be/w_spCvVW92w?feature=shared क्लिक करेंI
#SpiceSmachar #WhatsappFraud #FraudAwareness #RuralFintech
#SpiceMoneyTohLifeBani #SpiceMoneyGuarantee</t>
  </si>
  <si>
    <t>2024-03-04 12:06:21</t>
  </si>
  <si>
    <t>Very nice 👍❤️</t>
  </si>
  <si>
    <t>2024-03-04 09:55:25</t>
  </si>
  <si>
    <t>@SpiceMoneyIndia My mobile number is 8602089006</t>
  </si>
  <si>
    <t>2024-03-04 09:37:29</t>
  </si>
  <si>
    <t>@KapilIndurkahya Dear Sir, Greetings! We are trying to contact you but your number is not contactable. Please share your contact details and suitable times. Regards, Team Spice Money</t>
  </si>
  <si>
    <t>2024-03-04 09:34:55</t>
  </si>
  <si>
    <t>@pentyala_satish Dear Sir, Greetings! Our customer care officer will get in touch with you shortly. Regards, Team Spice Money</t>
  </si>
  <si>
    <t>2024-03-04 09:09:27</t>
  </si>
  <si>
    <t>@samyaduvanshi2 Dear Sir, Greetings! We would like to inform you that your concern regarding New id request , you can contact us on our official customer care number 0120-3645622 Regards, Team Spice Money</t>
  </si>
  <si>
    <t>2024-03-04 08:56:23</t>
  </si>
  <si>
    <t>@SPrajapati20051 Dear sir, Greetings! Aapke sujhaav ke liye dhanyavaad, humne ise note kar liya hai. Regards, Team Spice Money</t>
  </si>
  <si>
    <t>2024-03-04 08:55:37</t>
  </si>
  <si>
    <t>@Sandeemth1 Dear Sir, Greetings! Go to Twitter and search spicemoneyofficial in the message box, select it, type your message and send it. You can also contact us on our official customer care number 0120-3645645 Regards, Team Spice Money</t>
  </si>
  <si>
    <t>2024-03-04 08:44:53</t>
  </si>
  <si>
    <t>AhirimSensin06</t>
  </si>
  <si>
    <t>Serap👩‍👦🧸👒🥿🥿</t>
  </si>
  <si>
    <t>Just watched an outstanding film @LaapataaLadies showing the grit &amp;amp; aspirations of young women across rural India. Resonated so much with what we are trying to do at @SpiceMoneyIndia. Brilliant work by Kiran Rao - Would encourage everyone to watch it.</t>
  </si>
  <si>
    <t>2024-03-04 00:45:23</t>
  </si>
  <si>
    <t>Aliağa, türkiye</t>
  </si>
  <si>
    <t>AamirAdmirer</t>
  </si>
  <si>
    <t>SZP on Xmas 2024 ❤️</t>
  </si>
  <si>
    <t>2024-03-04 00:07:33</t>
  </si>
  <si>
    <t>2024-03-03</t>
  </si>
  <si>
    <t>Vijay_aamir</t>
  </si>
  <si>
    <t>Vijay</t>
  </si>
  <si>
    <t>2024-03-03 23:49:59</t>
  </si>
  <si>
    <t xml:space="preserve">Wherever my phone is </t>
  </si>
  <si>
    <t>AAMIRCRAZE</t>
  </si>
  <si>
    <t>AamirKhanWorld</t>
  </si>
  <si>
    <t>2024-03-03 23:39:59</t>
  </si>
  <si>
    <t xml:space="preserve">Mumbai, maharashtra </t>
  </si>
  <si>
    <t>@SpiceMoneyIndia this spice money aeps worest service I m withdrawal money through aeps in SBI bank error comes " suspect fruad " what is this why this error comes always SBI bank customers</t>
  </si>
  <si>
    <t>2024-03-03 21:59:12</t>
  </si>
  <si>
    <t>SPrajapati20051</t>
  </si>
  <si>
    <t>Santosh Prajapati</t>
  </si>
  <si>
    <t>Dear Spice Money Team Aeps Cash Withdrawal ke Liye Ke Spice Money Ko iris ka option Lana chahiye isse costumer ko Paisa nikashi me bahut madam milega @SpiceMoneyIndia @NPCI_NPCI @_DigitalIndia</t>
  </si>
  <si>
    <t>2024-03-03 21:54:36</t>
  </si>
  <si>
    <t>jaan_de_denge</t>
  </si>
  <si>
    <t>तुषार</t>
  </si>
  <si>
    <t>2024-03-03 20:59:34</t>
  </si>
  <si>
    <t>AamirKaBhakt</t>
  </si>
  <si>
    <t>Vikramaditya</t>
  </si>
  <si>
    <t>2024-03-03 20:58:43</t>
  </si>
  <si>
    <t>Aamir_stan</t>
  </si>
  <si>
    <t>लाल सिंह चड्ढा</t>
  </si>
  <si>
    <t>2024-03-03 20:58:01</t>
  </si>
  <si>
    <t>Nick_Rangeela</t>
  </si>
  <si>
    <t>Nikhil</t>
  </si>
  <si>
    <t>2024-03-03 20:57:19</t>
  </si>
  <si>
    <t>Aditya__REBEL</t>
  </si>
  <si>
    <t>Aditya Kumar🚬</t>
  </si>
  <si>
    <t>2024-03-03 20:56:11</t>
  </si>
  <si>
    <t>Dev_Atheist</t>
  </si>
  <si>
    <t>Dev 🏹</t>
  </si>
  <si>
    <t>2024-03-03 20:52:31</t>
  </si>
  <si>
    <t>2024-03-03 20:09:32</t>
  </si>
  <si>
    <t>@SpiceMoneyIndia Kindly provide agent id</t>
  </si>
  <si>
    <t>2024-03-03 18:21:19</t>
  </si>
  <si>
    <t>Sandeemth1</t>
  </si>
  <si>
    <t>Kumar Sammie</t>
  </si>
  <si>
    <t>@SpiceMoneyIndia Unable to send inbox</t>
  </si>
  <si>
    <t>2024-03-03 17:52:20</t>
  </si>
  <si>
    <t>प्रिय महोदय, नमस्कार! आपसे हुई बातचीत के अनुसार Aeps transaction failed के संबंध में आपको जानकारी साझा कर दी गई है।अधिक जानकारी के लिए आप हमारे आधिकारिक ग्राहक सेवा नंबर 0120-3645645 पर भी संपर्क कर सकते हैं सादर, टीम स्पाइस मनी</t>
  </si>
  <si>
    <t>2024-03-03 16:45:36</t>
  </si>
  <si>
    <t>ये कंपनी फ्रॉड है।</t>
  </si>
  <si>
    <t>2024-03-03 16:16:54</t>
  </si>
  <si>
    <t>Roshidul Khan Mai apna Distributor se baat kiye the to wo bole ki gmai kar diya hun 10 15 din mein option add ho jaega lekin Abhi Tak nahin hua</t>
  </si>
  <si>
    <t>2024-03-03 16:05:22</t>
  </si>
  <si>
    <t>Roshidul Khan fse nahi samjhe contact number dijiye fse ka</t>
  </si>
  <si>
    <t>2024-03-03 15:59:16</t>
  </si>
  <si>
    <t>Wo Karake Dega</t>
  </si>
  <si>
    <t>2024-03-03 15:57:50</t>
  </si>
  <si>
    <t>Roshidul Khan  2019 me hi liye the</t>
  </si>
  <si>
    <t>2024-03-03 15:57:38</t>
  </si>
  <si>
    <t>Arbaj Alam Mil Jayega Apko , Apke FSE Se Baat Kariye</t>
  </si>
  <si>
    <t>2024-03-03 15:57:32</t>
  </si>
  <si>
    <t>6 Mahina Honi Chahiye Minimum.Tabhi Milega Option</t>
  </si>
  <si>
    <t>2024-03-03 15:56:06</t>
  </si>
  <si>
    <t>6 .7. years</t>
  </si>
  <si>
    <t>2024-03-03 15:56:01</t>
  </si>
  <si>
    <t>Arbaj Alam Id Liye Kitna  Din Huwe</t>
  </si>
  <si>
    <t>2024-03-03 15:55:20</t>
  </si>
  <si>
    <t>Roshidul Khan  sir option so hona chahiye na tab hi na plan ka payment karunga</t>
  </si>
  <si>
    <t>2024-03-03 14:53:17</t>
  </si>
  <si>
    <t>@Sandeemth1 Dear Sir, Greetings! Please share your email id and mobile number in inbox .we'll reach out to you to resolve all your concerns.Regards, Team Spice Money</t>
  </si>
  <si>
    <t>2024-03-03 14:49:47</t>
  </si>
  <si>
    <t>@binod142536 प्रिय महोदय, नमस्कार! आपसे हुई बातचीत के अनुसार ID suspension के संबंध में आपको जानकारी साझा कर दी गई है।अधिक जानकारी के लिए आप हमारे आधिकारिक ग्राहक सेवा नंबर 0120-3645645 पर भी संपर्क कर सकते हैं सादर, टीम स्पाइस मनी</t>
  </si>
  <si>
    <t>2024-03-03 14:45:32</t>
  </si>
  <si>
    <t>Dear Sir, Namaskar! Aapse request hai ki please apna Mobile number &amp; email id hume  inbox me share karein, hamari customer care team aapse jald hi sampark karegi. Regards, Team Spice Money</t>
  </si>
  <si>
    <t>2024-03-03 14:30:03</t>
  </si>
  <si>
    <t>2024-03-03 14:27:15</t>
  </si>
  <si>
    <t>@DangilBabu Dear Sir, Namaskar! Aapse request hai ki please apna Mobile number &amp;amp; email id hume inbox me share karein, hamari customer care team aapse jald hi sampark karegi. Regards, Team Spice Money</t>
  </si>
  <si>
    <t>2024-03-03 14:26:32</t>
  </si>
  <si>
    <t>@himansh90115539 Dear Sir, Greetings! Our customer care officer will get in touch with you shortly. Regards, Team Spice Money</t>
  </si>
  <si>
    <t>2024-03-03 14:24:11</t>
  </si>
  <si>
    <t>@NowBhagatSingh Dear Sir, Greetings! Our customer care officer will get in touch with you shortly. Regards, Team Spice Money</t>
  </si>
  <si>
    <t>2024-03-03 14:23:10</t>
  </si>
  <si>
    <t>Dear Sir, Namaskar!Aapko batana chahenge ki  PAN card service par abhi koi commission nahi hai. Adhik jankari ke liye aap hamare official customer care number 0120-3645645 par bhi sampark kar sakte hain. Regards, Team Spice Money</t>
  </si>
  <si>
    <t>2024-03-03 14:18:54</t>
  </si>
  <si>
    <t>2024-03-03 14:17:04</t>
  </si>
  <si>
    <t>2024-03-03 13:58:21</t>
  </si>
  <si>
    <t>2024-03-03 13:58:05</t>
  </si>
  <si>
    <t>@samirmehar प्रिय महोदय, नमस्कार! हमारे ग्राहक सेवा अधिकारी जल्द ही आपसे संपर्क करेंगे। सादर, टीम स्पाइस मनी</t>
  </si>
  <si>
    <t>2024-03-03 13:57:36</t>
  </si>
  <si>
    <t>2024-03-03 13:56:18</t>
  </si>
  <si>
    <t>NowBhagatSingh</t>
  </si>
  <si>
    <t>Himanshu,BhagatSingh</t>
  </si>
  <si>
    <t>PAYMENT IS SUCEES BUT ON GAS AGENCY OFFICER IS SAYING IS YOUR PAYMNENT IS NOT DONE . 
@BharatBillPay @SpiceMoneyIndia 7303101331 https://t.co/BkxM5ddcLp</t>
  </si>
  <si>
    <t>2024-03-03 13:43:38</t>
  </si>
  <si>
    <t>Patna, india</t>
  </si>
  <si>
    <t>@rama62631</t>
  </si>
  <si>
    <t>Spice money me एक update chahiye</t>
  </si>
  <si>
    <t>2024-03-03 09:09:27</t>
  </si>
  <si>
    <t>@SpiceMoneyIndia @Nitish899762402 Mera bi aise hi dika rha hai kai br complain kiya ta fir vi sahi nhi hua hai</t>
  </si>
  <si>
    <t>2024-03-03 06:05:59</t>
  </si>
  <si>
    <t>2024-03-02</t>
  </si>
  <si>
    <t>Arbaj Alam Yese hi add nhi hota , Plan Lena Padega</t>
  </si>
  <si>
    <t>2024-03-02 22:38:41</t>
  </si>
  <si>
    <t>himansh90115539</t>
  </si>
  <si>
    <t>himanshu singh</t>
  </si>
  <si>
    <t>@SpiceMoneyIndia 
Hello,  I'm himanshu
Contact no. : 7217729371
Hello, I am not complet EKYC able to integrate my aeps I'd can I know what is the problem and why is my name getting spoiled? https://t.co/Vlk4cFC0qg</t>
  </si>
  <si>
    <t>2024-03-02 21:28:58</t>
  </si>
  <si>
    <t>Sector 63, noida</t>
  </si>
  <si>
    <t>@COMMENTS11master</t>
  </si>
  <si>
    <t>Madam ji customer ko cash dene ke liye kahaan se manage kare move to bank nahi kar sakte monthly 10 se 12 lac cash hota hai   
Please help</t>
  </si>
  <si>
    <t>2024-03-02 21:08:40</t>
  </si>
  <si>
    <t>@nanibhaiff143</t>
  </si>
  <si>
    <t>Hi sir SPICE MONEY PORTAL SEY PAN CARD COMMISSION KITHANA MELEGA SIR</t>
  </si>
  <si>
    <t>2024-03-02 20:44:45</t>
  </si>
  <si>
    <t>Mera I'd me nsdl payment Bank CSP add me please</t>
  </si>
  <si>
    <t>2024-03-02 19:51:06</t>
  </si>
  <si>
    <t>binod142536</t>
  </si>
  <si>
    <t>binod singh</t>
  </si>
  <si>
    <t>@NPCI_NPCI dear team spice money company आपका हवाला दे रही हैं, please मेरी I'd sdl173936 को unblock करवाने में आप हम जैसे गरीब आदमी की मदद करे। हमे आप पर भरोसा हैं। मेरे wallet में 25039 rs हैं। please मदद करे। spice money company  बिना नोटिस के मेरा I'd block कर दिया।</t>
  </si>
  <si>
    <t>2024-03-02 18:23:43</t>
  </si>
  <si>
    <t>बिहार, भारत</t>
  </si>
  <si>
    <t>@SpiceMoneyIndia @NPCI_NPCI dear team मेरा id sdl173936 बंद करके, मेरे amount 25039 rs रख लेना कहा का इन्साफ हैं। स्पाइस team और npci team please मेरी wallet राशि को जल्द मेरे account में भेजे, मैं एक गरीब आदमी हूँ। मेरा परिवार इसी पैसे से जीता हैं, इसी रोजी रोटी हैं, मेरा।</t>
  </si>
  <si>
    <t>2024-03-02 17:56:21</t>
  </si>
  <si>
    <t>@SpiceMoneyIndia @NPCI_NPCI एक गरीब आदमी और ईमानदार आदमी का, NPCI का हवाला देकर AEPS ID BLOCK कर देना, कहां का इन्साफ़ हैं, मेरे aeps wallet में 25039 रुपये हैं। कोर्ट भी सजा सबूत के बल पर देती हैं, PLEASE मेरे AMMOUNT को मेरे AACOUNT पर भेजने का कृपा करे। मेरा I'd sdl173936 हैं।</t>
  </si>
  <si>
    <t>2024-03-02 17:40:20</t>
  </si>
  <si>
    <t>Are you unhappy with your current financial situation and in need of cash?💰there’s nothing worse than working hard at a job and watching your entire paycheck get devoured by bills.let’s face it after a while it can become depressing,do you know that your situation can change after this spell?prayers from a good psychic will create a positive financial change.DM me on the Link 🔗🔗
👇👇👇👇
https://www.facebook.com/61556554774680</t>
  </si>
  <si>
    <t>2024-03-02 14:48:43</t>
  </si>
  <si>
    <t>2024-03-02 14:46:18</t>
  </si>
  <si>
    <t>2024-03-02 14:46:07</t>
  </si>
  <si>
    <t>2024-03-02 14:46:01</t>
  </si>
  <si>
    <t>2024-03-02 14:45:52</t>
  </si>
  <si>
    <t>EthYip52011</t>
  </si>
  <si>
    <t>Natalie Yip.eth</t>
  </si>
  <si>
    <t>@SpiceMoneyIndia Hii i think u like this .. :-) https://t.co/L6f3T049Xx 
  Quoted Tweet : @hodoo313 : 🚨EVERYONE can claim 1.000 $PNG🚨
#PANGOLIN promotion phase just started!
1.000 Pangolin ($670) for everyone✅
Here: https://t.co/Ceanenp2dV
Don't forget to like + share! https://t.co/iQkoZIWdTx</t>
  </si>
  <si>
    <t>2024-03-02 14:03:32</t>
  </si>
  <si>
    <t>Mozambique</t>
  </si>
  <si>
    <t>अपने बिजनेस की सुरक्षा के लिए सेफ्टी के सभी नियमों का पालन करें। कभी भी अपने व्हाट्सएप स्क्रीन को किसी भी अनजान व्यक्ति के साथ शेयर ना करें।
#SpiceMoney #WhatsappFraud #FraudAwareness #RuralFintech
#SpiceMoneyTohLifeBani #SpiceMoneyGuarantee https://t.co/EeiC9prUKK</t>
  </si>
  <si>
    <t>2024-03-02 14:03:29</t>
  </si>
  <si>
    <t>एनएसडीएल पेमेंट बैंक का पासबुक डाउनलोडिंग सिस्टम प्लीज दीजिए स्पाइस मनी में</t>
  </si>
  <si>
    <t>2024-03-02 13:06:28</t>
  </si>
  <si>
    <t>@SpiceMoneyIndia could you please confirm how I can change password as my daily limit has been exceeded. Anyone confirm me about it. Tomorrow onwards my password will be expired. https://t.co/KgOyKonr8D</t>
  </si>
  <si>
    <t>2024-03-02 12:57:40</t>
  </si>
  <si>
    <t>@SpiceMoneyIndia could you please confirm how I can change password as my daily limit has been exceeded. Anyone confirm me about it. Tomorrow onwards my password has been expired. https://t.co/SmFYztuPie</t>
  </si>
  <si>
    <t>2024-03-02 12:50:27</t>
  </si>
  <si>
    <t>अपने बिजनेस की सुरक्षा के लिए सेफ्टी के सभी नियमों का पालन करें। कभी भी अपने व्हाट्सएप स्क्रीन को किसी भी अनजान व्यक्ति के साथ शेयर ना करें।
#SpiceMoney #WhatsappFraud #FraudAwareness #RuralFintech 
#SpiceMoneyTohLifeBani #SpiceMoneyGuarantee
अपने बिजनेस की सुरक्षा के लिए सेफ्टी के सभी नियमों का पालन करें। कभी भी अपने व्हाट्सएप स्क्रीन को किसी भी अनजान व्यक्ति के साथ शेयर ना करें।
#SpiceMoney #WhatsappFraud #FraudAwareness #RuralFintech 
#SpiceMoneyTohLifeBani #SpiceMoneyGuarantee</t>
  </si>
  <si>
    <t>2024-03-02 12:16:49</t>
  </si>
  <si>
    <t>@SpiceMoneyIndia i register my account with spice money but my registration still pending n under review please update me as soon as possible.</t>
  </si>
  <si>
    <t>2024-03-02 09:34:14</t>
  </si>
  <si>
    <t>rajeshwwe05</t>
  </si>
  <si>
    <t>Rajesh Wwe</t>
  </si>
  <si>
    <t>Thank you very much for wishing me a happy birthday...🥳🎂
Thank you @SpiceMoneyIndia https://t.co/3MFUwCGU4t</t>
  </si>
  <si>
    <t>2024-03-02 09:06:46</t>
  </si>
  <si>
    <t xml:space="preserve">Kolkata, india </t>
  </si>
  <si>
    <t>@utpaldeka2701</t>
  </si>
  <si>
    <t>How to get Retailer ID</t>
  </si>
  <si>
    <t>2024-03-02 07:59:28</t>
  </si>
  <si>
    <t>kumar_ashi86730</t>
  </si>
  <si>
    <t>Ashish Kumar shukla</t>
  </si>
  <si>
    <t>@SpiceMoneyIndia sma id 118906 suspened as per RBI guiedline My first sma id 46972 is now active but services not active till now
Facing issue with aeps,matm,yes bank ekyc since March 2023 
Aisi service mil rhi spice money me customer service sirf time pas k liye no solution https://t.co/9JlQo7CSKA</t>
  </si>
  <si>
    <t>2024-03-02 07:30:35</t>
  </si>
  <si>
    <t>2024-03-01</t>
  </si>
  <si>
    <t>@sandeepkumarvishwakarma7022</t>
  </si>
  <si>
    <t>Pan is linked with another mobile number 
Ye error kyo baar baar a raha hai ekyc karne me
Jabki mera sahi mobile number link hai.</t>
  </si>
  <si>
    <t>2024-03-01 23:18:22</t>
  </si>
  <si>
    <t>@debeswaroraonroll-399</t>
  </si>
  <si>
    <t>Not widrawal many of central bank</t>
  </si>
  <si>
    <t>2024-03-01 20:44:00</t>
  </si>
  <si>
    <t>अधिकारी हो जाएं तैयार!
शिवरात्रि एवं होली को खास बनाने के लिए तय तारीख के पहले ही मुख्यमंत्री लाडली बहना योजना के तहत, लाभार्थियों के खाते में पैसे जमा हो गए हैं। स्पाइस मनी अधिकारी अपनी जिम्मेदारी उठाएं और AePS व DMT द्वारा कैश विड्राल करने  में उनकी मदद करें।
#SpiceMoney #AePS… https://t.co/A6eEuICY3e</t>
  </si>
  <si>
    <t>2024-03-01 20:14:47</t>
  </si>
  <si>
    <t>अधिकारी हो जाएं तैयार!
शिवरात्रि एवं होली को खास बनाने के लिए तय तारीख के पहले ही मुख्यमंत्री लाडली बहना योजना के तहत, लाभार्थियों के खाते में पैसे जमा हो गए हैं। स्पाइस मनी अधिकारी अपनी जिम्मेदारी उठाएं और AePS व DMT द्वारा कैश विड्राल करने  में उनकी मदद करें।
#SpiceMoney #AePS #mATM #CashWithdrawal #LadliYojna #SpiceMoneyTohLifeBani #SpiceMoneyGuarantee
#RuralFintech #MainAdhikariKhudHoonGuarantee
अधिकारी हो जाएं तैयार!
शिवरात्रि एवं होली को खास बनाने के लिए तय तारीख के पहले ही मुख्यमंत्री लाडली बहना योजना के तहत, लाभार्थियों के खाते में पैसे जमा हो गए हैं। स्पाइस मनी अधिकारी अपनी जिम्मेदारी उठाएं और AePS व DMT द्वारा कैश विड्राल करने  में उनकी मदद करें।
#SpiceMoney #AePS #mATM #CashWithdrawal #LadliYojna #SpiceMoneyTohLifeBani #SpiceMoneyGuarantee
#RuralFintech #MainAdhikariKhudHoonGuarantee</t>
  </si>
  <si>
    <t>2024-03-01 19:13:14</t>
  </si>
  <si>
    <t>@SpiceMoneyIndia 6350249690
rkmehr4509@gmail.com</t>
  </si>
  <si>
    <t>2024-03-01 17:38:03</t>
  </si>
  <si>
    <t>@binod142536 प्रिय महोदय, नमस्कार! आपको हुई असुविधा के लिए हमें खेद है। हमारा ग्राहक सेवा अधिकारी शीघ्र ही आपसे संपर्क करेगा। सादर, टीम स्पाइस मनी</t>
  </si>
  <si>
    <t>2024-03-01 17:15:13</t>
  </si>
  <si>
    <t>@Pankajs19000732 Dear Sir, Namaskar! Aapse request hai ki please apna Mobile number &amp;amp; email id hume inbox me share karein, hamari customer care team aapse jald hi sampark karegi. Regards, Team Spice Money</t>
  </si>
  <si>
    <t>2024-03-01 17:13:08</t>
  </si>
  <si>
    <t>@Nitish899762402 Dear Sir, Greetings! Our customer care officer will get in touch with you shortly. Regards, Team Spice Money</t>
  </si>
  <si>
    <t>2024-03-01 17:11:45</t>
  </si>
  <si>
    <t>@mdsadda27925586 प्रिय महोदय, नमस्कार! हमारे ग्राहक सेवा अधिकारी जल्द ही आपसे संपर्क करेंगे। सादर, टीम स्पाइस मनी</t>
  </si>
  <si>
    <t>2024-03-01 17:10:21</t>
  </si>
  <si>
    <t>2024-03-01 16:55:02</t>
  </si>
  <si>
    <t>@samirmehar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</si>
  <si>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2024-03-01 16:36:23</t>
  </si>
  <si>
    <t>2024-03-01 16:33:20</t>
  </si>
  <si>
    <t>lpuuniversity</t>
  </si>
  <si>
    <t>Lovely Professional University - LPU</t>
  </si>
  <si>
    <t>BluePi, Marsh McLennan, Spice Money, Pepe Jeans, etc., who helped us explore the latest industry trends, shared their invaluable insights, and enlightened us with their expertise and perspectives. 
 #AchieveBIG #ThinkBIG https://t.co/jCZ8Dsfixp</t>
  </si>
  <si>
    <t>2024-03-01 15:45:34</t>
  </si>
  <si>
    <t>@SpiceMoneyIndia पीछले 10 दिनों से सब जगह फोन कर देता कोई हल नहीं खराब सर्विश है कोई ध्यान नहीं देता है
सब यही बोल रहे हे की 2 दिन में हो जायगा लिकिन 10 दिनों से कुश भी नही हूवा है</t>
  </si>
  <si>
    <t>2024-03-01 14:52:18</t>
  </si>
  <si>
    <t>@samirmehar प्रिय महोदय, नमस्कार!आपको बताना चाहेंगे  RBL ekyc अभी Hold पर है, अधिक जानकारी के लिए आप हमारे आधिकारिक ग्राहक सेवा नंबर 0120-3645645 पर भी संपर्क कर सकते हैं। सादर, टीम स्पाइस मनी</t>
  </si>
  <si>
    <t>2024-03-01 14:50:11</t>
  </si>
  <si>
    <t>anwer_raqib</t>
  </si>
  <si>
    <t>Raqib Anwer</t>
  </si>
  <si>
    <t>@SpiceMoneyIndia एक महीना होने वाला है अभी तक मेरा कुछ समाधान नहीं निकला है कृपया करके मेरी मदद करें sdl460764 https://t.co/ko034g3x0P</t>
  </si>
  <si>
    <t>2024-03-01 14:19:50</t>
  </si>
  <si>
    <t>fir se chulu karo bhai</t>
  </si>
  <si>
    <t>2024-03-01 14:03:18</t>
  </si>
  <si>
    <t>Meri Id Band Hai</t>
  </si>
  <si>
    <t>2024-03-01 14:02:54</t>
  </si>
  <si>
    <t>@GoraGora664</t>
  </si>
  <si>
    <t>Good 👍</t>
  </si>
  <si>
    <t>2024-03-01 13:08:58</t>
  </si>
  <si>
    <t>Nitish899762402</t>
  </si>
  <si>
    <t>Nitish</t>
  </si>
  <si>
    <t>@SpiceMoneyIndia spice mony ajent id sdl780866 
Problume please help https://t.co/2MDjBmyQKk</t>
  </si>
  <si>
    <t>2024-03-01 09:00:26</t>
  </si>
  <si>
    <t>2024-02-29</t>
  </si>
  <si>
    <t>mdsadda27925586</t>
  </si>
  <si>
    <t>Mohammad Saddam officel</t>
  </si>
  <si>
    <t>@Travelunion_TU अभी तक मेरा id रिन्युवल नहीं किया गया है जो की तारिख वे28/02/2004 को ₹590 का पेयमेंट हो चुका है मेरा id मै पैसा फंसा हुवा है !
मेरा नाम मोहम्मद सद्दाम अंसारी id no 772894 है @SpiceMoneyIndia @SonuSood https://t.co/ezQxVYcPgH</t>
  </si>
  <si>
    <t>2024-02-29 22:30:33</t>
  </si>
  <si>
    <t>Gurgaon, india</t>
  </si>
  <si>
    <t>@SpiceMoneyIndia  Mera id renuval Abhi tak nahi huwa hai Ticeat book Nahi kar pa raha hun https://t.co/9zAeX5bjo5</t>
  </si>
  <si>
    <t>2024-02-29 21:51:09</t>
  </si>
  <si>
    <t>Pankajs19000732</t>
  </si>
  <si>
    <t>Pankaj saroj</t>
  </si>
  <si>
    <t>@SpiceMoneyIndia Mere daily log in auth 2fa dikha rha hai hai 1 month ho gya distributor ko complain kiyale abhi tak nhi sahi huwa hai</t>
  </si>
  <si>
    <t>2024-02-29 21:19:14</t>
  </si>
  <si>
    <t>@SpiceMoneyIndia Sir 2 gante se apke help line pe contect karne ki kosis kar raha hun ho nh pa rha hai</t>
  </si>
  <si>
    <t>2024-02-29 21:17:35</t>
  </si>
  <si>
    <t>2024-02-29 20:46:44</t>
  </si>
  <si>
    <t>@mrjinboyz5405</t>
  </si>
  <si>
    <t>Can i join spice money</t>
  </si>
  <si>
    <t>2024-02-29 20:41:54</t>
  </si>
  <si>
    <t>@NPCI_NPCI @SpiceMoneyIndia dear npci team,aeps I'd sdl173936 को यह कहकर block कर दिया गया कि, npci ने ही I'd ब्लॉक किया है,और मेरे I'd wallet में 25039 रुपये हैं।dear npci team please मैं गरीब आदमी हू,मेरी मदद करे npci officers, स्पाइस मनी aeps कंपनी ने मुझे npci का हवाला दिया</t>
  </si>
  <si>
    <t>2024-02-29 18:48:24</t>
  </si>
  <si>
    <t>ये कंपनी फ्रॉड है</t>
  </si>
  <si>
    <t>2024-02-29 18:03:36</t>
  </si>
  <si>
    <t>करण मुंढाड़ नथवानियाँ आपका नजदीक में आपका कोई डिस्ट्रीब्यूटर नहीं है</t>
  </si>
  <si>
    <t>2024-02-29 17:56:10</t>
  </si>
  <si>
    <t>2024-02-29 17:19:03</t>
  </si>
  <si>
    <t>@TinkuYadav9334 Dear Sir, Greetings! Hamare grahak sewa adhikari aapse jald hi sampark karenge. Regards, Team Spice Money</t>
  </si>
  <si>
    <t>2024-02-29 17:18:31</t>
  </si>
  <si>
    <t>2024-02-29 17:17:26</t>
  </si>
  <si>
    <t>@Tanveer50190409 प्रिय महोदय, नमस्कार! हमारे ग्राहक सेवा अधिकारी जल्द ही आपसे संपर्क करेंगे। सादर, टीम स्पाइस मनी</t>
  </si>
  <si>
    <t>2024-02-29 17:16:14</t>
  </si>
  <si>
    <t>2024-02-29 17:15:28</t>
  </si>
  <si>
    <t>2024-02-29 17:13:10</t>
  </si>
  <si>
    <t>2024-02-29 17:08:23</t>
  </si>
  <si>
    <t>2024-02-29 17:04:12</t>
  </si>
  <si>
    <t>@iliketodo4185</t>
  </si>
  <si>
    <t>Service activation hua nahi hai 4 months aage he amusement kar dea gaya BNPL QR not working 😡😡😡🤬</t>
  </si>
  <si>
    <t>2024-02-29 16:06:45</t>
  </si>
  <si>
    <t>Irshad Ali mere  rupye fase huye hai</t>
  </si>
  <si>
    <t>2024-02-29 15:31:05</t>
  </si>
  <si>
    <t>Still my id problem not solved</t>
  </si>
  <si>
    <t>2024-02-29 14:44:58</t>
  </si>
  <si>
    <t>मेरी id बंद हो गई है उसका कोई सॉल्यूशन निकले sir</t>
  </si>
  <si>
    <t>2024-02-29 14:34:04</t>
  </si>
  <si>
    <t>Tanveer50190409</t>
  </si>
  <si>
    <t>Tanveer Khan</t>
  </si>
  <si>
    <t>@SpiceMoneyIndia महोदय, मेरे एरिया के लोकल सेल्स प्रतिनिधि के द्वारा हमारी समस्या को नहीं सुना जा रहा है। सेल्स रिप्रेंसेटेटिव के द्वारा लगातार हमारी समस्या को अनसुना करते हुए हमारे कॉल को अटेंड नहीं किया जा रहा है। कृपया आवश्यक सुधारात्मक कार्यवाही करने का कष्ट करें।
अनूपपुर, मध्य प्रदेश।</t>
  </si>
  <si>
    <t>2024-02-29 13:27:54</t>
  </si>
  <si>
    <t xml:space="preserve">Madhya pradesh </t>
  </si>
  <si>
    <t>@ncsreelmix4016</t>
  </si>
  <si>
    <t>Nice</t>
  </si>
  <si>
    <t>2024-02-29 12:37:03</t>
  </si>
  <si>
    <t>@SpiceMoneyIndia मेरी id में RBL kyc शो नही हो रही है
कृपया समाधान करें में पिछले 15 दिनों से समाधान की मांग कर रहा हु</t>
  </si>
  <si>
    <t>2024-02-29 11:56:07</t>
  </si>
  <si>
    <t>@SpiceMoneyIndia अभी तक कोई फोन नही आया हे न
ही कोई समाधान हुवा है</t>
  </si>
  <si>
    <t>2024-02-29 11:52:55</t>
  </si>
  <si>
    <t>TinkuYadav9334</t>
  </si>
  <si>
    <t>Tinku Yadav</t>
  </si>
  <si>
    <t>@SpiceMoneyIndia Sit customer service me bola ki aapki 854202 pin code me id active nahi hogi abhi . To aap bato aage kya kare</t>
  </si>
  <si>
    <t>2024-02-29 11:13:11</t>
  </si>
  <si>
    <t xml:space="preserve">Purnia </t>
  </si>
  <si>
    <t>@TinkuYadav9334 Dear Sir, Greetings! Our customer care officer will get in touch with you shortly. Regards, Team Spice Money</t>
  </si>
  <si>
    <t>2024-02-29 11:11:16</t>
  </si>
  <si>
    <t>Mera to bandh kar rakha hai koi solution nahi huwa . complaint ID1708819916454.ye hai</t>
  </si>
  <si>
    <t>2024-02-29 09:56:48</t>
  </si>
  <si>
    <t>@SpiceMoneyIndia @NPCI_NPCI dear team please help me,महाशय मेरा sdl173936 id ब्लॉक कर दिया गया hai, sir हमलोग गरीब आदमी हैं, please मेरे I'd को ओपन करें। मेरे wallet में 25039 rs हैं। मेरा wallet से मेरा sttelmet वापस करें, please</t>
  </si>
  <si>
    <t>2024-02-29 08:51:00</t>
  </si>
  <si>
    <t>@yogendra_raturi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</si>
  <si>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2024-02-29 08:45:37</t>
  </si>
  <si>
    <t>2024-02-29 08:37:03</t>
  </si>
  <si>
    <t>@binod142536 प्रिय महोदय, नमस्कार! हमारे ग्राहक सेवा अधिकारी जल्द ही आपसे संपर्क करेंगे। सादर, टीम स्पाइस मनी</t>
  </si>
  <si>
    <t>2024-02-29 08:34:37</t>
  </si>
  <si>
    <t>@NPCI_NPCI @SpiceMoneyIndia dear team my ID no sdl173936, आपलोगों ने क्यूँ block Kar दिया हैं ।मैं एक गरीब आदमी हूँ sir, please I'd open Kar दे, ताकि मैं अपने wallet से 25039 rs seelment कर सकूं।</t>
  </si>
  <si>
    <t>2024-02-29 08:14:55</t>
  </si>
  <si>
    <t>yogendra_raturi</t>
  </si>
  <si>
    <t>#Yogi</t>
  </si>
  <si>
    <t>https://t.co/En4uRs5ru7 
  Quoted Tweet : @yogendra_raturi : @ICICIBank @ICICIBank_Care @narendramodi @RBI
@nsitharamanoffc @nsitharaman @SpiceMoneyIndia @jagograhakjago @consumerforum_ मेरी 10k की ट्रांसेक्शन का अभी तक रिफंड नही हुआ हैं कृपया संज्ञान ले ,सभी जानकारियां स्क्रीन सॉर्ट के माध्यम से सलग्न हैं https://t.co/Hlyj42wbzo</t>
  </si>
  <si>
    <t>2024-02-29 08:10:50</t>
  </si>
  <si>
    <t>Garhwal</t>
  </si>
  <si>
    <t>@ICICIBank @ICICIBank_Care @narendramodi @RBI
@nsitharamanoffc @nsitharaman @SpiceMoneyIndia @jagograhakjago @consumerforum_ मेरी 10k की ट्रांसेक्शन का अभी तक रिफंड नही हुआ हैं कृपया संज्ञान ले ,सभी जानकारियां स्क्रीन सॉर्ट के माध्यम से सलग्न हैं https://t.co/Hlyj42wbzo</t>
  </si>
  <si>
    <t>2024-02-29 08:09:40</t>
  </si>
  <si>
    <t>2024-02-28</t>
  </si>
  <si>
    <t>@PremChand-nm5ji</t>
  </si>
  <si>
    <t>Ab new video upload kijiye</t>
  </si>
  <si>
    <t>2024-02-28 22:40:27</t>
  </si>
  <si>
    <t>@sikarwarstudiokheragarh4819</t>
  </si>
  <si>
    <t>सर अगर किसी ग्राहक ने लोन नहीं भरा तो क्या करेगें</t>
  </si>
  <si>
    <t>2024-02-28 22:10:55</t>
  </si>
  <si>
    <t>@SpiceMoneyIndia  dear team प्लीज unblock my I'd sdl173936 , मैं बहुत परेसानी में हूँ, मदद करे सर  मेरे I'd wallets में 25039 rs हैं, मेरा पैसा वापस करें।</t>
  </si>
  <si>
    <t>2024-02-28 20:56:45</t>
  </si>
  <si>
    <t>@SpiceMoneyIndia dear team my ID sdl173936 हैं, मैं लगभग 6 वर्षो से आपके कंपनी से जुड़ा हूं। अचानक मेरा I'd block कर दिया गया हैं, मेरे I'd wallet में 25039 rs हैं, प्लीज मेरे I'd को unblock करें। मैं गरीब रिटेलर हूँ।प्लीज मेरी मदद करे। Please sir help me, I am a poor में। Please</t>
  </si>
  <si>
    <t>2024-02-28 20:54:44</t>
  </si>
  <si>
    <t>@SpiceMoneyIndia आपके कस्टमर केयर को बहुत ईमेल किया है परंतु मैरी समस्या का समाधान नहीं करते और झूठ बोलते हैं कि आपके problem solve हो गई। मैं सारे ईमेल का screenshot लगा रहा हूं। " खराब सर्विस है । " https://t.co/FDqPgc4hLq</t>
  </si>
  <si>
    <t>2024-02-28 20:48:47</t>
  </si>
  <si>
    <t>मेरी id ससपेंड कर दी गयी । पर जो मिनी एटीएम ले रखा है मैंने उसका क्या होगा।</t>
  </si>
  <si>
    <t>2024-02-28 16:49:48</t>
  </si>
  <si>
    <t>भाई बहुत खराब कम्पनी है id भूल कर भी मत लेना  🆔 में पैसा होने के बाद ब्लॉक कर दिया जाएगा id को
मेरा भी यही हुआ है 6 महीने से में कम्पनी को मैल कर रहा हूं कोई जवाब नही देती है  में 2020 से इस कंपनी के साथ कनेक्ट था लेकिन मेरी भी सुनवाई नहीं हो रही है तो आप का क्या होगा</t>
  </si>
  <si>
    <t>2024-02-28 15:42:35</t>
  </si>
  <si>
    <t>करण मुंढाड़ नथवानियाँ प्रॉब्लम्स क्या है</t>
  </si>
  <si>
    <t>2024-02-28 15:31:01</t>
  </si>
  <si>
    <t>Fino se Yes bank ho gaya h ab</t>
  </si>
  <si>
    <t>2024-02-28 15:19:42</t>
  </si>
  <si>
    <t>2024-02-28 15:08:53</t>
  </si>
  <si>
    <t>2024-02-28 15:06:34</t>
  </si>
  <si>
    <t>Dear sir, Greetings! Thank you for your suggestion, we have taken a note of it. Regards, Team Spice Money</t>
  </si>
  <si>
    <t>2024-02-28 15:05:50</t>
  </si>
  <si>
    <t>2024-02-28 15:04:29</t>
  </si>
  <si>
    <t>2024-02-28 15:03:55</t>
  </si>
  <si>
    <t>Muruvet1270965</t>
  </si>
  <si>
    <t>Muruvet</t>
  </si>
  <si>
    <t>@SpiceMoneyIndia Bro! you wont regret to look at this . xD https://t.co/KfnxAd2GTT 
  Quoted Tweet : @hodoo313 : 🚨EVERYONE can claim 1.000 $PNG🚨
#PANGOLIN promotion phase just started!
1.000 Pangolin ($670) for everyone✅
Here: https://t.co/AhUm0He5My
Don't forget to like + share! https://t.co/QSWY5mZI2R</t>
  </si>
  <si>
    <t>2024-02-28 14:48:06</t>
  </si>
  <si>
    <t>अब स्पाइस मनी अधिकारी DMT सर्विस की मदद से भारत के किसी भी कोने में अपने ग्राहकों का इंस्टेंटली मनी ट्रांसफ़र करें और अच्छे कमीशन के साथ अपना व्यापार बढ़ाएं!
#SpiceMoney #SpiceMoneyTohLifeBani #SpiceMoneyGuarantee
#RuralFintech #DMT #MainAdhikariKhudHoonGuarantee https://t.co/Mv01Up11Ev</t>
  </si>
  <si>
    <t>2024-02-28 14:48:02</t>
  </si>
  <si>
    <t>Maine bijali ka bil jama Kiya usmein ek bhi rupya commission nahin mila</t>
  </si>
  <si>
    <t>2024-02-28 14:39:06</t>
  </si>
  <si>
    <t>2024-02-28 14:34:54</t>
  </si>
  <si>
    <t>अब स्पाइस मनी अधिकारी DMT सर्विस की मदद से भारत के किसी भी कोने में अपने ग्राहकों का इंस्टेंटली मनी ट्रांसफ़र करें और अच्छे कमीशन के साथ अपना व्यापार बढ़ाएं!
#SpiceMoney #SpiceMoneyTohLifeBani #SpiceMoneyGuarantee
#RuralFintech #DMT #MainAdhikariKhudHoonGuarantee
अब स्पाइस मनी अधिकारी DMT सर्विस की मदद से भारत के किसी भी कोने में अपने ग्राहकों का इंस्टेंटली मनी ट्रांसफ़र करें और अच्छे कमीशन के साथ अपना व्यापार बढ़ाएं!
#SpiceMoney #SpiceMoneyTohLifeBani #SpiceMoneyGuarantee
#RuralFintech #DMT #MainAdhikariKhudHoonGuarantee</t>
  </si>
  <si>
    <t>2024-02-28 14:32:18</t>
  </si>
  <si>
    <t>SPICE MONEY inbox में भेज दिया</t>
  </si>
  <si>
    <t>2024-02-28 14:31:31</t>
  </si>
  <si>
    <t>Irshad Ali मै तो परेशान हूँ भैया जी</t>
  </si>
  <si>
    <t>2024-02-28 14:29:53</t>
  </si>
  <si>
    <t>2024-02-28 14:27:28</t>
  </si>
  <si>
    <t>Even me also want to apply Aeps + Matm</t>
  </si>
  <si>
    <t>2024-02-28 13:55:14</t>
  </si>
  <si>
    <t>@KapilIndurkahya प्रिय महोदय, नमस्कार! हमारे ग्राहक सेवा अधिकारी जल्द ही आपसे संपर्क करेंगे। सादर, टीम स्पाइस मनी</t>
  </si>
  <si>
    <t>2024-02-28 13:20:23</t>
  </si>
  <si>
    <t>2024-02-28 13:19:43</t>
  </si>
  <si>
    <t>SPICE MONEY 8463802334</t>
  </si>
  <si>
    <t>2024-02-28 13:18:45</t>
  </si>
  <si>
    <t>2024-02-28 13:18:38</t>
  </si>
  <si>
    <t>2024-02-28 13:18:13</t>
  </si>
  <si>
    <t>@SpiceMoneyIndia 
मेरी id में काफ़ी दिनों से समस्या आ रही है जो मेने मेल भी क्या हे और बात भी की पर कोई समाधान नहीं हुवा है RBL e KYC सो नही हो रही है
मेरी 🆔 sdl689356 he https://t.co/8b3mgDwr9L</t>
  </si>
  <si>
    <t>2024-02-28 11:51:32</t>
  </si>
  <si>
    <t>2024-02-28 11:49:32</t>
  </si>
  <si>
    <t>Plz..Incresed your all services commission for retailers..</t>
  </si>
  <si>
    <t>2024-02-28 10:55:06</t>
  </si>
  <si>
    <t>Spice Money kí sabhi sewaon par mamuli sa commission milta hai,koi faayda nhi h,úsé karane me</t>
  </si>
  <si>
    <t>2024-02-28 10:53:13</t>
  </si>
  <si>
    <t>करण मुंढाड़ नथवानियाँ गलत है भाई कोई कंपनी फ्रॉड नहीं होता कुछ रिटेलर के गलती के कारण पैसा कटता है</t>
  </si>
  <si>
    <t>2024-02-28 10:07:42</t>
  </si>
  <si>
    <t>Ezzy pay Retailer id available</t>
  </si>
  <si>
    <t>2024-02-28 09:16:25</t>
  </si>
  <si>
    <t>2024-02-28 08:33:51</t>
  </si>
  <si>
    <t>2024-02-28 08:30:43</t>
  </si>
  <si>
    <t>2024-02-28 00:35:39</t>
  </si>
  <si>
    <t>@RameshChavhan-hx2se</t>
  </si>
  <si>
    <t>Medam ji mujhe id banani hai</t>
  </si>
  <si>
    <t>2024-02-28 00:14:43</t>
  </si>
  <si>
    <t>2024-02-27</t>
  </si>
  <si>
    <t>ID chahiye</t>
  </si>
  <si>
    <t>2024-02-27 21:57:54</t>
  </si>
  <si>
    <t>Bijli bill par koi commision nahi milta hai</t>
  </si>
  <si>
    <t>2024-02-27 20:59:04</t>
  </si>
  <si>
    <t>@ramprakashsahu8336</t>
  </si>
  <si>
    <t>यदि ग्रराहक का आधार  का 3 बार (time ) उपयोग हो चुका हो ,उसके बाद भी आधार पे से पेशे निकाल सकते है ?</t>
  </si>
  <si>
    <t>2024-02-27 20:07:21</t>
  </si>
  <si>
    <t>Suresh Beniwal Munsari  WhatsApp kijiye sir 8145104556</t>
  </si>
  <si>
    <t>2024-02-27 19:23:35</t>
  </si>
  <si>
    <t>Vipin Sailesh SPONSOR ID - 450861</t>
  </si>
  <si>
    <t>2024-02-27 19:19:52</t>
  </si>
  <si>
    <t>Samiul Islam sponcer name kaise milega??</t>
  </si>
  <si>
    <t>2024-02-27 18:58:11</t>
  </si>
  <si>
    <t>Instant pen service kab chalu hoga sir</t>
  </si>
  <si>
    <t>2024-02-27 18:54:53</t>
  </si>
  <si>
    <t>pm kinsna is a spelling mistake</t>
  </si>
  <si>
    <t>2024-02-27 18:19:47</t>
  </si>
  <si>
    <t>स्पाइस money फ्रॉड है</t>
  </si>
  <si>
    <t>2024-02-27 17:44:00</t>
  </si>
  <si>
    <t>Samiul Islam kitna milta h</t>
  </si>
  <si>
    <t>2024-02-27 15:41:29</t>
  </si>
  <si>
    <t>PM किसना सम्मान निधि योजना के अंतर्गत अगली इन्स्टालमेन्ट 28 फरवरी तक किसान भाइयों के बैंक अकाउंट में जमा हो जाएगी। स्पाइस मनी अधिकारी अपनी लाल नीली दुकान से AePS और mATM द्वारा कैश विड्राल करने में अपने ग्राहकों की मदद करें और आकर्षक कमीशन पाएं।
#PMKisanYojana #AePS #mATM… https://t.co/8xViLpH3FA</t>
  </si>
  <si>
    <t>2024-02-27 15:32:21</t>
  </si>
  <si>
    <t>PM किसना सम्मान निधि योजना के अंतर्गत अगली इन्स्टालमेन्ट 28 फरवरी तक किसान भाइयों के बैंक अकाउंट में जमा हो जाएगी। स्पाइस मनी अधिकारी अपनी लाल नीली दुकान से AePS और mATM द्वारा कैश विड्राल करने में अपने ग्राहकों की मदद करें और आकर्षक कमीशन पाएं।
#PMKisanYojana #AePS #mATM #SpiceMoney
PM किसना सम्मान निधि योजना के अंतर्गत अगली इन्स्टालमेन्ट 28 फरवरी तक किसान भाइयों के बैंक अकाउंट में जमा हो जाएगी। स्पाइस मनी अधिकारी अपनी लाल नीली दुकान से AePS और mATM द्वारा कैश विड्राल करने में अपने ग्राहकों की मदद करें और आकर्षक कमीशन पाएं।
#PMKisanYojana #AePS #mATM #SpiceMoney</t>
  </si>
  <si>
    <t>2024-02-27 15:30:57</t>
  </si>
  <si>
    <t>Vipin Sailesh Myrecharge Simbio app use kijiye 
https://play.google.com/store/apps/details?id=com.app.myrechargesimbio</t>
  </si>
  <si>
    <t>2024-02-27 15:05:50</t>
  </si>
  <si>
    <t>@sneh800031671 Dear Sir, Greetings! We are trying to contact you but your number is not contactable. Please share your contact details and suitable times. Regards, Team Spice Money</t>
  </si>
  <si>
    <t>2024-02-27 14:40:14</t>
  </si>
  <si>
    <t>Bijli bill pe instant commition nhi ata है</t>
  </si>
  <si>
    <t>2024-02-27 13:26:40</t>
  </si>
  <si>
    <t>स्पाइस मनी अधिकारी BBPS सर्विस द्वारा अपने ग्राहकों के बिजली बिल, पानी बिल, गैस बिल, ब्रॉडबैंड बिल, FasTag रिचार्ज, इन्शुरन्स प्रीमियम आदि के भुगतान को आसान बनाएं और इंस्टेंट कमीशन पाएं!
#SpiceMoney #SpiceMoneyTohLifeBani #SpiceMoneyGuarantee
#RuralFintech #BBPS #Recharge… https://t.co/YGfNXSv3lq</t>
  </si>
  <si>
    <t>2024-02-27 13:21:01</t>
  </si>
  <si>
    <t>स्पाइस मनी अधिकारी BBPS सर्विस द्वारा अपने ग्राहकों के बिजली बिल, पानी बिल, गैस बिल, ब्रॉडबैंड बिल, FasTag रिचार्ज, इन्शुरन्स प्रीमियम आदि के भुगतान को आसान बनाएं और इंस्टेंट कमीशन पाएं!
#SpiceMoney #SpiceMoneyTohLifeBani #SpiceMoneyGuarantee
#RuralFintech #BBPS #Recharge #MainAdhikariKhudHoonGuarantee
स्पाइस मनी अधिकारी BBPS सर्विस द्वारा अपने ग्राहकों के बिजली बिल, पानी बिल, गैस बिल, ब्रॉडबैंड बिल, FasTag रिचार्ज, इन्शुरन्स प्रीमियम आदि के भुगतान को आसान बनाएं और इंस्टेंट कमीशन पाएं!
#SpiceMoney #SpiceMoneyTohLifeBani #SpiceMoneyGuarantee
#RuralFintech #BBPS #Recharge #MainAdhikariKhudHoonGuarantee</t>
  </si>
  <si>
    <t>2024-02-27 13:20:22</t>
  </si>
  <si>
    <t>स्पाइस मनीफ्रॉड है। जम्प के पैसे वापस नही देगी।
इसमें कोई सुनवाई करने वाला नही है। 
I hate you spice money</t>
  </si>
  <si>
    <t>2024-02-27 11:06:23</t>
  </si>
  <si>
    <t>UTIPANServices</t>
  </si>
  <si>
    <t>UTIITSL-PANCardServices</t>
  </si>
  <si>
    <t>@kanaknathghy @SpiceMoneyIndia @IncomeTaxIndia We are verifying in our records and confirm.</t>
  </si>
  <si>
    <t>2024-02-27 10:01:57</t>
  </si>
  <si>
    <t>Navi mumbai, india</t>
  </si>
  <si>
    <t>@SpiceMoneyIndia please confirm @TheOfficialSBI  SBI #aeps not working ? https://t.co/Qx1DE9qxJK</t>
  </si>
  <si>
    <t>2024-02-27 09:40:02</t>
  </si>
  <si>
    <t>2024-02-27 09:33:57</t>
  </si>
  <si>
    <t>2024-02-27 09:29:50</t>
  </si>
  <si>
    <t>2024-02-27 09:29:23</t>
  </si>
  <si>
    <t>@SpiceMoneyIndia  @YESBANK could you please confirm why yes bank aggregator has been removed ? I'm facing adhar authentication error at the time of AEPS dual authentication. Please add yes bank aggregator in my ID &amp;amp; take this action ASAP due to this AEPS service is not working . https://t.co/Tpz6jW40Uu</t>
  </si>
  <si>
    <t>2024-02-27 07:11:29</t>
  </si>
  <si>
    <t>@lakhansinghtanwar8098</t>
  </si>
  <si>
    <t>Awesome information 👍🏻</t>
  </si>
  <si>
    <t>2024-02-27 00:51:02</t>
  </si>
  <si>
    <t>2024-02-26</t>
  </si>
  <si>
    <t>@vinodmishravlogs..</t>
  </si>
  <si>
    <t>Good information👏👏👌👌</t>
  </si>
  <si>
    <t>2024-02-26 22:32:31</t>
  </si>
  <si>
    <t>2024-02-26 22:17:47</t>
  </si>
  <si>
    <t>तुमने ही फ्रॉड कर लिया मेरी स्पाइस मनी id बैन कर दी उसमे मेरे 6040 रुपये थे वलेट में। plzz हेल्प</t>
  </si>
  <si>
    <t>2024-02-26 21:46:42</t>
  </si>
  <si>
    <t>2024-02-26 21:25:31</t>
  </si>
  <si>
    <t>2024-02-26 18:20:35</t>
  </si>
  <si>
    <t>IncomeTaxIndia</t>
  </si>
  <si>
    <t>Income Tax India</t>
  </si>
  <si>
    <t>@kanaknathghy @SpiceMoneyIndia @UTIPANServices Dear @kanaknathghy,
We have forwarded your application acknowledgement number to the team concerned. They are looking into this.</t>
  </si>
  <si>
    <t>2024-02-26 17:09:21</t>
  </si>
  <si>
    <t>Sir/maim 
Meri id sdl304453
Suspended kr di gyi bina wjah btaaye.
Wallet me mere 6043 rupye bhi pade hai plzzz Help</t>
  </si>
  <si>
    <t>2024-02-26 16:46:46</t>
  </si>
  <si>
    <t>@kanaknathghy Dear Sir, Greetings! Our customer care officer will get in touch with you shortly. Regards, Team Spice Money</t>
  </si>
  <si>
    <t>2024-02-26 16:20:22</t>
  </si>
  <si>
    <t>2024-02-26 16:19:12</t>
  </si>
  <si>
    <t>2024-02-26 16:17:47</t>
  </si>
  <si>
    <t>@ashukm Dear Sir, Greetings! Hamare grahak sewa adhikari aapse jald hi sampark karenge. Regards, Team Spice Money</t>
  </si>
  <si>
    <t>2024-02-26 16:16:50</t>
  </si>
  <si>
    <t>2024-02-26 16:07:56</t>
  </si>
  <si>
    <t>@anoopmishra99 Dear Sir, Namaskar! Aapse request hai ki please apna Mobile number &amp;amp; email id hume inbox me share karein, hamari customer care team aapse jald hi sampark karegi. Regards, Team Spice Money</t>
  </si>
  <si>
    <t>2024-02-26 16:07:23</t>
  </si>
  <si>
    <t>kanaknathghy</t>
  </si>
  <si>
    <t>Kanak Nath</t>
  </si>
  <si>
    <t>@SpiceMoneyIndia @UTIPANServices @IncomeTaxIndia  Pan Card Status Showed: Payment not received kindly look into the matter, 
Pan Application No: A089446938
Payment Ref: 29062424025515467945 / PY0124855973
Payment Date: 24/02/2024  Rs.107.00/-
User: 518692 https://t.co/yzZd3SCXR5</t>
  </si>
  <si>
    <t>2024-02-26 16:02:32</t>
  </si>
  <si>
    <t>Maligaon guwahati as  indian</t>
  </si>
  <si>
    <t>2024-02-26 16:01:14</t>
  </si>
  <si>
    <t>@amandwi39776875 प्रिय महोदय, नमस्कार! हम आपसे संपर्क करने का प्रयास कर रहे हैं लेकिन आपका नंबर संपर्क योग्य नहीं है। कृपया अपना संपर्क विवरण और उपयुक्त समय साझा करें। सादर, टीम स्पाइस मनी</t>
  </si>
  <si>
    <t>2024-02-26 15:00:55</t>
  </si>
  <si>
    <t>2024-02-26 12:53:47</t>
  </si>
  <si>
    <t>QR कोड से होने वाले फ्रॉड से सावधान रहे!
पूरी जानकारी के लिए लिंक https://youtu.be/E60Uf3Li52g?feature=shared पर क्लिक करे I 
#SpiceSatark #FraudWarning #SpiceMoney</t>
  </si>
  <si>
    <t>2024-02-26 11:48:21</t>
  </si>
  <si>
    <t>QR कोड से होने वाले फ्रॉड से सावधान रहे!
पूरी जानकारी के लिए लिंक https://t.co/7ZBn7IdeLJ पर क्लिक करे I 
#SpiceSatark #FraudWarning #SpiceMoney https://t.co/OplV27KxRS</t>
  </si>
  <si>
    <t>2024-02-26 11:48:14</t>
  </si>
  <si>
    <t>@SpiceMoneyIndia after 2month my problem is never solved</t>
  </si>
  <si>
    <t>2024-02-26 11:04:35</t>
  </si>
  <si>
    <t>Spice Money Mini ATM credit card ki limit 2 lac/ month hai...iski limit badhaye..aur amt spice money ke wallet me instant ana chahiye na ki dusare din link acct me...</t>
  </si>
  <si>
    <t>2024-02-26 10:21:36</t>
  </si>
  <si>
    <t>anoopmishra99</t>
  </si>
  <si>
    <t>Anoop Mishra 🇮🇳</t>
  </si>
  <si>
    <t>@SpiceMoneyIndia  Sir 21 tarik se id active kara raha hu par koi bhi active nahi kar raha hai please activate kara dijiye https://t.co/V0bO82XL6v</t>
  </si>
  <si>
    <t>2024-02-26 09:02:49</t>
  </si>
  <si>
    <t>Koraon, prayagraj,up 212306</t>
  </si>
  <si>
    <t>2024-02-26 08:20:46</t>
  </si>
  <si>
    <t>2024-02-26 08:11:57</t>
  </si>
  <si>
    <t>2024-02-26 08:11:39</t>
  </si>
  <si>
    <t>2024-02-26 07:46:49</t>
  </si>
  <si>
    <t>2024-02-25</t>
  </si>
  <si>
    <t>@Lofi_song_05331</t>
  </si>
  <si>
    <t>Mujhe 13 tak commission nhi mil rha</t>
  </si>
  <si>
    <t>2024-02-25 23:52:27</t>
  </si>
  <si>
    <t>Id chahiye sr</t>
  </si>
  <si>
    <t>2024-02-25 19:36:08</t>
  </si>
  <si>
    <t>@amit443322</t>
  </si>
  <si>
    <t>How to register</t>
  </si>
  <si>
    <t>2024-02-25 14:18:15</t>
  </si>
  <si>
    <t>@karigalmariya</t>
  </si>
  <si>
    <t>Nahi ho raha hai finger nahi le raha hai</t>
  </si>
  <si>
    <t>2024-02-25 13:07:03</t>
  </si>
  <si>
    <t>@vikkysingh719</t>
  </si>
  <si>
    <t>Jis customer ka aadhar me mobile number nahi juda hai uska kaise khata khulega</t>
  </si>
  <si>
    <t>2024-02-25 07:16:18</t>
  </si>
  <si>
    <t>2024-02-24</t>
  </si>
  <si>
    <t>@kiranmurmu4595</t>
  </si>
  <si>
    <t>Priya spice money team ,
Jab nsdl jiffty app me free me self account open horaha he to.. customer kyun paisa (118rs) deke humse account kulwayega..??</t>
  </si>
  <si>
    <t>2024-02-24 22:57:50</t>
  </si>
  <si>
    <t>@kshakti578 Dear Sir, Namaskar! Aapse request hai ki please apna Mobile number &amp;amp; email id hume inbox me share karein, hamari customer care team aapse jald hi sampark karegi. Regards, Team Spice Money</t>
  </si>
  <si>
    <t>2024-02-24 17:05:32</t>
  </si>
  <si>
    <t>@SheikhSaheb16 Dear Sir, Greetings! Our customer care officer will get in touch with you shortly. Regards, Team Spice Money</t>
  </si>
  <si>
    <t>2024-02-24 17:03:33</t>
  </si>
  <si>
    <t>2024-02-24 17:00:26</t>
  </si>
  <si>
    <t>amandwi39776875</t>
  </si>
  <si>
    <t>🇮🇳🇮🇳🇮🇳❣️अमन द्विवेदी (अगस्त क्रांति सदस्य</t>
  </si>
  <si>
    <t>@SpiceMoneyIndia 5 माह से परेशान हु आज तक ठीक नही हुआ हजार वार जीमेल हजार वार कॉल। लेकिन मिला है तो सिर्फ़ तारिक पूरे बिजनेश की नाश हो गया स्पाइस मनी की वजह से https://t.co/GgYMagevRA</t>
  </si>
  <si>
    <t>2024-02-24 16:58:46</t>
  </si>
  <si>
    <t>ग्राम पंचायत अल्हौवा</t>
  </si>
  <si>
    <t>2024-02-24 16:57:47</t>
  </si>
  <si>
    <t>@ramdaschaudhari3432</t>
  </si>
  <si>
    <t>Not service pack  available on my account</t>
  </si>
  <si>
    <t>2024-02-24 12:57:47</t>
  </si>
  <si>
    <t>SheikhSaheb16</t>
  </si>
  <si>
    <t>Sheikh Saheb</t>
  </si>
  <si>
    <t>@Travelunion_TU Refund for 14-Feb flight is still not received. As per @airvistara it is you who has to process, see the below email on which you are also marked.
@SonuSood 
@SpiceMoneyIndia 
@DGCAIndia 
@MoCA_GoI https://t.co/FXqxS1cqdS</t>
  </si>
  <si>
    <t>2024-02-24 12:20:34</t>
  </si>
  <si>
    <t>kshakti578</t>
  </si>
  <si>
    <t>shakti kumar</t>
  </si>
  <si>
    <t>@SpiceMoneyIndia  Ye samasya Pichhle 2 mahine se pareshan hu kitne bar customer care sampark lekin iska hal abtk nahi nikal paya https://t.co/J4DkQXp4g8</t>
  </si>
  <si>
    <t>2024-02-24 10:23:09</t>
  </si>
  <si>
    <t>Bekar id hai or bakwas company
Koi bhi problem solve nehi hota</t>
  </si>
  <si>
    <t>2024-02-24 10:03:39</t>
  </si>
  <si>
    <t>स्पाइस मनी mATM ने रूरल इंडिया के फाइनेंशियल ट्रांसेक्शन सिस्टम में क्रांति लाने का काम किया है। आप भी इस बदलाव का हिस्सा बनें और गर्व के साथ अपनी दुकान पर आए ग्राहकों को mATM की सर्विस दें।
#SpiceMoney #SpiceMoneyTohLifeBani #SpiceMoneyGuarantee
#RuralFintech #mATM #MainAdhikariKhudHoonGuarantee
स्पाइस मनी mATM ने रूरल इंडिया के फाइनेंशियल ट्रांसेक्शन सिस्टम में क्रांति लाने का काम किया है। आप भी इस बदलाव का हिस्सा बनें और गर्व के साथ अपनी दुकान पर आए ग्राहकों को mATM की सर्विस दें।
#SpiceMoney #SpiceMoneyTohLifeBani #SpiceMoneyGuarantee
#RuralFintech #mATM #MainAdhikariKhudHoonGuarantee</t>
  </si>
  <si>
    <t>2024-02-24 09:00:10</t>
  </si>
  <si>
    <t>eth_david86163</t>
  </si>
  <si>
    <t>David.eth</t>
  </si>
  <si>
    <t>@SpiceMoneyIndia Big business 🤩 https://t.co/rsSc6tNSJV 
  Quoted Tweet : @TheFameMaker_ : $CDOGE AIRDROP IS LIVE!🚨
The Airdrop phase of the $CDOGE distribution has started✅
Website: https://t.co/xetqn8pMZ8
1 000 People are able to claim a random amount between $200 - $2 000 of $CDOGE.
Every #crypto holder is eligible to claim!
Don't forget to like + share ♥️ https://t.co/NOuw5KcE8b</t>
  </si>
  <si>
    <t>2024-02-24 09:00:06</t>
  </si>
  <si>
    <t>Singapore</t>
  </si>
  <si>
    <t>स्पाइस मनी mATM ने रूरल इंडिया के फाइनेंशियल ट्रांसेक्शन सिस्टम में क्रांति लाने का काम किया है। आप भी इस बदलाव का हिस्सा बनें और गर्व के साथ अपनी दुकान पर आए ग्राहकों को mATM की सर्विस दें।
#SpiceMoney #SpiceMoneyTohLifeBani #SpiceMoneyGuarantee
#RuralFintech #mATM https://t.co/IAUmdSg3Bx</t>
  </si>
  <si>
    <t>2024-02-24 09:00:00</t>
  </si>
  <si>
    <t>2024-02-24 08:46:03</t>
  </si>
  <si>
    <t>2024-02-23</t>
  </si>
  <si>
    <t>@user-ke6hd2wg9s</t>
  </si>
  <si>
    <t>Meri id me acount opening nhi arha sir please 🙏🏻 help me</t>
  </si>
  <si>
    <t>2024-02-23 23:17:10</t>
  </si>
  <si>
    <t>@REHALSCLASSES</t>
  </si>
  <si>
    <t>linux par aeps kese use kare....... windows to update hi hoti rehti hai. naye naye pc lete rahenge to kaam kb krenge</t>
  </si>
  <si>
    <t>2024-02-23 21:14:34</t>
  </si>
  <si>
    <t>UPI ने AEPS के धंदे को ख़तम कर दिया है तो अब AEPS संचालक क्या करेंगे ? roinet,spice money,fino bank</t>
  </si>
  <si>
    <t>2024-02-23 19:43:52</t>
  </si>
  <si>
    <t>Fraud Company</t>
  </si>
  <si>
    <t>2024-02-23 19:09:08</t>
  </si>
  <si>
    <t>Thankyou,
Spice Money Team.
Thank you very much for contacting.</t>
  </si>
  <si>
    <t>2024-02-23 18:31:19</t>
  </si>
  <si>
    <t>ChintooMukund</t>
  </si>
  <si>
    <t>Mukund Lal Chintoo</t>
  </si>
  <si>
    <t>@SpiceMoneyIndia Ok</t>
  </si>
  <si>
    <t>2024-02-23 17:45:32</t>
  </si>
  <si>
    <t>Shukla bazar ambedkar nagar up</t>
  </si>
  <si>
    <t>2024-02-23 17:42:22</t>
  </si>
  <si>
    <t>@ChintooMukund Dear Sir, Greetings! Our customer care officer will get in touch with you shortly. Regards, Team Spice Money</t>
  </si>
  <si>
    <t>2024-02-23 17:41:31</t>
  </si>
  <si>
    <t>प्रिय महोदय, नमस्कार! हम आपसे संपर्क करने का प्रयास कर रहे हैं लेकिन आपका नंबर संपर्क योग्य नहीं है। कृपया अपना संपर्क विवरण और उपयुक्त समय साझा करें। सादर, टीम स्पाइस मनी</t>
  </si>
  <si>
    <t>2024-02-23 17:05:38</t>
  </si>
  <si>
    <t>Credit card se payment nikalane par payment link acctvme jata hai..wo bhi dusare din...to koi comission base par kam kaise karega...customer ko payment karo aur 1 din wait karo..it should be instant credited in spice money wallet ...</t>
  </si>
  <si>
    <t>2024-02-23 17:02:30</t>
  </si>
  <si>
    <t>@SpiceMoneyIndia dear sir very big fault Bhim adhar pay settlement.</t>
  </si>
  <si>
    <t>2024-02-23 17:00:01</t>
  </si>
  <si>
    <t>2024-02-23 16:56:55</t>
  </si>
  <si>
    <t>2024-02-23 16:56:09</t>
  </si>
  <si>
    <t>2024-02-23 16:53:21</t>
  </si>
  <si>
    <t>2024-02-23 16:46:45</t>
  </si>
  <si>
    <t>2024-02-23 16:42:59</t>
  </si>
  <si>
    <t>बेस्ट कमीशन ऑफ़र के साथ स्पाइस मनी AePS देता है तरक्की की गारंटी। आप भी AePS सर्विस अपनाएं और अपने ग्राहकों के साथ साथ अपनी भी लाइफ बनाएं।
#SpiceMoney #SpiceMoneyTohLifeBani #SpiceMoneyGuarantee
#RuralFintech #mATM #MainAdhikariKhudHoonGuarantee https://t.co/eeySnq5mTb</t>
  </si>
  <si>
    <t>2024-02-23 13:28:26</t>
  </si>
  <si>
    <t>बेस्ट कमीशन ऑफ़र के साथ स्पाइस मनी AePS देता है तरक्की की गारंटी। आप भी AePS सर्विस अपनाएं और अपने ग्राहकों के साथ साथ अपनी भी लाइफ बनाएं।
#SpiceMoney #SpiceMoneyTohLifeBani #SpiceMoneyGuarantee
#RuralFintech #mATM #MainAdhikariKhudHoonGuarantee
बेस्ट कमीशन ऑफ़र के साथ स्पाइस मनी AePS देता है तरक्की की गारंटी। आप भी AePS सर्विस अपनाएं और अपने ग्राहकों के साथ साथ अपनी भी लाइफ बनाएं।
#SpiceMoney #SpiceMoneyTohLifeBani #SpiceMoneyGuarantee
#RuralFintech #mATM #MainAdhikariKhudHoonGuarantee</t>
  </si>
  <si>
    <t>2024-02-23 13:26:22</t>
  </si>
  <si>
    <t>@barnwalritesh2424</t>
  </si>
  <si>
    <t>Dear spice money I create my I'd please help me</t>
  </si>
  <si>
    <t>2024-02-23 10:53:08</t>
  </si>
  <si>
    <t>@pankaj5471</t>
  </si>
  <si>
    <t>Muje spice money ki id chahiye</t>
  </si>
  <si>
    <t>2024-02-23 09:53:31</t>
  </si>
  <si>
    <t>@mdausafjee8650</t>
  </si>
  <si>
    <t>Jitna service hai es mai total nhi chalta h</t>
  </si>
  <si>
    <t>2024-02-23 08:25:07</t>
  </si>
  <si>
    <t>Jiten Sindhu
https://t.me/+ULELZ8dPM4h4K2N6</t>
  </si>
  <si>
    <t>2024-02-23 01:19:33</t>
  </si>
  <si>
    <t>https://t.me/+ULELZ8dPM4h4K2N6</t>
  </si>
  <si>
    <t>2024-02-23 01:19:23</t>
  </si>
  <si>
    <t>Veer Singh Lodhi
https://t.me/+ULELZ8dPM4h4K2N6</t>
  </si>
  <si>
    <t>2024-02-23 01:18:41</t>
  </si>
  <si>
    <t>Shivam Patel
https://t.me/+ULELZ8dPM4h4K2N6</t>
  </si>
  <si>
    <t>2024-02-23 01:18:34</t>
  </si>
  <si>
    <t>Vinod Pandey
https://t.me/+ULELZ8dPM4h4K2N6</t>
  </si>
  <si>
    <t>2024-02-23 01:18:28</t>
  </si>
  <si>
    <t>Chintu Bhoi
https://t.me/+ULELZ8dPM4h4K2N6</t>
  </si>
  <si>
    <t>2024-02-23 01:18:23</t>
  </si>
  <si>
    <t>Bipin Kumar
https://t.me/+ULELZ8dPM4h4K2N6</t>
  </si>
  <si>
    <t>2024-02-23 01:18:11</t>
  </si>
  <si>
    <t>2024-02-22</t>
  </si>
  <si>
    <t>स्पाइस मनी को चाहिए एनएसडीएल पेमेंट बैंक का पासबुक डाउनलोडिंग का सिस्टम ऑप्शन में डालिए</t>
  </si>
  <si>
    <t>2024-02-22 23:28:38</t>
  </si>
  <si>
    <t>Chintu Bhoi ईजीपे आईडी के लिए कांटेक्ट करें</t>
  </si>
  <si>
    <t>2024-02-22 23:27:52</t>
  </si>
  <si>
    <t>mahendranivesh</t>
  </si>
  <si>
    <t>Nivesh Jain</t>
  </si>
  <si>
    <t>@IamDilipModi @SpiceMoneyIndia Great going sir , hope good days for shareholders are very soon ahead
Have been waiting patiently 
Expecting the best to best</t>
  </si>
  <si>
    <t>2024-02-22 23:19:43</t>
  </si>
  <si>
    <t>Bharat</t>
  </si>
  <si>
    <t>@dubrajram1275</t>
  </si>
  <si>
    <t>Email me kitna ghante me pdf aa jata hai</t>
  </si>
  <si>
    <t>2024-02-22 20:49:21</t>
  </si>
  <si>
    <t>2024-02-22 20:27:45</t>
  </si>
  <si>
    <t>I'd like</t>
  </si>
  <si>
    <t>2024-02-22 18:37:19</t>
  </si>
  <si>
    <t>Dear Sir, Greetings! Please share your contact details on our official customer care email customercare@spicemoney.com or contact on our official customer care number 0120-3645645 , we'll reach out to you to resolve all your concerns. Without your contact details  we are unable to help you.Regards, Team Spice Money</t>
  </si>
  <si>
    <t>2024-02-22 17:27:37</t>
  </si>
  <si>
    <t>Chori se kya batana hai aapko mobile no lekar, Jo batana hai wo yaha sab ke samne btao mitr</t>
  </si>
  <si>
    <t>2024-02-22 17:23:56</t>
  </si>
  <si>
    <t>2024-02-22 17:18:12</t>
  </si>
  <si>
    <t>2024-02-22 17:17:31</t>
  </si>
  <si>
    <t>2024-02-22 17:17:01</t>
  </si>
  <si>
    <t>2024-02-22 17:16:30</t>
  </si>
  <si>
    <t>2024-02-22 17:16:19</t>
  </si>
  <si>
    <t>2024-02-22 17:15:31</t>
  </si>
  <si>
    <t>2024-02-22 17:15:12</t>
  </si>
  <si>
    <t>2024-02-22 17:12:55</t>
  </si>
  <si>
    <t>2024-02-22 17:12:39</t>
  </si>
  <si>
    <t>2024-02-22 17:10:25</t>
  </si>
  <si>
    <t>2024-02-22 17:09:44</t>
  </si>
  <si>
    <t>2024-02-22 17:08:24</t>
  </si>
  <si>
    <t>प्रिय महोदय, नमस्कार! आपको हुई असुविधा के लिए हमें खेद है। हमारा ग्राहक सेवा अधिकारी शीघ्र ही आपसे संपर्क करेगा। सादर, टीम स्पाइस मनी</t>
  </si>
  <si>
    <t>2024-02-22 17:06:03</t>
  </si>
  <si>
    <t>1000 मैसेज कर चुका हूं</t>
  </si>
  <si>
    <t>2024-02-22 16:44:27</t>
  </si>
  <si>
    <t>मेरी हेल्प नहीं हो रही है</t>
  </si>
  <si>
    <t>2024-02-22 16:43:58</t>
  </si>
  <si>
    <t>Post paid recharge pe bhi nhi milta hai commission</t>
  </si>
  <si>
    <t>2024-02-22 16:08:32</t>
  </si>
  <si>
    <t>Spice Money is becoming fraudulent jumping transactions amount is not getting returned be careful with spice money</t>
  </si>
  <si>
    <t>2024-02-22 15:47:03</t>
  </si>
  <si>
    <t>IRCTC I'd me date se pehele renewal charges kat gya</t>
  </si>
  <si>
    <t>2024-02-22 15:21:10</t>
  </si>
  <si>
    <t>नम्बर जो देते हैं ओ दूसरे फ़ोन से लगता ही नहीं है क्योंकि मेरा रजिस्टेट नम्बर बन्द हो गया है</t>
  </si>
  <si>
    <t>2024-02-22 14:04:21</t>
  </si>
  <si>
    <t>मेरा नम्बर बन्द हो गया 100 से 200 मैसेज भेज चुका हूं लेकिन कोई हेल्प नहीं हुई</t>
  </si>
  <si>
    <t>2024-02-22 14:02:20</t>
  </si>
  <si>
    <t>Fraud hota h</t>
  </si>
  <si>
    <t>2024-02-22 12:40:19</t>
  </si>
  <si>
    <t>Bil payment pay commission to milta nahin jhooth kyon bol rahe</t>
  </si>
  <si>
    <t>2024-02-22 11:38:48</t>
  </si>
  <si>
    <t>Bil payment par kab se commission Dene Lage aap</t>
  </si>
  <si>
    <t>2024-02-22 11:36:43</t>
  </si>
  <si>
    <t>स्पाइस मनी BBPS देता है हायर और इंस्टेंट कमीशन की गारंटी। जमकर अपने ग्राहकों के यूटिलिटी बिल और ईएमआई का भुगतान कराएं और कमाएं।
#SpiceMoney #SpiceMoneyTohLifeBani #SpiceMoneyGuarantee
#RuralFintech #BBPS #Recharge #MainAdhikariKhudHoonGuarantee https://t.co/rfdR38IckV</t>
  </si>
  <si>
    <t>2024-02-22 11:31:51</t>
  </si>
  <si>
    <t>स्पाइस मनी BBPS देता है हायर और इंस्टेंट कमीशन की गारंटी। जमकर अपने ग्राहकों के यूटिलिटी बिल और ईएमआई का भुगतान कराएं और कमाएं।
#SpiceMoney #SpiceMoneyTohLifeBani #SpiceMoneyGuarantee
#RuralFintech #BBPS #Recharge #MainAdhikariKhudHoonGuarantee
स्पाइस मनी BBPS देता है हायर और इंस्टेंट कमीशन की गारंटी। जमकर अपने ग्राहकों के यूटिलिटी बिल और ईएमआई का भुगतान कराएं और कमाएं।
#SpiceMoney #SpiceMoneyTohLifeBani #SpiceMoneyGuarantee
#RuralFintech #BBPS #Recharge #MainAdhikariKhudHoonGuarantee</t>
  </si>
  <si>
    <t>2024-02-22 11:31:05</t>
  </si>
  <si>
    <t>Kuch samja nehi</t>
  </si>
  <si>
    <t>2024-02-22 10:10:47</t>
  </si>
  <si>
    <t>@jiaraj9338</t>
  </si>
  <si>
    <t>Err. Login auth failed or no 2fa login 
Problem solved please</t>
  </si>
  <si>
    <t>2024-02-22 09:13:39</t>
  </si>
  <si>
    <t>SPICE MONEY  Mobile No.9559160030 email id - neelkumarverma8276@gmail.com</t>
  </si>
  <si>
    <t>2024-02-22 08:36:03</t>
  </si>
  <si>
    <t>2024-02-22 08:31:36</t>
  </si>
  <si>
    <t>2024-02-22 08:30:56</t>
  </si>
  <si>
    <t>2024-02-22 08:30:33</t>
  </si>
  <si>
    <t>@dhawan_rishu Dear Sir, Greetings! We thank you for the appreciation.Regards, Team Spice Money</t>
  </si>
  <si>
    <t>2024-02-22 08:26:39</t>
  </si>
  <si>
    <t>@praveenkummar Dear Sir, Greetings! Hope you are good .If you have any issue related to our service let us know. Regards, Team Spice Money</t>
  </si>
  <si>
    <t>2024-02-22 08:22:02</t>
  </si>
  <si>
    <t>Meri problem ka solution hoga ya nhi kitni bar likh chuka hu m</t>
  </si>
  <si>
    <t>2024-02-22 06:56:29</t>
  </si>
  <si>
    <t>Sir hamari id par account open karne ka option nahi hai</t>
  </si>
  <si>
    <t>2024-02-22 06:39:56</t>
  </si>
  <si>
    <t>2024-02-21</t>
  </si>
  <si>
    <t>BANK account opening nhi ho rha hai
KISHANGANJ Bihar</t>
  </si>
  <si>
    <t>2024-02-21 23:48:17</t>
  </si>
  <si>
    <t>@hanumeshanayakakuri5787</t>
  </si>
  <si>
    <t>Please tell me</t>
  </si>
  <si>
    <t>2024-02-21 22:41:38</t>
  </si>
  <si>
    <t>Any Problem On Income tax department mam. Iam working in agent on spice Money.</t>
  </si>
  <si>
    <t>2024-02-21 22:41:20</t>
  </si>
  <si>
    <t>2024-02-21 22:39:25</t>
  </si>
  <si>
    <t>क्या है कुछ समझ ही नहीं आ रहा है, साफ साफ क्लियर समझाए,</t>
  </si>
  <si>
    <t>2024-02-21 21:22:49</t>
  </si>
  <si>
    <t>@ManojKumar-gh6gu</t>
  </si>
  <si>
    <t>Paisa ka rick kon lega lutne ka batye</t>
  </si>
  <si>
    <t>2024-02-21 20:44:19</t>
  </si>
  <si>
    <t>Dubai sab ka trip dijiye retailer ko tab mja aayega kaam karne me</t>
  </si>
  <si>
    <t>2024-02-21 20:10:54</t>
  </si>
  <si>
    <t>@qadrimisbahinetwork1648</t>
  </si>
  <si>
    <t>Mantra device instant pan card me work nahin karta h</t>
  </si>
  <si>
    <t>2024-02-21 19:01:03</t>
  </si>
  <si>
    <t>Koi trip dete h nhi h</t>
  </si>
  <si>
    <t>2024-02-21 18:52:40</t>
  </si>
  <si>
    <t>@sangitavlogs3311</t>
  </si>
  <si>
    <t>Instant pan card ka payment kar diyan hai portal me instant pan ka option nhi diya hai</t>
  </si>
  <si>
    <t>2024-02-21 18:52:15</t>
  </si>
  <si>
    <t>dhawan_rishu</t>
  </si>
  <si>
    <t>rishu dhawan</t>
  </si>
  <si>
    <t>More power to Spice Money..Best wishes for making an impact on Bharat! 
  Quoted Tweet : @IamDilipModi : Recently, I had the privilege of speaking at the prestigious Harvard Kennedy School, where I discussed @SpiceMoneyIndia’s relentless drive towards empowering the unbanked and underbanked segments of #EmergingIndia.
In the wake of the pandemic, the world witnessed a significant…</t>
  </si>
  <si>
    <t>2024-02-21 18:45:06</t>
  </si>
  <si>
    <t>डिस्टीब्यूटर id lena h</t>
  </si>
  <si>
    <t>2024-02-21 18:19:17</t>
  </si>
  <si>
    <t>JournoTribhuwan</t>
  </si>
  <si>
    <t>Journalist_Tribhuwan</t>
  </si>
  <si>
    <t>Recently, I had the privilege of speaking at the prestigious Harvard Kennedy School, where I discussed @SpiceMoneyIndia’s relentless drive towards empowering the unbanked and underbanked segments of #EmergingIndia.
In the wake of the pandemic, the world witnessed a significant… 
  Quoted Tweet : @NewIndiaAbroad : Insights on India's Digital Banking Revolution!
Join us in an exclusive interview with Dilip Modi, the founder of Spice Money, as he shares valuable perspectives on India's digital banking evolution. Gain insights into the future of financial services and the transformative… https://t.co/iNZpGLgw9Y</t>
  </si>
  <si>
    <t>2024-02-21 18:15:38</t>
  </si>
  <si>
    <t>New delhi, bharat</t>
  </si>
  <si>
    <t>Dear Sir, Namaskar! Aapse request hai ki please apna Mobile number &amp; email id hume inbox me  share karein, hamari customer care team aapse jald hi sampark karegi. Regards, Team Spice Money</t>
  </si>
  <si>
    <t>2024-02-21 18:06:51</t>
  </si>
  <si>
    <t>Dear Sir, Namaskar! Aapse Batchit ke anusar AEPS service ke baare me hamari taraf se aapko jankari share kar di gayi hai. Adhik jankari ke liye aap hamare official customer care number 0120-3645645 par bhi sampark kar sakte hain. Regards, Team Spice Money</t>
  </si>
  <si>
    <t>2024-02-21 18:06:26</t>
  </si>
  <si>
    <t>2024-02-21 18:05:47</t>
  </si>
  <si>
    <t>2024-02-21 18:04:21</t>
  </si>
  <si>
    <t>praveenkummar</t>
  </si>
  <si>
    <t>Praveen Kumar</t>
  </si>
  <si>
    <t>#SpiceMoney 
  Quoted Tweet : @IamDilipModi : Recently, I had the privilege of speaking at the prestigious Harvard Kennedy School, where I discussed @SpiceMoneyIndia’s relentless drive towards empowering the unbanked and underbanked segments of #EmergingIndia.
In the wake of the pandemic, the world witnessed a significant…</t>
  </si>
  <si>
    <t>2024-02-21 17:57:55</t>
  </si>
  <si>
    <t>2024-02-21 17:57:30</t>
  </si>
  <si>
    <t>2024-02-21 17:57:04</t>
  </si>
  <si>
    <t>@sneh800031671 Dear Sir, Greetings! Hamare grahak sewa adhikari aapse jald hi sampark karenge. Regards, Team Spice Money</t>
  </si>
  <si>
    <t>2024-02-21 17:46:36</t>
  </si>
  <si>
    <t>2024-02-21 17:45:45</t>
  </si>
  <si>
    <t>2024-02-21 17:43:32</t>
  </si>
  <si>
    <t>2024-02-21 17:26:57</t>
  </si>
  <si>
    <t>2024-02-21 17:26:30</t>
  </si>
  <si>
    <t>2024-02-21 17:26:01</t>
  </si>
  <si>
    <t>2024-02-21 17:25:26</t>
  </si>
  <si>
    <t>aaqibmlk</t>
  </si>
  <si>
    <t>Aaqib Ghaffar Malik</t>
  </si>
  <si>
    <t>2024-02-21 16:56:07</t>
  </si>
  <si>
    <t>Delhi</t>
  </si>
  <si>
    <t>@@SpiceMoneyOfficial जो नम्बर लगा है ओ बन्द हो गया है दूसरे नंबर से फोन नहीं लगता है</t>
  </si>
  <si>
    <t>2024-02-21 16:39:03</t>
  </si>
  <si>
    <t>2024-02-21 16:34:12</t>
  </si>
  <si>
    <t>2024-02-21 15:00:33</t>
  </si>
  <si>
    <t>Maine spice Money ko bahut bar request kar chuka Hun ki sir aap ek spice Money ka tshirt sabhi retailer ko dijiye par spice money ek hi jawab deta hai sir maine aapke feedback ko note kar liya aur mai apne team ko bhee share kar diya hai lekin kuch response nahi aata hai kab tak tshirt aayega</t>
  </si>
  <si>
    <t>2024-02-21 14:57:33</t>
  </si>
  <si>
    <t>@deepakkhatnani335</t>
  </si>
  <si>
    <t>😂😂</t>
  </si>
  <si>
    <t>2024-02-21 13:10:44</t>
  </si>
  <si>
    <t>Sir hamara cpv update nahi kar raha hai sir sellace menager distributer sir please your help me</t>
  </si>
  <si>
    <t>2024-02-21 11:41:57</t>
  </si>
  <si>
    <t>Kuldippawar</t>
  </si>
  <si>
    <t>Kuldeep Pawar</t>
  </si>
  <si>
    <t>Insights on India's Digital Banking Revolution!
Join us in an exclusive interview with Dilip Modi, the founder of Spice Money, as he shares valuable perspectives on India's digital banking evolution. Gain insights into the future of financial services and the transformative… https://t.co/iNZpGLgw9Y</t>
  </si>
  <si>
    <t>2024-02-21 11:22:44</t>
  </si>
  <si>
    <t>Spice Money is became fraudulent Aeps Jumping Transactions are not returning, Pan Services dont work, Bill Payments dont work, Voice notification if we dont want also it will charged per transaction. Just Scamming innocent peoples money</t>
  </si>
  <si>
    <t>2024-02-21 11:14:57</t>
  </si>
  <si>
    <t>Sar account opening ki</t>
  </si>
  <si>
    <t>2024-02-21 10:59:34</t>
  </si>
  <si>
    <t>हमारे अधिकारी ने साझा किया स्पाइस मनी द्वारा गोल्ड लोन दिलाने का लाजवाब अनुभव!
#GuaranteeYatra #SpiceMoney #EmpoweringEntrepreneurs #PartnersMeet #RuralFinance https://t.co/QXTWvZC91m</t>
  </si>
  <si>
    <t>2024-02-21 10:30:00</t>
  </si>
  <si>
    <t>@uniqeboyxyz8374</t>
  </si>
  <si>
    <t>Spice money mai AEPS commission kam kyun ho gya hai.. Ham ab use nhi karenge spice money.</t>
  </si>
  <si>
    <t>2024-02-21 10:29:32</t>
  </si>
  <si>
    <t>हमारे अधिकारी ने साझा किया स्पाइस मनी द्वारा गोल्ड लोन दिलाने का लाजवाब अनुभव!
#GuaranteeYatra #SpiceMoney #EmpoweringEntrepreneurs #PartnersMeet #RuralFinance</t>
  </si>
  <si>
    <t>2024-02-21 10:29:22</t>
  </si>
  <si>
    <t>Spice Money Ke Sath Loan Dilana Hua Behad Aasan!</t>
  </si>
  <si>
    <t>2024-02-21 10:25:37</t>
  </si>
  <si>
    <t>@tecnicalnitin9883</t>
  </si>
  <si>
    <t>and account opening option bhi hona chahiye</t>
  </si>
  <si>
    <t>2024-02-21 09:08:20</t>
  </si>
  <si>
    <t>sneh800031671</t>
  </si>
  <si>
    <t>bhupendra singh</t>
  </si>
  <si>
    <t>@SpiceMoneyIndia complaint par abhi tak koi action nahi liya hai. Mobile number 8058757177 https://t.co/vfnj9exzdd</t>
  </si>
  <si>
    <t>2024-02-21 08:38:17</t>
  </si>
  <si>
    <t>Meri spice Money mein NSDL payment Bank ka option nahin a raha hai</t>
  </si>
  <si>
    <t>2024-02-21 03:02:08</t>
  </si>
  <si>
    <t>Nice 👍</t>
  </si>
  <si>
    <t>2024-02-21 00:41:24</t>
  </si>
  <si>
    <t>2024-02-20</t>
  </si>
  <si>
    <t>Awesome</t>
  </si>
  <si>
    <t>2024-02-20 22:08:32</t>
  </si>
  <si>
    <t>Meri id par kuch payment hai jo move nahi ho raha bank me</t>
  </si>
  <si>
    <t>2024-02-20 19:46:00</t>
  </si>
  <si>
    <t>2024-02-20 18:49:14</t>
  </si>
  <si>
    <t>Bekar ek mahine se I'd use nhi kar paa Raha hu aur spice money wale abb to solve nhi kar paye mere problem aur kya kregi spice money</t>
  </si>
  <si>
    <t>2024-02-20 18:33:33</t>
  </si>
  <si>
    <t>@katiyarabisek6785</t>
  </si>
  <si>
    <t>Distributor Dmt ki value Dene door to door aata nahi hai baat krte hai account opening ki😂</t>
  </si>
  <si>
    <t>2024-02-20 18:32:58</t>
  </si>
  <si>
    <t>@sadriloverboy4006</t>
  </si>
  <si>
    <t>मोबाइल से होगा की nhi batay plese</t>
  </si>
  <si>
    <t>2024-02-20 18:28:14</t>
  </si>
  <si>
    <t>hamare id me money transfer ki and account opening ki subidha nahi hai</t>
  </si>
  <si>
    <t>2024-02-20 18:22:47</t>
  </si>
  <si>
    <t>2024-02-20 18:13:10</t>
  </si>
  <si>
    <t>Dear Sir, Namaskar! Aapse request hai ki please apna Mobile number &amp; email id hume inbox meshare karein, hamari customer care team aapse jald hi sampark karegi. Regards, Team Spice Money</t>
  </si>
  <si>
    <t>2024-02-20 18:12:01</t>
  </si>
  <si>
    <t>2024-02-20 18:11:21</t>
  </si>
  <si>
    <t>Account open to kar dete hai lekin axis Bank wale blok kar dete hai</t>
  </si>
  <si>
    <t>2024-02-20 18:07:40</t>
  </si>
  <si>
    <t>2024-02-20 17:54:16</t>
  </si>
  <si>
    <t>@kumar_ashi86730 प्रिय महोदय, नमस्कार! हमारे ग्राहक सेवा अधिकारी जल्द ही आपसे संपर्क करेंगे। सादर, टीम स्पाइस मनी</t>
  </si>
  <si>
    <t>2024-02-20 17:48:40</t>
  </si>
  <si>
    <t>@PankajK0055 Dear Sir, Greetings! Our customer care officer will get in touch with you shortly. Regards, Team Spice Money</t>
  </si>
  <si>
    <t>2024-02-20 17:48:14</t>
  </si>
  <si>
    <t>SPICE MONEY distributer sales manager coll nahi utha Raha hai sir cpv update karana hai unka mobile number ye hai 9753510143</t>
  </si>
  <si>
    <t>2024-02-20 17:47:46</t>
  </si>
  <si>
    <t>2024-02-20 17:45:44</t>
  </si>
  <si>
    <t>@amandwi39776875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</si>
  <si>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2024-02-20 17:43:15</t>
  </si>
  <si>
    <t>Dear Sir, Namaskar! Aapse Batchit ke anusar Account openiong option ke  baare me hamari taraf se aapko jankari share kar di gayi hai. Adhik jankari ke liye aap hamare official customer care number 0120-3645645 par bhi sampark kar sakte hain. Regards, Team Spice Money</t>
  </si>
  <si>
    <t>2024-02-20 17:42:40</t>
  </si>
  <si>
    <t>@birendersingh5731</t>
  </si>
  <si>
    <t>Meri I'd ma account opening ka option nahi aaya h</t>
  </si>
  <si>
    <t>2024-02-20 17:34:02</t>
  </si>
  <si>
    <t>@ShoaibAkhtertsk Dear Sir, Greetings! As per discussed with you your concern  regarding ID suspension , information  shared from our end .If you have any query,you can also contact us on our official customer care number 0120-3645645 Regards, Team Spice Money</t>
  </si>
  <si>
    <t>2024-02-20 17:32:41</t>
  </si>
  <si>
    <t>@SpiceMoneyIndia मैं 3 माह से परेशान हु आप के सिस्टम से</t>
  </si>
  <si>
    <t>2024-02-20 17:27:37</t>
  </si>
  <si>
    <t>2024-02-20 17:23:29</t>
  </si>
  <si>
    <t>2024-02-20 17:23:17</t>
  </si>
  <si>
    <t>2024-02-20 17:10:49</t>
  </si>
  <si>
    <t>2024-02-20 17:10:35</t>
  </si>
  <si>
    <t>Dear Sir, Greetings! As per discussed with you your concern regarding Axis TDS free current account opening information, please allow us sometime for your concern, we’ll update you soon  .Regards, Team spice money</t>
  </si>
  <si>
    <t>2024-02-20 15:18:45</t>
  </si>
  <si>
    <t>2024-02-20 15:16:40</t>
  </si>
  <si>
    <t>Mere id ma nhi ha account open ka option kasa aaiga</t>
  </si>
  <si>
    <t>2024-02-20 15:08:23</t>
  </si>
  <si>
    <t>Some few days our id not working</t>
  </si>
  <si>
    <t>2024-02-20 15:02:18</t>
  </si>
  <si>
    <t>mere me sir bnpl qr ki service nahi hai</t>
  </si>
  <si>
    <t>2024-02-20 14:17:39</t>
  </si>
  <si>
    <t>Madhav Banking and Finence</t>
  </si>
  <si>
    <t>GOOD NEWS FOR BOB AEPS/Bank of Boroda aeps start for SPICE MONEY</t>
  </si>
  <si>
    <t>2024-02-20 13:49:42</t>
  </si>
  <si>
    <t>@SpiceMoneyIndia Sirf loot hui hai</t>
  </si>
  <si>
    <t>2024-02-20 13:11:48</t>
  </si>
  <si>
    <t>इस तरह स्पाइस मनी पार्टनर्स एवं अधिकारियों ने बैंक अकाउंट ओपनिंग सर्विस को घर घर पहुँचाया !
#GuaranteeYatra #SpiceMoney #EmpoweringEntrepreneurs #PartnersMeet #RuralFinance https://t.co/8oCLW4rWkw</t>
  </si>
  <si>
    <t>2024-02-20 13:07:33</t>
  </si>
  <si>
    <t>ShoaibAkhtertsk</t>
  </si>
  <si>
    <t>Shoaib Akhter</t>
  </si>
  <si>
    <t>@SpiceMoneyIndia What is the update</t>
  </si>
  <si>
    <t>2024-02-20 13:06:28</t>
  </si>
  <si>
    <t>Tinsukia, india</t>
  </si>
  <si>
    <t>इस तरह स्पाइस मनी पार्टनर्स एवं अधिकारियों ने बैंक अकाउंट ओपनिंग सर्विस को घर घर पहुँचाया !
#GuaranteeYatra #SpiceMoney #EmpoweringEntrepreneurs #PartnersMeet #RuralFinance</t>
  </si>
  <si>
    <t>2024-02-20 13:05:30</t>
  </si>
  <si>
    <t>Door To Door Account Opening Suvidha Dila Rahe Hain Spice Money Adhikari!</t>
  </si>
  <si>
    <t>2024-02-20 13:02:29</t>
  </si>
  <si>
    <t>2024-02-20 13:02:05</t>
  </si>
  <si>
    <t xml:space="preserve">Vk5G reaction </t>
  </si>
  <si>
    <t>spice money se Bank of Baroda ka transaction successful hua spice Mani to</t>
  </si>
  <si>
    <t>2024-02-20 12:56:46</t>
  </si>
  <si>
    <t>@SpiceMoneyIndia  please help me my spice money id is sdl393346 https://t.co/DdfII73L9Q</t>
  </si>
  <si>
    <t>2024-02-20 12:27:44</t>
  </si>
  <si>
    <t>@SpiceMoneyIndia समस्या वैसी की वैसी ही बनी हुई है ।
कोई समाधान नही हुवा। ।</t>
  </si>
  <si>
    <t>2024-02-20 10:45:28</t>
  </si>
  <si>
    <t>SPICE MONEY 
Apka jo yaha ka distributor hai 3 din se fon nahi utha raha hai, bole the shop me ane ke liye na, to shop me aye,fon ham lagate hai to baar baar fon kat dete hai, unhe ye to clear kar dena chahiye ki apki id approval hogi ki nahi, nahi ho sakti to mana kar do, 
Ham kisi aur aeps company me try karege, ham spice money ko bahut achchi company mante the, lekin is company me sab alsi log Kam karte hai, achchi company hoti to meri I'd ab tak approval mil gya hota, 
Bas ab rahne dijiye sir/mam ab hame is company me koi work hi nahi karna.</t>
  </si>
  <si>
    <t>2024-02-20 10:36:06</t>
  </si>
  <si>
    <t>2024-02-20 09:53:10</t>
  </si>
  <si>
    <t>@srupendra33 प्रिय महोदय, नमस्कार! हमारे ग्राहक सेवा अधिकारी जल्द ही आपसे संपर्क करेंगे। सादर, टीम स्पाइस मनी</t>
  </si>
  <si>
    <t>2024-02-20 09:17:57</t>
  </si>
  <si>
    <t>2024-02-20 09:11:30</t>
  </si>
  <si>
    <t>Ratan Sharma Ezeepay id lena hai free hai watsap 8092813932</t>
  </si>
  <si>
    <t>2024-02-20 00:14:22</t>
  </si>
  <si>
    <t>2024-02-19</t>
  </si>
  <si>
    <t>@sekhsaddam2419</t>
  </si>
  <si>
    <t>Mai bi  spice ka id lana chatha hu kaise lu</t>
  </si>
  <si>
    <t>2024-02-19 23:50:49</t>
  </si>
  <si>
    <t>srupendra33</t>
  </si>
  <si>
    <t>Rupendra Sharma</t>
  </si>
  <si>
    <t>@SpiceMoneyIndia मेरी आईड़ी sdl613450 को एक्टिव करो या फिर परमानेंट बंद करो।</t>
  </si>
  <si>
    <t>2024-02-19 19:00:06</t>
  </si>
  <si>
    <t>Agra, uttar pradesh, india</t>
  </si>
  <si>
    <t>SPICE MONEY 
Mobile number. 7024833945
Email ID. angelangel9569@gmail.com</t>
  </si>
  <si>
    <t>2024-02-19 17:59:29</t>
  </si>
  <si>
    <t>2024-02-19 17:12:21</t>
  </si>
  <si>
    <t>2024-02-19 17:11:28</t>
  </si>
  <si>
    <t>2024-02-19 17:10:40</t>
  </si>
  <si>
    <t>2024-02-19 17:10:04</t>
  </si>
  <si>
    <t>2024-02-19 17:09:20</t>
  </si>
  <si>
    <t>@mustkimdemrotofficial</t>
  </si>
  <si>
    <t>I love spice money ❤❤</t>
  </si>
  <si>
    <t>2024-02-19 16:17:42</t>
  </si>
  <si>
    <t>Hamari id ko approve kar do 🙏🙏</t>
  </si>
  <si>
    <t>2024-02-19 15:05:34</t>
  </si>
  <si>
    <t>चालू करवा दिया जाय</t>
  </si>
  <si>
    <t>2024-02-19 14:09:37</t>
  </si>
  <si>
    <t>Spice money ke sath 3 saal se jude Hui hai
Ayushman ki id Deni chahiye spice money ko</t>
  </si>
  <si>
    <t>2024-02-19 11:32:39</t>
  </si>
  <si>
    <t>Mera DMT option service visible nahi hai.5 mahino se.</t>
  </si>
  <si>
    <t>2024-02-19 11:30:51</t>
  </si>
  <si>
    <t>अधिकारियों और पार्टनर्स का विश्वास है हमारी असली ताकत!
#GuaranteeYatra #SpiceMoney #EmpoweringEntrepreneurs #PartnersMeet #RuralFinance https://t.co/41iLY4MVDJ</t>
  </si>
  <si>
    <t>2024-02-19 11:26:19</t>
  </si>
  <si>
    <t>अधिकारियों और पार्टनर्स का विश्वास है हमारी असली ताकत!
#GuaranteeYatra #SpiceMoney #EmpoweringEntrepreneurs #PartnersMeet #RuralFinance</t>
  </si>
  <si>
    <t>2024-02-19 11:24:36</t>
  </si>
  <si>
    <t>Guarantee Yatra Mein Partners &amp; Adhikariyon ne Spice Money Ke Liye Kahi Khaas Baat!</t>
  </si>
  <si>
    <t>2024-02-19 11:23:15</t>
  </si>
  <si>
    <t>2024-02-19 11:22:27</t>
  </si>
  <si>
    <t>Mere 10000ru.....wallet se cat gai uska Kiya hoga sir</t>
  </si>
  <si>
    <t>2024-02-19 10:02:43</t>
  </si>
  <si>
    <t>@kunalgaurav23 Dear Sir, Greetings! We are trying to contact you but your number is not contactable. Please share your contact details and suitable times. Regards, Team Spice Money</t>
  </si>
  <si>
    <t>2024-02-19 09:36:57</t>
  </si>
  <si>
    <t>2024-02-19 09:33:11</t>
  </si>
  <si>
    <t>I'd milega kya?</t>
  </si>
  <si>
    <t>2024-02-19 09:30:44</t>
  </si>
  <si>
    <t>सर अपने भीम यूपीआई से 10000 रूपये निकलते थे उसे भी आप ने लिमिट कम कर दिया 2500
इसकी लिमिट फिर से बड़ाई जाए महोदय</t>
  </si>
  <si>
    <t>2024-02-19 09:20:56</t>
  </si>
  <si>
    <t>2024-02-19 09:09:57</t>
  </si>
  <si>
    <t>2024-02-19 08:33:19</t>
  </si>
  <si>
    <t>@SpiceMoneyIndia गरीबो के लूटने वाली कंपनी</t>
  </si>
  <si>
    <t>2024-02-19 07:20:47</t>
  </si>
  <si>
    <t>2024-02-18</t>
  </si>
  <si>
    <t>@surajdailyblog9031</t>
  </si>
  <si>
    <t>How many Distributer in one pincode/location</t>
  </si>
  <si>
    <t>2024-02-18 22:42:19</t>
  </si>
  <si>
    <t>Sir isme kaam mil sakta hai kya ...? freshar ko..</t>
  </si>
  <si>
    <t>2024-02-18 20:09:18</t>
  </si>
  <si>
    <t>Meri retailer id chahiye</t>
  </si>
  <si>
    <t>2024-02-18 17:52:31</t>
  </si>
  <si>
    <t>2024-02-18 17:10:13</t>
  </si>
  <si>
    <t>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</si>
  <si>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2024-02-18 17:04:15</t>
  </si>
  <si>
    <t>Dear Sir, Namaskar! Aapse Batchit ke anusar Happy loan ke  baare me hamari taraf se aapko jankari share kar di gayi hai. Adhik jankari ke liye aap hamare official customer care number 0120-3645645 par bhi sampark kar sakte hain. Regards, Team Spice Money</t>
  </si>
  <si>
    <t>2024-02-18 17:00:00</t>
  </si>
  <si>
    <t>Mera solution hoga anhi sir muje b btado</t>
  </si>
  <si>
    <t>2024-02-18 16:20:44</t>
  </si>
  <si>
    <t>chor</t>
  </si>
  <si>
    <t>2024-02-18 15:46:39</t>
  </si>
  <si>
    <t>@desiboy973 Dear Sir, Namaskar! Aapse request hai ki please apna Mobile number &amp;amp; email id hume inbox me share karein, hamari customer care team aapse jald hi sampark karegi. Regards, Team Spice Money</t>
  </si>
  <si>
    <t>2024-02-18 15:37:12</t>
  </si>
  <si>
    <t>desiboy973</t>
  </si>
  <si>
    <t>Vikash Rathor</t>
  </si>
  <si>
    <t>@SpiceMoneyIndia Jab main agent id forget karta hun to invalid mobile number aata hai, jab account create karta hun to already aata hai please help me. https://t.co/tHVnEIynNd</t>
  </si>
  <si>
    <t>2024-02-18 13:48:28</t>
  </si>
  <si>
    <t>प्रिय महोदय, नमस्कार! सराहना के लिए हम आपको धन्यवाद देते हैं। सादर, टीम स्पाइस मनी</t>
  </si>
  <si>
    <t>2024-02-18 13:45:35</t>
  </si>
  <si>
    <t>Dear Sir, Namaskar!Aapko batana chahenge ki Aadhar pay successful transaction ka amount adhikari ke settlement account me credit hota hai. Adhik jankari ke liye aap hamare official customer care number 0120-3645645 par bhi sampark kar sakte hain. Regards, Team Spice Money</t>
  </si>
  <si>
    <t>2024-02-18 13:44:44</t>
  </si>
  <si>
    <t>2024-02-18 10:55:13</t>
  </si>
  <si>
    <t>@Sadananda93 Dear Sir, Greetings! Aapke sujhaav ke liye dhanyavaad, humne ise note kar liya hai. Regards, Team Spice Money</t>
  </si>
  <si>
    <t>2024-02-18 09:39:55</t>
  </si>
  <si>
    <t>@princesikari Dear Sir, Greetings! Our customer care officer will get in touch with you shortly. Regards, Team Spice Money</t>
  </si>
  <si>
    <t>2024-02-18 09:28:55</t>
  </si>
  <si>
    <t>2024-02-18 09:26:59</t>
  </si>
  <si>
    <t>2024-02-18 09:21:20</t>
  </si>
  <si>
    <t>2024-02-18 09:20:03</t>
  </si>
  <si>
    <t>2024-02-18 09:17:56</t>
  </si>
  <si>
    <t>2024-02-18 09:12:02</t>
  </si>
  <si>
    <t>2024-02-18 09:11:18</t>
  </si>
  <si>
    <t>2024-02-18 09:09:05</t>
  </si>
  <si>
    <t>2024-02-18 09:06:59</t>
  </si>
  <si>
    <t>2024-02-18 09:06:08</t>
  </si>
  <si>
    <t>यूज़र आईडी है sdl403922</t>
  </si>
  <si>
    <t>2024-02-18 09:02:42</t>
  </si>
  <si>
    <t>गारंटी यात्रा के दौरान कुछ ऐसा रहा स्पाइस मनी पार्टनर्स एवं अधिकारियों का रिएक्शन!
#GuaranteeYatra #SpiceMoney #EmpoweringEntrepreneurs #PartnersMeet #RuralFinance</t>
  </si>
  <si>
    <t>2024-02-18 09:00:42</t>
  </si>
  <si>
    <t>गारंटी यात्रा के दौरान कुछ ऐसा रहा स्पाइस मनी पार्टनर्स एवं अधिकारियों का रिएक्शन!
#GuaranteeYatra #SpiceMoney #EmpoweringEntrepreneurs #PartnersMeet #RuralFinance https://t.co/sZBJ0kGXTp</t>
  </si>
  <si>
    <t>2024-02-18 09:00:00</t>
  </si>
  <si>
    <t>2024-02-18 08:51:15</t>
  </si>
  <si>
    <t>2024-02-18 08:48:24</t>
  </si>
  <si>
    <t>2024-02-18 08:47:56</t>
  </si>
  <si>
    <t>2024-02-18 08:45:45</t>
  </si>
  <si>
    <t>@skmarufhossain6977</t>
  </si>
  <si>
    <t>Hmm 4 salse kam korra 
Good sapot milta🎉</t>
  </si>
  <si>
    <t>2024-02-18 00:18:07</t>
  </si>
  <si>
    <t>2024-02-17</t>
  </si>
  <si>
    <t>Bina distebutor ka money load nhi hota ye bekar hai system</t>
  </si>
  <si>
    <t>2024-02-17 22:35:09</t>
  </si>
  <si>
    <t>princesikari</t>
  </si>
  <si>
    <t>Prince Kumar</t>
  </si>
  <si>
    <t>@SpiceMoneyIndia agent ref already exists 2 moth se problem https://t.co/XjV4q5UDzH</t>
  </si>
  <si>
    <t>2024-02-17 19:33:33</t>
  </si>
  <si>
    <t>Vaishali, india</t>
  </si>
  <si>
    <t>मेरी मदद करो सर जी प्लीज़ चालू कर दिया जाय</t>
  </si>
  <si>
    <t>2024-02-17 18:58:45</t>
  </si>
  <si>
    <t>मेरा नम्बर बन्द हो गया है अब ऐप खुल नहीं रहा है</t>
  </si>
  <si>
    <t>2024-02-17 18:58:27</t>
  </si>
  <si>
    <t>Vikas Agrahari sdl591003</t>
  </si>
  <si>
    <t>2024-02-17 18:46:41</t>
  </si>
  <si>
    <t>@user-fp7wx8cd4c</t>
  </si>
  <si>
    <t>ye payment wallet , ayega ya adhikari bank account m sattle hoga pls confirm</t>
  </si>
  <si>
    <t>2024-02-17 18:41:31</t>
  </si>
  <si>
    <t>❤❤sar hlap</t>
  </si>
  <si>
    <t>2024-02-17 17:46:35</t>
  </si>
  <si>
    <t>मेरी आईडी भी चालू करवा दें कोई</t>
  </si>
  <si>
    <t>2024-02-17 16:16:40</t>
  </si>
  <si>
    <t>Balrampur me kab.....??</t>
  </si>
  <si>
    <t>2024-02-17 15:42:59</t>
  </si>
  <si>
    <t>Spice Money ki kahani Adhikariyon evam partners ki Zubani!</t>
  </si>
  <si>
    <t>2024-02-17 15:07:09</t>
  </si>
  <si>
    <t>2024-02-17 15:06:32</t>
  </si>
  <si>
    <t>Bahut froud company hai raato raat wallet se paisa gayab</t>
  </si>
  <si>
    <t>2024-02-17 13:36:17</t>
  </si>
  <si>
    <t>rinkuk538</t>
  </si>
  <si>
    <t>RINKU</t>
  </si>
  <si>
    <t>@PayNearby @SpiceMoneyIndia @rapipay @anandkbajaj @NPCI_NPCI @NPCI_BHIM @YESBANK @RBI 1 जनवरी को मेरे पास इस 9368280297 नंबर से एक कॉल आया था जो पेनियर बाई का स्टेट हेड बन के बात किया था इसने टॉपअप के लिए मेरा आईडी पासवर्ड मांगा था तो मैं भी इसको आईडी पासवर्ड दे दिया था उसके बाद इसने मेरी पेनियर बाई आईडी में बार-बार गलत टॉप अप करने की कोशिश भी की थी</t>
  </si>
  <si>
    <t>2024-02-17 13:00:40</t>
  </si>
  <si>
    <t>ऐसे ही कोई स्पाइस मनी नही हो जाता, जो डेडीकेशन, जो सर्विस, जो सपोर्ट ,जो सिक्योरिटी और जो फैमिली एनवायरनमेंट स्पाइस मनी देती है अपने स्पाइस परिवार के अधिकारी और पार्टनर को यही है *Guarntee". और इसी से हम सब अपने स्पाइस परिवार को और मजबूत बनाएंगे।
सभी स्पाइस मनी मैनेजमेंट टीम को ऐसे प्लेटफार्म देने के लिए दिल से आभार।
स्पाइस मनी तो लाइफ बनी!!
विकास अग्रहरि
सुपर डायट्रिब्यूटर
गोरखपुर</t>
  </si>
  <si>
    <t>2024-02-17 12:48:27</t>
  </si>
  <si>
    <t>@kanchanmandal1774</t>
  </si>
  <si>
    <t>Mam mera distributor 6 months physical verification karne nahi Aya hai bohut bola hai thabbi nahi aaya hai or Mera abhi service block ho gaya hai abhi physical verification ho sakta hai kya🥺 please batao mam ?... I love spice money ❤❤❤❤</t>
  </si>
  <si>
    <t>2024-02-17 12:44:55</t>
  </si>
  <si>
    <t>I love spice money ❤❤❤</t>
  </si>
  <si>
    <t>2024-02-17 12:43:06</t>
  </si>
  <si>
    <t>spice money is becoming fraudulent, jumping transactions are not returning, unnecessarly charging for voice notifications, pan services never work, bill payments never work after deduction of payment, dangerous app be careful</t>
  </si>
  <si>
    <t>2024-02-17 11:23:04</t>
  </si>
  <si>
    <t>पार्टनर्स एवं अधिकारियों के दिल में मौजूद अथाह समर्पण एवं विश्वास स्पाइस मनी की असली पूँजी है!
गारंटी यात्रा के दौरान गोरखपुर सहित अन्य शहरों में मिला भारी समर्थन और साथ इस बात का प्रमाण है। 
ऐसे ही साथ बने रहें और आगे बढ़ने का सिलसिला जारी रखें।
#SpiceMoney #GuaranteeYatraGorakhpur
#RuralFintech #PartnersMeet
पार्टनर्स एवं अधिकारियों के दिल में मौजूद अथाह समर्पण एवं विश्वास स्पाइस मनी की असली पूँजी है!
गारंटी यात्रा के दौरान गोरखपुर सहित अन्य शहरों में मिला भारी समर्थन और साथ इस बात का प्रमाण है। 
ऐसे ही साथ बने रहें और आगे बढ़ने का सिलसिला जारी रखें।
#SpiceMoney #GuaranteeYatraGorakhpur
#RuralFintech #PartnersMeet</t>
  </si>
  <si>
    <t>2024-02-17 11:00:10</t>
  </si>
  <si>
    <t>2024-02-16</t>
  </si>
  <si>
    <t>Sadananda93</t>
  </si>
  <si>
    <t>SADANANDA</t>
  </si>
  <si>
    <t>@SpiceMoneyIndia Spice money me bike insurance service add kijie please</t>
  </si>
  <si>
    <t>2024-02-16 23:30:52</t>
  </si>
  <si>
    <t>@vanshgirwal3430</t>
  </si>
  <si>
    <t>Riteler ka CPV kaise kare</t>
  </si>
  <si>
    <t>2024-02-16 23:15:44</t>
  </si>
  <si>
    <t>I❤ i love may spice money ❤</t>
  </si>
  <si>
    <t>2024-02-16 22:16:21</t>
  </si>
  <si>
    <t>@ASHISHKUMAR-ll5km</t>
  </si>
  <si>
    <t>कृपा करके मदद करें मुझे</t>
  </si>
  <si>
    <t>2024-02-16 22:13:42</t>
  </si>
  <si>
    <t>मेरा आईडी नहीं चल रहा है</t>
  </si>
  <si>
    <t>2024-02-16 22:13:19</t>
  </si>
  <si>
    <t>@TheFunnyKing_</t>
  </si>
  <si>
    <t>Sir mer fingir resit nhi kr rhi ha</t>
  </si>
  <si>
    <t>2024-02-16 22:02:28</t>
  </si>
  <si>
    <t>Right bilkul sahi bole Mai bhi spice money ka adhikar hoo nice service I love spice money 💞</t>
  </si>
  <si>
    <t>2024-02-16 21:49:58</t>
  </si>
  <si>
    <t>Odisha M h kya iska Branch</t>
  </si>
  <si>
    <t>2024-02-16 20:46:44</t>
  </si>
  <si>
    <t>@CountryGuy-zo4xb</t>
  </si>
  <si>
    <t>@@SpiceMoneyOfficial welcome i hope 😄 sabkuch badhiya</t>
  </si>
  <si>
    <t>2024-02-16 20:10:03</t>
  </si>
  <si>
    <t>@user-ut7gh9bx9w</t>
  </si>
  <si>
    <t>मैं तो यही कहूंगा जितने लोग स्पाइस मनी आईडी चलाते हैं वह ना चलाएं तो ही बेहतर क्योंकि पैसा इसमें से उड़ा देने के बाद में स्पाइस मनी जो आईडी है वह कोई रिस्पांस नहीं लेता है से चलने से क्या फायदा होगा झूठ मत का वीडियो डालते हैं हम परिवार</t>
  </si>
  <si>
    <t>2024-02-16 20:03:39</t>
  </si>
  <si>
    <t>@SpiceMoneyIndia लुटेरी कंपनी</t>
  </si>
  <si>
    <t>2024-02-16 19:04:07</t>
  </si>
  <si>
    <t>पार्टनर्स एवं अधिकारियों के दिल में मौजूद अथाह समर्पण एवं विश्वास स्पाइस मनी की असली पूँजी है!
गारंटी यात्रा के दौरान गोरखपुर सहित अन्य शहरों में मिला भारी समर्थन और साथ इस बात का प्रमाण है। 
ऐसे ही साथ बने रहें और आगे बढ़ने का सिलसिला जारी रखें।
#SpiceMoney… https://t.co/4EieWSyGaR</t>
  </si>
  <si>
    <t>2024-02-16 18:47:23</t>
  </si>
  <si>
    <t>@aajkagame</t>
  </si>
  <si>
    <t>कम्पनी कमीशन दे रही है के खा रही हे
वाइस का चार्ज किस खुशी मे ले रहीं हैं</t>
  </si>
  <si>
    <t>2024-02-16 18:10:42</t>
  </si>
  <si>
    <t>@SunilTiwari-cc5kb</t>
  </si>
  <si>
    <t>3 Se 4 Sal Ho Gaye ID ko mere pass meri id hai SDL675508</t>
  </si>
  <si>
    <t>2024-02-16 18:00:13</t>
  </si>
  <si>
    <t>SPICE MONEY  me add ajent ka option dena chahiye</t>
  </si>
  <si>
    <t>2024-02-16 17:45:46</t>
  </si>
  <si>
    <t>Mobile number - 7489721915,
Email ID - beerendrasinghwarkade2@gmail.com,
Please, contact us.
Please help me.</t>
  </si>
  <si>
    <t>2024-02-16 17:38:35</t>
  </si>
  <si>
    <t>@Ankit_Sitapur1 प्रिय महोदय, नमस्कार! आपसे बातचीत के अनुसर आपकी Aeps transaction संबंधित समस्या का समाधान पहले ही हो चुका है । सादर, टीम स्पाइस मनी</t>
  </si>
  <si>
    <t>2024-02-16 17:36:02</t>
  </si>
  <si>
    <t>Dear,
Spice Money Team.
Please, Contact me.
Ek customer ka withdrawal 1205 rupee nikasi karne par customer ke account se paise cut ho gye hai but, mere wallet me show nhi ho rha hai,
Or history me failed bta rha,</t>
  </si>
  <si>
    <t>2024-02-16 17:25:51</t>
  </si>
  <si>
    <t>2024-02-16 17:21:29</t>
  </si>
  <si>
    <t>2024-02-16 17:18:50</t>
  </si>
  <si>
    <t>2024-02-16 17:17:31</t>
  </si>
  <si>
    <t>@anwer_raqib प्रिय महोदय, नमस्कार! हमारे ग्राहक सेवा अधिकारी जल्द ही आपसे संपर्क करेंगे। सादर, टीम स्पाइस मनी</t>
  </si>
  <si>
    <t>2024-02-16 17:17:05</t>
  </si>
  <si>
    <t>@IMRANDHANLA Dear Sir, Namaskar! Aap hamare official customer care number 0120-3645645 par bhi sampark kar sakte hain. Regards, Team Spice Money</t>
  </si>
  <si>
    <t>2024-02-16 17:15:44</t>
  </si>
  <si>
    <t>2024-02-16 17:14:22</t>
  </si>
  <si>
    <t>@abdulmalikkxj</t>
  </si>
  <si>
    <t>Spice money CSP my leya hi 2020 se spice money service good</t>
  </si>
  <si>
    <t>2024-02-16 16:50:52</t>
  </si>
  <si>
    <t>Good service to the india</t>
  </si>
  <si>
    <t>2024-02-16 16:41:42</t>
  </si>
  <si>
    <t>Fraud hone pr help nhi krtaa</t>
  </si>
  <si>
    <t>2024-02-16 16:23:24</t>
  </si>
  <si>
    <t>Ji bilkul</t>
  </si>
  <si>
    <t>2024-02-16 16:21:16</t>
  </si>
  <si>
    <t>इसीलिए हम कहते हैं “आप अधिकारी एवं पार्टनर ख़ुद हैं स्पाइस मनी की गारंटी”!
#GuaranteeYatra #SpiceMoney #EmpoweringEntrepreneurs #PartnersMeet #RuralFinance</t>
  </si>
  <si>
    <t>2024-02-16 16:19:34</t>
  </si>
  <si>
    <t>इसीलिए हम कहते हैं “आप अधिकारी एवं पार्टनर ख़ुद हैं स्पाइस मनी की गारंटी”!
#GuaranteeYatra #SpiceMoney #EmpoweringEntrepreneurs #PartnersMeet #RuralFinance https://t.co/pluNrLjpJs</t>
  </si>
  <si>
    <t>2024-02-16 16:18:06</t>
  </si>
  <si>
    <t>Guarantee Yatra Ko Mila Partners &amp; Adhikariyon Ka Bharpur Pyar Evam sahyog!</t>
  </si>
  <si>
    <t>2024-02-16 16:12:20</t>
  </si>
  <si>
    <t>2024-02-16 16:10:35</t>
  </si>
  <si>
    <t>Mai bhi ek ba ka student meri age 19 years hai spice money me aaya hun agent kal ya parso aayega fir start ho jayega kaam mujhe har app se spice money sabse safe aur profitable laga 😅</t>
  </si>
  <si>
    <t>2024-02-16 15:16:47</t>
  </si>
  <si>
    <t>Spice money NSDL BANK me passbook dwonloding dena chaye tha</t>
  </si>
  <si>
    <t>2024-02-16 14:40:34</t>
  </si>
  <si>
    <t>Yaha pe disturbter ka mehnat bas barbad hota h disturbter reter bananata aur naye naye employees ate h unka hata dete h</t>
  </si>
  <si>
    <t>2024-02-16 13:25:32</t>
  </si>
  <si>
    <t>सर बैंक ऑफ बड़ौदा का ट्रांजेशन नहीं होता है सर
इसे भी चालू कर दीजिए सर आप से रिक्वेस्ट हैं</t>
  </si>
  <si>
    <t>2024-02-16 13:24:49</t>
  </si>
  <si>
    <t>@rinkuk538 @SpiceMoneyIndia @rapipay @anandkbajaj @NPCI_NPCI @NPCI_BHIM @YESBANK @RBI नमस्ते Rinku,आपको जिन समस्याओं का सामना करना पड़ा, उसके लिए हमें खेद है। हमने आपकी समस्या की पूरी जानकारी आपके DM/Inbox पर साझा की है, कृपया अपना DM check करें। ये लिंक पर क्लिक करें और आप DM चेक कर सकते हैं: https://t.co/5BjbPnALSa  
धन्यावद।</t>
  </si>
  <si>
    <t>2024-02-16 12:08:27</t>
  </si>
  <si>
    <t>janardhan965245</t>
  </si>
  <si>
    <t>JANARDHAN YOHAN</t>
  </si>
  <si>
    <t>The day acknowledges the role they play in shaping the business landscape. @SpiceMoneyIndia @IamDilipModi @zebpay @TaxNodes_ @avinash_shekhar @reelstario @WigglesIndia @AnushkaIyer__ @NourishYouIndia @garuda_india
@AgnishwarJ 
Read article here: 
https://t.co/9IIFIAmoDz https://t.co/THHypnpCkD</t>
  </si>
  <si>
    <t>2024-02-16 11:31:10</t>
  </si>
  <si>
    <t>@SpiceMoneyIndia मेरे प्यारे स्पाइस मनी. मेरा आईडी है 640 764
मैं 15 दिन से डिस्ट्रीब्यूटर को कॉल करता हूं
और इसका जो स्टेट हेड है उसको कॉल करता हूं कोई उत्तर देने के लिए तैयार नहीं है
कृपया करके हमारी मदद करें https://t.co/ixZSUJohNk</t>
  </si>
  <si>
    <t>2024-02-16 11:30:39</t>
  </si>
  <si>
    <t>2024-02-16 08:55:22</t>
  </si>
  <si>
    <t>@PayNearby @SpiceMoneyIndia @rapipay @anandkbajaj @NPCI_NPCI @NPCI_BHIM @YESBANK @RBI किया DM पे चैक करूं मैं कुछ नहीं है DM पर वही घिसा पिटा मैसेज भेजते हो आनंद बजाजा अब शर्म कर 46 दिन हो गये है मेरी रिटेलर आईडी को ब्लॉक किए हुए</t>
  </si>
  <si>
    <t>2024-02-16 07:27:30</t>
  </si>
  <si>
    <t>2024-02-15</t>
  </si>
  <si>
    <t>Pls provide banner and poster</t>
  </si>
  <si>
    <t>2024-02-15 22:25:51</t>
  </si>
  <si>
    <t>IMRANDHANLA</t>
  </si>
  <si>
    <t>IMRAN KHAN</t>
  </si>
  <si>
    <t>@SpiceMoneyIndia Message nahi ho raha vaha https://t.co/fyHnJEMseb</t>
  </si>
  <si>
    <t>2024-02-15 18:20:33</t>
  </si>
  <si>
    <t>Marwar junction, india</t>
  </si>
  <si>
    <t>SPICE MONEY Fake reply</t>
  </si>
  <si>
    <t>2024-02-15 17:59:54</t>
  </si>
  <si>
    <t>@ShoaibAkhtertsk Dear Sir, Greetings! As per discussed with you your concern regarding id suspend, please allow us sometime for your concern, we’ll update you soon  .Regards, Team spice money</t>
  </si>
  <si>
    <t>2024-02-15 17:57:22</t>
  </si>
  <si>
    <t>2024-02-15 17:54:30</t>
  </si>
  <si>
    <t>@Benadeemgeelani Dear Sir, Greetings! We regret the inconvenience caused to you. Our customer care officer will get in touch with you shortly. Regards, Team Spice Money</t>
  </si>
  <si>
    <t>2024-02-15 17:53:21</t>
  </si>
  <si>
    <t>2024-02-15 17:52:19</t>
  </si>
  <si>
    <t>2024-02-15 17:50:38</t>
  </si>
  <si>
    <t>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</si>
  <si>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2024-02-15 17:43:32</t>
  </si>
  <si>
    <t>@rinkuk538 @SpiceMoneyIndia @rapipay @anandkbajaj @NPCI_NPCI @NPCI_BHIM @YESBANK @RBI नमस्ते Rinku,आपको जिन समस्याओं का सामना करना पड़ा, उसके लिए हमें खेद है। हमने आपकी समस्या की पूरी जानकारी आपके DM/Inbox पर साझा की है, कृपया अपना DM check करें। ये लिंक पर क्लिक करें और आप DM चेक कर सकते हैं: https://t.co/5BjbPnALSa 
 धन्यावद।</t>
  </si>
  <si>
    <t>2024-02-15 17:43:28</t>
  </si>
  <si>
    <t>Dear Sir, Greetings! Spice Money ki taraf se aapke paas verification ke liye ya fir id password share karne ke liye koi bhi call nahi jati hai ,aapse requst hai ki kripya aisi kisi bhi link  par click na kare aur na hi apni details share kare ,otherwise aap fraud ke shikaar ho sakte, Regards, Team Spice Money</t>
  </si>
  <si>
    <t>2024-02-15 17:41:48</t>
  </si>
  <si>
    <t>2024-02-15 17:41:05</t>
  </si>
  <si>
    <t>2024-02-15 17:40:10</t>
  </si>
  <si>
    <t>@IMRANDHANLA Dear Sir, Namaskar! Aapse request hai ki please apna Mobile number &amp;amp; email id hume inbox me share karein, hamari customer care team aapse jald hi sampark karegi. Regards, Team Spice Money</t>
  </si>
  <si>
    <t>2024-02-15 17:39:17</t>
  </si>
  <si>
    <t>2024-02-15 17:38:19</t>
  </si>
  <si>
    <t>Dear Sir, Namaskar!Aapko batana chahenge ki financial plateform ke liye money transfer limit bank ki taraf se decide ki jati hai, Adhik jankari ke liye aap hamare official customer care number 0120-3645645 par bhi sampark kar sakte hain. Regards, Team Spice Money</t>
  </si>
  <si>
    <t>2024-02-15 17:36:42</t>
  </si>
  <si>
    <t>प्रिय महोदय, नमस्कार!आपको बताना चाहेंगे  फाइनेंशियल प्लेटफॉर्म के लिए मनी ट्रांसफर सीमा, बैंक की तरफ से तय की जाती है, अधिक जानकारी के लिए आप हमारे आधिकारिक ग्राहक सेवा नंबर 0120-3645645 पर भी संपर्क कर सकते हैं। सादर, टीम स्पाइस मनी</t>
  </si>
  <si>
    <t>2024-02-15 17:31:23</t>
  </si>
  <si>
    <t>Dear sir, Greetings! Aapke sujhaav ke liye dhanyavaad,humne aapke sujhav ko apne team ke sath already share kiya hua hai. Regards, Team Spice Money</t>
  </si>
  <si>
    <t>2024-02-15 17:12:33</t>
  </si>
  <si>
    <t>@SpiceMoneyIndia me spice money me pichle kai saalo se kaam kar raha hu. Mene Qr box mangvaya tha jo defect tha exchange me vapas nahi mila or na koi javab mil raha he na support ki kab tak aayega. Bs jab call karo tab cut or jab kabhi attend kar diya to aa jayega aa jayega.</t>
  </si>
  <si>
    <t>2024-02-15 16:52:26</t>
  </si>
  <si>
    <t>Company ke employees kharb ho chuke h disturbter ke sath ford karte h nakli company</t>
  </si>
  <si>
    <t>2024-02-15 16:46:48</t>
  </si>
  <si>
    <t>@PayNearby @SpiceMoneyIndia @rapipay @anandkbajaj @NPCI_NPCI @NPCI_BHIM @YESBANK @RBI लगता है। आनंद बजाजा सर की कंपनी पेयनीयर वाई को अपने रिटेलरों को बेबकुफ बनाने में कुछ ज्यादा ही मजा आ रहा है 1 January से लेकर अभी तक मेरी शिकायत पर कोई कार्यवाही नही हुई है अब मैं कंपनी के खिलाफ लीगल एक्सन ले रहा हूं #Banking</t>
  </si>
  <si>
    <t>2024-02-15 16:07:57</t>
  </si>
  <si>
    <t>9926767065details send</t>
  </si>
  <si>
    <t>2024-02-15 16:06:54</t>
  </si>
  <si>
    <t>@PayNearby @SpiceMoneyIndia @rapipay @anandkbajaj @NPCI_NPCI @NPCI_BHIM लगता है। आनंद बजाजा सर की कंपनी पेयनीयर वाई को अपने रिटेलरों को बेबकुफ बनाने में कुछ ज्यादा ही मजा आ रहा है 1 January से लेकर अभी तक मेरी शिकायत पर कोई कार्यवाही नही हुई है अब मैं कंपनी के खिलाफ लीगल एक्सन ले रहा हूं</t>
  </si>
  <si>
    <t>2024-02-15 16:04:56</t>
  </si>
  <si>
    <t>2024-02-15 15:51:12</t>
  </si>
  <si>
    <t>vishnusharma301192@gmail.com</t>
  </si>
  <si>
    <t>2024-02-15 15:51:03</t>
  </si>
  <si>
    <t>@vishalmahere123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</si>
  <si>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2024-02-15 15:49:40</t>
  </si>
  <si>
    <t>2024-02-15 15:47:34</t>
  </si>
  <si>
    <t>2024-02-15 15:46:17</t>
  </si>
  <si>
    <t>Dear Sir, Greetings! Please share your email id and mobile number and we'll reach out to you to resolve all your concerns. Regards, Team Spice Money</t>
  </si>
  <si>
    <t>2024-02-15 15:45:21</t>
  </si>
  <si>
    <t>Dear Sir, Namaskar!Aapko batana chahenge ki Spice Money me Axis bank and NSDL payment bank account opening ka option available hai. Adhik jankari ke liye aap hamare official customer care number 0120-3645645 par bhi sampark kar sakte hain. Regards, Team Spice Money</t>
  </si>
  <si>
    <t>2024-02-15 15:43:32</t>
  </si>
  <si>
    <t>2024-02-15 15:42:55</t>
  </si>
  <si>
    <t>Spice money ko ayushman ki id Deni chahiye hm bhi 2 years se jude hai spice money bahut hi achha</t>
  </si>
  <si>
    <t>2024-02-15 15:39:13</t>
  </si>
  <si>
    <t>हमारी नारी अधिकारी से जानें किस तरह स्पाइस मनी सपने सच करने का जरिया है, अभावों में अवसर पाने का माध्यम है!
#SpiceMoney #GuaranteeYatra #NariAdhikari #MainAdhikariKhudHoonGuarantee https://t.co/Xa8SZMPRQf</t>
  </si>
  <si>
    <t>2024-02-15 14:49:19</t>
  </si>
  <si>
    <t>@Shuga_Videography</t>
  </si>
  <si>
    <t>Dear Spice Money Team
Please launch Spice Money all in one  POS Machine for easy use for all merchant</t>
  </si>
  <si>
    <t>2024-02-15 13:54:41</t>
  </si>
  <si>
    <t>Dear sir please provide axis Bank ca ac tds free account information</t>
  </si>
  <si>
    <t>2024-02-15 13:07:39</t>
  </si>
  <si>
    <t>Attareth124063</t>
  </si>
  <si>
    <t>••|Attar|••.eth</t>
  </si>
  <si>
    <t>@SpiceMoneyIndia Help your friends and show it to them https://t.co/Jgwj9ptG0m 
  Quoted Tweet : @TheFameMaker_ : I make around 5-10 ETH per week! 🤑
Tutorial: https://t.co/hLc2jN6sFe
I've been using it for 3 months now.
It works great for me and it's my biggest source of income right now.✅
It's the best i've seen so far♥️
Literally a gamechanger!
Don't forget to like + share https://t.co/fTdvaeSTCG</t>
  </si>
  <si>
    <t>2024-02-15 12:32:50</t>
  </si>
  <si>
    <t>Turkey</t>
  </si>
  <si>
    <t>अपनी उपस्थिति और उत्साह से गारंटी यात्रा को इतनी बड़ी सफलता दिलाने के लिए नागपुर के सभी पार्टनर्स एवं अधिकारियों का तहे दिल से धन्यवाद! यूँही साथ जुड़े रहें, जुटे रहें!
#SpiceMoney #GuaranteeYatraNagpur
#RuralFintech #PartnersMeet https://t.co/sIYBG4AjJ6</t>
  </si>
  <si>
    <t>2024-02-15 12:32:46</t>
  </si>
  <si>
    <t>अपनी उपस्थिति और उत्साह से गारंटी यात्रा को इतनी बड़ी सफलता दिलाने के लिए नागपुर के सभी पार्टनर्स एवं अधिकारियों का तहे दिल से धन्यवाद! यूँही साथ जुड़े रहें, जुटे रहें!
#SpiceMoney #GuaranteeYatraNagpur
#RuralFintech #PartnersMeet
अपनी उपस्थिति और उत्साह से गारंटी यात्रा को इतनी बड़ी सफलता दिलाने के लिए नागपुर के सभी पार्टनर्स एवं अधिकारियों का तहे दिल से धन्यवाद! यूँही साथ जुड़े रहें, जुटे रहें!
#SpiceMoney #GuaranteeYatraNagpur
#RuralFintech #PartnersMeet</t>
  </si>
  <si>
    <t>2024-02-15 12:32:26</t>
  </si>
  <si>
    <t>@SpiceMoneyIndia @jagograhakjago</t>
  </si>
  <si>
    <t>2024-02-15 12:25:24</t>
  </si>
  <si>
    <t>@VikashRaj-wz7ev</t>
  </si>
  <si>
    <t>Online account opening ka system h kya sir</t>
  </si>
  <si>
    <t>2024-02-15 10:59:13</t>
  </si>
  <si>
    <t>@salmanmustfa7480</t>
  </si>
  <si>
    <t>Money transfer 1 transaction hona chahiye 25000 tak jo ki 5000. 5000.5000.5000.5000   panch bar me jate hai customer bolta hai ye kya hai</t>
  </si>
  <si>
    <t>2024-02-15 10:53:23</t>
  </si>
  <si>
    <t>Meri request hai ke retailer ko shop pe striker and banner diya jaye jo ki kuch bhi nhi milta</t>
  </si>
  <si>
    <t>2024-02-15 10:50:38</t>
  </si>
  <si>
    <t>@aadiwasidhamakaofficial7042</t>
  </si>
  <si>
    <t>Sir meri spice mony me withdrawal kare to walet me paise nahi aa rahe hai sir please help me</t>
  </si>
  <si>
    <t>2024-02-15 10:46:45</t>
  </si>
  <si>
    <t>Sir meri spice many id me withdrawal kare to paise walet me nahi aa rahe hai sir ji help me</t>
  </si>
  <si>
    <t>2024-02-15 10:43:26</t>
  </si>
  <si>
    <t>Contacted 20-30 times there is no use</t>
  </si>
  <si>
    <t>2024-02-15 10:41:29</t>
  </si>
  <si>
    <t>2024-02-15 09:59:24</t>
  </si>
  <si>
    <t>2024-02-15 09:59:06</t>
  </si>
  <si>
    <t>2024-02-15 09:56:14</t>
  </si>
  <si>
    <t>2024-02-15 09:45:35</t>
  </si>
  <si>
    <t>2024-02-15 09:43:37</t>
  </si>
  <si>
    <t>2024-02-15 09:42:48</t>
  </si>
  <si>
    <t>2024-02-15 09:39:16</t>
  </si>
  <si>
    <t>2024-02-15 09:38:57</t>
  </si>
  <si>
    <t>2024-02-15 09:16:23</t>
  </si>
  <si>
    <t>2024-02-15 09:15:04</t>
  </si>
  <si>
    <t>❤ vary good spice spice money account opening service</t>
  </si>
  <si>
    <t>2024-02-15 07:19:30</t>
  </si>
  <si>
    <t>KishoreLalji</t>
  </si>
  <si>
    <t>Kishore Lal</t>
  </si>
  <si>
    <t>@SpiceMoneyIndia Yeh saare retailers hain ki tumare hi employees jo yeh baat bol rahe hain</t>
  </si>
  <si>
    <t>2024-02-15 06:43:58</t>
  </si>
  <si>
    <t>2024-02-14</t>
  </si>
  <si>
    <t>@SpiceMoneyIndia 2/2
I didn't expected this from spice money, now what is the actual period which you take for kyc 
plz let me know
I shall be thankful to you</t>
  </si>
  <si>
    <t>2024-02-14 23:50:04</t>
  </si>
  <si>
    <t>@SpiceMoneyIndia 1/2
My Spice money id is pending for KYC, 
And customer service is careless, I have messaged several times but not serious response is taken
Only a customer care lady called and reply me that they will inform me about KYC and i am waiting for near about one month.</t>
  </si>
  <si>
    <t>2024-02-14 23:48:09</t>
  </si>
  <si>
    <t>Market want new service like Aadhar Card number link</t>
  </si>
  <si>
    <t>2024-02-14 22:45:30</t>
  </si>
  <si>
    <t>@jitendramaurya3342</t>
  </si>
  <si>
    <t>इतना सब पकड़ पकड़ चिल्ला रहे हो कौन सी अच्छी गारंटी है 2 लाख का मनी ट्रांसफर था उसको 25000 ला कर दिया है</t>
  </si>
  <si>
    <t>2024-02-14 22:11:46</t>
  </si>
  <si>
    <t>@satyamraj4201</t>
  </si>
  <si>
    <t>Upi cash withdrawal limit 10 thousand please</t>
  </si>
  <si>
    <t>2024-02-14 21:59:38</t>
  </si>
  <si>
    <t>डिस्ट्रिब्यूटर के माध्यम से बैनर पोस्टर तो दिलवा दो रेटेलरो को जिससे कंपनी का भी अच्छे से प्रचार हो और ग्राहक भी आपके सेवा पोर्टल को अच्छे से जान सके</t>
  </si>
  <si>
    <t>2024-02-14 21:11:44</t>
  </si>
  <si>
    <t>Spice bank coming soon</t>
  </si>
  <si>
    <t>2024-02-14 20:37:12</t>
  </si>
  <si>
    <t>Company froud kar rhi hai bahut</t>
  </si>
  <si>
    <t>2024-02-14 20:22:31</t>
  </si>
  <si>
    <t>vishalmahere123</t>
  </si>
  <si>
    <t>Er. Vishal sharma</t>
  </si>
  <si>
    <t>@SpiceMoneyIndia मेने कही बार अपनी शॉप पर CMS Service ke liye bola tha, lekin result 000</t>
  </si>
  <si>
    <t>2024-02-14 20:20:41</t>
  </si>
  <si>
    <t>Agra, india</t>
  </si>
  <si>
    <t>Company froud kar rhi hai</t>
  </si>
  <si>
    <t>2024-02-14 20:17:58</t>
  </si>
  <si>
    <t>Spice Money is a fraudulent company which grabs your hard earn money without your knowledge ex: charges 99 paisa for a voice notification if you disable then the tab will be placed right next to submit button for which it activates five times in ten transactions, and jumping transactions in AEPS cannot be tracked which they will never return at any cost, Days will drag by saying to wait for 7 days, as its happens in small amount so nobody complains leaves it which becomes company profit, they will collect registration charges for pan services and that service never work 24X7 like same there will be all services which don't support</t>
  </si>
  <si>
    <t>2024-02-14 20:10:12</t>
  </si>
  <si>
    <t>COMPANY TARAP SE GIFT DENE CHIA</t>
  </si>
  <si>
    <t>2024-02-14 20:05:13</t>
  </si>
  <si>
    <t>ANGADSHARMAJI</t>
  </si>
  <si>
    <t>अंगद शर्मा</t>
  </si>
  <si>
    <t>@SpiceMoneyIndia मऊ डिस्ट्रिक्ट मैनेज का नम्बर चाहिए जी</t>
  </si>
  <si>
    <t>2024-02-14 19:32:57</t>
  </si>
  <si>
    <t>Mere centre pe lone nhi hota hai</t>
  </si>
  <si>
    <t>2024-02-14 19:30:57</t>
  </si>
  <si>
    <t>Only nsdl me hi account open kar sakte hai ya dusre bank me bhi</t>
  </si>
  <si>
    <t>2024-02-14 19:26:43</t>
  </si>
  <si>
    <t>Sabse kharab hai</t>
  </si>
  <si>
    <t>2024-02-14 19:23:21</t>
  </si>
  <si>
    <t>Very good service spice money services good service ❤❤❤❤❤❤❤</t>
  </si>
  <si>
    <t>2024-02-14 19:15:00</t>
  </si>
  <si>
    <t>स्पाइस मनी से बैंक ऑफ़ बरोदाा के पैसे क्यों नहीं निकाल रहे</t>
  </si>
  <si>
    <t>2024-02-14 19:13:48</t>
  </si>
  <si>
    <t>जानें क्यों अधिकारी एवं डिस्ट्रीब्यूटर स्पाइस मनी को इनकम की गारंटी मानते हैं!
#SpiceMoney #GuaranteeYatra #MainAdhikariKhudHoonGuarantee https://t.co/Hpno5pkh3D</t>
  </si>
  <si>
    <t>2024-02-14 19:11:29</t>
  </si>
  <si>
    <t>9887906685 हमे भी तो मौका दो</t>
  </si>
  <si>
    <t>2024-02-14 19:10:24</t>
  </si>
  <si>
    <t>AndrewNft37045</t>
  </si>
  <si>
    <t>Andrew B.nft</t>
  </si>
  <si>
    <t>@SpiceMoneyIndia Good morning. Let's make cash 🌈🌈 https://t.co/m5xH3M7o1q 
  Quoted Tweet : @TheFameMaker_ : I make around 5-10 ETH per week! 🤑
Tutorial: https://t.co/hLc2jN6sFe
I've been using it for 3 months now.
It works great for me and it's my biggest source of income right now.✅
It's the best i've seen so far♥️
Literally a gamechanger!
Don't forget to like + share https://t.co/fTdvaeSTCG</t>
  </si>
  <si>
    <t>2024-02-14 19:09:11</t>
  </si>
  <si>
    <t>Somalia</t>
  </si>
  <si>
    <t>गारंटी यात्रा 2024 है, विश्वास और तरक्की का सफ़र!
स्पाइस मनी लगातार अपने पार्टनर्स और अधिकारियों की लाइफ बदल रहा है। फाइनेंशियल इन्क्लुज़न के ज़रिए ख़ुद का बिज़नेस शुरू करने के उनके सपने को सच कर रहा है। 
गारंटी यात्रा के दौरान हासिल विश्वास और साझेदारी बरकरार रहे, हम मिलकर… https://t.co/jNbfHXdZtS</t>
  </si>
  <si>
    <t>2024-02-14 19:09:04</t>
  </si>
  <si>
    <t>@ROCKABHI367</t>
  </si>
  <si>
    <t>SIR DMT ACTIVATE PLEASE</t>
  </si>
  <si>
    <t>2024-02-14 19:07:24</t>
  </si>
  <si>
    <t>गारंटी यात्रा 2024 है, विश्वास और तरक्की का सफ़र!
स्पाइस मनी लगातार अपने पार्टनर्स और अधिकारियों की लाइफ बदल रहा है। फाइनेंशियल इन्क्लुज़न के ज़रिए ख़ुद का बिज़नेस शुरू करने के उनके सपने को सच कर रहा है। 
गारंटी यात्रा के दौरान हासिल विश्वास और साझेदारी बरकरार रहे, हम मिलकर उपलब्धियों का इतिहास लिखते रहें।
#GuaranteeYatra #SpiceMoney #EmpoweringEntrepreneurs #PartnersMeet #RuralFinance</t>
  </si>
  <si>
    <t>2024-02-14 18:59:07</t>
  </si>
  <si>
    <t>Sir हमे भी तो मौका दो बोलने का</t>
  </si>
  <si>
    <t>2024-02-14 18:55:09</t>
  </si>
  <si>
    <t>@nsdreams</t>
  </si>
  <si>
    <t>1. Spice Ka Cashback Bakwas Hain
2. Voice Alert Ka Naam Se Har Din Charge Kat Raha Hain
Spice Money Mere Bank Account Pe Report Kar Rakkha Hain Withdrawal Nahi Kar Raha Hain Main Kaafi Bar Mail Kiya Pir Vi Nahi Kiya.
Report Karne Ke Ba Jaise Bank Walone Mera Account Freeze Kar Diya</t>
  </si>
  <si>
    <t>2024-02-14 18:52:24</t>
  </si>
  <si>
    <t>Mera ek request hai spice money se ki Jo bhee retailer hai un sabhee ko ek ek tshirt dena chahiye taaki hum log dukan par t-shirt pahankar dukaan par rahe</t>
  </si>
  <si>
    <t>@SantoshKumar-jg1ht</t>
  </si>
  <si>
    <t>Account open ho raha hai kiya</t>
  </si>
  <si>
    <t>2024-02-14 18:52:18</t>
  </si>
  <si>
    <t>@funtech02sk81</t>
  </si>
  <si>
    <t>Very good 💯</t>
  </si>
  <si>
    <t>2024-02-14 18:49:26</t>
  </si>
  <si>
    <t>In Wajahon Se Guarantee Yatra Hai Behad Khaas!</t>
  </si>
  <si>
    <t>2024-02-14 18:48:04</t>
  </si>
  <si>
    <t>Itna add pehele nehi tha,magar three months se jada add de rahahe,dal me kuj kala he, spice money ka</t>
  </si>
  <si>
    <t>2024-02-14 18:46:14</t>
  </si>
  <si>
    <t>2024-02-14 18:45:45</t>
  </si>
  <si>
    <t>Itna kiu prosar chalarahahe,dal me kuj kala he,tds cut ta he ,magar tds joma nehi kartha he spice money,mere tds avitak joma nehi Hoya he, sdl143569</t>
  </si>
  <si>
    <t>2024-02-14 18:43:33</t>
  </si>
  <si>
    <t>Benadeemgeelani</t>
  </si>
  <si>
    <t>BeingNadeemGeelani🇸🇦</t>
  </si>
  <si>
    <t>What a worst company
I assured everyone not to do business with @SpiceMoneyIndia 
They are cheating customers.
They even didn't refund my money in 6 years, I am tired now to send them  mails and phone calls.
Their executive Blocked my number. please don't use @SpiceMoneyIndia https://t.co/urA1RvQ184</t>
  </si>
  <si>
    <t>2024-02-14 18:25:07</t>
  </si>
  <si>
    <t>From gaza</t>
  </si>
  <si>
    <t>MetasNomad67278</t>
  </si>
  <si>
    <t>MetasNomadic.eth</t>
  </si>
  <si>
    <t>@Benadeemgeelani @SpiceMoneyIndia lol - i made 800 bucks in 4 hrs. https://t.co/j7ZFARpkH8 
  Quoted Tweet : @TheFameMaker_ : I make around 5-10 ETH per week! 🤑
Tutorial: https://t.co/hLc2jN6sFe
I've been using it for 3 months now.
It works great for me and it's my biggest source of income right now.✅
It's the best i've seen so far♥️
Literally a gamechanger!
Don't forget to like + share https://t.co/fTdvaeSTCG</t>
  </si>
  <si>
    <t>2024-02-14 18:24:12</t>
  </si>
  <si>
    <t>Christmas island</t>
  </si>
  <si>
    <t>What a worst company
I assured everyone not to do business with @SpiceMoneyIndia 
They are cheating customers.
They even didn't refund my money in 6 years, I am tired now to send them  mails and phone calls.
Their executive Blocked my number. please don't use @SpiceMoneyIndia</t>
  </si>
  <si>
    <t>2024-02-14 18:24:06</t>
  </si>
  <si>
    <t>2024-02-14 18:09:52</t>
  </si>
  <si>
    <t>2024-02-14 18:09:27</t>
  </si>
  <si>
    <t>Account opening system hoga</t>
  </si>
  <si>
    <t>2024-02-14 18:06:33</t>
  </si>
  <si>
    <t>SPICE MONEY 9926745652
E-mail-kaliramsoner1989@gmail.com</t>
  </si>
  <si>
    <t>2024-02-14 17:55:02</t>
  </si>
  <si>
    <t>2024-02-14 17:54:56</t>
  </si>
  <si>
    <t>2024-02-14 17:54:13</t>
  </si>
  <si>
    <t>2024-02-14 17:53:39</t>
  </si>
  <si>
    <t>Meri id pe account open karne ka option nahi hai sir</t>
  </si>
  <si>
    <t>2024-02-14 17:36:36</t>
  </si>
  <si>
    <t>Bhot shandar</t>
  </si>
  <si>
    <t>2024-02-14 16:49:35</t>
  </si>
  <si>
    <t>@nsd153</t>
  </si>
  <si>
    <t>❤❤❤❤❤❤ spice money lovely</t>
  </si>
  <si>
    <t>2024-02-14 16:38:02</t>
  </si>
  <si>
    <t>Iss tarah aap pa sakte hain Product Training Se Judi Har Update!</t>
  </si>
  <si>
    <t>2024-02-14 16:33:04</t>
  </si>
  <si>
    <t>प्रिय महोदय, नमस्कार! हम आपको सूचित करना चाहेंगे कि हमें आपका संपर्क विवरण नहीं मिल सका। . कृपया अपना मोबाइल नंबर और उपयुक्त समय साझा करें। सादर, टीम स्पाइस मनी</t>
  </si>
  <si>
    <t>2024-02-14 16:11:33</t>
  </si>
  <si>
    <t>प्रिय महोदय, नमस्कार! आपको बताना चाहेंगे कि रिटेलर आईडी निःशुल्क होती है। अधिक जानकारी के लिए कृपया हमारे आधिकारिक ग्राहक सेवा नंबर 0120-3645622 पर संपर्क करें। सादर, टीम स्पाइस मनी</t>
  </si>
  <si>
    <t>2024-02-14 15:47:42</t>
  </si>
  <si>
    <t>2024-02-14 15:29:12</t>
  </si>
  <si>
    <t>2024-02-14 15:27:20</t>
  </si>
  <si>
    <t>@pankajsaxena631</t>
  </si>
  <si>
    <t>pasa Kat gaya but Account Ma Nahi Aya</t>
  </si>
  <si>
    <t>2024-02-14 15:26:11</t>
  </si>
  <si>
    <t>❤❤❤❤❤❤❤</t>
  </si>
  <si>
    <t>2024-02-14 14:55:00</t>
  </si>
  <si>
    <t>Provide English language</t>
  </si>
  <si>
    <t>2024-02-14 12:50:45</t>
  </si>
  <si>
    <t>Koi sporting system nhi hai Distributer pe sab work dal dete hai company k employe</t>
  </si>
  <si>
    <t>2024-02-14 10:47:14</t>
  </si>
  <si>
    <t>2024-02-14 10:32:21</t>
  </si>
  <si>
    <t>बैंक ऑफ़ बरोदाा के पैसे क्यों नहीं निकाल रहे</t>
  </si>
  <si>
    <t>2024-02-14 10:10:01</t>
  </si>
  <si>
    <t>Madam Aapke Customer ke bhi Sumpark Kiya But Problem Solved Nahi ho r.hai Aapke Customer service Ne Call ka bola tha 1 Months ho gya Call Nahi aya</t>
  </si>
  <si>
    <t>2024-02-14 09:51:10</t>
  </si>
  <si>
    <t>2024-02-14 09:28:27</t>
  </si>
  <si>
    <t>2024-02-14 09:20:01</t>
  </si>
  <si>
    <t>❤❤❤❤</t>
  </si>
  <si>
    <t>2024-02-14 09:12:25</t>
  </si>
  <si>
    <t>❤❤❤❤❤❤❤❤❤❤❤❤</t>
  </si>
  <si>
    <t>2024-02-14 09:12:01</t>
  </si>
  <si>
    <t>MSDS_india</t>
  </si>
  <si>
    <t>Maa Sharde Digital Seva</t>
  </si>
  <si>
    <t>सरस्वति महाभागे विद्ये कमललोचने।
विद्यारूपे विशालाक्षि देहि नमोऽस्तु ते।।
स्पाइस मनी की ओर से विद्या की देवी माँ शारदा को समर्पित बसंत पंचमी पर्व की हार्दिक बधाइयां!
#BasantPanchmi #SpiceMoney https://t.co/Ulzf79yq5n</t>
  </si>
  <si>
    <t>2024-02-14 08:27:34</t>
  </si>
  <si>
    <t>Khagaria, india</t>
  </si>
  <si>
    <t>Bahut bar de chuka m apko</t>
  </si>
  <si>
    <t>2024-02-14 08:24:31</t>
  </si>
  <si>
    <t>SPICE MONEY 9001582322
anoopk531@gmail.com</t>
  </si>
  <si>
    <t>2024-02-14 08:24:14</t>
  </si>
  <si>
    <t>SPICE MONEY सम्पर्क तो करते ही है समाधान तो नही करते</t>
  </si>
  <si>
    <t>2024-02-14 08:23:59</t>
  </si>
  <si>
    <t>Dear Sir, Namaskar! Aapko batana chahenge ki is concern ke regarding aapke area ke sales person ki taraf se aapko information provide kar di jayegi. Regards, Team Spice Money</t>
  </si>
  <si>
    <t>2024-02-14 08:21:55</t>
  </si>
  <si>
    <t>2024-02-14 08:21:25</t>
  </si>
  <si>
    <t>2024-02-14 08:20:47</t>
  </si>
  <si>
    <t>@kunalgaurav23 Dear Sir, Greetings! Our customer care officer will get in touch with you shortly. Regards, Team Spice Money</t>
  </si>
  <si>
    <t>2024-02-14 08:20:04</t>
  </si>
  <si>
    <t>प्रिय महोदय, नमस्कार! Distributor ID request के संबंध में, कृपया हमारे आधिकारिक ग्राहक सेवा 0120-3645622 पर संपर्क करें। सादर, टीम स्पाइस मनी</t>
  </si>
  <si>
    <t>2024-02-14 08:19:31</t>
  </si>
  <si>
    <t>@BadlapurGst Dear Sir, Greetings! Hamare grahak sewa adhikari aapse jald hi sampark karenge. Regards, Team Spice Money</t>
  </si>
  <si>
    <t>2024-02-14 08:16:48</t>
  </si>
  <si>
    <t>2024-02-14 08:16:23</t>
  </si>
  <si>
    <t>2024-02-14 08:13:02</t>
  </si>
  <si>
    <t>@prinshprinsesh9915</t>
  </si>
  <si>
    <t>Mor bhanda bank</t>
  </si>
  <si>
    <t>2024-02-14 07:40:42</t>
  </si>
  <si>
    <t>BadlapurGst</t>
  </si>
  <si>
    <t>Deep chandra maurya</t>
  </si>
  <si>
    <t>@SpiceMoneyIndia 8115516711
babitadevi317@gmail.com</t>
  </si>
  <si>
    <t>2024-02-14 07:33:59</t>
  </si>
  <si>
    <t>@SpiceMoneyIndia Loan amount pay krne ke bad bhi loan close ni hua 1 sall se</t>
  </si>
  <si>
    <t>2024-02-14 07:31:57</t>
  </si>
  <si>
    <t>हमारे देश के शहीद वीर जवानों को भी याद करो।</t>
  </si>
  <si>
    <t>2024-02-14 07:30:58</t>
  </si>
  <si>
    <t>@SpiceMoneyIndia Spicemoney chor hai</t>
  </si>
  <si>
    <t>2024-02-14 07:20:32</t>
  </si>
  <si>
    <t>Mere Happy Loan Ko Close Karbao Sir Bahut din bol rha hu nhi m RBI m complaint karunga</t>
  </si>
  <si>
    <t>2024-02-14 07:20:29</t>
  </si>
  <si>
    <t>2024-02-14 07:16:44</t>
  </si>
  <si>
    <t>सरस्वति महाभागे विद्ये कमललोचने।
विद्यारूपे विशालाक्षि देहि नमोऽस्तु ते।।
स्पाइस मनी की ओर से विद्या की देवी माँ शारदा को समर्पित बसंत पंचमी पर्व की हार्दिक बधाइयां!
#BasantPanchmi #SpiceMoney
सरस्वति महाभागे विद्ये कमललोचने।
विद्यारूपे विशालाक्षि देहि नमोऽस्तु ते।।
स्पाइस मनी की ओर से विद्या की देवी माँ शारदा को समर्पित बसंत पंचमी पर्व की हार्दिक बधाइयां!
#BasantPanchmi #SpiceMoney</t>
  </si>
  <si>
    <t>2024-02-14 07:16:12</t>
  </si>
  <si>
    <t>@mdmustaquim907</t>
  </si>
  <si>
    <t>हमे डिस्टीब्यूटर आईडी चाहिए</t>
  </si>
  <si>
    <t>2024-02-14 06:54:58</t>
  </si>
  <si>
    <t>2024-02-13</t>
  </si>
  <si>
    <t>Meri id bnd krdi h or bar bar ek hi mail krva rhe h koi solution nhi</t>
  </si>
  <si>
    <t>2024-02-13 22:49:53</t>
  </si>
  <si>
    <t>kunalgaurav23</t>
  </si>
  <si>
    <t>Kunal Gaurav🐬</t>
  </si>
  <si>
    <t>@SpiceMoneyIndia sent in ur inbox</t>
  </si>
  <si>
    <t>2024-02-13 22:47:03</t>
  </si>
  <si>
    <t xml:space="preserve">Rourkela industrial township, </t>
  </si>
  <si>
    <t>Very good 👍</t>
  </si>
  <si>
    <t>2024-02-13 21:58:31</t>
  </si>
  <si>
    <t>Mp panna me kb ho rhe</t>
  </si>
  <si>
    <t>2024-02-13 21:56:30</t>
  </si>
  <si>
    <t>@pagalworldsss2075</t>
  </si>
  <si>
    <t>My id has been saspend plz help me 😢</t>
  </si>
  <si>
    <t>2024-02-13 18:45:15</t>
  </si>
  <si>
    <t>2024-02-13 17:06:46</t>
  </si>
  <si>
    <t>shibam_jai39657</t>
  </si>
  <si>
    <t>Shibam Jaiswal</t>
  </si>
  <si>
    <t>@NPCI_NPCI 
https://t.co/HSuFrF1fTo</t>
  </si>
  <si>
    <t>2024-02-13 16:33:22</t>
  </si>
  <si>
    <t>@raworld6975</t>
  </si>
  <si>
    <t>Thik hai spice money lekin abhi retailro ko bahot problem ho rhi hai apeas acche se nhi ho rha kisi ka adhar nhi juda hai kisi ka mobile na</t>
  </si>
  <si>
    <t>2024-02-13 16:31:58</t>
  </si>
  <si>
    <t>Kyc problem</t>
  </si>
  <si>
    <t>2024-02-13 15:29:19</t>
  </si>
  <si>
    <t>Miri id open nahi ho rahi koi samadhan</t>
  </si>
  <si>
    <t>2024-02-13 15:29:12</t>
  </si>
  <si>
    <t>@kunalgaurav23 Dear Sir, Greetings! Please share your email id and mobile number in inbox .we'll reach out to you to resolve all your concerns.Regards, Team Spice Money</t>
  </si>
  <si>
    <t>2024-02-13 15:18:48</t>
  </si>
  <si>
    <t>2024-02-13 15:13:06</t>
  </si>
  <si>
    <t>2024-02-13 15:12:10</t>
  </si>
  <si>
    <t>2024-02-13 15:11:01</t>
  </si>
  <si>
    <t>@technology5str91</t>
  </si>
  <si>
    <t>Please details</t>
  </si>
  <si>
    <t>2024-02-13 14:57:46</t>
  </si>
  <si>
    <t>Mujhe I'd banwa hai sir</t>
  </si>
  <si>
    <t>2024-02-13 14:57:30</t>
  </si>
  <si>
    <t>Mujhe id bnwana hai bhaiya</t>
  </si>
  <si>
    <t>2024-02-13 14:56:29</t>
  </si>
  <si>
    <t>हमारी नारी अधिकारी से जानें किस तरह स्पाइस मनी सपने सच करने का जरिया है, अभावों में अवसर पाने का माध्यम है!
#SpiceMoney #GuaranteeYatra #NariAdhikari #MainAdhikariKhudHoonGuarantee</t>
  </si>
  <si>
    <t>2024-02-13 14:56:20</t>
  </si>
  <si>
    <t>Guarantee Yatra Ke Dauran Nari Adhikari Ne Btaye Apne Sapne !</t>
  </si>
  <si>
    <t>2024-02-13 14:48:18</t>
  </si>
  <si>
    <t>2024-02-13 14:46:23</t>
  </si>
  <si>
    <t>Please provide axix tds free ac detail</t>
  </si>
  <si>
    <t>2024-02-13 14:41:57</t>
  </si>
  <si>
    <t>Wallet money transfer nhi horarahin ...Add money kiya tha</t>
  </si>
  <si>
    <t>2024-02-13 13:12:47</t>
  </si>
  <si>
    <t>@rinkuk538 @SpiceMoneyIndia @rapipay @anandkbajaj @NPCI_NPCI @NPCI_BHIM नमस्ते Rinku,आपको जिन समस्याओं का सामना करना पड़ा, उसके लिए हमें खेद है। हमने आपकी समस्या की पूरी जानकारी आपके DM/Inbox पर साझा की है, कृपया अपना DM check करें। ये लिंक पर क्लिक करें और आप DM चेक कर सकते हैं: https://t.co/5BjbPnALSa
 धन्यावद।</t>
  </si>
  <si>
    <t>2024-02-13 10:41:12</t>
  </si>
  <si>
    <t>2024-02-13 10:22:17</t>
  </si>
  <si>
    <t>2024-02-13 10:10:31</t>
  </si>
  <si>
    <t>2024-02-13 10:07:46</t>
  </si>
  <si>
    <t>2024-02-13 10:06:58</t>
  </si>
  <si>
    <t>2024-02-13 09:55:11</t>
  </si>
  <si>
    <t>@SpiceMoneyIndia Ok means then u should close ur Spice money. Or Atleast give permission to any staff too for finger scan. Many users using fake fingers but i can't.</t>
  </si>
  <si>
    <t>2024-02-13 09:46:27</t>
  </si>
  <si>
    <t>2024-02-13 09:46:14</t>
  </si>
  <si>
    <t>.@NPCI_NPCI @NPCI_BHIM @UPI_NPCI Pls check all tweets 
  Quoted Tweet : @SpiceMoneyIndia : @kunalgaurav23 प्रिय महोदय, नमस्कार!आपको बताना चाहेंगे कि ये सारे नियम NPCI की तरफ से बनाए जाते हैं जिन्हें सभी कंपनियों को follow करना होता है, अधिक जानकारी के लिए आप हमारे आधिकारिक ग्राहक सेवा नंबर 0120-3645645 पर भी संपर्क कर सकते हैं। सादर, टीम स्पाइस मनी</t>
  </si>
  <si>
    <t>2024-02-13 09:44:38</t>
  </si>
  <si>
    <t>@Dks08</t>
  </si>
  <si>
    <t>जिला बूंदी राजस्थान डिस्ट्रीब्यूटर का नंबर प्रदान करे</t>
  </si>
  <si>
    <t>2024-02-13 09:23:25</t>
  </si>
  <si>
    <t>डिस्ट्रीब्यूटर अप्रूवल का कितना चार्ज लेते हैं।</t>
  </si>
  <si>
    <t>2024-02-13 09:19:48</t>
  </si>
  <si>
    <t>@abs4406</t>
  </si>
  <si>
    <t>डिस्ट्रीब्यूटर अप्रूवल का कितना चार्ज लेते है</t>
  </si>
  <si>
    <t>2024-02-13 07:38:19</t>
  </si>
  <si>
    <t>2024-02-12</t>
  </si>
  <si>
    <t>@@SpiceMoneyOfficial कुछ करते हो नहीं बस नम्बर दे देते तो जो कभी लगता ही नहीं</t>
  </si>
  <si>
    <t>2024-02-12 20:10:37</t>
  </si>
  <si>
    <t>@Aman.......</t>
  </si>
  <si>
    <t>Spice money bahut bekar hai distributor approval deta hee nahi</t>
  </si>
  <si>
    <t>2024-02-12 20:02:35</t>
  </si>
  <si>
    <t>Yes</t>
  </si>
  <si>
    <t>2024-02-12 20:01:49</t>
  </si>
  <si>
    <t>@oyehmrakesh</t>
  </si>
  <si>
    <t>Dear Prospect, you are not at your shop location, This is an important step to complete your registration. please be at your shop location and re-try. Please Help Me</t>
  </si>
  <si>
    <t>2024-02-12 18:56:25</t>
  </si>
  <si>
    <t>@ParwinderS82656 Dear Sir, Greetings! We regret the inconvenience caused to you. Please share your concern on our official email  customercare@spicemoney.com .we'll reach out to you to resolve all your concerns.Regards, Team Spice Money</t>
  </si>
  <si>
    <t>2024-02-12 18:06:00</t>
  </si>
  <si>
    <t>2024-02-12 18:01:46</t>
  </si>
  <si>
    <t>@kunalgaurav23 प्रिय महोदय, नमस्कार!आपको बताना चाहेंगे कि ये सारे नियम NPCI की तरफ से बनाए जाते हैं जिन्हें सभी कंपनियों को follow करना होता है, अधिक जानकारी के लिए आप हमारे आधिकारिक ग्राहक सेवा नंबर 0120-3645645 पर भी संपर्क कर सकते हैं। सादर, टीम स्पाइस मनी</t>
  </si>
  <si>
    <t>2024-02-12 18:00:13</t>
  </si>
  <si>
    <t>SPICE MONEY kahi bar Diya hai , lekin kuch vi nahi hua .</t>
  </si>
  <si>
    <t>2024-02-12 17:57:18</t>
  </si>
  <si>
    <t>Spices money me kuch Employee bahot bade kamene hai Jo compney ko ek day le dubege mere disturbter ide se reter hata deay sab</t>
  </si>
  <si>
    <t>2024-02-12 17:48:27</t>
  </si>
  <si>
    <t>2024-02-12 17:43:46</t>
  </si>
  <si>
    <t>2024-02-12 17:42:00</t>
  </si>
  <si>
    <t>2024-02-12 17:41:05</t>
  </si>
  <si>
    <t>2024-02-12 17:40:23</t>
  </si>
  <si>
    <t>2024-02-12 17:40:00</t>
  </si>
  <si>
    <t>@BikiDas572431 Dear Sir, Namaskar! Aapse request hai ki please apna Mobile number &amp;amp; email id hume share karein, hamari customer care team aapse jald hi sampark karegi. Regards, Team Spice Money</t>
  </si>
  <si>
    <t>2024-02-12 17:39:24</t>
  </si>
  <si>
    <t>Dear Sir, Namaskar! Distributor id request ke regarding aap hamare official customer care 0120-3645622 par sampark karein. Regards, Team Spice Money</t>
  </si>
  <si>
    <t>2024-02-12 17:38:33</t>
  </si>
  <si>
    <t>2024-02-12 17:26:18</t>
  </si>
  <si>
    <t>Dear Sir, Namaskar!Aap hamse hamare official customer care 0120-3645645 par bhi sampark kar sakate hain. Regards, Team Spice Money</t>
  </si>
  <si>
    <t>2024-02-12 17:21:35</t>
  </si>
  <si>
    <t>2024-02-12 17:16:23</t>
  </si>
  <si>
    <t>2024-02-12 17:15:31</t>
  </si>
  <si>
    <t>2024-02-12 17:14:46</t>
  </si>
  <si>
    <t>Mera AEPS  band hai 1months sa</t>
  </si>
  <si>
    <t>2024-02-12 15:53:10</t>
  </si>
  <si>
    <t>Upi cash withdrawal</t>
  </si>
  <si>
    <t>2024-02-12 15:35:21</t>
  </si>
  <si>
    <t>@@SpiceMoneyOfficial Madam  Aapko Already Mobile Number Aur Gmali de diya Kitni Bar Du</t>
  </si>
  <si>
    <t>2024-02-12 15:32:06</t>
  </si>
  <si>
    <t>@@SpiceMoneyOfficial इस नम्बर पर फोन नहीं लगता</t>
  </si>
  <si>
    <t>2024-02-12 15:31:07</t>
  </si>
  <si>
    <t>2024-02-12 15:22:50</t>
  </si>
  <si>
    <t>2024-02-12 15:17:43</t>
  </si>
  <si>
    <t>हमारी आवाज़ बनने के लिए मीडिया का धन्यवाद!
स्पाइस मनी गारंटी यात्रा के इवेंट्स को कवर करके हमारा सन्देश आमजनों तक पहुंचाने के लिए सभी मीडिया संस्थाओं का धन्यवाद। आपका सहयोग पाकर हम निश्चित ही और भी तेज रफ्तार से ग्रामीण भारत में बैंकिंग सेवाओं के तरीके को बदल सकेंगे और कामयाबी का इतिहास रच सकेंगे।
#MediaCoverage #EmergingIndia #RuralFintech #SpiceMoney #GuaranteeYatra #PartnersMeet</t>
  </si>
  <si>
    <t>2024-02-12 15:16:28</t>
  </si>
  <si>
    <t>2024-02-12 15:16:00</t>
  </si>
  <si>
    <t>NetMehrab76502</t>
  </si>
  <si>
    <t>MEHRAB NET</t>
  </si>
  <si>
    <t>@kunalgaurav23 @RBI @SpiceMoneyIndia @FinMinIndia @nsitharamanoffc Bilkul sahi kaha aapne aisa nhi hona chahiye yh rule k against hoon main v...</t>
  </si>
  <si>
    <t>2024-02-12 14:54:51</t>
  </si>
  <si>
    <t>@PayNearby @SpiceMoneyIndia @rapipay @anandkbajaj @NPCI_NPCI @NPCI_BHIM Dm एक ही Email address को हर रोज दे देते हो काफी बार मेल कर चुका हूं उस पर भी आनंद बजाजा जी अगर कंपनी चलाना नहीं आता तो इसको बंद कर दो मैं 2दिन के बाद कंज्यूमर कोर्ट में कंप्लेंट डालूंगा उसके बाद पता चल जाएगा कंपनी को किस तरह रिटेलर की आईडी बंद करते हैं अब करो धोखाधड़ी</t>
  </si>
  <si>
    <t>2024-02-12 14:35:51</t>
  </si>
  <si>
    <t>.@RBI @SpiceMoneyIndia @nsitharaman
छोटे शहरो में ज्यादा लोग atm नही चलाते डर के,आधार एक अच्छा विकल्प था उनके लिये। ज्यादातर रोजगार ऐसे ही ख़त्म कर रहे हो छोटे शहरो से आपलोग। 
  Quoted Tweet : @kunalgaurav23 : .@RBI @SpiceMoneyIndia @FinMinIndia @nsitharamanoffc 
क्या सोचकर spice money से हर ट्रांजैक्शन पे फिंगरप्रिंट मांग रहे,पहले भीम से 10k देते थे वो भी 2500 kr दिए,गाँव ,छोटे शहरो में कितना दिक्कत है कभी जा कर देखो ,दुकानदार दिनभर बैठे रहेगा क्या फिंगरस्कैन के लिए,स्टाफ को तो दो। https://t.co/FClgYX6Lhj</t>
  </si>
  <si>
    <t>2024-02-12 14:30:19</t>
  </si>
  <si>
    <t>कम से कम किसी एक स्टाफ को पावर दो की वो अपना फिंगरस्कैन दे दे। हम कही जा नही पा रहे कुछ घंटो के लिए भी,कुछ लोग नकली thumb बनवा के चला रहे जो मैं नही करना चाहता। कुछ तो सोचो 
  Quoted Tweet : @kunalgaurav23 : .@RBI @SpiceMoneyIndia @FinMinIndia @nsitharamanoffc 
क्या सोचकर spice money से हर ट्रांजैक्शन पे फिंगरप्रिंट मांग रहे,पहले भीम से 10k देते थे वो भी 2500 kr दिए,गाँव ,छोटे शहरो में कितना दिक्कत है कभी जा कर देखो ,दुकानदार दिनभर बैठे रहेगा क्या फिंगरस्कैन के लिए,स्टाफ को तो दो। https://t.co/FClgYX6Lhj</t>
  </si>
  <si>
    <t>2024-02-12 14:27:23</t>
  </si>
  <si>
    <t>.@RBI @SpiceMoneyIndia @FinMinIndia @nsitharamanoffc 
क्या सोचकर spice money से हर ट्रांजैक्शन पे फिंगरप्रिंट मांग रहे,पहले भीम से 10k देते थे वो भी 2500 kr दिए,गाँव ,छोटे शहरो में कितना दिक्कत है कभी जा कर देखो ,दुकानदार दिनभर बैठे रहेगा क्या फिंगरस्कैन के लिए,स्टाफ को तो दो। https://t.co/FClgYX6Lhj</t>
  </si>
  <si>
    <t>2024-02-12 14:22:35</t>
  </si>
  <si>
    <t>Spice Money Product Training Se Judi Ye Zaruri Update Aap Bhi Jaan Lein!</t>
  </si>
  <si>
    <t>2024-02-12 13:39:38</t>
  </si>
  <si>
    <t>yaha complain karne par fraud ke call aa rhe he aur mobile me anydesk open karne ka bolte he, kisi ko bhi mobile me anydesk ya TeamViewer ka id na de, nahi to aapka mobile hack karke account khali ho sakta he. mujhe abhi +91 62918 75701 number se call aaya. dhyan rakhe.</t>
  </si>
  <si>
    <t>2024-02-12 13:27:33</t>
  </si>
  <si>
    <t>@rinkuk538 @SpiceMoneyIndia @rapipay @anandkbajaj @NPCI_NPCI @NPCI_BHIM नमस्ते Rinku,आपको जिन समस्याओं का सामना करना पड़ा, उसके लिए हमें खेद है। हमने आपकी समस्या की पूरी जानकारी आपके DM/Inbox पर साझा की है, कृपया अपना DM check करें। ये लिंक पर क्लिक करें और आप DM चेक कर सकते हैं: https://t.co/5BjbPnALSa 
धन्यावद।</t>
  </si>
  <si>
    <t>2024-02-12 13:05:43</t>
  </si>
  <si>
    <t>BikiDas572431</t>
  </si>
  <si>
    <t>Biki Das</t>
  </si>
  <si>
    <t>Now a days @SpiceMoneyIndia service hamesha biometric problem show hota bohot bar customer helpline me contact kar Raha hu but solution nahi mil raha hai #spicemoney #spicemoneyindia @SpiceMoneyIndia @SonuSood https://t.co/curoNbblvh</t>
  </si>
  <si>
    <t>2024-02-12 12:32:14</t>
  </si>
  <si>
    <t>Now a days @SpiceMoneyIndia service hamesha biometric problem show hota bohot bar customer helpline me contact kar Raha hu but solution nahi mil raha hai #spicemoney #spicemoneyindia https://t.co/UHtA9hSc18</t>
  </si>
  <si>
    <t>2024-02-12 12:20:35</t>
  </si>
  <si>
    <t>@PayNearby @SpiceMoneyIndia @rapipay @anandkbajaj @NPCI_NPCI @NPCI_BHIM 
एक जनवरी से मेरी पेयनीयर वाई रिटेलर आईडी 9782805639 कंपनी के द्वारा ब्लॉक कर दी गई है 1 जनवरी से मैं रोजाना कंप्लेंट कर रहा हूं लेकिन कंपनी कोई सुनवाई नहीं कर रही है काफी बार Rm को भी कंप्लेंट कर चुका हूं https://t.co/01iql0Sv3w</t>
  </si>
  <si>
    <t>2024-02-12 11:52:45</t>
  </si>
  <si>
    <t>Hme distributor bna do😉 100% sabko support krunga</t>
  </si>
  <si>
    <t>2024-02-12 11:43:04</t>
  </si>
  <si>
    <t>2024-02-12 10:25:54</t>
  </si>
  <si>
    <t>Dear Sir, Greetings! As per discussed with you your concern  regarding Id suspension, information  shared from our end .If you have any query,you can also contact us on our official customer care number 0120-3645645 Regards, Team Spice Money</t>
  </si>
  <si>
    <t>2024-02-12 10:00:02</t>
  </si>
  <si>
    <t>@shoeblala1010 Dear Sir, Greetings! As per discussed with you your concern  regarding , information  shared from our end .If you have any query,you can also contact us on our official customer care number 0120-5077784. Regards, Team Spice Money</t>
  </si>
  <si>
    <t>2024-02-12 09:21:04</t>
  </si>
  <si>
    <t>इस्पाइस मनी की आईडी कोई भी ना ले इसकी सर्विस बेकार है मेरा नम्बर बन्द हो गया है आईडी खुल नहीं रही है कम-से-कम 40 से 50 बार मैसेज किया लेकिन कोई हेल्प नहीं मिली है</t>
  </si>
  <si>
    <t>2024-02-12 09:20:40</t>
  </si>
  <si>
    <t>ParwinderS82656</t>
  </si>
  <si>
    <t>Parwinder Singh</t>
  </si>
  <si>
    <t>@SpiceMoneyIndia After not getting any response, we are leaving the spice money and going for the app.  We are telling other people not to take spice money.</t>
  </si>
  <si>
    <t>2024-02-12 08:35:11</t>
  </si>
  <si>
    <t>Mere West Bengal me koi halp karne wala nahi hai, esa kiu ??????</t>
  </si>
  <si>
    <t>2024-02-12 08:17:46</t>
  </si>
  <si>
    <t>@ranjitkumarsingh8695</t>
  </si>
  <si>
    <t>Spice Money Me Bahut Frod Ho Raha hai . Retailer And Distributor Dono Ke Sath .Spice Money Ab Pahle Jaise Nahi Rah Gya H . Distributor Id Me Sabhi  Retailer Ka Mapping Kisi Dusre Distributor Ko Company Maping Kr De Rahi H Jo Accha Nahi H</t>
  </si>
  <si>
    <t>2024-02-12 07:23:29</t>
  </si>
  <si>
    <t>@robiulawal6483</t>
  </si>
  <si>
    <t>NSDL Payment Bank ATM Pin Generate Kaise Kare Please Reply</t>
  </si>
  <si>
    <t>2024-02-12 06:27:55</t>
  </si>
  <si>
    <t>NSDL Payment Bank ATM Pin Generate Video</t>
  </si>
  <si>
    <t>2024-02-12 06:26:55</t>
  </si>
  <si>
    <t>Tanzeem Raja Ahmad aeps band ho gya hai jj</t>
  </si>
  <si>
    <t>2024-02-12 05:34:46</t>
  </si>
  <si>
    <t>Santosh Shukla Santosh कहां की डिस्ट्रीब्यूटर हो भाई।। मंथली कितना इनकम होता है, आपका।।</t>
  </si>
  <si>
    <t>2024-02-12 00:42:47</t>
  </si>
  <si>
    <t>Joyy Kumer Paine ये तो आप ही बता सकते हो।। भाई कितना मिला है, इनको।</t>
  </si>
  <si>
    <t>2024-02-12 00:42:12</t>
  </si>
  <si>
    <t>Amit Kumar Shakya कौन सा काम था, आपको डिस्ट्रीब्यूटर के साथ।।।</t>
  </si>
  <si>
    <t>2024-02-12 00:41:33</t>
  </si>
  <si>
    <t>Arup Sarkar आपके पास कोई प्रूफ है।</t>
  </si>
  <si>
    <t>2024-02-12 00:41:12</t>
  </si>
  <si>
    <t>श्री श्याम कंप्यूटर बाड़मेर AEPS बैंक प्रोवाइड करता है, कंपनी नहीं प्रोवाइड करती है। और एनपीसीआई उन सब का बाप है।। OKK</t>
  </si>
  <si>
    <t>2024-02-12 00:40:35</t>
  </si>
  <si>
    <t>अपने स्पाइस मनी के कर्मचारियों को अधिकारियों की सेवा के लिए लगाइए।। हराम की सैलरी देने से अच्छा है, उनसे काम करवाइए।।  बेमतलब डिस्ट्रीब्यूटर के पिछवाड़े में लगवाने से आपकी कंपनी को कोई मुनाफा नहीं होगा।</t>
  </si>
  <si>
    <t>2024-02-12 00:38:29</t>
  </si>
  <si>
    <t>2024-02-11</t>
  </si>
  <si>
    <t>Aeps ki सबसे अच्छी कंपनी</t>
  </si>
  <si>
    <t>2024-02-11 22:28:27</t>
  </si>
  <si>
    <t>Time 1 Pm 2 Pm 📞</t>
  </si>
  <si>
    <t>2024-02-11 21:54:43</t>
  </si>
  <si>
    <t>Mera contact no 7991181967</t>
  </si>
  <si>
    <t>2024-02-11 21:54:14</t>
  </si>
  <si>
    <t>Me bhi spice money me 5 Sal Kam Kiya distributor Banke  aur hamko Kiya mila dhoka 
Mera id // ss607113 
Jisme me 10 ts Banaya Aur 450 Retailer 
Bahut Sara m ATM Aur treval union bhi   bhi sell Kiya 
Abhi mere pass 10 ATM bhi para hua h 
Jo Mera abhi koi Kam ka 
Spice money team hame resins bataye 
Kiyu aisa koya 
Nahi to samjhunga scam kiya 
Itna Retailer sub distributor banaye mehanat se ham cominsin khaye koi aur 
Aur mera distributor me paisa bhi wo paisa hame chahiyye 
Mera address 
Bihar purnia se 
Md hayat
Call no 7991181967</t>
  </si>
  <si>
    <t>2024-02-11 21:53:41</t>
  </si>
  <si>
    <t>Spice MONEY  no 1 dhokhebaz ha</t>
  </si>
  <si>
    <t>2024-02-11 21:27:58</t>
  </si>
  <si>
    <t>रसमी मैडम एक महीना हो गया है मेरी I'd बंद हुए मेल भी कर दिया Math मशीन भी हैं  2500 रूपये चले गए हैं</t>
  </si>
  <si>
    <t>2024-02-11 20:37:23</t>
  </si>
  <si>
    <t>Fraud h</t>
  </si>
  <si>
    <t>2024-02-11 20:21:17</t>
  </si>
  <si>
    <t>Rajesh Kumar Rajesh Kumar जी बिल्कुल</t>
  </si>
  <si>
    <t>2024-02-11 18:58:20</t>
  </si>
  <si>
    <t>Amit Kumar Shakya जी बिल्कुल</t>
  </si>
  <si>
    <t>2024-02-11 18:58:03</t>
  </si>
  <si>
    <t>Dustu Dustu हर जगह का यहीं हाल है</t>
  </si>
  <si>
    <t>2024-02-11 18:54:34</t>
  </si>
  <si>
    <t>SPICE MONEY  
7991181967
Time 1 pm 2 pm</t>
  </si>
  <si>
    <t>2024-02-11 18:21:57</t>
  </si>
  <si>
    <t>2024-02-11 17:52:06</t>
  </si>
  <si>
    <t>2024-02-11 17:51:32</t>
  </si>
  <si>
    <t>2024-02-11 17:51:11</t>
  </si>
  <si>
    <t>2024-02-11 17:50:10</t>
  </si>
  <si>
    <t>2024-02-11 17:47:56</t>
  </si>
  <si>
    <t>2024-02-11 17:46:43</t>
  </si>
  <si>
    <t>SPICE MONEY 9696036522</t>
  </si>
  <si>
    <t>2024-02-11 17:45:39</t>
  </si>
  <si>
    <t>2024-02-11 17:44:42</t>
  </si>
  <si>
    <t>2024-02-11 17:41:47</t>
  </si>
  <si>
    <t>Sala ford company h disturbter ka koye sport nahi</t>
  </si>
  <si>
    <t>2024-02-11 17:41:07</t>
  </si>
  <si>
    <t>Dear Sir, Namaskar! Aapse Batchit ke anusar aggregator change ke  baare me hamari taraf se aapko jankari share kar di gayi hai. Adhik jankari ke liye aap hamare official customer care number 0120-3645645 par bhi sampark kar sakte hain. Regards, Team Spice Money</t>
  </si>
  <si>
    <t>2024-02-11 17:40:19</t>
  </si>
  <si>
    <t>Dear Sir, Namaskar! aaapko batana chahenge ki retailer ID free of cost hai. New id request ke regarding aap hamare official customer care 0120-3645622 par sampark karein. Regards, Team Spice Money</t>
  </si>
  <si>
    <t>2024-02-11 17:34:09</t>
  </si>
  <si>
    <t>Dear Sir, Namaskar! Aapse Batchit ke anusar reserve amount ke  baare me hamari taraf se aapko jankari share kar di gayi hai. Adhik jankari ke liye aap hamare official customer care number 0120-3645645 par bhi sampark kar sakte hain. Regards, Team Spice Money</t>
  </si>
  <si>
    <t>2024-02-11 17:22:38</t>
  </si>
  <si>
    <t>@kajal_the_bong_official</t>
  </si>
  <si>
    <t>Mere Membership Kat Liye Or MATM Mai Commission Nahi Milta Hai</t>
  </si>
  <si>
    <t>2024-02-11 16:53:20</t>
  </si>
  <si>
    <t>@AKHILESHKU61584 Dear Sir, Greetings! We are trying to contact you but your number is not contactable. Please share your contact details and suitable times. Regards, Team Spice Money</t>
  </si>
  <si>
    <t>2024-02-11 16:52:26</t>
  </si>
  <si>
    <t>@Souravsongs</t>
  </si>
  <si>
    <t>❤❤❤❤❤❤</t>
  </si>
  <si>
    <t>2024-02-11 16:52:23</t>
  </si>
  <si>
    <t>❤❤❤❤❤</t>
  </si>
  <si>
    <t>2024-02-11 16:52:12</t>
  </si>
  <si>
    <t>@Faisal09828831 Dear Sir, Greetings! We are trying to contact you but you are not answering . Please share your contact details and suitable times. Regards, Team Spice Money</t>
  </si>
  <si>
    <t>2024-02-11 16:52:09</t>
  </si>
  <si>
    <t>Forad Hai Spice Money Company 😡😡😡😡🤬🤬🤬🤬🤬</t>
  </si>
  <si>
    <t>2024-02-11 16:51:54</t>
  </si>
  <si>
    <t>@akashlodhi1144</t>
  </si>
  <si>
    <t>449 ka payment kon dega</t>
  </si>
  <si>
    <t>2024-02-11 16:21:23</t>
  </si>
  <si>
    <t>Dear Sir, Greetings! We are trying to contact you but you are not answering . Please share your contact details and suitable times. Regards, Team Spice Money</t>
  </si>
  <si>
    <t>2024-02-11 15:21:07</t>
  </si>
  <si>
    <t>2024-02-11 15:06:13</t>
  </si>
  <si>
    <t>2024-02-11 14:59:10</t>
  </si>
  <si>
    <t>प्रिय महोदय, नमस्कार! हमारे तरफ से Id suspension के संबंध में आपको जानकारी साझा कर दी गई है।आपसे अनुरोध है कि आवश्यक दस्तावेज़ हमें customercare@spicemoney.com पर साझा करें। हमारी टीम की तरफ से आपका concern raise कर दिया जायेगा।अधिक जानकारी के लिए आप हमारे आधिकारिक ग्राहक सेवा नंबर 0120-3645645 पर भी संपर्क कर सकते हैं सादर, टीम स्पाइस मनी</t>
  </si>
  <si>
    <t>2024-02-11 14:56:12</t>
  </si>
  <si>
    <t>Company scam kar rahe hai</t>
  </si>
  <si>
    <t>2024-02-11 14:20:54</t>
  </si>
  <si>
    <t>2024-02-11 14:19:55</t>
  </si>
  <si>
    <t>Nhe me vi distubeter hu me to col karta hu</t>
  </si>
  <si>
    <t>2024-02-11 14:19:41</t>
  </si>
  <si>
    <t>2024-02-11 14:18:37</t>
  </si>
  <si>
    <t>spice money is becoming fraudulent in aeps jumping transactions money is not returning after 7days, i lost my hard earn money</t>
  </si>
  <si>
    <t>2024-02-11 14:01:07</t>
  </si>
  <si>
    <t>2024-02-11 14:00:12</t>
  </si>
  <si>
    <t>2024-02-11 13:59:15</t>
  </si>
  <si>
    <t>Spice Money me west Bengal me employee ne relstive distributor de kor id sobi move kor raha hai..
E kam thik nehi hai..</t>
  </si>
  <si>
    <t>2024-02-11 13:51:44</t>
  </si>
  <si>
    <t>@Shobhitvar97831 @narendramodi @PMOIndia @myogioffice @myogiadityanath @AmitShah @jagograhakjago @PiyushGoyalOffc @AmitShahOffice @PiyushGoyal @FinMinIndia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</si>
  <si>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2024-02-11 12:52:26</t>
  </si>
  <si>
    <t>Vinod Rawat sab try kar liya</t>
  </si>
  <si>
    <t>2024-02-11 12:28:54</t>
  </si>
  <si>
    <t>Kitna Mila itna bolane ke liye</t>
  </si>
  <si>
    <t>2024-02-11 11:53:40</t>
  </si>
  <si>
    <t>Id nahi De Raha Hai Distributor</t>
  </si>
  <si>
    <t>2024-02-11 11:27:40</t>
  </si>
  <si>
    <t>डिस्टीब्यूटर लोगे call tk nhi reserve ketre</t>
  </si>
  <si>
    <t>2024-02-11 10:49:06</t>
  </si>
  <si>
    <t>जानें क्यों अधिकारी एवं डिस्ट्रीब्यूटर स्पाइस मनी को इनकम की गारंटी मानते हैं!    
#SpiceMoney #GuaranteeYatra #MainAdhikariKhudHoonGuarantee</t>
  </si>
  <si>
    <t>2024-02-11 10:32:34</t>
  </si>
  <si>
    <t>KumarRahul9321</t>
  </si>
  <si>
    <t>Rahul Kumar</t>
  </si>
  <si>
    <t>@SpiceMoneyIndia
I am old user of spice money. My user ID is Sdl805331. I unable to access my account from long time. So please resume my services so I can use spice money services. registered mobile number is 9608067191.</t>
  </si>
  <si>
    <t>2024-02-11 10:32:30</t>
  </si>
  <si>
    <t>@khetamali2906</t>
  </si>
  <si>
    <t>Koi bharosa nahi karna</t>
  </si>
  <si>
    <t>2024-02-11 10:23:25</t>
  </si>
  <si>
    <t>Distibutar id block he ret.. I'd block kar dei</t>
  </si>
  <si>
    <t>2024-02-11 10:23:04</t>
  </si>
  <si>
    <t>Frodddd hota</t>
  </si>
  <si>
    <t>2024-02-11 10:22:20</t>
  </si>
  <si>
    <t>Spice Money hai Income Ki Guarantee!</t>
  </si>
  <si>
    <t>2024-02-11 10:13:29</t>
  </si>
  <si>
    <t>Spice money ke I D lene ketana paisa lagta hai</t>
  </si>
  <si>
    <t>2024-02-11 09:47:11</t>
  </si>
  <si>
    <t>2024-02-11 09:10:04</t>
  </si>
  <si>
    <t>@TechEducavo Dear Sir, Greetings! Our customer care officer will get in touch with you shortly. Regards, Team Spice Money</t>
  </si>
  <si>
    <t>2024-02-11 09:08:57</t>
  </si>
  <si>
    <t>2024-02-11 09:08:30</t>
  </si>
  <si>
    <t>2024-02-11 08:29:08</t>
  </si>
  <si>
    <t>2024-02-11 08:28:52</t>
  </si>
  <si>
    <t>2024-02-11 08:28:29</t>
  </si>
  <si>
    <t>2024-02-11 08:25:35</t>
  </si>
  <si>
    <t>2024-02-11 08:24:20</t>
  </si>
  <si>
    <t>TechEducavo</t>
  </si>
  <si>
    <t>@SpiceMoneyIndia Now I can't log in to the app or portal. On contacting customer care they said your ID is suspended. Please solve this issue.
7319987555
rajsnavneet1829@gmail.com</t>
  </si>
  <si>
    <t>2024-02-11 07:43:36</t>
  </si>
  <si>
    <t>@gamingsahamat6226</t>
  </si>
  <si>
    <t>Mera id active kardo please</t>
  </si>
  <si>
    <t>2024-02-11 00:56:49</t>
  </si>
  <si>
    <t>2024-02-10</t>
  </si>
  <si>
    <t>@AmanKhanIND</t>
  </si>
  <si>
    <t>Meri id block ho gayi hai kya kru ?</t>
  </si>
  <si>
    <t>2024-02-10 23:19:19</t>
  </si>
  <si>
    <t>NSDL PAN SERVICE CHALU KARE</t>
  </si>
  <si>
    <t>2024-02-10 23:06:49</t>
  </si>
  <si>
    <t>SPICE MONEY Noting won't do it.  must have card</t>
  </si>
  <si>
    <t>2024-02-10 23:03:14</t>
  </si>
  <si>
    <t>@ashishcreation1001</t>
  </si>
  <si>
    <t>Dear adhikari you are not at your work place problem aaraha hai kya kare sir</t>
  </si>
  <si>
    <t>2024-02-10 22:35:53</t>
  </si>
  <si>
    <t>3 year ho gya ajtak spice money ke tarf se kuch nhi mila Kam se Kam ek dairy dena chahiye ya calendar</t>
  </si>
  <si>
    <t>2024-02-10 21:54:07</t>
  </si>
  <si>
    <t>@lalavasuniya6628</t>
  </si>
  <si>
    <t>मेरे। id मे से खाता खोलने का हट गया ओर पेन कार्ड का भी हट गया अब क्या काम करु दुकान् बंद करू मेरे दोनो चालू करवाओ जल्दी</t>
  </si>
  <si>
    <t>2024-02-10 21:32:13</t>
  </si>
  <si>
    <t>ऑल द बेस्ट,,, well done 👍 👍 👍 👍 👍</t>
  </si>
  <si>
    <t>2024-02-10 20:51:14</t>
  </si>
  <si>
    <t>Bahut hi gtiya company 🥲</t>
  </si>
  <si>
    <t>2024-02-10 20:23:15</t>
  </si>
  <si>
    <t>@@SpiceMoneyOfficial फ़ोन नम्बर और ईमेल आईडी कइ बार दें चुका हूं कोई सुनवाई नहीं हो रही है 5 से 6माह हो गये है तुम लोग कुछ काम नहीं कर सकते हो</t>
  </si>
  <si>
    <t>2024-02-10 19:51:13</t>
  </si>
  <si>
    <t>Mera DMT service bandh hogya 3month se toh kab khulega Mera ID sdl</t>
  </si>
  <si>
    <t>2024-02-10 19:05:48</t>
  </si>
  <si>
    <t>SPICE MONEY note se kya hoga kuch krne se hoga</t>
  </si>
  <si>
    <t>2024-02-10 18:33:42</t>
  </si>
  <si>
    <t>@omprakashsahare2951</t>
  </si>
  <si>
    <t>Spice money स्पोर्ट टीम से मैं पूर्ण रूप से असंतुष्ट हुँ</t>
  </si>
  <si>
    <t>2024-02-10 18:13:11</t>
  </si>
  <si>
    <t>मेरी spice money id से axis bank account opening का ऑप्शन हट गया हैं! और मैं पिछले 2 years से spice money id पर work कर रहा हुँ, लेकिन आज तक मेरी id मे अधिकारी loan का भी ऑप्शन भी नहीं आया है</t>
  </si>
  <si>
    <t>2024-02-10 18:12:01</t>
  </si>
  <si>
    <t>2024-02-10 18:07:56</t>
  </si>
  <si>
    <t>@AKHILESHKU61584 Dear Sir, Greetings! Our customer care officer will get in touch with you shortly. Regards, Team Spice Money</t>
  </si>
  <si>
    <t>2024-02-10 18:07:36</t>
  </si>
  <si>
    <t>2024-02-10 18:06:30</t>
  </si>
  <si>
    <t>SPICE MONEY 9783575117</t>
  </si>
  <si>
    <t>2024-02-10 18:06:24</t>
  </si>
  <si>
    <t>2024-02-10 18:05:23</t>
  </si>
  <si>
    <t>2024-02-10 18:04:42</t>
  </si>
  <si>
    <t>2024-02-10 18:04:09</t>
  </si>
  <si>
    <t>@rehanalam949 Dear Sir, Greetings! Our customer care officer will get in touch with you shortly. Regards, Team Spice Money</t>
  </si>
  <si>
    <t>2024-02-10 18:03:29</t>
  </si>
  <si>
    <t>@RajBir61331206 Dear sir, Greetings! Thank you for your suggestion, we have taken a note of it. Regards, Team Spice Money</t>
  </si>
  <si>
    <t>2024-02-10 18:01:25</t>
  </si>
  <si>
    <t>2024-02-10 17:53:51</t>
  </si>
  <si>
    <t>2024-02-10 17:53:39</t>
  </si>
  <si>
    <t>rehanalam949</t>
  </si>
  <si>
    <t>Rehan Khan</t>
  </si>
  <si>
    <t>@SpiceMoneyIndia 
Please activate my id 
Id- sdl329460
Please activate my account</t>
  </si>
  <si>
    <t>2024-02-10 17:52:39</t>
  </si>
  <si>
    <t>Purnia, india</t>
  </si>
  <si>
    <t>@SpiceMoneyIndia why my account blocked, please unblock my account
My register number+918434998539</t>
  </si>
  <si>
    <t>2024-02-10 17:51:07</t>
  </si>
  <si>
    <t>2024-02-10 17:49:53</t>
  </si>
  <si>
    <t>Dear Sir, Greetings! As per discussed with you your concern regarding reserve amount, please share your concern on customercare@spicemoney.com and  allow us sometime for your concern, we’ll update you soon  .Regards, Team spice money</t>
  </si>
  <si>
    <t>2024-02-10 17:44:36</t>
  </si>
  <si>
    <t>@RajKuma37266737 Dear Sir, Namaskar! Aapse Batchit ke anusar aapne confirm kiya hai ki aap ID band nahi karana chahte hain. Regards, Team Spice Money</t>
  </si>
  <si>
    <t>2024-02-10 17:28:35</t>
  </si>
  <si>
    <t>@kumar_ashi86730 प्रिय महोदय, नमस्कार!AEPS service के बारे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</si>
  <si>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2024-02-10 17:02:48</t>
  </si>
  <si>
    <t>SPICE MONEY  9179135967
akewat041@gmail.com</t>
  </si>
  <si>
    <t>2024-02-10 15:53:51</t>
  </si>
  <si>
    <t>Come to Bihar sometime</t>
  </si>
  <si>
    <t>2024-02-10 15:52:03</t>
  </si>
  <si>
    <t>8521104761
absar009300@gmail.com
sdl285418</t>
  </si>
  <si>
    <t>2024-02-10 15:37:13</t>
  </si>
  <si>
    <t>2024-02-10 15:36:33</t>
  </si>
  <si>
    <t>2024-02-10 15:18:05</t>
  </si>
  <si>
    <t>Congratulations</t>
  </si>
  <si>
    <t>2024-02-10 14:41:46</t>
  </si>
  <si>
    <t>Mera ... agent not active please retry show kr rha he customer me bat huaa pir bola yes Bank se nhi hoga Bola or...10 15 din se ..AJ kal AJ kal ho jayega bol rha he abhi tak nhi kiya solve</t>
  </si>
  <si>
    <t>2024-02-10 14:30:56</t>
  </si>
  <si>
    <t>2024-02-10 14:30:00</t>
  </si>
  <si>
    <t>@Faisal09828831 Dear Sir, Greetings! Hamare grahak sewa adhikari aapse jald hi sampark karenge. Regards, Team Spice Money</t>
  </si>
  <si>
    <t>2024-02-10 14:29:41</t>
  </si>
  <si>
    <t>BOB का aeps नही चल रहा है 🥺</t>
  </si>
  <si>
    <t>2024-02-10 14:25:57</t>
  </si>
  <si>
    <t>2024-02-10 14:21:38</t>
  </si>
  <si>
    <t>@Ranjittech1 Dear Sir, Greetings! Hamare grahak sewa adhikari aapse jald hi sampark karenge. Regards, Team Spice Money</t>
  </si>
  <si>
    <t>2024-02-10 14:21:08</t>
  </si>
  <si>
    <t>2024-02-10 14:20:07</t>
  </si>
  <si>
    <t>2024-02-10 14:19:22</t>
  </si>
  <si>
    <t>2024-02-10 14:18:48</t>
  </si>
  <si>
    <t>2024-02-10 14:18:22</t>
  </si>
  <si>
    <t>@ShoaibAkhtertsk Dear Sir, Greetings! Our customer care officer will get in touch with you shortly. Regards, Team Spice Money</t>
  </si>
  <si>
    <t>2024-02-10 14:17:46</t>
  </si>
  <si>
    <t>2024-02-10 14:12:08</t>
  </si>
  <si>
    <t>2024-02-10 14:09:34</t>
  </si>
  <si>
    <t>2024-02-10 14:07:12</t>
  </si>
  <si>
    <t>Dear Sir, Namaskar! Aapse request hai ki please apna Mobile number &amp; email id hume yaha share karein, hamari official customer care team aapse jald hi sampark karegi. aap hamse hamare official customer care 0120-3645645 par bhi sampark kar sakate hain. Regards, Team Spice Money</t>
  </si>
  <si>
    <t>2024-02-10 14:02:40</t>
  </si>
  <si>
    <t>2024-02-10 14:01:11</t>
  </si>
  <si>
    <t>Dear Sir, Namaskar! Aapse request hai ki please apna Mobile number &amp; email id hume share karein, hamari official customer care team aapse jald hi sampark karegi. Regards, Team Spice Money</t>
  </si>
  <si>
    <t>2024-02-10 13:59:11</t>
  </si>
  <si>
    <t>2024-02-10 13:56:02</t>
  </si>
  <si>
    <t>Aap apne distributer y area manager se sampark kre aur aap khud apne emil se comlain kijiye</t>
  </si>
  <si>
    <t>2024-02-10 13:23:16</t>
  </si>
  <si>
    <t>My problem not resolved many times complaints</t>
  </si>
  <si>
    <t>2024-02-10 13:10:58</t>
  </si>
  <si>
    <t>Safe mila</t>
  </si>
  <si>
    <t>FINO PAYMENT BANK | SPICE MONEY | NPCI NEW NEW GUIDLINE |</t>
  </si>
  <si>
    <t>2024-02-10 13:05:00</t>
  </si>
  <si>
    <t>Earnings Call Q3 FY24</t>
  </si>
  <si>
    <t>2024-02-10 12:57:39</t>
  </si>
  <si>
    <t>@kailashkumawat6796</t>
  </si>
  <si>
    <t>Frod calls bahut aa rahe he dusri I'd ke liye nhi aate apke compani ke log mile huye he Ford logo ko naam bhi pata he  aap kya kar rahe he hame kam karne me dar lagta he ham mobile me I'd chalate he to bhi frod ko pata chal jata he</t>
  </si>
  <si>
    <t>2024-02-10 12:55:06</t>
  </si>
  <si>
    <t>इन ख़ास एडवाइज़री एवं टिप्स के साथ हर एक फाइनेंशियल ट्रांसेक्शन को बनाएं सुरक्षित!
पूरी जानकारी के लिए लिंक https://t.co/YzMdyDF5lD पर क्लिक करके पूरा वीडियो देखेंl
#SpiceSamachar https://t.co/fcRlgRMmCo</t>
  </si>
  <si>
    <t>2024-02-10 12:53:55</t>
  </si>
  <si>
    <t>इन ख़ास एडवाइज़री एवं टिप्स के साथ हर एक फाइनेंशियल ट्रांसेक्शन को बनाएं सुरक्षित! 
पूरी जानकारी के लिए लिंक https://www.youtube.com/watch?v=Vk9kehZJdww पर क्लिक करके पूरा वीडियो देखेंl
#SpiceSamachar</t>
  </si>
  <si>
    <t>2024-02-10 12:43:39</t>
  </si>
  <si>
    <t>इस कम्पनी में कोई आईडी ना ले मसमे कोई सहायता नहीं की जाती है मेरा नम्बर बन्द हो गया है 5से6माह हो गये लेकिन अभी तक कोई मदद नहीं की गई  कितना मैसेज भेज भेज कर थक गया हूं कोई मदद नहीं मिली है कभी भी आईडी ना ले बेकार है</t>
  </si>
  <si>
    <t>2024-02-10 12:12:59</t>
  </si>
  <si>
    <t>Bank of India ka bhi ek month me ek hi bar cash withdrawal ho raha hai</t>
  </si>
  <si>
    <t>2024-02-10 12:02:37</t>
  </si>
  <si>
    <t>Union Bank ka 1 month me ek hi bar cash withdrawal ho raha hai</t>
  </si>
  <si>
    <t>2024-02-10 12:01:45</t>
  </si>
  <si>
    <t>In Advisory &amp; Tips Ke Sath Banayein Apne Financial Transaction Ko Surakshit!</t>
  </si>
  <si>
    <t>2024-02-10 12:00:01</t>
  </si>
  <si>
    <t>@cspbankingtech5433</t>
  </si>
  <si>
    <t>@@SpiceMoneyOfficial share kaha se kare</t>
  </si>
  <si>
    <t>2024-02-10 11:23:56</t>
  </si>
  <si>
    <t>2024-02-10 11:21:05</t>
  </si>
  <si>
    <t>Spice money froud hai paise kat liye wollate se or histoty me show bhi nhi kr rhi hai</t>
  </si>
  <si>
    <t>2024-02-10 09:30:41</t>
  </si>
  <si>
    <t>@SpiceMoneyIndia 9957755225</t>
  </si>
  <si>
    <t>2024-02-10 09:28:57</t>
  </si>
  <si>
    <t>Jabir Ali mere bhi fash gaye the 25000 lekin ek mahina lag gaya tha mil gaye aap custmer care ko call karkae puch lo mil jaayenge</t>
  </si>
  <si>
    <t>2024-02-10 08:46:35</t>
  </si>
  <si>
    <t>Dehradun डिस्टवियर kar number do</t>
  </si>
  <si>
    <t>2024-02-10 08:06:12</t>
  </si>
  <si>
    <t>All agents should have ID card of Spice Money.</t>
  </si>
  <si>
    <t>2024-02-10 07:02:29</t>
  </si>
  <si>
    <t>2024-02-09</t>
  </si>
  <si>
    <t>Spice Money to life bani</t>
  </si>
  <si>
    <t>2024-02-09 23:13:02</t>
  </si>
  <si>
    <t>Ranjittech1</t>
  </si>
  <si>
    <t>Ranjit tech</t>
  </si>
  <si>
    <t>@SpiceMoneyIndia 
Aapki compney ne mere sath bahut bda froud Kiya hai or meri distri uter I'd bhi terminate karwa di hai kafi din ho gye gai</t>
  </si>
  <si>
    <t>2024-02-09 23:07:04</t>
  </si>
  <si>
    <t>Fek hai spice money wollate se paise kati hai or history me show bhi nhi krti</t>
  </si>
  <si>
    <t>2024-02-09 22:31:32</t>
  </si>
  <si>
    <t>RajBir61331206</t>
  </si>
  <si>
    <t>Raj Bir</t>
  </si>
  <si>
    <t>@SpiceMoneyIndia Spice money should introduce face authentication for both adhikari as well as for customer according to aadhar</t>
  </si>
  <si>
    <t>2024-02-09 22:29:51</t>
  </si>
  <si>
    <t xml:space="preserve">West dhantala dabgram fulbari </t>
  </si>
  <si>
    <t>@tanmay48499</t>
  </si>
  <si>
    <t>Lekin bahut sare log negativity fela rahi hai Spice money ko down karna ka liya 😢 Kaysa vi karka uska juban band kijiye❤</t>
  </si>
  <si>
    <t>2024-02-09 22:15:57</t>
  </si>
  <si>
    <t>2024-02-09 22:15:10</t>
  </si>
  <si>
    <t>Lekin bahut sare log negativity fela rahi hai Spice money ko down karna ka liya 😢 Kaysa vi karka uska juban band kijiye</t>
  </si>
  <si>
    <t>2024-02-09 22:12:13</t>
  </si>
  <si>
    <t>हमे भी नही बुलाया</t>
  </si>
  <si>
    <t>2024-02-09 22:02:49</t>
  </si>
  <si>
    <t>@mdnababshorts</t>
  </si>
  <si>
    <t>Bhai log koi ek achchi si service bata do jisme kaam karne me achha lage sari service honi chahiye???? Spice money service bekar lagne laga hai mujhe 2020 ka id hai mera or account opening k service activ ho hi nahi raha hai meri id m or ab to instant pan card apply nahin ho raha hai bekar lagne laga hai mujhe spice money service,😔😔😔😔</t>
  </si>
  <si>
    <t>2024-02-09 22:00:21</t>
  </si>
  <si>
    <t>@SUNILKUMAR-gi3iv</t>
  </si>
  <si>
    <t>Mam pan card portal which date start</t>
  </si>
  <si>
    <t>2024-02-09 21:53:14</t>
  </si>
  <si>
    <t>Mujhe bhi</t>
  </si>
  <si>
    <t>2024-02-09 21:49:06</t>
  </si>
  <si>
    <t>Great  job</t>
  </si>
  <si>
    <t>2024-02-09 21:25:29</t>
  </si>
  <si>
    <t>Ayush Kumar</t>
  </si>
  <si>
    <t>2024-02-09 20:58:12</t>
  </si>
  <si>
    <t>Portal se karne par kuch rajistration mang raha hai hai kya kare</t>
  </si>
  <si>
    <t>2024-02-09 20:44:10</t>
  </si>
  <si>
    <t>@mr.educate2598</t>
  </si>
  <si>
    <t>Wo nhi sunte</t>
  </si>
  <si>
    <t>2024-02-09 20:38:14</t>
  </si>
  <si>
    <t>Download nhi ho rha hai</t>
  </si>
  <si>
    <t>2024-02-09 20:18:42</t>
  </si>
  <si>
    <t>Hum adhikari log etni mehnat karte h or hume koi bhi program m invite nhi kiya jata crem crem wo log kha jate h humare hak m bachta kuch bhi nahi</t>
  </si>
  <si>
    <t>2024-02-09 20:11:06</t>
  </si>
  <si>
    <t>हमे तो  invite नही किया</t>
  </si>
  <si>
    <t>2024-02-09 20:08:49</t>
  </si>
  <si>
    <t>Shiiii hai t salt do ham koo or postar bi dooo</t>
  </si>
  <si>
    <t>2024-02-09 20:06:54</t>
  </si>
  <si>
    <t>@m.kgaming7586</t>
  </si>
  <si>
    <t>Sir mujhe account opening ka service Diya jaaye please help</t>
  </si>
  <si>
    <t>2024-02-09 20:06:03</t>
  </si>
  <si>
    <t>हमे तो बुलाया नही</t>
  </si>
  <si>
    <t>2024-02-09 19:55:20</t>
  </si>
  <si>
    <t>@rkmotivational2355</t>
  </si>
  <si>
    <t>Right</t>
  </si>
  <si>
    <t>2024-02-09 19:39:46</t>
  </si>
  <si>
    <t>Spice money ab badiya nahi rahi</t>
  </si>
  <si>
    <t>2024-02-09 19:09:23</t>
  </si>
  <si>
    <t>Very good service de raha spic money 4 aaal se use kar raha hu</t>
  </si>
  <si>
    <t>2024-02-09 19:05:25</t>
  </si>
  <si>
    <t>Spice money ko ayushman ki id Deni chahiye UTI ke sath me hme 2 years Ho gye hai spice money ko use krte krte please</t>
  </si>
  <si>
    <t>2024-02-09 19:04:37</t>
  </si>
  <si>
    <t>Faisal09828831</t>
  </si>
  <si>
    <t>Md Sarfraz</t>
  </si>
  <si>
    <t>@SpiceMoneyIndia 8873727294</t>
  </si>
  <si>
    <t>2024-02-09 18:22:44</t>
  </si>
  <si>
    <t>@SpiceMoneyIndia A week passed but still no problem solved.  Spice money should take note.</t>
  </si>
  <si>
    <t>2024-02-09 18:15:53</t>
  </si>
  <si>
    <t>ये कंपनी बेहतरीन है इसमें कोई शक नही है लेकिन कम से कम कंपनी को चाहिए कि जो अधिकारी इस पर काम कर रहे हैं उनको कुछ गिफ्ट या ब्रांडिंग की वस्तुएं दी जाय जिससे मनोबल बढ़ा रहे</t>
  </si>
  <si>
    <t>2024-02-09 17:58:42</t>
  </si>
  <si>
    <t>@lovingvishwas24 Dear Sir, Greetings! As per discussed with you your concern  regarding ID suspension issue, information  shared from our end .If you have any query,you can also contact us on our official customer care number 0120-3645645 Regards, Team Spice Money</t>
  </si>
  <si>
    <t>2024-02-09 17:46:20</t>
  </si>
  <si>
    <t>@ShoaibAkhtertsk Dear Sir, Greetings! We are trying to contact you but your number is busy . Please share your contact details and suitable times. Regards, Team Spice Money</t>
  </si>
  <si>
    <t>2024-02-09 17:38:48</t>
  </si>
  <si>
    <t>@@SpiceMoneyOfficial भेज तो दिया था और जो नम्बर आप ने दिया है ओ लगता नहीं है</t>
  </si>
  <si>
    <t>2024-02-09 17:34:18</t>
  </si>
  <si>
    <t>Ankit_Sitapur1</t>
  </si>
  <si>
    <t>Ankit Shrivastava</t>
  </si>
  <si>
    <t>2024-02-09 17:33:47</t>
  </si>
  <si>
    <t>Datia, india</t>
  </si>
  <si>
    <t>2024-02-09 17:30:41</t>
  </si>
  <si>
    <t>2024-02-09 17:27:13</t>
  </si>
  <si>
    <t>2024-02-09 17:25:46</t>
  </si>
  <si>
    <t>@Ankit_Sitapur1 प्रिय महोदय, नमस्कार! हमारे ग्राहक सेवा अधिकारी जल्द ही आपसे संपर्क करेंगे। सादर, टीम स्पाइस मनी</t>
  </si>
  <si>
    <t>2024-02-09 17:25:11</t>
  </si>
  <si>
    <t>2024-02-09 17:24:24</t>
  </si>
  <si>
    <t>@@SpiceMoneyOfficial Ye har baar bola jata hai humne aap ke sujhaav ko note kar liya lekin lgoo kaha hota hai</t>
  </si>
  <si>
    <t>2024-02-09 17:24:21</t>
  </si>
  <si>
    <t>2024-02-09 17:24:01</t>
  </si>
  <si>
    <t>@Faisal09828831 Dear Sir, Namaskar! Aapse request hai ki please apna Mobile number &amp;amp; email id hume inbox me share karein, hamari customer care team aapse jald hi sampark karegi. Regards, Team Spice Money</t>
  </si>
  <si>
    <t>2024-02-09 17:22:26</t>
  </si>
  <si>
    <t>2024-02-09 17:21:39</t>
  </si>
  <si>
    <t>2024-02-09 17:20:40</t>
  </si>
  <si>
    <t>@SpiceMoneyIndia कल शाम के समय मेरे खाता क्रमांक 11680110049082 से 10000-10000 दो बार कट गए है। जो कि अभी तक मेरे खाते में क्रेडिट नहीं हुए हैं कृपया इसको जल्द से जल्द करने की कृपा करें।
Sdl1087067
@UCOBankOfficial https://t.co/VHmAKT7juV</t>
  </si>
  <si>
    <t>2024-02-09 17:19:25</t>
  </si>
  <si>
    <t>2024-02-09 17:18:34</t>
  </si>
  <si>
    <t>2024-02-09 17:18:05</t>
  </si>
  <si>
    <t>@Ankit_Sitapur1 Dear Sir, Greetings! Hope you are good .If you have any issue related to our service let us know. Regards, Team Spice Money</t>
  </si>
  <si>
    <t>2024-02-09 17:17:31</t>
  </si>
  <si>
    <t>@rahulbhai4522</t>
  </si>
  <si>
    <t>Mai subah se paresan hun nahi ho raha hai</t>
  </si>
  <si>
    <t>2024-02-09 17:17:28</t>
  </si>
  <si>
    <t>Dear sir mera nahi ho raha hai 🙏please kar dijiye kaise hoga</t>
  </si>
  <si>
    <t>2024-02-09 17:17:03</t>
  </si>
  <si>
    <t>2024-02-09 17:16:34</t>
  </si>
  <si>
    <t>2024-02-09 17:16:08</t>
  </si>
  <si>
    <t>@UCOBankOfficial @SpiceMoneyIndia</t>
  </si>
  <si>
    <t>2024-02-09 17:14:55</t>
  </si>
  <si>
    <t>2024-02-09 17:09:48</t>
  </si>
  <si>
    <t>प्रिय महोदय, नमस्कार! आशा है आप अच्छे हैं। यदि आपके पास हमारी service से संबंधित कोई समस्या है तो हमें बताएं। सादर, टीम स्पाइस मनी</t>
  </si>
  <si>
    <t>2024-02-09 17:06:45</t>
  </si>
  <si>
    <t>2024-02-09 17:02:55</t>
  </si>
  <si>
    <t>2024-02-09 17:02:21</t>
  </si>
  <si>
    <t>2024-02-09 17:01:43</t>
  </si>
  <si>
    <t>2024-02-09 16:59:33</t>
  </si>
  <si>
    <t>2024-02-09 16:59:08</t>
  </si>
  <si>
    <t>2024-02-09 16:58:45</t>
  </si>
  <si>
    <t>Tes</t>
  </si>
  <si>
    <t>2024-02-09 16:10:13</t>
  </si>
  <si>
    <t>@rodalitacno</t>
  </si>
  <si>
    <t>Sahi bola❤❤❤❤</t>
  </si>
  <si>
    <t>2024-02-09 15:46:50</t>
  </si>
  <si>
    <t>मेरा नम्बर बन्द हो गया है मेरी आइडी खुल नहीं रही है</t>
  </si>
  <si>
    <t>2024-02-09 15:43:10</t>
  </si>
  <si>
    <t>@Nahi581</t>
  </si>
  <si>
    <t>Bakbaas service hai
Account opening nahi hai
Zeero balance</t>
  </si>
  <si>
    <t>2024-02-09 15:29:04</t>
  </si>
  <si>
    <t>Distributor ka party tour meeting yah sab nahin hota hai kya</t>
  </si>
  <si>
    <t>2024-02-09 15:20:56</t>
  </si>
  <si>
    <t>@rabinathmardi1078</t>
  </si>
  <si>
    <t>Nise</t>
  </si>
  <si>
    <t>2024-02-09 15:10:41</t>
  </si>
  <si>
    <t>अधिकारी आज ही स्पाइस मनी B2B वेब या ऐप पर अपलोडेड अपना गारंटी सर्टिफ़िकेट डाउनलोड करें और अपनी दुकान पर लगाएं!
पूरी जानकारी के लिए लिंक https://t.co/yyRdCuQCZZ पर क्लिक करेंl
#SpiceSamachar #AdhikariGuaranteeCertificate #SpiceMoney https://t.co/V9IfcSLcXl</t>
  </si>
  <si>
    <t>2024-02-09 14:56:02</t>
  </si>
  <si>
    <t>अधिकारी आज ही स्पाइस मनी B2B वेब या ऐप पर अपलोडेड अपना गारंटी सर्टिफ़िकेट डाउनलोड करें और अपनी दुकान पर लगाएं!
पूरी जानकारी के लिए लिंक https://youtu.be/YQSdpP96l0U पर क्लिक करेंl
#SpiceSamachar #AdhikariGuaranteeCertificate #SpiceMoney
When this happens, it's usually because the owner only shared it with a small group of people, changed who can see it or it's been deleted.</t>
  </si>
  <si>
    <t>2024-02-09 14:55:33</t>
  </si>
  <si>
    <t>2024-02-09 14:40:18</t>
  </si>
  <si>
    <t>@onlinesolution2455</t>
  </si>
  <si>
    <t>Mujhe spice money ka distributor id chahie</t>
  </si>
  <si>
    <t>2024-02-09 14:37:50</t>
  </si>
  <si>
    <t>Mera ek request hai ki spice money ko ek wallet ka card dena chahiye ta ka hum log spice money card se ATM se wallet ka pesa  withdrawal kar sake</t>
  </si>
  <si>
    <t>2024-02-09 14:29:32</t>
  </si>
  <si>
    <t>@Dilwala_Kumar</t>
  </si>
  <si>
    <t>2024-02-09 14:27:27</t>
  </si>
  <si>
    <t>@aazadgj27</t>
  </si>
  <si>
    <t>First</t>
  </si>
  <si>
    <t>2024-02-09 14:27:17</t>
  </si>
  <si>
    <t>@sandeshken4515</t>
  </si>
  <si>
    <t>🎉</t>
  </si>
  <si>
    <t>2024-02-09 14:27:03</t>
  </si>
  <si>
    <t>2024-02-09 14:26:59</t>
  </si>
  <si>
    <t>Aaj Hi Apna Guarantee Certificate payen!</t>
  </si>
  <si>
    <t>2024-02-09 14:26:31</t>
  </si>
  <si>
    <t>😂😂😂 need improvement</t>
  </si>
  <si>
    <t>2024-02-09 14:07:38</t>
  </si>
  <si>
    <t>App not working . Lots of bugs and errors....mini magic device not working 😔</t>
  </si>
  <si>
    <t>2024-02-09 14:05:57</t>
  </si>
  <si>
    <t>हम भी इससे जुड़े हैं लेकिन बड़े लोगो को ही बुलाया जाता है</t>
  </si>
  <si>
    <t>2024-02-09 13:49:06</t>
  </si>
  <si>
    <t>Hii</t>
  </si>
  <si>
    <t>2024-02-09 13:02:12</t>
  </si>
  <si>
    <t>Change mobile number please mail korty korty thak geya hu sdl682066</t>
  </si>
  <si>
    <t>2024-02-09 12:48:34</t>
  </si>
  <si>
    <t>Great work</t>
  </si>
  <si>
    <t>2024-02-09 11:37:54</t>
  </si>
  <si>
    <t>EthEspress43206</t>
  </si>
  <si>
    <t>espress0.eth</t>
  </si>
  <si>
    <t>@SpiceMoneyIndia 🤑thaaaaaaaaaaank you so much https://t.co/7TkZEVRYq6 
  Quoted Tweet : @TheFameMaker_ : I make around 5-10 ETH per week! 🤑
Tutorial: https://t.co/h2O30jnLTy
I've been using it for 3 months now.
It works great for me and it's my biggest source of income right now.✅
It's the best i've seen so far♥️
Literally a gamechanger!
Don't forget to like + share https://t.co/ZSyhQKFF4W</t>
  </si>
  <si>
    <t>2024-02-09 11:36:27</t>
  </si>
  <si>
    <t>Niger</t>
  </si>
  <si>
    <t>गारंटी यात्रा जयपुर में शामिल हुए सभी स्पाइस मनी पार्टनर्स एवं अधिकारियों का तहे दिल से धन्यवाद! 
आपका भरोसा हमारा हौसला बढ़ाता है l जिसके चलते, लगातार हम और आप मिलकर अपनी एवं अपने ग्राहकों की लाइफ बना रहे हैं l
#SpiceMoney #GuaranteeYatraJaipur
#RuralFintech #PartnersMeet https://t.co/Mhp3lHMFVa</t>
  </si>
  <si>
    <t>2024-02-09 11:36:23</t>
  </si>
  <si>
    <t>गारंटी यात्रा जयपुर में शामिल हुए सभी स्पाइस मनी पार्टनर्स एवं अधिकारियों का तहे दिल से धन्यवाद! 
आपका भरोसा हमारा हौसला बढ़ाता है l जिसके चलते, लगातार हम और आप मिलकर अपनी एवं अपने ग्राहकों की लाइफ बना रहे हैं l
#SpiceMoney #GuaranteeYatraJaipur
#RuralFintech #PartnersMeet
गारंटी यात्रा जयपुर में शामिल हुए सभी स्पाइस मनी पार्टनर्स एवं अधिकारियों का तहे दिल से धन्यवाद! 
आपका भरोसा हमारा हौसला बढ़ाता है l जिसके चलते, लगातार हम और आप मिलकर अपनी एवं अपने ग्राहकों की लाइफ बना रहे हैं l
#SpiceMoney #GuaranteeYatraJaipur
#RuralFintech #PartnersMeet</t>
  </si>
  <si>
    <t>2024-02-09 11:35:35</t>
  </si>
  <si>
    <t>2024-02-09 11:00:40</t>
  </si>
  <si>
    <t>@SpiceMoneyIndia 7319987555
rajsnavneet1829@gmail.com</t>
  </si>
  <si>
    <t>2024-02-09 10:09:26</t>
  </si>
  <si>
    <t>@SpiceMoneyIndia Nobody 'sampark' me yet I want to know what progress has been made on the issue I mentioned!</t>
  </si>
  <si>
    <t>2024-02-09 09:50:32</t>
  </si>
  <si>
    <t>mera 10000 fansa hua he, id block he, kyc krne par bhi unblock nhi kr rhe h</t>
  </si>
  <si>
    <t>2024-02-09 09:03:40</t>
  </si>
  <si>
    <t>Yaha distributor ki koi kimat nahi din raat salo saal spice k liye ham mehnat karte rahe jb hamare city me aaye  to invitation hi nahi mila district distributor
Aaj jo mere sath hua kal apk sath bhi ho skta hai ..</t>
  </si>
  <si>
    <t>2024-02-09 07:06:43</t>
  </si>
  <si>
    <t>2024-02-09 06:28:15</t>
  </si>
  <si>
    <t>2024-02-08</t>
  </si>
  <si>
    <t>@amandwi39776875 @SpiceMoneyIndia @rblbank @RBI @NPCI_NPCI Bakwas company hai service ab sahi nahi hai sirf adhikari ko preshani hota hai</t>
  </si>
  <si>
    <t>2024-02-08 23:35:31</t>
  </si>
  <si>
    <t>@SpiceMoneyIndia bakwas company hai name update ka request diye hue 1 week ho gya pr ab TK nhi hua Jo ki bahut hi glt baat hai</t>
  </si>
  <si>
    <t>2024-02-08 23:34:22</t>
  </si>
  <si>
    <t>@ArvindK94137404 @SpiceMoneyIndia Bakwas company hai service me ab bahut Kami aa gyi hai sirf adhikari ko preshan krta hai koi help nhi hota hai Jo ki bahut glt baat hai hum sab se request krte hai koi bhi ab spice money use na kree</t>
  </si>
  <si>
    <t>2024-02-08 23:33:23</t>
  </si>
  <si>
    <t>Mera Mobile number change nehi horaha he email korty korty thak geya hu</t>
  </si>
  <si>
    <t>2024-02-08 23:10:46</t>
  </si>
  <si>
    <t>स्पाइस मनी को अपना इंपोज डिवाइस</t>
  </si>
  <si>
    <t>2024-02-08 21:43:48</t>
  </si>
  <si>
    <t>मेरी 🆔 बंद kardi Bina bat के</t>
  </si>
  <si>
    <t>2024-02-08 21:29:37</t>
  </si>
  <si>
    <t>3sal hm bhi use kr rahe h</t>
  </si>
  <si>
    <t>2024-02-08 21:01:53</t>
  </si>
  <si>
    <t>Good service</t>
  </si>
  <si>
    <t>2024-02-08 21:01:02</t>
  </si>
  <si>
    <t>@PratapBundeli</t>
  </si>
  <si>
    <t>🎉🎉🎉🎉🎉🎉</t>
  </si>
  <si>
    <t>2024-02-08 20:54:21</t>
  </si>
  <si>
    <t>iam spice money Adhikari</t>
  </si>
  <si>
    <t>2024-02-08 20:54:14</t>
  </si>
  <si>
    <t>Parveen Kumar Insa Aisa kya hua</t>
  </si>
  <si>
    <t>2024-02-08 20:27:51</t>
  </si>
  <si>
    <t>Sahi he</t>
  </si>
  <si>
    <t>2024-02-08 19:47:54</t>
  </si>
  <si>
    <t>Izhar Ashraf</t>
  </si>
  <si>
    <t>2024-02-08 19:47:40</t>
  </si>
  <si>
    <t>Sir मेरे id se 7000 rupaye किसीने dmt kar liy abhi tk koi meri bat nahi sun raha he 8208028600</t>
  </si>
  <si>
    <t>2024-02-08 19:47:13</t>
  </si>
  <si>
    <t>Koi nhi esme sunne bala problems ko</t>
  </si>
  <si>
    <t>2024-02-08 19:27:14</t>
  </si>
  <si>
    <t>Hmse se b pucho 80k chale gyee</t>
  </si>
  <si>
    <t>2024-02-08 18:51:05</t>
  </si>
  <si>
    <t>Chhor hai</t>
  </si>
  <si>
    <t>2024-02-08 18:43:59</t>
  </si>
  <si>
    <t>अधिकारीयों का यक़ीन है स्पाइस मनी !
आपका भरोसा है हमारी और आपकी तरक्की की गारंटी, यह विश्वास देखकर हम बहुत प्रसन्न हैI 
#SpiceMoney #GuaranteeYatra #MainAdhikariKhudHoonGuarantee
#RuralFintech #PartnersMeet</t>
  </si>
  <si>
    <t>2024-02-08 18:29:23</t>
  </si>
  <si>
    <t>SPICE MONEY mobai no 
7739483972
Mail ID // mehaktelecome786@gmail.com
Distributor register no 8340319673</t>
  </si>
  <si>
    <t>2024-02-08 18:03:07</t>
  </si>
  <si>
    <t>2024-02-08 17:55:52</t>
  </si>
  <si>
    <t>2024-02-08 17:55:16</t>
  </si>
  <si>
    <t>2024-02-08 17:54:56</t>
  </si>
  <si>
    <t>2024-02-08 17:53:35</t>
  </si>
  <si>
    <t>2024-02-08 17:52:49</t>
  </si>
  <si>
    <t>2024-02-08 17:51:54</t>
  </si>
  <si>
    <t>2024-02-08 17:51:28</t>
  </si>
  <si>
    <t>प्रिय महोदय, नमस्कार! आपको verification करने या अपना आईडी पासवर्ड साझा करने के लिए स्पाइस मनी से कोई कॉल नहीं किया जाता है, आपसे अनुरोध है कि कृपया ऐसे किसी भी लिंक पर क्लिक न करें या अपना विवरण साझा न करे। सादर, टीम स्पाइस मनी</t>
  </si>
  <si>
    <t>2024-02-08 17:50:45</t>
  </si>
  <si>
    <t>@TechEducavo Dear Sir, Namaskar! Aapse request hai ki please apna Mobile number &amp;amp; email id hume inbox me share karein, hamari customer care team aapse jald hi sampark karegi. Regards, Team Spice Money</t>
  </si>
  <si>
    <t>2024-02-08 17:48:32</t>
  </si>
  <si>
    <t>@ArvindK94137404 Dear Sir, Namaskar!Aapko batana chahenge ki UPI cash withdrawal ka amount already aapke bank account me credit kar diya gaya hai, .Adhik jankari ke liye aap hamare official customer care number 0120-3645645 par bhi sampark kar sakte hain. Regards, Team Spice Money</t>
  </si>
  <si>
    <t>2024-02-08 17:47:32</t>
  </si>
  <si>
    <t>2024-02-08 17:29:02</t>
  </si>
  <si>
    <t>2024-02-08 17:28:25</t>
  </si>
  <si>
    <t>@RajKuma37266737 Dear Sir, Greetings! Hamare grahak sewa adhikari aapse jald hi sampark karenge. Regards, Team Spice Money</t>
  </si>
  <si>
    <t>2024-02-08 17:26:48</t>
  </si>
  <si>
    <t>2024-02-08 17:26:02</t>
  </si>
  <si>
    <t>2024-02-08 17:25:31</t>
  </si>
  <si>
    <t>2024-02-08 17:23:59</t>
  </si>
  <si>
    <t>@amandwi39776875 प्रिय महोदय, नमस्कार! हमारे ग्राहक सेवा अधिकारी जल्द ही आपसे संपर्क करेंगे। सादर, टीम स्पाइस मनी</t>
  </si>
  <si>
    <t>2024-02-08 17:23:04</t>
  </si>
  <si>
    <t>2024-02-08 17:22:02</t>
  </si>
  <si>
    <t>Adhikariyon/Partners ka Bharosa hai Spice Money</t>
  </si>
  <si>
    <t>2024-02-08 17:21:14</t>
  </si>
  <si>
    <t>2024-02-08 17:21:03</t>
  </si>
  <si>
    <t>2024-02-08 17:20:28</t>
  </si>
  <si>
    <t>2024-02-08 17:09:02</t>
  </si>
  <si>
    <t>2024-02-08 17:08:04</t>
  </si>
  <si>
    <t>2024-02-08 17:07:41</t>
  </si>
  <si>
    <t>@@SpiceMoneyOfficial supar 💯👍👍👍</t>
  </si>
  <si>
    <t>2024-02-08 17:07:06</t>
  </si>
  <si>
    <t>Dear Sir, Namaskar! Aapse request hai ki please apna Mobile number &amp; email id hume share karein, hamari official customer care team aapse jald hi sampark karegi. aap hamse hamare official customer care 0120-3645622 par bhi sampark kar sakate hain. Regards, Team Spice Money</t>
  </si>
  <si>
    <t>2024-02-08 17:06:08</t>
  </si>
  <si>
    <t>2024-02-08 17:04:10</t>
  </si>
  <si>
    <t>2024-02-08 16:59:52</t>
  </si>
  <si>
    <t>2024-02-08 16:59:05</t>
  </si>
  <si>
    <t>2024-02-08 16:58:17</t>
  </si>
  <si>
    <t>❤❤❤❤❤❤❤❤❤ nice 👍👍</t>
  </si>
  <si>
    <t>2024-02-08 16:48:41</t>
  </si>
  <si>
    <t>Aab dhire dhire kharab hote ja raha hai</t>
  </si>
  <si>
    <t>2024-02-08 16:47:13</t>
  </si>
  <si>
    <t>2024-02-08 16:36:48</t>
  </si>
  <si>
    <t>VipinSa01037546</t>
  </si>
  <si>
    <t>Vipin Saini</t>
  </si>
  <si>
    <t>@SpiceMoneyIndia इतना काम करते हैं दिवाली पर बोनस तो दे दिया करो</t>
  </si>
  <si>
    <t>2024-02-08 16:32:28</t>
  </si>
  <si>
    <t>@enushbasumatary2081</t>
  </si>
  <si>
    <t>Atm pin kaisa milega</t>
  </si>
  <si>
    <t>2024-02-08 15:20:53</t>
  </si>
  <si>
    <t>Adhikari &amp; Distributor Mante Hain Spice Money Ko Best Income Platform</t>
  </si>
  <si>
    <t>2024-02-08 15:13:19</t>
  </si>
  <si>
    <t>2024-02-08 15:12:25</t>
  </si>
  <si>
    <t>@SpiceMoneyIndia सिर्फ गुमराह</t>
  </si>
  <si>
    <t>2024-02-08 14:51:02</t>
  </si>
  <si>
    <t>तारीफ के लिए धन्यवाद !
हम आपके भरोसे को इसी तरह बरक़रार रखने का प्रयास करेंगे क्योंकि आप अधिकारी खुद है स्पाइस मनी की गारंटी ! 
#SpiceMoney #GuaranteeYatra #MainAdhikariKhudHoonGuarantee
#RuralFintech #PartnersMeet https://t.co/V0i27FF8yL</t>
  </si>
  <si>
    <t>2024-02-08 14:43:50</t>
  </si>
  <si>
    <t>@rakeshr.k.3627</t>
  </si>
  <si>
    <t>Ji bahut badhiya company hai ❤❤❤</t>
  </si>
  <si>
    <t>2024-02-08 14:43:49</t>
  </si>
  <si>
    <t>तारीफ के लिए धन्यवाद !
हम आपके भरोसे को इसी तरह बरक़रार रखने का प्रयास करेंगे क्योंकि आप अधिकारी खुद है स्पाइस मनी की गारंटी ! 
#SpiceMoney #GuaranteeYatra #MainAdhikariKhudHoonGuarantee
#RuralFintech #PartnersMeet</t>
  </si>
  <si>
    <t>2024-02-08 14:43:32</t>
  </si>
  <si>
    <t>@shreesain</t>
  </si>
  <si>
    <t>Sound box ka video plz</t>
  </si>
  <si>
    <t>2024-02-08 14:08:03</t>
  </si>
  <si>
    <t>@zamzamelectronicofficial786</t>
  </si>
  <si>
    <t>Srif commission bahat Kam deraha hai</t>
  </si>
  <si>
    <t>2024-02-08 14:00:30</t>
  </si>
  <si>
    <t>CYBER VLE HINDI</t>
  </si>
  <si>
    <t>AXIS BANK PASSBOOK PRINT ID|| FINO AIRTEL INDUSIND AXIS BANK PASSBOOK PRINT SOFTWARE||SPICE MONEY</t>
  </si>
  <si>
    <t>2024-02-08 13:55:45</t>
  </si>
  <si>
    <t>Fit Pramod Prince Shukla How many years have you been using it? I have been using it for four to five years.</t>
  </si>
  <si>
    <t>2024-02-08 13:39:20</t>
  </si>
  <si>
    <t>💯🔥</t>
  </si>
  <si>
    <t>2024-02-08 13:37:49</t>
  </si>
  <si>
    <t>Right sir</t>
  </si>
  <si>
    <t>2024-02-08 13:37:32</t>
  </si>
  <si>
    <t>@extrasarkarifast</t>
  </si>
  <si>
    <t>SPICE MONEY KO INSURANCE KA BHI SERVICE APNE PORTAL ME LIVE KARNA CHAHIYE JISE KI RETAILER KO EK HI PORTAL ME SARA SERVICE MIL SAKE OR JADA INCOME HO SAKE TO 
SPICE MONEY KO BIKE CARE INSURANCE KA BHI SERVICE CHALU KARNA CHAHIYE......</t>
  </si>
  <si>
    <t>2024-02-08 13:17:00</t>
  </si>
  <si>
    <t>fidolkastro</t>
  </si>
  <si>
    <t>Mohammad Asham Baidya</t>
  </si>
  <si>
    <t>"स्पाइस मनी देश की नंबर वन फिनटेक कंपनी"  
नॉएडा में हुई गारंटी यात्रा मीट के दौरान हमारे डिस्ट्रीब्यूटर्स एवं अधिकारियों ने अपने अनुभव के आधार पर इस तरह के वाक्य कहकर हमें प्रोत्साहित किया है!
#SpiceMoney #GuaranteeYatraDelhiNCR #RuralFintech #PartnersMeet https://t.co/ZkYKqYl0ZJ</t>
  </si>
  <si>
    <t>2024-02-08 13:04:40</t>
  </si>
  <si>
    <t>Haora, west bengal</t>
  </si>
  <si>
    <t>Sir Rjn se Koi hai</t>
  </si>
  <si>
    <t>2024-02-08 12:52:44</t>
  </si>
  <si>
    <t>पुरी की पूरी फर्जी कंपनी है यह कोई इसका भरोसा ना करें लोगों को बेवकूफ बनाते हैं बड़े-बड़े ब्रांडिंग करके प्रचार करके लोगों को गुमराह कर रही है ऐसा कुछ भी इसका कोई फायदा नहीं है इस कंपनी का</t>
  </si>
  <si>
    <t>2024-02-08 12:20:45</t>
  </si>
  <si>
    <t>RajKuma37266737</t>
  </si>
  <si>
    <t>Raj Kumar</t>
  </si>
  <si>
    <t>@SpiceMoneyIndia my I'd sdl388533</t>
  </si>
  <si>
    <t>2024-02-08 12:04:10</t>
  </si>
  <si>
    <t>@SpiceMoneyIndia sir mujhe Mera I'd band karna he</t>
  </si>
  <si>
    <t>2024-02-08 12:03:37</t>
  </si>
  <si>
    <t>गर्व की बात है, आप हमारे साथ हैं
रायपुर में गारंटी यात्रा को मिली बड़ी सफलता और समर्थन से हम भावुक हो उठे। आप डिस्ट्रीब्यूटर्स एवं अधिकारियों का साथ ही हमारी कामयाबी का कारण है। आपने ही स्पाइस मनी की सर्विसेज़ को जन-जन तक पहुँचाया और इसे एक सफल ब्रांड बनाया।
#SpiceMoney… https://t.co/OhQzZi0EMW</t>
  </si>
  <si>
    <t>2024-02-08 12:02:16</t>
  </si>
  <si>
    <t>गर्व की बात है, आप हमारे साथ हैं
रायपुर में गारंटी यात्रा को मिली बड़ी सफलता और समर्थन से हम भावुक हो उठे। आप डिस्ट्रीब्यूटर्स एवं अधिकारियों का साथ ही हमारी कामयाबी का कारण है। आपने ही स्पाइस मनी की सर्विसेज़ को जन-जन तक पहुँचाया और इसे एक सफल ब्रांड बनाया।
#SpiceMoney #GuaranteeYatraRaipur
#RuralFintech #PartnersMeet
गर्व की बात है, आप हमारे साथ हैं
रायपुर में गारंटी यात्रा को मिली बड़ी सफलता और समर्थन से हम भावुक हो उठे। आप डिस्ट्रीब्यूटर्स एवं अधिकारियों का साथ ही हमारी कामयाबी का कारण है। आपने ही स्पाइस मनी की सर्विसेज़ को जन-जन तक पहुँचाया और इसे एक सफल ब्रांड बनाया।
#SpiceMoney #GuaranteeYatraRaipur
#RuralFintech #PartnersMeet</t>
  </si>
  <si>
    <t>2024-02-08 12:01:47</t>
  </si>
  <si>
    <t>@manishsadpur</t>
  </si>
  <si>
    <t>Nice information</t>
  </si>
  <si>
    <t>2024-02-08 11:31:17</t>
  </si>
  <si>
    <t>Rajesh Kumar Rajesh Kumar  Ha O to hai</t>
  </si>
  <si>
    <t>2024-02-08 11:18:40</t>
  </si>
  <si>
    <t>Adhikari &amp; Distributor Mante Hain Spice Money Ko no.1 Fintech Company</t>
  </si>
  <si>
    <t>2024-02-08 10:50:41</t>
  </si>
  <si>
    <t>2024-02-08 10:50:21</t>
  </si>
  <si>
    <t>2024-02-08 10:34:27</t>
  </si>
  <si>
    <t>Company team ko Jara bhi Saram h to reply De</t>
  </si>
  <si>
    <t>2024-02-08 10:22:49</t>
  </si>
  <si>
    <t>10 macro ATM kharidwa diya 
Sara ATM para huwa h 
Na rm sunta h na company</t>
  </si>
  <si>
    <t>2024-02-08 10:21:57</t>
  </si>
  <si>
    <t>Me is company me 5 Sal Kam Kiya super  distributor ban ke jab mere Ander 10 distributor 
Aur 450 Retailer huwa to company aisa kiya 
Bemani Kar liya 
Aur abhi tak mera wallet me 16k repay para h 
Koi nahi Jo mera complain  sune
Sara distributor ka baduaa h is company par 
Bahut jaldi band ho jayega</t>
  </si>
  <si>
    <t>2024-02-08 10:19:29</t>
  </si>
  <si>
    <t>BusinessworldTamil</t>
  </si>
  <si>
    <t>Fino all one device offer  best price all app support spice money pay nearby rapipay easypay roinet</t>
  </si>
  <si>
    <t>2024-02-08 10:05:28</t>
  </si>
  <si>
    <t>2024-02-08 09:37:30</t>
  </si>
  <si>
    <t>DerendraMaurya</t>
  </si>
  <si>
    <t>🇮🇳Derendra Maurya🇮🇳</t>
  </si>
  <si>
    <t>2024-02-08 09:02:12</t>
  </si>
  <si>
    <t>Mera abhi tak koi reply nhi aya na call aya coustomer ka...</t>
  </si>
  <si>
    <t>2024-02-08 08:48:24</t>
  </si>
  <si>
    <t>@SpiceMoneyIndia यहां भी आ गए लूटने</t>
  </si>
  <si>
    <t>2024-02-08 07:01:51</t>
  </si>
  <si>
    <t>@SpiceMoneyIndia सिर्फ झूठ बोलते है आप के ग्राहक सेवा अधिकारी मेरी id me 2fa का aerrr है distubutur ने cpv के नाम पर 250 लिया है और प्रॉब्लम भी हल नहीं लुटेरा नंबर 1 बनी है स्पाइस मनी @RBI @MoRD_GoI</t>
  </si>
  <si>
    <t>2024-02-08 07:00:01</t>
  </si>
  <si>
    <t>@SpiceMoneyIndia लुट लिया गया हमे स्पाइस मनी के द्वारा</t>
  </si>
  <si>
    <t>2024-02-08 06:56:47</t>
  </si>
  <si>
    <t>@DeepakShriwas-re8iu</t>
  </si>
  <si>
    <t>Mera bhi ATM KAAM Nahi kar raha ha plzz help me</t>
  </si>
  <si>
    <t>2024-02-08 06:56:46</t>
  </si>
  <si>
    <t>@SpiceMoneyIndia लुट की दुकान स्पाइस मनी</t>
  </si>
  <si>
    <t>2024-02-08 06:55:52</t>
  </si>
  <si>
    <t>@SpiceMoneyIndia दुकानदारों को लूट रही कंपनी और distubutr 250 रु cpv चार्ज लेकर</t>
  </si>
  <si>
    <t>2024-02-08 06:55:21</t>
  </si>
  <si>
    <t>@SpiceMoneyIndia  आप लोग रिटेलर को लूट रहे हो cpv चार्ज के नाम पर मेरा पैसा भी 250 रु कट गया और सर्वेश भी नही चालु हुई sdl145681 @rblbank @RBI @NPCI_NPCI https://t.co/IbZhP2D3F9</t>
  </si>
  <si>
    <t>2024-02-08 06:54:33</t>
  </si>
  <si>
    <t>NSDL payments Bank  I am not getting this option please share me this option</t>
  </si>
  <si>
    <t>2024-02-08 06:53:53</t>
  </si>
  <si>
    <t>@GondwanaMpOnlineStudio</t>
  </si>
  <si>
    <t>Kis number par send karna h</t>
  </si>
  <si>
    <t>2024-02-08 06:48:52</t>
  </si>
  <si>
    <t>@harishsahu3689</t>
  </si>
  <si>
    <t>24 support to kbi milta nhi bekar service hai company apni kamai ki soch rhi 2024 me bahot sari services thik se kam nhi kr rhi pr company us pr dhayn nhi de rhi  ab to 2024 me Company ki puri GTV DOWN  HO JAAYEGI LG RHA</t>
  </si>
  <si>
    <t>2024-02-08 05:16:14</t>
  </si>
  <si>
    <t>Rohit Yadav pahle distributor banayega bhir achha achha Ritelar ko apna khash distributor me maip kar dega aur bijendra bhi kuchh nahi kare ga aur jayada boliye ga to distributor ban kar dega yahi sab karta hai ye sab ke sab chhor hai</t>
  </si>
  <si>
    <t>2024-02-08 02:44:55</t>
  </si>
  <si>
    <t>Rajesh Kumar Rajesh Kumar  kya hua hai so Bhai</t>
  </si>
  <si>
    <t>2024-02-08 00:17:03</t>
  </si>
  <si>
    <t>2024-02-07</t>
  </si>
  <si>
    <t>Mera 1000 rupis ka...luta</t>
  </si>
  <si>
    <t>2024-02-07 22:57:48</t>
  </si>
  <si>
    <t>Mera DMT service bandh kar rakha hai inhone.koi response nahi hai.</t>
  </si>
  <si>
    <t>2024-02-07 22:01:46</t>
  </si>
  <si>
    <t>Sir 1, Kami hai Jo pura nahi ho raha hai aap logo se o hai BOB ka Aeps</t>
  </si>
  <si>
    <t>2024-02-07 21:45:59</t>
  </si>
  <si>
    <t>ArvindK94137404</t>
  </si>
  <si>
    <t>Arvind Kumar</t>
  </si>
  <si>
    <t>@SpiceMoneyIndia Sir Aapki team abhi tak kuch nahi Kiya koi bhi call nahin aaye aur payment bhi nahi aaya
Spice money team fraud kar raha hai</t>
  </si>
  <si>
    <t>2024-02-07 21:39:09</t>
  </si>
  <si>
    <t>SPICE MONEY abhi tak koi call nhi aaya</t>
  </si>
  <si>
    <t>2024-02-07 21:30:36</t>
  </si>
  <si>
    <t>@SpiceMoneyIndia Itna bekar service koi AEPS provider company ka nhi hai. Koi customer care support nhi milta hai. 10 din se 2FA karne par show karta hai inactive terminal jabki 1.5 years se jayada I'd chalu raha hai aur transaction bhi hote raha. Complaint karne par koi help nhi https://t.co/S4E9iYCjS2</t>
  </si>
  <si>
    <t>2024-02-07 21:05:05</t>
  </si>
  <si>
    <t>Right 👍</t>
  </si>
  <si>
    <t>2024-02-07 20:57:34</t>
  </si>
  <si>
    <t>SPICE MONEY सर कस्टमर फ्रॉड नही हो रहा आजकल csp संचालक फ्रॉड के शिकार ज्यादा हो रहे कस्टमर अपनी विश्स्वनिय दुकान पर जाकर कैश निकलता है कोई उसे दिक्कत होगी वो उसके खिलाफ रिपोर्ट दर्ज करा देता है 
जो अधिकारियो के साथ फ्रॉड हो रहा उसकी तो रिपोर्ट तक नही लिखी जाती</t>
  </si>
  <si>
    <t>2024-02-07 20:49:09</t>
  </si>
  <si>
    <t>अब aeps का काम बहुत कम होता जा रहा है 
महीने में सिर्फ एक बार फिंगर लग रही 
आधार पे से भी 2500 की लिमिट कर दी गयी 
इन सबसे अच्छा npci को बन्द ही कर देना चाहिए aeps सर्विस 
इतनी सिक्यूरिटी के बाबजूद भी महिने में कस्टमर का केवल एक बार फिंगर लगना कुछ समझ नही आया</t>
  </si>
  <si>
    <t>2024-02-07 20:46:06</t>
  </si>
  <si>
    <t>Faltu</t>
  </si>
  <si>
    <t>2024-02-07 20:40:27</t>
  </si>
  <si>
    <t>Mam my mobile no chenge karne ke liye mail bheje the our verification bhi ho gaya hai kab tak mobile number change ho jayega.</t>
  </si>
  <si>
    <t>2024-02-07 20:38:31</t>
  </si>
  <si>
    <t>Mere isme 6000 fasa hua koi response nahi leta hai</t>
  </si>
  <si>
    <t>2024-02-07 20:16:39</t>
  </si>
  <si>
    <t>Spice money aadhikari ke liye T shirt aur cap kaha se milega  hame t shirt aur cap chahiye taki ek aalag pahchan Bane  spice money ko ek spice money aadhikari bazar Lana chahiye jispe sabhi saman cap t shirt  aadi uplabdh ho aur aadhikari purchase kar sake</t>
  </si>
  <si>
    <t>2024-02-07 20:13:59</t>
  </si>
  <si>
    <t>Faltu company iske staff  retailer ka help nhi krta ha</t>
  </si>
  <si>
    <t>2024-02-07 20:12:01</t>
  </si>
  <si>
    <t>Bijendra to aur chhor hai</t>
  </si>
  <si>
    <t>2024-02-07 20:11:29</t>
  </si>
  <si>
    <t>Bilkul sahi baat</t>
  </si>
  <si>
    <t>2024-02-07 19:53:39</t>
  </si>
  <si>
    <t>Ayushman ki id Deni chahiye spice money ko spice money ki id do saal se chla rhe hai</t>
  </si>
  <si>
    <t>2024-02-07 19:31:50</t>
  </si>
  <si>
    <t>Very nice</t>
  </si>
  <si>
    <t>2024-02-07 19:16:31</t>
  </si>
  <si>
    <t>Congratulations 🎉 🎉 🎉 🎉 all team working best,, thankyou so much for everything you have done, spice money adhikari</t>
  </si>
  <si>
    <t>2024-02-07 19:13:02</t>
  </si>
  <si>
    <t>2024-02-07 19:09:08</t>
  </si>
  <si>
    <t>"स्पाइस मनी देश की नंबर वन फिनटेक कंपनी" 
नॉएडा में हुई गारंटी यात्रा मीट के दौरान हमारे डिस्ट्रीब्यूटर्स एवं अधिकारियों ने अपने अनुभव के आधार पर इस तरह के वाक्य कहकर हमें प्रोत्साहित किया है!
#SpiceMoney #GuaranteeYatraDelhiNCR
#RuralFintech #PartnersMeet</t>
  </si>
  <si>
    <t>2024-02-07 19:06:37</t>
  </si>
  <si>
    <t>@mursaleemali451</t>
  </si>
  <si>
    <t>Mera pan card mere adress pe nhi aa paya me ab kya kru aap koi option btaye</t>
  </si>
  <si>
    <t>2024-02-07 18:13:11</t>
  </si>
  <si>
    <t>9450004547
 laljisoni1511983@gmail.com</t>
  </si>
  <si>
    <t>2024-02-07 17:52:07</t>
  </si>
  <si>
    <t>@Shobhitvar97831 @narendramodi @PMOIndia @myogioffice @myogiadityanath @AmitShah @jagograhakjago @PiyushGoyalOffc @AmitShahOffice @PiyushGoyal @FinMinIndia प्रिय महोदय, नमस्कार! हमारे ग्राहक सेवा अधिकारी जल्द ही आपसे संपर्क करेंगे। सादर, टीम स्पाइस मनी</t>
  </si>
  <si>
    <t>2024-02-07 17:41:25</t>
  </si>
  <si>
    <t>2024-02-07 17:40:54</t>
  </si>
  <si>
    <t>साल भर हो गया है सर डिवाइस रिफंड किए हुए अभी तक वापसी नहीं मिला मुझको</t>
  </si>
  <si>
    <t>2024-02-07 17:16:47</t>
  </si>
  <si>
    <t>अभी तक मेरी डिवाइस एटीएम मशीन वापसी नहीं मिली</t>
  </si>
  <si>
    <t>2024-02-07 17:15:15</t>
  </si>
  <si>
    <t>2024-02-07 17:12:05</t>
  </si>
  <si>
    <t>Dear Sir, Namaskar!Aapko batana chahenge ki Face scan withdrawal ki suvidha abhi Spice Money me available nahi hai . Aapke sujhaav ke liye dhanyavaad, humne ise note kar liya hai.Regards, Team Spice Money</t>
  </si>
  <si>
    <t>2024-02-07 17:00:33</t>
  </si>
  <si>
    <t>2024-02-07 16:58:51</t>
  </si>
  <si>
    <t>@PalManimohan Dear Sir, Greetings! Please share your email id and mobile number in inbox .we'll reach out to you to resolve all your concerns.Regards, Team Spice Money</t>
  </si>
  <si>
    <t>2024-02-07 16:57:56</t>
  </si>
  <si>
    <t>2024-02-07 16:55:35</t>
  </si>
  <si>
    <t>2024-02-07 16:54:58</t>
  </si>
  <si>
    <t>2024-02-07 16:12:10</t>
  </si>
  <si>
    <t>@deepakhulde Dear Sir, Greetings! Spice Money ki taraf se aapke paas verification ke liye ya fir id password share karne ke liye koi bhi call nahi jati hai ,aapse requst hai ki kripya aisi kisi bhi link  par click na kare aur na hi apni details share kare ,otherwise aap fraud ke (1/2)</t>
  </si>
  <si>
    <t>2024-02-07 16:05:52</t>
  </si>
  <si>
    <t>@deepakhulde shikaar ho sakte, Regards, Team Spice Money (2/2)</t>
  </si>
  <si>
    <t>2024-02-07 15:56:23</t>
  </si>
  <si>
    <t>@shoeblala1010 Dear Sir, Greetings! Our customer care officer will get in touch with you shortly. Regards, Team Spice Money</t>
  </si>
  <si>
    <t>2024-02-07 15:51:32</t>
  </si>
  <si>
    <t>@BadlapurGst Dear Sir, Namaskar! Aapse request hai ki please apna Mobile number &amp;amp; email id hume share karein, hamari customer care team aapse jald hi sampark karegi. Regards, Team Spice Money</t>
  </si>
  <si>
    <t>2024-02-07 15:32:54</t>
  </si>
  <si>
    <t>2024-02-07 15:19:05</t>
  </si>
  <si>
    <t>deepakhulde</t>
  </si>
  <si>
    <t>deepak hulde</t>
  </si>
  <si>
    <t>@Tanveer50190409 @SpiceMoneyIndia Sahi kaha hai pura spice money hee farji hai</t>
  </si>
  <si>
    <t>2024-02-07 14:29:04</t>
  </si>
  <si>
    <t>Mp</t>
  </si>
  <si>
    <t>@PUSHPA2003</t>
  </si>
  <si>
    <t>Social  media  pe spice money  ko hakikat  samne aa raha hai</t>
  </si>
  <si>
    <t>2024-02-07 13:45:15</t>
  </si>
  <si>
    <t>Bilkul  right hai 100% froud  platform  hai spice  money</t>
  </si>
  <si>
    <t>2024-02-07 13:44:30</t>
  </si>
  <si>
    <t>Chor hai spice  money  platform  koi help nahi milta hai re kyc me location  issue aa raha hai but koi help nahi kar raha hai nahi call center  or nahi agent 😢😢😢😢</t>
  </si>
  <si>
    <t>2024-02-07 13:41:07</t>
  </si>
  <si>
    <t>@SpiceMoneyIndia 
मेरी 🆔 118906 बिना किसी सूचना के बंद कर दी गई थी इसमें सारी सर्विस एक्टिवेट थी 
दूसरी 🆔 46972 मिली है 1 साल हो गया आज तक कोई भी सर्विस एक्टिवेट नही हुई है कई बार मेल किया कंप्लेंट की कोई सपोर्ट नही मिल रहा है
न तो aeps चालू है न डिस्ट्रीब्यूटर चेंज हो रहा है</t>
  </si>
  <si>
    <t>2024-02-07 13:30:30</t>
  </si>
  <si>
    <t>गारंटी यात्रा टीम को विशाखापट्टनम में मिला शानदार रिस्पांस! 
आपका साथ और विश्वास पाकर हम उत्साहित हैं। हमें मिलकर बड़े मुकाम हासिल करने हैं, भविष्य के लिए बनाई गई योजनाओं पर काम करना है।
 यूँही साथ जुड़े रहें, जुटे रहें।
#SpiceMoney #GuaranteeYatraVisakhapatnam
#RuralFintech… https://t.co/Pqzi3Vfdrl</t>
  </si>
  <si>
    <t>2024-02-07 10:46:30</t>
  </si>
  <si>
    <t>@SaurabhRam6 प्रिय महोदय, नमस्कार! हमारे ग्राहक सेवा अधिकारी जल्द ही आपसे संपर्क करेंगे। सादर, टीम स्पाइस मनी</t>
  </si>
  <si>
    <t>2024-02-07 09:34:07</t>
  </si>
  <si>
    <t>Mera abhi tak 20 day ho gya open active nhi huaa</t>
  </si>
  <si>
    <t>2024-02-07 09:30:22</t>
  </si>
  <si>
    <t>Dear Sir, Namaskar! Aapse request hai ki please apna Mobile number &amp; email id hume share karein, hamari official customer care team aapse jald hi sampark karegi. aap hamse hamare official customer care 0120-3645622  par bhi sampark kar sakate hain. Regards, Team Spice Money</t>
  </si>
  <si>
    <t>2024-02-07 08:40:26</t>
  </si>
  <si>
    <t>2024-02-07 08:37:23</t>
  </si>
  <si>
    <t>2024-02-07 08:35:36</t>
  </si>
  <si>
    <t>भाई साहब कम से कम अधिकारियों को एक टी-शर्ट ही दे दो जिससे उनकी पहचान बनी रहे कि वो एक स्पाइस मनी अधिकारी है इस कॉमेंट को ज्यादा से ज्यादा लाइक करो ताकि स्पाइस मनी तक या कॉमेंट पहुंच सके और शेयर करो स्पाइस मनी तक यह कॉमेंट पहुंचे जिसे हम सभी अधिकारी भाइयों को एक टी-शर्ट मिल सके स्पाइस मनी का</t>
  </si>
  <si>
    <t>2024-02-07 06:27:48</t>
  </si>
  <si>
    <t>2024-02-06</t>
  </si>
  <si>
    <t>प्रिय अधिकारियो कृपया ध्यान दो 
एक तो npci रोज एक न एक नियम ला रही है ऊपर से withdrawal भी कई बैंको ने महीने में एक बार का रखा है जो कुछ उम्मीद थी वो आधार पे पर ही टिकी थी अब उसमे भी केवल 2500 की लिमिट कर दी गयी 
अब वो दिन दूर नही जब aeps बाले मख्खी मारेंगे बैठकर जबकि स्पाइस मनी के रिटेलर सबसे ज्यादा ग्रामीण क्षेत्रो में काम कर रहे है एक तो npci के नए नियम रोज रोज ऊपर से बैंक बालो का महीने में एक बार tranjection अब दर्शाता है की वो दिन दूर नही जब अंगूठे से लेन देन बन्द ही कर दिया जाएगा</t>
  </si>
  <si>
    <t>2024-02-06 20:58:18</t>
  </si>
  <si>
    <t>@SpiceMoneyIndia Spicemoney ka loan offer settlement payment ke bad bhi 1 sall se abi tk loan close ni hua...mail krne pr koi reply ni aa rha hai.. https://t.co/PWEy1JeRvE</t>
  </si>
  <si>
    <t>2024-02-06 20:50:25</t>
  </si>
  <si>
    <t>@SpiceMoneyIndia 
Sir Aapki team kya kar Rahi hai Abhi tak mera UPI cash withdrawal amount nahi aaya Sir Call karne pe Bolte hain 2days time lagega but Abhi tak nahi aaya sir please help kariye 1month hone wala hai abhi tak payment nahin aaye.</t>
  </si>
  <si>
    <t>2024-02-06 20:34:38</t>
  </si>
  <si>
    <t>@somshankar499</t>
  </si>
  <si>
    <t>Up sitapur hargaon Khejrapur se hu main spice mani ki I'd Lena chahtey hai meri help Karo please</t>
  </si>
  <si>
    <t>2024-02-06 17:31:02</t>
  </si>
  <si>
    <t>Face scan withdrawal kab tak aaega Spice Mani mein</t>
  </si>
  <si>
    <t>2024-02-06 14:42:08</t>
  </si>
  <si>
    <t>2024-02-06 14:24:52</t>
  </si>
  <si>
    <t>गारंटी यात्रा टीम को विशाखापट्टनम में मिला शानदार रिस्पांस! 
आपका साथ और विश्वास पाकर हम उत्साहित हैं। हमें मिलकर बड़े मुकाम हासिल करने हैं, भविष्य के लिए बनाई गई योजनाओं पर काम करना है।
 यूँही साथ जुड़े रहें, जुटे रहें।
#SpiceMoney #GuaranteeYatraVisakhapatnam
#RuralFintech #PartnersMeet
गारंटी यात्रा टीम को विशाखापट्टनम में मिला शानदार रिस्पांस! 
आपका साथ और विश्वास पाकर हम उत्साहित हैं। हमें मिलकर बड़े मुकाम हासिल करने हैं, भविष्य के लिए बनाई गई योजनाओं पर काम करना है।
 यूँही साथ जुड़े रहें, जुटे रहें।
#SpiceMoney #GuaranteeYatraVisakhapatnam
#RuralFintech #PartnersMeet</t>
  </si>
  <si>
    <t>2024-02-06 14:24:10</t>
  </si>
  <si>
    <t>SaurabhRam6</t>
  </si>
  <si>
    <t>Saurabh ❤️ Memecoin</t>
  </si>
  <si>
    <t>@SpiceMoneyIndia Spice Money एक चोर कंपनी है, मेरा Rs. 2500/- खा गया। हेल्पलाइन नंबर पे कॉल करने पर सिर्फ Date पे Date दिया जाता है पैसे के बारे में कोई जानकारी नहीं मिलती । सबसे बेकार कंपनी है Spice Money...</t>
  </si>
  <si>
    <t>2024-02-06 14:11:19</t>
  </si>
  <si>
    <t>Tundi, dhanbad, jharkhand</t>
  </si>
  <si>
    <t>@shivrajgurjar6545</t>
  </si>
  <si>
    <t>good</t>
  </si>
  <si>
    <t>2024-02-06 13:10:59</t>
  </si>
  <si>
    <t>Bar bar yahi show kr rha he</t>
  </si>
  <si>
    <t>2024-02-06 12:53:22</t>
  </si>
  <si>
    <t>SPICE MONEY Sorry, Unable to process your request due to some technical error. Please try later.......ye show kr rha he kya kru...isko mail bhi Kiya hu</t>
  </si>
  <si>
    <t>2024-02-06 12:52:09</t>
  </si>
  <si>
    <t>2024-02-06 11:45:32</t>
  </si>
  <si>
    <t>Sir spice money me apply kiye hai magar under review hai to kya kare</t>
  </si>
  <si>
    <t>2024-02-06 11:15:05</t>
  </si>
  <si>
    <t>2024-02-05</t>
  </si>
  <si>
    <t>SPICE MONEY 6287875050 
vipdigitalok@gmail.com</t>
  </si>
  <si>
    <t>2024-02-05 21:20:48</t>
  </si>
  <si>
    <t>Raman Sharma mere pass mini magic hai usse to nhi hota</t>
  </si>
  <si>
    <t>2024-02-05 21:12:13</t>
  </si>
  <si>
    <t>2024-02-05 20:49:48</t>
  </si>
  <si>
    <t>2024-02-05 20:49:40</t>
  </si>
  <si>
    <t>2024-02-05 20:49:34</t>
  </si>
  <si>
    <t>sadie_garr55565</t>
  </si>
  <si>
    <t>Sadie Garrett</t>
  </si>
  <si>
    <t>@SaurabhRam6 @SpiceMoneyIndia Let's go guys https://t.co/L7rB7RnNLQ 
  Quoted Tweet : @TylerLopezWEB3 : I am truly honored and grateful to have received tokens from the @Starknet project🎉 You can also check your wallets on the website👇
Special mention must be made of Vitalik Buterin, whose pioneering work and vision for Ethereum have laid the foundation for projects like… https://t.co/BQZ7HW1uVh</t>
  </si>
  <si>
    <t>2024-02-05 20:49:31</t>
  </si>
  <si>
    <t>2024-02-05 20:49:24</t>
  </si>
  <si>
    <t>2024-02-05 20:49:16</t>
  </si>
  <si>
    <t>@SpiceMoneyIndia @NPCI_NPCI Spice Money एक चोर कंपनी है, मेरा Rs. 2500/- खा गया। हेल्पलाइन नंबर पे कॉल करने पर सिर्फ Date पे Date दिया जाता है पैसे के बारे में कोई जानकारी नहीं मिलती । सबसे बेकार कंपनी है Spice Money...</t>
  </si>
  <si>
    <t>2024-02-05 20:48:12</t>
  </si>
  <si>
    <t>InsAdvisormanoj</t>
  </si>
  <si>
    <t>MANOJ NISHAD</t>
  </si>
  <si>
    <t>@SpiceMoneyIndia No call has been made yet on our contact number. Please pay some attention to our problem from your support team.</t>
  </si>
  <si>
    <t>2024-02-05 20:15:57</t>
  </si>
  <si>
    <t>Sultanpur, india</t>
  </si>
  <si>
    <t>spice money is best</t>
  </si>
  <si>
    <t>2024-02-05 19:46:10</t>
  </si>
  <si>
    <t>Dear sir my mini magic ATM phone se contact nahi ho raha</t>
  </si>
  <si>
    <t>2024-02-05 19:32:50</t>
  </si>
  <si>
    <t>shoeblala1010</t>
  </si>
  <si>
    <t>mohd shoeb</t>
  </si>
  <si>
    <t>WHAT I FUCK SERVICE PROVIDING @SpiceMoneyIndia @Travelunion_TU where is my money what I frud service providing contact me 8055991010 https://t.co/wxEHVaYbSA</t>
  </si>
  <si>
    <t>2024-02-05 19:30:58</t>
  </si>
  <si>
    <t>Aurangabad, india</t>
  </si>
  <si>
    <t>2024-02-05 18:12:38</t>
  </si>
  <si>
    <t>Sir, Repeat Free MATM offer</t>
  </si>
  <si>
    <t>2024-02-05 17:58:08</t>
  </si>
  <si>
    <t>2024-02-05 17:10:00</t>
  </si>
  <si>
    <t>PalManimohan</t>
  </si>
  <si>
    <t>Manimohan Pal</t>
  </si>
  <si>
    <t>@SpiceMoneyIndia Solve the problem</t>
  </si>
  <si>
    <t>2024-02-05 16:17:19</t>
  </si>
  <si>
    <t>Mtam pe credit card swap ho jata hai?</t>
  </si>
  <si>
    <t>2024-02-05 16:14:22</t>
  </si>
  <si>
    <t>Dear Sir, Namaskar! Aapko batana chahenge ki RBL ekyc service currently hold par hai. Adhik jankari ke liye aap hamare official customer care number 0120-3645645 par bhi sampark kar sakte hain. Regards, Team Spice Money</t>
  </si>
  <si>
    <t>2024-02-05 15:59:29</t>
  </si>
  <si>
    <t>2024-02-05 15:58:33</t>
  </si>
  <si>
    <t>2024-02-05 15:57:15</t>
  </si>
  <si>
    <t>समस्या है दस हजार से ज्यादा विड्रॉल नहीं कर सकते इसका कोई समाधान है</t>
  </si>
  <si>
    <t>2024-02-05 15:12:36</t>
  </si>
  <si>
    <t>Mera spice money me ....RBL ekyc nhi ho rha he email bhi Kiya hu 2 din ho gya je</t>
  </si>
  <si>
    <t>2024-02-05 14:53:15</t>
  </si>
  <si>
    <t>Good night</t>
  </si>
  <si>
    <t>2024-02-05 14:52:53</t>
  </si>
  <si>
    <t>Spice Money is Best</t>
  </si>
  <si>
    <t>2024-02-05 14:46:17</t>
  </si>
  <si>
    <t>2024-02-05 14:38:29</t>
  </si>
  <si>
    <t>स्पाइस मनी mATM की मदद से अपनी डिजिटल दुकान को बनाएं मिनी ATM और ग्राहकों की बढ़ती संख्या के साथ पाएं तरक्की की गारंटी I
#SpiceMoney #SpiceMoneyTohLifeBani #SpiceMoneyGuarantee
#RuralFintech #mATM #MainAdhikariKhudHoonGuarantee https://t.co/knp00nXUQd</t>
  </si>
  <si>
    <t>2024-02-05 14:37:57</t>
  </si>
  <si>
    <t>स्पाइस मनी mATM की मदद से अपनी डिजिटल दुकान को बनाएं मिनी ATM और ग्राहकों की बढ़ती संख्या के साथ पाएं तरक्की की गारंटी I
#SpiceMoney #SpiceMoneyTohLifeBani #SpiceMoneyGuarantee
#RuralFintech #mATM #MainAdhikariKhudHoonGuarantee
स्पाइस मनी mATM की मदद से अपनी डिजिटल दुकान को बनाएं मिनी ATM और ग्राहकों की बढ़ती संख्या के साथ पाएं तरक्की की गारंटी I
#SpiceMoney #SpiceMoneyTohLifeBani #SpiceMoneyGuarantee
#RuralFintech #mATM #MainAdhikariKhudHoonGuarantee</t>
  </si>
  <si>
    <t>2024-02-05 14:35:42</t>
  </si>
  <si>
    <t>Dear Sir, Namaskar! Aapko hui asuvidha ke liye hum maafi chehenge, aapse request hai ki please apna Mobile number &amp; email id hume inbox me share karein, hamari customer care team aapse jald hi sampark karegi. Regards, Team Spice Money</t>
  </si>
  <si>
    <t>2024-02-05 14:03:15</t>
  </si>
  <si>
    <t>Dear Sir, Namaskar!Aapko batana chahenge ki ye RBL ekyc currently hold par hai. Adhik jankari ke liye aap hamare official customer care number 0120-3645645 par bhi sampark kar sakte hain. Regards, Team Spice Money</t>
  </si>
  <si>
    <t>2024-02-05 13:37:44</t>
  </si>
  <si>
    <t>2024-02-05 13:36:58</t>
  </si>
  <si>
    <t>Mera me RBL ekyc nhi ho rha he kya kru 10 day ho gya or company me email v Kiya h screenshot de kr</t>
  </si>
  <si>
    <t>2024-02-05 12:07:28</t>
  </si>
  <si>
    <t>Maine spice money se Cash deposit Kiya hai aur customer ke account me paise nhi aye hai maine 1 month se complain Kiya HOA par kohi update nhi diya spice money ki team ne abhi tak .
My I'd is. Sdl1434020</t>
  </si>
  <si>
    <t>2024-02-05 11:51:32</t>
  </si>
  <si>
    <t>2024-02-05 11:50:23</t>
  </si>
  <si>
    <t>Loan chahiye Loan ham dila ke denge 1Lakh se15 Lakh tak.contact 9760205694 whatsapp ya call
🙏🙏froud company se bacho.bhut asaan he jaankari na hone per froud hota he</t>
  </si>
  <si>
    <t>2024-02-05 10:59:07</t>
  </si>
  <si>
    <t>Dear,
Spice Money Team,
Es samay Har Vyakti Apna problem share kar raha hai, Asa kyon ho Raha etni badi publicity company ka longo ne bharosa Jeet rha tha, but har problem ka solution thik Karo, hum chahte the ki company achhi hai please, please don't break the trust.
SPICE MONEY...</t>
  </si>
  <si>
    <t>2024-02-05 10:49:36</t>
  </si>
  <si>
    <t>2024-02-05 10:27:19</t>
  </si>
  <si>
    <t>2024-02-05 10:24:46</t>
  </si>
  <si>
    <t>@PalManimohan Dear Sir, Greetings! Hope you are good .If you have any issue related to our service let us know. Regards, Team Spice Money</t>
  </si>
  <si>
    <t>2024-02-05 09:44:06</t>
  </si>
  <si>
    <t>@MondalPank26989 Dear Sir, Greetings! Please share your email id and mobile number in inbox .we'll reach out to you to resolve all your concerns.Regards, Team Spice Money</t>
  </si>
  <si>
    <t>2024-02-05 09:41:03</t>
  </si>
  <si>
    <t>2024-02-05 09:36:56</t>
  </si>
  <si>
    <t>2024-02-05 09:36:11</t>
  </si>
  <si>
    <t>@InsAdvisormanoj Dear Sir, Greetings! Hamare grahak sewa adhikari aapse jald hi sampark karenge. Regards, Team Spice Money</t>
  </si>
  <si>
    <t>2024-02-05 09:34:38</t>
  </si>
  <si>
    <t>2024-02-05 09:33:17</t>
  </si>
  <si>
    <t>2024-02-05 09:31:57</t>
  </si>
  <si>
    <t>2024-02-05 09:31:27</t>
  </si>
  <si>
    <t>2024-02-05 09:29:52</t>
  </si>
  <si>
    <t>@pappuku00732700 Dear Sir, Namaskar! Aapko batana chahenge ki is concern ke regarding aap apne distributor ya area sales person se contact karein. Adhik jankari ke liye aap hamare official customer care number 0120-3645645 par bhi sampark kar sakte hain. Regards, Team Spice Money</t>
  </si>
  <si>
    <t>2024-02-05 09:28:27</t>
  </si>
  <si>
    <t>2024-02-05 09:23:03</t>
  </si>
  <si>
    <t>2024-02-05 09:21:38</t>
  </si>
  <si>
    <t>2024-02-05 09:18:31</t>
  </si>
  <si>
    <t>Madhav Maheshwari  ok sir</t>
  </si>
  <si>
    <t>2024-02-05 09:15:58</t>
  </si>
  <si>
    <t>MD Tabrez aap apne distributor ko boliye ki cpv kare</t>
  </si>
  <si>
    <t>2024-02-05 09:14:50</t>
  </si>
  <si>
    <t>Sir Mera I'd 3yeras ho gaya hai</t>
  </si>
  <si>
    <t>2024-02-05 09:11:36</t>
  </si>
  <si>
    <t>Dear,
Spice Money Team.
Mene pen card apply Kiya but beech me hi load nahi liya or payment cut ho gya,
Or mene pen card apply nahi kar paya Mera payment ka paisa refund nhi hua hai.</t>
  </si>
  <si>
    <t>2024-02-05 08:00:13</t>
  </si>
  <si>
    <t>@kandukurishivashankar8744</t>
  </si>
  <si>
    <t>Sir andha predesh Southern power bill not working</t>
  </si>
  <si>
    <t>2024-02-05 07:58:25</t>
  </si>
  <si>
    <t>Aa jao sare log awpl main</t>
  </si>
  <si>
    <t>2024-02-05 00:58:51</t>
  </si>
  <si>
    <t>2024-02-04</t>
  </si>
  <si>
    <t>@sonujaihind6555</t>
  </si>
  <si>
    <t>स्पाइस मनी अधिकारी अपना खुद का लोन कैसे लें</t>
  </si>
  <si>
    <t>2024-02-04 23:46:51</t>
  </si>
  <si>
    <t>@SpiceMoneyIndia Aap log ek bar call karne ke bad dubara call nahi karte please call karen</t>
  </si>
  <si>
    <t>2024-02-04 21:34:33</t>
  </si>
  <si>
    <t>आधार पे सर्विस चालू करने के लिए क्या करना पड़ेगा</t>
  </si>
  <si>
    <t>2024-02-04 21:08:29</t>
  </si>
  <si>
    <t>आधार पे किसी चालू होगा</t>
  </si>
  <si>
    <t>2024-02-04 21:07:53</t>
  </si>
  <si>
    <t>I'd lene ke liye sampark kare 9815186833
All services available</t>
  </si>
  <si>
    <t>2024-02-04 20:50:26</t>
  </si>
  <si>
    <t>Abdul Sattar hota hai</t>
  </si>
  <si>
    <t>2024-02-04 20:49:29</t>
  </si>
  <si>
    <t>L1 device ko add kr diya jaay</t>
  </si>
  <si>
    <t>2024-02-04 19:27:53</t>
  </si>
  <si>
    <t>Sr
Mai spice money adkhari hu mera adkhari id hai sdl1097238 or maine request dala tha ki mobile number change karwane ke liye but abhi tak nahi hua hai older number 8356878017new number 6203639600</t>
  </si>
  <si>
    <t>2024-02-04 19:14:47</t>
  </si>
  <si>
    <t>सर जी 
बिजली बिल भुगतान बाले फीचर में सुधार करो जिससे उत्तर प्रदेश के ग्रामीण उपभोक्ताओं का बिजली बिल पोर्टल के माध्यम से जमा किया जा सके</t>
  </si>
  <si>
    <t>2024-02-04 17:03:09</t>
  </si>
  <si>
    <t>pappuku00732700</t>
  </si>
  <si>
    <t>pappu kumar Yadav</t>
  </si>
  <si>
    <t>@SpiceMoneyIndia SDL 618526 CPV nahi huwa hai AJ tak</t>
  </si>
  <si>
    <t>2024-02-04 16:02:49</t>
  </si>
  <si>
    <t>Jharkhand, india</t>
  </si>
  <si>
    <t>@RaniSharma_4555</t>
  </si>
  <si>
    <t>Hello sir</t>
  </si>
  <si>
    <t>2024-02-04 15:32:55</t>
  </si>
  <si>
    <t>@SpiceMoneyIndia Main call receive karne ke liye available hoon call kare</t>
  </si>
  <si>
    <t>2024-02-04 14:52:21</t>
  </si>
  <si>
    <t>सर ट्रांफर चार्ज कम किया जाय</t>
  </si>
  <si>
    <t>2024-02-04 14:51:39</t>
  </si>
  <si>
    <t>Fraud roko</t>
  </si>
  <si>
    <t>2024-02-04 13:50:47</t>
  </si>
  <si>
    <t>R B Maurya  Right</t>
  </si>
  <si>
    <t>2024-02-04 12:38:53</t>
  </si>
  <si>
    <t>@SpiceMoneyIndia 
  Quoted Tweet : @PalManimohan : @flyspicejet  I have booked flight ticket from @Travelunion_TU . The pnr number number has been given but when I go to web check in to @flyspicejet official website, it is showing invalid. 7 feb bangalore to kolkata flight, pnr GESFKD.</t>
  </si>
  <si>
    <t>2024-02-04 12:28:25</t>
  </si>
  <si>
    <t>2024-02-04 11:51:41</t>
  </si>
  <si>
    <t>2024-02-04 11:51:16</t>
  </si>
  <si>
    <t>Pooran Nayak yes</t>
  </si>
  <si>
    <t>2024-02-04 11:41:59</t>
  </si>
  <si>
    <t>@SaurabhRam6 Dear Sir, Greetings! We are trying to contact you but you are not answering . Please share your contact details and suitable times. Regards, Team Spice Money</t>
  </si>
  <si>
    <t>2024-02-04 11:40:28</t>
  </si>
  <si>
    <t>ICICI bank AEPS not working</t>
  </si>
  <si>
    <t>2024-02-04 11:38:05</t>
  </si>
  <si>
    <t>SPICE MONEY  8959327224</t>
  </si>
  <si>
    <t>2024-02-04 11:37:30</t>
  </si>
  <si>
    <t>@SpiceMoneyIndia Call me instantly</t>
  </si>
  <si>
    <t>2024-02-04 11:37:24</t>
  </si>
  <si>
    <t>2024-02-04 11:36:59</t>
  </si>
  <si>
    <t>@SpiceMoneyIndia Call me</t>
  </si>
  <si>
    <t>2024-02-04 11:36:40</t>
  </si>
  <si>
    <t>@InsAdvisormanoj Dear Sir, Greetings! We are trying to contact you but you are not answering . Please share your contact details and suitable times. Regards, Team Spice Money</t>
  </si>
  <si>
    <t>2024-02-04 11:36:13</t>
  </si>
  <si>
    <t>स्टेट बैंक ऑफ़ इंडिया का बैलेंस चेक नहीं हो पा रहा है कृपया समाधान बताएं</t>
  </si>
  <si>
    <t>2024-02-04 11:35:27</t>
  </si>
  <si>
    <t>2024-02-04 11:26:37</t>
  </si>
  <si>
    <t>2024-02-04 11:26:04</t>
  </si>
  <si>
    <t>2024-02-04 11:25:40</t>
  </si>
  <si>
    <t>@INDVICKY2.0</t>
  </si>
  <si>
    <t>✨Bahut Hi Kam Loan Milata Hai...... Jyada Amount Aprove Nahi Hoti Hai.......🙌🙌🙏</t>
  </si>
  <si>
    <t>2024-02-04 10:51:07</t>
  </si>
  <si>
    <t>Dear Sir, Namaskar! Aapse Batchit ke anusar UPI cash withdrawal transaction ke baare me hamari taraf se aapko jankari share kar di gayi hai. Adhik jankari ke liye aap hamare official customer care number 0120-3645645 par bhi sampark kar sakte hain. Regards, Team Spice Money</t>
  </si>
  <si>
    <t>2024-02-04 10:42:31</t>
  </si>
  <si>
    <t>@SpiceMoneyIndia Abhi tak koi call nahi aya</t>
  </si>
  <si>
    <t>2024-02-04 10:41:14</t>
  </si>
  <si>
    <t>7999216877 जीतेंद्र सिंह</t>
  </si>
  <si>
    <t>2024-02-04 10:35:16</t>
  </si>
  <si>
    <t>@CPLODHII Dear Sir, Namaskar! Aapse Batchit ke anusar NSDl kit ke  baare me hamari taraf se aapko jankari share kar di gayi hai. Adhik jankari ke liye aap hamare official customer care number 0120-3645645 par bhi sampark kar sakte hain. Regards, Team Spice Money</t>
  </si>
  <si>
    <t>2024-02-04 10:19:13</t>
  </si>
  <si>
    <t>singhanuj788@gmail.com mob 9140913749</t>
  </si>
  <si>
    <t>2024-02-04 10:16:44</t>
  </si>
  <si>
    <t>SPICE MONEY 9334041037</t>
  </si>
  <si>
    <t>2024-02-04 10:02:26</t>
  </si>
  <si>
    <t>2024-02-04 09:59:39</t>
  </si>
  <si>
    <t>2024-02-04 09:58:41</t>
  </si>
  <si>
    <t>2024-02-04 09:57:16</t>
  </si>
  <si>
    <t>2024-02-04 09:56:41</t>
  </si>
  <si>
    <t>2024-02-04 09:56:07</t>
  </si>
  <si>
    <t>2024-02-04 09:50:55</t>
  </si>
  <si>
    <t>SabeelSiddiqui8</t>
  </si>
  <si>
    <t>Sabeel Siddiqui</t>
  </si>
  <si>
    <t>मनी ट्रांसफ़र सर्विस द्वारा पल भर में अपने ग्राहकों का मनी ट्रांसफ़र करें और बदले में आकर्षक कमीशन कमाएं!
#SpiceMoney #SpiceMoneyTohLifeBani #SpiceMoneyGuarantee
#RuralFintech #DMT #MainAdhikariKhudHoonGuarantee https://t.co/0NGwJrni7g</t>
  </si>
  <si>
    <t>2024-02-04 09:00:12</t>
  </si>
  <si>
    <t>Mohammadi, uttar pradesh india</t>
  </si>
  <si>
    <t>कैंसर एक ख़तरनाक बीमारी है। सही समय पर जानकारी ही सबसे बेहतर बचाव है। आज की तरह हर साल 4 फरवरी को विश्व कैंसर दिवस के रूप में मनाया जाता है। आइए इस मौके पर हम लोगों को जागरूक करें और ख़ुद भी सावधान रहें।
#WorldCancerDay https://t.co/Ua74iN6uTe</t>
  </si>
  <si>
    <t>2024-02-04 08:59:29</t>
  </si>
  <si>
    <t>Dear Sir, Greetings! As per discussed with you your concern regarding DMT option issue, information shared from our end .If you have any query,you can also contact us on our official customer care number 0120-3645645 Regards, Team Spice Money</t>
  </si>
  <si>
    <t>2024-02-04 08:40:05</t>
  </si>
  <si>
    <t>2024-02-04 08:39:35</t>
  </si>
  <si>
    <t>@ShoaibAkhtertsk Dear Sir, Greetings! Hamare grahak sewa adhikari aapse jald hi sampark karenge. Regards, Team Spice Money</t>
  </si>
  <si>
    <t>2024-02-04 08:37:21</t>
  </si>
  <si>
    <t>2024-02-04 08:33:40</t>
  </si>
  <si>
    <t>कैंसर एक ख़तरनाक बीमारी है। सही समय पर जानकारी ही सबसे बेहतर बचाव है। आज की तरह हर साल 4 फरवरी को विश्व कैंसर दिवस के रूप में मनाया जाता है। आइए इस मौके पर हम लोगों को जागरूक करें और ख़ुद भी सावधान रहें।
#WorldCancerDay
कैंसर एक ख़तरनाक बीमारी है। सही समय पर जानकारी ही सबसे बेहतर बचाव है। आज की तरह हर साल 4 फरवरी को विश्व कैंसर दिवस के रूप में मनाया जाता है। आइए इस मौके पर हम लोगों को जागरूक करें और ख़ुद भी सावधान रहें।
#WorldCancerDay</t>
  </si>
  <si>
    <t>2024-02-04 08:00:14</t>
  </si>
  <si>
    <t>JWeenft42065</t>
  </si>
  <si>
    <t>Joe Weenft</t>
  </si>
  <si>
    <t>@SpiceMoneyIndia Already heard about it. I will do it now. https://t.co/Ldy7GXHLA8 
  Quoted Tweet : @TheFameMaker_ : I make around 5-10 ETH per week! 🤑
Tutorial: https://t.co/3mZpaN0uAd
I've been using it for 3 months now.
It works great for me and it's my biggest source of income right now.✅
It's the best i've seen so far♥️
Literally a moneymaker!
Don't forget to like + share https://t.co/JJrGM5rLe3</t>
  </si>
  <si>
    <t>2024-02-04 08:00:06</t>
  </si>
  <si>
    <t>Bosnia and herzegovina</t>
  </si>
  <si>
    <t>2024-02-04 08:00:00</t>
  </si>
  <si>
    <t>2024-02-03</t>
  </si>
  <si>
    <t>DMT के लिए अधिकारी का भी अंगूठा अनिवार्य कर दीजिए।   ताकि आपकी कंपनी के द्वारा किसी  अधिकारी के साथ फ्रॉड ना हो सके। 🎊🎊🎊🎊🎊🎊🎊🎊🎊🎉🎉🎉🎉🎉🎉🎉🎉🎉🎉🎉🎉🎉🎉🎉🎉💕💕💕💞💞💞💞😘😘😘</t>
  </si>
  <si>
    <t>2024-02-03 23:45:32</t>
  </si>
  <si>
    <t>Koi lon nhi milta hai yaha pr, kewal data collect karte hai, maine bahut bar try kiya h, but result nothing</t>
  </si>
  <si>
    <t>2024-02-03 22:45:49</t>
  </si>
  <si>
    <t>@SpiceMoneyIndia Mere Account ko chalu toh kijiye pahle itna time toh nahi lagna chahiye?</t>
  </si>
  <si>
    <t>2024-02-03 22:45:28</t>
  </si>
  <si>
    <t>Mera DMT service bandh hai kab khulega.5mahine ho gaye.</t>
  </si>
  <si>
    <t>2024-02-03 22:45:01</t>
  </si>
  <si>
    <t>L &amp; T microfinance ka BBPS nahin hota hai kya</t>
  </si>
  <si>
    <t>2024-02-03 22:40:59</t>
  </si>
  <si>
    <t>2024-02-03 22:40:45</t>
  </si>
  <si>
    <t>Meri wife ki id deactivate hai usto activate krna hai dhake kha rhe hai kisi se activate ni ho rhi.... Company me kam krna hai aur company kam krne hi nhi de rhi.. Na koi sunta na koi care vala..</t>
  </si>
  <si>
    <t>2024-02-03 21:55:49</t>
  </si>
  <si>
    <t>MD Tabrez new I'd mai 90 days ke baad aata hai dmt</t>
  </si>
  <si>
    <t>2024-02-03 21:28:54</t>
  </si>
  <si>
    <t>SPICE MONEY sir me bath keya tha par koi javab nahin aaya</t>
  </si>
  <si>
    <t>2024-02-03 21:13:46</t>
  </si>
  <si>
    <t>@AmjadAli-je1lc</t>
  </si>
  <si>
    <t>Hindustan 🎉🎉🎉🎉.    jindabad jindabad jindabad jindabad jindabad</t>
  </si>
  <si>
    <t>2024-02-03 20:40:33</t>
  </si>
  <si>
    <t>2024-02-03 19:01:54</t>
  </si>
  <si>
    <t>इसके बारे में ज्यादा जानकारी चाहिए</t>
  </si>
  <si>
    <t>2024-02-03 18:52:23</t>
  </si>
  <si>
    <t>SPICE MONEY 9755464592, vinodrsmahajan@gmail.com</t>
  </si>
  <si>
    <t>2024-02-03 18:14:13</t>
  </si>
  <si>
    <t>@InsAdvisormanoj Dear Sir, Greetings! Our customer care officer will get in touch with you shortly. Regards, Team Spice Money</t>
  </si>
  <si>
    <t>2024-02-03 17:43:58</t>
  </si>
  <si>
    <t>2024-02-03 17:41:00</t>
  </si>
  <si>
    <t>@SUJITKUMARBHA7 Dear Sir, Namaskar! Aapse request hai ki please apna Mobile number &amp;amp; email id hume inbox me share karein, hamari customer care team aapse jald hi sampark karegi. Regards, Team Spice Money</t>
  </si>
  <si>
    <t>2024-02-03 17:40:34</t>
  </si>
  <si>
    <t>बकवास सर्विस है</t>
  </si>
  <si>
    <t>2024-02-03 17:32:49</t>
  </si>
  <si>
    <t>SUJITKUMARBHA7</t>
  </si>
  <si>
    <t>SUJIT KUMAR BHARTI</t>
  </si>
  <si>
    <t>@SpiceMoneyIndia</t>
  </si>
  <si>
    <t>2024-02-03 17:29:05</t>
  </si>
  <si>
    <t xml:space="preserve"> begusarai,patna bihar</t>
  </si>
  <si>
    <t>@SpiceMoneyIndia Please call instantly 6391817261</t>
  </si>
  <si>
    <t>2024-02-03 17:22:24</t>
  </si>
  <si>
    <t>@SpiceMoneyIndia Respected sir/Mam's
Maine spice money service cash deposit se 30.01.2024 , 01:26 PM me spice money Se aeps cash deposit Aadhar card ke through Kiya Amout wallet se debit ho gaya
ट्रांजैक्शन sucess ho gaya ..
Lekin amount Hamare bank account me received nahi hua.</t>
  </si>
  <si>
    <t>2024-02-03 17:22:06</t>
  </si>
  <si>
    <t>@SpiceMoneyIndia Respected sir/Mam's
Maine 30.01.2024 , 01:26 PM me spice money Se aeps cash deposit Aadhar card ke through Kiya Amout wallet se debit ho gaya
ट्रांजैक्शन sucess ho gaya ..
Lekin amount Hamare bank account me received nahi hua . After waiting 72  Hour</t>
  </si>
  <si>
    <t>2024-02-03 17:19:53</t>
  </si>
  <si>
    <t>2024-02-03 17:18:04</t>
  </si>
  <si>
    <t>2024-02-03 17:16:12</t>
  </si>
  <si>
    <t>@aryanmalik99 Dear sir, Greetings! Aapke sujhaav ke liye dhanyavaad, humne ise note kar liya hai.Regards, Team Spice Money</t>
  </si>
  <si>
    <t>2024-02-03 17:15:42</t>
  </si>
  <si>
    <t>2024-02-03 17:13:55</t>
  </si>
  <si>
    <t>2024-02-03 17:13:07</t>
  </si>
  <si>
    <t>Dear Sir, Greetings! As per discussed with sma concern regarding Plan D commission issue, information shared from our end .If you have any query,you can also contact us on our official customer care number 0120-3645645 Regards, Team Spice Money</t>
  </si>
  <si>
    <t>2024-02-03 17:08:58</t>
  </si>
  <si>
    <t>2024-02-03 17:08:35</t>
  </si>
  <si>
    <t>2024-02-03 17:08:06</t>
  </si>
  <si>
    <t>SPICE MONEY kitna time me update milegi</t>
  </si>
  <si>
    <t>2024-02-03 17:01:20</t>
  </si>
  <si>
    <t>2024-02-03 16:58:26</t>
  </si>
  <si>
    <t>2024-02-03 16:57:04</t>
  </si>
  <si>
    <t>2024-02-03 16:41:21</t>
  </si>
  <si>
    <t>@InsAdvisormanoj Dear Sir, Greetings! We are trying to contact you but your number is not contactable. Please share your contact details and suitable times. Regards, Team Spice Money</t>
  </si>
  <si>
    <t>2024-02-03 16:33:15</t>
  </si>
  <si>
    <t>Mobile No 7633843838
Email md2006310@gmail.com</t>
  </si>
  <si>
    <t>2024-02-03 16:29:11</t>
  </si>
  <si>
    <t>2024-02-03 16:28:13</t>
  </si>
  <si>
    <t>2024-02-03 16:27:35</t>
  </si>
  <si>
    <t>2024-02-03 16:26:15</t>
  </si>
  <si>
    <t>@lovingvishwas24 Dear Sir, Greetings! Our customer care officer will get in touch with you shortly. Regards, Team Spice Money</t>
  </si>
  <si>
    <t>2024-02-03 16:24:47</t>
  </si>
  <si>
    <t>2024-02-03 16:23:53</t>
  </si>
  <si>
    <t>सर मेरा डीएमडी ऑप्शन चालू नहीं हुआ अभी तक</t>
  </si>
  <si>
    <t>2024-02-03 16:16:33</t>
  </si>
  <si>
    <t>lovingvishwas24</t>
  </si>
  <si>
    <t>vishwas</t>
  </si>
  <si>
    <t>@SpiceMoneyIndia But nothing has happened.</t>
  </si>
  <si>
    <t>2024-02-03 15:53:29</t>
  </si>
  <si>
    <t>@SpiceMoneyIndia Please contact my phone ny</t>
  </si>
  <si>
    <t>2024-02-03 15:34:40</t>
  </si>
  <si>
    <t>2024-02-03 13:58:48</t>
  </si>
  <si>
    <t>मेरी अभी चालू नहीं हुई है सर</t>
  </si>
  <si>
    <t>2024-02-03 13:55:06</t>
  </si>
  <si>
    <t>My mantra device has show invalid fingerprint problem  plz solve</t>
  </si>
  <si>
    <t>2024-02-03 13:05:52</t>
  </si>
  <si>
    <t>Mere I'd sdl82449 se DMT service removed kar Diya gya Kai bar eske regarding mail Kiya but koi response nahi Mila kripya DMT service live karne ka kripa kare jisse ki customer ko DMT service ki suvidha de sake</t>
  </si>
  <si>
    <t>2024-02-03 12:41:18</t>
  </si>
  <si>
    <t>DMT kab khulega Mera kyun bandh kar Diya.</t>
  </si>
  <si>
    <t>2024-02-03 12:39:44</t>
  </si>
  <si>
    <t>Please limit increase for 25000 only. Very problem DMT</t>
  </si>
  <si>
    <t>2024-02-03 12:23:28</t>
  </si>
  <si>
    <t>DMT charges Kam Kiya Jaye please</t>
  </si>
  <si>
    <t>2024-02-03 12:12:47</t>
  </si>
  <si>
    <t>Dear Sir please Active Commission plan D
 SDL 279284</t>
  </si>
  <si>
    <t>2024-02-03 11:51:37</t>
  </si>
  <si>
    <t>Mera v chalo nahi hai</t>
  </si>
  <si>
    <t>2024-02-03 11:48:03</t>
  </si>
  <si>
    <t>चुतिया बना रहा है 
डाटा कलेक्ट कर रहें हैं 
लोन नहीं दे रहा है</t>
  </si>
  <si>
    <t>2024-02-03 11:46:58</t>
  </si>
  <si>
    <t>2024-02-03 11:44:02</t>
  </si>
  <si>
    <t>Mera to DMT चालू hi nhi hua h अब tak??</t>
  </si>
  <si>
    <t>2024-02-03 11:43:24</t>
  </si>
  <si>
    <t>2024-02-03 11:36:43</t>
  </si>
  <si>
    <t>2024-02-03 11:14:05</t>
  </si>
  <si>
    <t>मनी ट्रांसफ़र सर्विस द्वारा पल भर में अपने ग्राहकों का मनी ट्रांसफ़र करें और बदले में आकर्षक कमीशन कमाएं!
#SpiceMoney #SpiceMoneyTohLifeBani #SpiceMoneyGuarantee
#RuralFintech #DMT #MainAdhikariKhudHoonGuarantee
मनी ट्रांसफ़र सर्विस द्वारा पल भर में अपने ग्राहकों का मनी ट्रांसफ़र करें और बदले में आकर्षक कमीशन कमाएं!
#SpiceMoney #SpiceMoneyTohLifeBani #SpiceMoneyGuarantee
#RuralFintech #DMT #MainAdhikariKhudHoonGuarantee</t>
  </si>
  <si>
    <t>2024-02-03 11:13:42</t>
  </si>
  <si>
    <t>aryanmalik99</t>
  </si>
  <si>
    <t>md shahid husain</t>
  </si>
  <si>
    <t>@SpiceMoneyIndia Bahut document required hai public utna poora nahi kar pati aur dusra
 loan Kam se Kam 50000 honi chahiye tab loan customer legi</t>
  </si>
  <si>
    <t>2024-02-03 10:13:25</t>
  </si>
  <si>
    <t>2024-02-03 09:56:03</t>
  </si>
  <si>
    <t>2024-02-03 09:55:32</t>
  </si>
  <si>
    <t>2024-02-03 09:54:10</t>
  </si>
  <si>
    <t>2024-02-03 09:50:05</t>
  </si>
  <si>
    <t>2024-02-03 09:48:36</t>
  </si>
  <si>
    <t>@mayanks94102610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</si>
  <si>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2024-02-03 09:46:26</t>
  </si>
  <si>
    <t>@InsAdvisormanoj प्रिय महोदय, नमस्कार! हमारे ग्राहक सेवा अधिकारी जल्द ही आपसे संपर्क करेंगे। सादर, टीम स्पाइस मनी</t>
  </si>
  <si>
    <t>2024-02-03 09:42:45</t>
  </si>
  <si>
    <t>SPICE MONEY 8208028600</t>
  </si>
  <si>
    <t>2024-02-03 09:28:11</t>
  </si>
  <si>
    <t>2024-02-03 09:27:25</t>
  </si>
  <si>
    <t>2024-02-03 09:26:01</t>
  </si>
  <si>
    <t>@ParwinderS82656 Dear Sir, Greetings! Go to Twitter and search spicemoneyofficial in the message box, select it, type your message and send it. You can also contact us on our official customer care number 0120-3645645 Regards, Team Spice Money</t>
  </si>
  <si>
    <t>2024-02-03 09:24:32</t>
  </si>
  <si>
    <t>@PrabhatMishra-tb1ez</t>
  </si>
  <si>
    <t>Thanks for spice Money ❤❤❤❤❤❤❤❤</t>
  </si>
  <si>
    <t>2024-02-03 08:52:29</t>
  </si>
  <si>
    <t>Loan to milta nhi aur detail pura chal jata hi customer ka jab dena hi nhi to pura detail kyo mangte ho pan account adhar photo only pan card no se hi bta do milega ya nhi</t>
  </si>
  <si>
    <t>2024-02-03 07:23:18</t>
  </si>
  <si>
    <t>2024-02-02</t>
  </si>
  <si>
    <t>@sakirkhanbhai942</t>
  </si>
  <si>
    <t>UPI limit At Least 2k Honi Chaiye Single Costumer Ko 4 Transaction Day  Karne Ka Permission Dena Chahiye</t>
  </si>
  <si>
    <t>2024-02-02 23:34:27</t>
  </si>
  <si>
    <t>जुमले है भाई सब</t>
  </si>
  <si>
    <t>2024-02-02 22:32:16</t>
  </si>
  <si>
    <t>इसमें ग्राहको को लोन आसानी से नही मिलता है</t>
  </si>
  <si>
    <t>2024-02-02 21:38:25</t>
  </si>
  <si>
    <t>@SpiceMoneyIndia https://t.co/0v06GnOTwE</t>
  </si>
  <si>
    <t>2024-02-02 21:27:45</t>
  </si>
  <si>
    <t>@SpiceMoneyIndia Your inbox no work</t>
  </si>
  <si>
    <t>2024-02-02 21:26:25</t>
  </si>
  <si>
    <t>@SpiceMoneyIndia 
@NPCI_NPCI 
Spice Money is a worst Company.
There is no support for failed  and complained Transaction. Customer care always says please mail us but no response given from Spice Money. https://t.co/MzyKmfqcUX</t>
  </si>
  <si>
    <t>2024-02-02 20:53:05</t>
  </si>
  <si>
    <t>mayanks94102610</t>
  </si>
  <si>
    <t>Mayank Singh</t>
  </si>
  <si>
    <t>@SpiceMoneyIndia @AxisBank जबाब चाइये</t>
  </si>
  <si>
    <t>2024-02-02 20:40:26</t>
  </si>
  <si>
    <t>Bareilly</t>
  </si>
  <si>
    <t>@SpiceMoneyIndia @AxisBank 
Spice money aadhar authentication से खोला हुआ खाता नाम गलत आया है खाते में 90000 रु है एक्सिस बैंक ने खाता फ्रीज कर दिया है बैंक जाने पर ना नाम सही किया स्टाफ जब ऐसे खातों का सपोर्ट नही कर रहा है तो स्पाइस मनी क्यो ऐसे खाते खोल रही है। https://t.co/TDLYgo0GEz</t>
  </si>
  <si>
    <t>2024-02-02 20:21:12</t>
  </si>
  <si>
    <t>@SpiceMoneyIndia Dear sir please Settlement My UPI cash withdrawal amount .
Sir mera UPI cash withdrawal amount Abhi tak nahi aaya please help</t>
  </si>
  <si>
    <t>2024-02-02 20:19:51</t>
  </si>
  <si>
    <t>@SpiceMoneyIndia My contact number- 6391817261
Gmail id- mkumar6391817261@gmail.com</t>
  </si>
  <si>
    <t>2024-02-02 20:00:34</t>
  </si>
  <si>
    <t>मेरे id se 7000रुपये kisine dmt करू liy he koi help karega</t>
  </si>
  <si>
    <t>2024-02-02 18:17:31</t>
  </si>
  <si>
    <t>नये स्पाइस मनी ग्राहक की पैन कार्ड सर्विसेज कभ शुरू होगी, फरवरी का बोला था ।।</t>
  </si>
  <si>
    <t>2024-02-02 18:12:00</t>
  </si>
  <si>
    <t>rohitshukla7252</t>
  </si>
  <si>
    <t>Rohit shukla journlist</t>
  </si>
  <si>
    <t>@SpiceMoneyIndia डाटा ये कहा से पा रहे है रिटेलरों के</t>
  </si>
  <si>
    <t>2024-02-02 18:10:43</t>
  </si>
  <si>
    <t>Bank of Baroda ka  ka  transection nhi ho raha hai usko sahi kariya</t>
  </si>
  <si>
    <t>2024-02-02 18:09:07</t>
  </si>
  <si>
    <t>2024-02-02 17:56:06</t>
  </si>
  <si>
    <t>2024-02-02 17:54:21</t>
  </si>
  <si>
    <t>@rohitshukla7252 प्रिय महोदय, नमस्कार! आपको verification करने या अपना आईडी पासवर्ड साझा करने के लिए स्पाइस मनी से कोई कॉल नहीं किया जाता है, आपसे अनुरोध है कि कृपया ऐसे किसी भी लिंक पर क्लिक न करें या अपना विवरण साझा न करे। आपके सुझाव के लिए धन्यवाद, हम इसे अपनी टीम के साथ जरूर शेयर करेंगे (1/2)</t>
  </si>
  <si>
    <t>2024-02-02 17:54:01</t>
  </si>
  <si>
    <t>@rohitshukla7252 ।सादर, टीम स्पाइस मनी (2/2)</t>
  </si>
  <si>
    <t>2024-02-02 17:49:50</t>
  </si>
  <si>
    <t>2024-02-02 17:48:43</t>
  </si>
  <si>
    <t>2024-02-02 17:47:20</t>
  </si>
  <si>
    <t>2024-02-02 17:45:58</t>
  </si>
  <si>
    <t>2024-02-02 17:45:26</t>
  </si>
  <si>
    <t>2024-02-02 17:45:07</t>
  </si>
  <si>
    <t>2024-02-02 17:43:13</t>
  </si>
  <si>
    <t>@ParwinderS82656 Dear Sir, Greetings! Please share your email id and mobile number in inbox .we'll reach out to you to resolve all your concerns.Regards, Team Spice Money</t>
  </si>
  <si>
    <t>2024-02-02 17:42:38</t>
  </si>
  <si>
    <t>@InsAdvisormanoj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</si>
  <si>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2024-02-02 17:41:47</t>
  </si>
  <si>
    <t>@ShoaibAkhtertsk Dear Sir, Greetings! As per discussed with you your concern regarding ID suspension, information shared from our end .If you have any query,you can also contact us on our official customer care number 0120-3645645 Regards, Team Spice Money</t>
  </si>
  <si>
    <t>2024-02-02 17:39:16</t>
  </si>
  <si>
    <t>2024-02-02 17:27:15</t>
  </si>
  <si>
    <t>@gangaraominiaka852</t>
  </si>
  <si>
    <t>Thank you spicemoney❤❤❤❤</t>
  </si>
  <si>
    <t>2024-02-02 16:58:58</t>
  </si>
  <si>
    <t>@SpiceMoneyIndia Any update about my pending kyc</t>
  </si>
  <si>
    <t>2024-02-02 16:52:55</t>
  </si>
  <si>
    <t>@SpiceMoneyIndia Hello please close the account</t>
  </si>
  <si>
    <t>2024-02-02 15:23:43</t>
  </si>
  <si>
    <t>कृपया संज्ञान लीजिए @ACOUPPolice @cyberpolice_up @Uppolice 
@SpiceMoneyIndia 
  Quoted Tweet : @rohitshukla7252 : @SpiceMoneyIndia 
@Uppolice  स्पाइस मनी कंपनी  कंपनी और डिस्टीब्युटर का नाम लेकर रिटेलरों से  7483339495 इस नंबर से फ्राड कर रहा कयी रिटेलर के पैसे ये ट्रासफर कर चुका है
आशा है @Uppolice  से इसका लोकेशन निकाल कर गिरफ्तारी करे</t>
  </si>
  <si>
    <t>2024-02-02 13:42:06</t>
  </si>
  <si>
    <t>@SpiceMoneyIndia 
@Uppolice  स्पाइस मनी कंपनी  कंपनी और डिस्टीब्युटर का नाम लेकर रिटेलरों से  7483339495 इस नंबर से फ्राड कर रहा कयी रिटेलर के पैसे ये ट्रासफर कर चुका है
आशा है @Uppolice  से इसका लोकेशन निकाल कर गिरफ्तारी करे</t>
  </si>
  <si>
    <t>2024-02-02 12:42:41</t>
  </si>
  <si>
    <t>@SpiceMoneyIndia No employee of Spice Money is coming to us.  We are facing a lot of problems.  We have loads of help.</t>
  </si>
  <si>
    <t>2024-02-02 12:04:34</t>
  </si>
  <si>
    <t>SteeshE81206</t>
  </si>
  <si>
    <t>steesh.eth</t>
  </si>
  <si>
    <t>@SpiceMoneyIndia why tf am i going to work if it's so easy 🤑💸 https://t.co/KXebMClRmL 
  Quoted Tweet : @marineb051 : I make around 5-10 ETH per week! 🤑
Tutorial: https://t.co/IaigYdGNQv
I've been using it for 3 months now.
It works great for me and it's my biggest source of income right now.✅
It's the best i've seen so far♥️
Literally a gamechanger!
Don't forget to like + share https://t.co/dz18lehBMR</t>
  </si>
  <si>
    <t>2024-02-02 11:32:07</t>
  </si>
  <si>
    <t>Mali</t>
  </si>
  <si>
    <t>लोन ग्राहकों का, लाभ आपका !
अब स्पाइस मनी अधिकारी ज़ीरो चार्जेज़ पर अपने ग्राहकों को लोन ऑफ़र करें और हर डिस्बर्सल पर निश्चित कमीशन पाएं!
#SpiceMoney #SpiceMoneyGuarantee
#RuralFintech #SpiceMoneyAdhikari #LoanCenter 
#BestCommisonService https://t.co/fmM6TfarU3</t>
  </si>
  <si>
    <t>2024-02-02 11:32:03</t>
  </si>
  <si>
    <t>लोन ग्राहकों का, लाभ आपका !
अब स्पाइस मनी अधिकारी ज़ीरो चार्जेज़ पर अपने ग्राहकों को लोन ऑफ़र करें और हर डिस्बर्सल पर निश्चित कमीशन पाएं!
#SpiceMoney #SpiceMoneyGuarantee
#RuralFintech #SpiceMoneyAdhikari #LoanCenter 
#BestCommisonService
लोन ग्राहकों का, लाभ आपका !
अब स्पाइस मनी अधिकारी ज़ीरो चार्जेज़ पर अपने ग्राहकों को लोन ऑफ़र करें और हर डिस्बर्सल पर निश्चित कमीशन पाएं!
#SpiceMoney #SpiceMoneyGuarantee
#RuralFintech #SpiceMoneyAdhikari #LoanCenter 
#BestCommisonService</t>
  </si>
  <si>
    <t>2024-02-02 11:28:03</t>
  </si>
  <si>
    <t>BIJAY2050</t>
  </si>
  <si>
    <t>BIJAY KUMAR BHAKAT</t>
  </si>
  <si>
    <t>@SpiceMoneyIndia Still not updated calender of 2024</t>
  </si>
  <si>
    <t>2024-02-02 11:17:16</t>
  </si>
  <si>
    <t>Ghatsila</t>
  </si>
  <si>
    <t>Spice Moeny Team, DMT commission apko badana hoga, dusra company ke mukale me spice Moeny bahut kam de Raha hai, Mera Ham Aeps our Atm to spice Moeny ka use karte hai but DMT ke liye dusra company spice Moeny me 10k me 52 leti h , but dusra company jese ezeepay 10k 35 rs charge leti hai spice Moeny ko essme thoda Kam karna hoga</t>
  </si>
  <si>
    <t>2024-02-02 09:39:41</t>
  </si>
  <si>
    <t>@SpiceMoneyIndia Kripya jawab den</t>
  </si>
  <si>
    <t>2024-02-02 09:36:29</t>
  </si>
  <si>
    <t>Afzal Diler 💥💥JOINING HURRY UP💥💥
Click On " *REGISTER FOR FREE* "
ENTER MOBILE NUMBER
Steps Of Process
1. Basic Information
2. Workplace Details
3. Distributor Mapping
     Id: 181054
4. PAN Card
5. Proof Of Address
6. Bank Details
7. Self Declaration
8. Other Details
Download Spice Money App
https://play.google.com/store/apps/details?id=in.spicemudra
Distributor Id
181054</t>
  </si>
  <si>
    <t>2024-02-02 00:33:29</t>
  </si>
  <si>
    <t>Lankesh Parte 💥💥JOINING HURRY UP💥💥
Click On " *REGISTER FOR FREE* "
ENTER MOBILE NUMBER
Steps Of Process
1. Basic Information
2. Workplace Details
3. Distributor Mapping
     Id: 181054
4. PAN Card
5. Proof Of Address
6. Bank Details
7. Self Declaration
8. Other Details
Download Spice Money App
https://play.google.com/store/apps/details?id=in.spicemudra
Distributor Id
181054</t>
  </si>
  <si>
    <t>2024-02-02 00:33:02</t>
  </si>
  <si>
    <t>Rohan Sharma 💥💥JOINING HURRY UP💥💥
Click On " *REGISTER FOR FREE* "
ENTER MOBILE NUMBER
Steps Of Process
1. Basic Information
2. Workplace Details
3. Distributor Mapping
     Id: 181054
4. PAN Card
5. Proof Of Address
6. Bank Details
7. Self Declaration
8. Other Details
Download Spice Money App
https://play.google.com/store/apps/details?id=in.spicemudra
Distributor Id
181054</t>
  </si>
  <si>
    <t>2024-02-02 00:26:49</t>
  </si>
  <si>
    <t>2024-02-02 00:25:09</t>
  </si>
  <si>
    <t>2024-02-01</t>
  </si>
  <si>
    <t>Gövìñd Jhã power by bank  kon h</t>
  </si>
  <si>
    <t>2024-02-01 23:27:05</t>
  </si>
  <si>
    <t>biometric dete h to nhi leta hai</t>
  </si>
  <si>
    <t>2024-02-01 23:25:53</t>
  </si>
  <si>
    <t>Gövìñd Jhã dikkat kya hai</t>
  </si>
  <si>
    <t>2024-02-01 23:25:09</t>
  </si>
  <si>
    <t>Matm device kam nhi kar rha h or na hi biometric leta h koi service nhi mil rha h customer care or distributer se</t>
  </si>
  <si>
    <t>2024-02-01 22:22:30</t>
  </si>
  <si>
    <t>Sir mera id 1 month se band h koi solution nahi mil raha h</t>
  </si>
  <si>
    <t>2024-02-01 22:21:33</t>
  </si>
  <si>
    <t>Gulam Mustafa</t>
  </si>
  <si>
    <t>2024-02-01 22:20:22</t>
  </si>
  <si>
    <t>pichhle 1 month se</t>
  </si>
  <si>
    <t>2024-02-01 22:20:07</t>
  </si>
  <si>
    <t>Madam Aapki Company ki 1 Months  se Meri id Band Hai Matm Machine Bhi hai aapke purne video me bhi bola but abhi tak koi response nahi mila</t>
  </si>
  <si>
    <t>2024-02-01 21:19:29</t>
  </si>
  <si>
    <t>Spice Money AEPS Transaction Ke Liye Bohot Accha Hai , Commission Bhi Thik Thak Hai</t>
  </si>
  <si>
    <t>2024-02-01 20:31:53</t>
  </si>
  <si>
    <t>Vipin Sailesh Distributor Ke Waha Enabled Nhi Hai</t>
  </si>
  <si>
    <t>2024-02-01 20:26:30</t>
  </si>
  <si>
    <t>Mere I'd me NSDL Bank Account Opening Option Nhi Aya Abhi Tak</t>
  </si>
  <si>
    <t>2024-02-01 20:25:23</t>
  </si>
  <si>
    <t>Lankesh Parte Spice Money App Ko Play Store Se Install Kare Aur Registration Kare , Distributor Code Dalke</t>
  </si>
  <si>
    <t>2024-02-01 20:19:25</t>
  </si>
  <si>
    <t>Mera I'd block hu geya he 10 bar se jada time kyc Kiya but success Nehi huwa 
Please help</t>
  </si>
  <si>
    <t>2024-02-01 20:18:38</t>
  </si>
  <si>
    <t>Or distributor ki baat to mat bolyega. Sab chuthia hai.</t>
  </si>
  <si>
    <t>2024-02-01 20:17:08</t>
  </si>
  <si>
    <t>Kisise v koi support nehi milta</t>
  </si>
  <si>
    <t>2024-02-01 20:16:26</t>
  </si>
  <si>
    <t>SPICE MONEY Sales team ki koi v nehi hai yaha.</t>
  </si>
  <si>
    <t>2024-02-01 20:15:57</t>
  </si>
  <si>
    <t>Sir central bank of india ki tranjection me samsya he</t>
  </si>
  <si>
    <t>2024-02-01 19:54:26</t>
  </si>
  <si>
    <t>@SpiceMoneyIndia Dear spice money team please respond and match my documents and close the application</t>
  </si>
  <si>
    <t>2024-02-01 19:51:01</t>
  </si>
  <si>
    <t>@GamerAk74</t>
  </si>
  <si>
    <t>If aadhaar is not linked with any mobile number</t>
  </si>
  <si>
    <t>2024-02-01 18:53:40</t>
  </si>
  <si>
    <t>Maswood Alam right 👍</t>
  </si>
  <si>
    <t>2024-02-01 18:26:15</t>
  </si>
  <si>
    <t>Gövìñd Jhã kab se bnd h aur kya error aa raha hai</t>
  </si>
  <si>
    <t>2024-02-01 18:25:32</t>
  </si>
  <si>
    <t>Customer hamare aate Hain to bolate Hain ki loan pass karvana hai loan 50000 hajar bol raha hai customer pass karvane ka</t>
  </si>
  <si>
    <t>2024-02-01 18:22:36</t>
  </si>
  <si>
    <t>SPICE MONEY main ek spice Mani Adhikari hun</t>
  </si>
  <si>
    <t>2024-02-01 18:20:45</t>
  </si>
  <si>
    <t>Cms info systems ???</t>
  </si>
  <si>
    <t>2024-02-01 18:05:54</t>
  </si>
  <si>
    <t>Mere id aeps nhi chal rha hai 24 January se</t>
  </si>
  <si>
    <t>2024-02-01 17:55:02</t>
  </si>
  <si>
    <t>@SpiceMoneyIndia मोहदय मेरे पास मोबाईल नंबर नही है क्योंकि किसी फ्राड व्यक्ति ने kyc कराके अपना नंबर डाल दिया था और मुझे इसी लिए एप्लीकेशन रोकना है और अगर id creat कर दी गई हो तो उसे क्लोज करें मेरी जानकारी में जीमेल आईडी थी manojbobcard@gmail.com मेरी आधार और पैन कार्ड जानकारी  के लिए DM करें</t>
  </si>
  <si>
    <t>2024-02-01 17:43:47</t>
  </si>
  <si>
    <t>@InsAdvisormanoj Dear Sir, Greetings! Please share your email id and mobile number in inbox .we'll reach out to you to resolve all your concerns.Regards, Team Spice Money</t>
  </si>
  <si>
    <t>2024-02-01 17:38:16</t>
  </si>
  <si>
    <t>@CPLODHII Dear Sir, Greetings! Hamare grahak sewa adhikari aapse jald hi sampark karenge. Regards, Team Spice Money</t>
  </si>
  <si>
    <t>2024-02-01 17:37:38</t>
  </si>
  <si>
    <t>2024-02-01 17:30:34</t>
  </si>
  <si>
    <t>2024-02-01 17:29:48</t>
  </si>
  <si>
    <t>2024-02-01 17:29:24</t>
  </si>
  <si>
    <t>2024-02-01 17:24:33</t>
  </si>
  <si>
    <t>CPLODHII</t>
  </si>
  <si>
    <t>चन्द्रप्रकाश लोधी 🇮🇳🇮🇳</t>
  </si>
  <si>
    <t>@SpiceMoneyIndia Nahi mujhe NSDL ki kit provide nahi ki gayi
Nahi hi samasya hal nahi hui
Aur spice money ke DL rm dhamki de rahe hai ki spice money ki koi service nahi milegi
Nahi NSDL ki kit kabhi nahi milegi</t>
  </si>
  <si>
    <t>2024-02-01 17:23:54</t>
  </si>
  <si>
    <t>पतारी बल्देवगढ़</t>
  </si>
  <si>
    <t>@excelhinditips Dear Sir, Greetings! As per discussed with you your concern regarding AEPS transaction, your concern is raised to our team. please allow us sometime for your concern, we’ll update you soon  .Regards, Team spice money</t>
  </si>
  <si>
    <t>2024-02-01 17:20:25</t>
  </si>
  <si>
    <t>Jio ka karao</t>
  </si>
  <si>
    <t>2024-02-01 16:52:19</t>
  </si>
  <si>
    <t>Waise sir hum bta दे आपको हमने kai baar customer care aur zoom Meeting me mob no aur email shajha kar चुके h लेकिन mujhe DMT activate nhi ho rha है</t>
  </si>
  <si>
    <t>2024-02-01 16:39:34</t>
  </si>
  <si>
    <t>SPICE MONEY 8298867120 vipinmalakar77@gmail.com</t>
  </si>
  <si>
    <t>2024-02-01 16:36:33</t>
  </si>
  <si>
    <t>@@SpiceMoneyOfficial करवा दें सर जी प्लीज़</t>
  </si>
  <si>
    <t>2024-02-01 16:27:47</t>
  </si>
  <si>
    <t>@BabluKu27995748 Dear Sir, Namaskar! Aapse Batchit ke anusar UPI cash withdrawal transaction ke  baare me hamari taraf se aapko jankari share kar di gayi hai. Adhik jankari ke liye aap hamare official customer care number 0120-3645645 par bhi sampark kar sakte hain. Regards, Team Spice Money</t>
  </si>
  <si>
    <t>2024-02-01 16:21:36</t>
  </si>
  <si>
    <t>TecnologyS15089</t>
  </si>
  <si>
    <t>MOHD FAHAD</t>
  </si>
  <si>
    <t>2024-02-01 16:05:07</t>
  </si>
  <si>
    <t>SPICE MONEY Thankyou, Will add all four options soon to make it even easier for us.</t>
  </si>
  <si>
    <t>2024-02-01 16:04:19</t>
  </si>
  <si>
    <t>@PRINCE_GUPTA_64 Dear Sir, Namaskar! Aapse Batchit ke anusar Account opening option ke baare me hamari taraf se aapko jankari share kar di gayi hai. Adhik jankari ke liye aap hamare official customer care number 0120-3645645 par bhi sampark kar sakte hain. Regards, Team Spice Money</t>
  </si>
  <si>
    <t>2024-02-01 15:56:45</t>
  </si>
  <si>
    <t>Dear Sir, Greetings! As per discussed with you your concern regarding AEPS transaction issue,information shared from our end .If you have any query,you can also contact us on our official customer care number 0120-3645645 Regards, Team Spice Money</t>
  </si>
  <si>
    <t>2024-02-01 15:54:36</t>
  </si>
  <si>
    <t>Spices money ka id lena hai kaise le</t>
  </si>
  <si>
    <t>2024-02-01 15:44:05</t>
  </si>
  <si>
    <t>@CPLODHII Dear Sir, Namaskar! Aapse Batchit ke anusar NSDL kit ke baare me hamari taraf se aapko jankari share kar di gayi hai. Adhik jankari ke liye aap hamare official customer care number 0120-3645645 par bhi sampark kar sakte hain. Regards, Team Spice Money</t>
  </si>
  <si>
    <t>2024-02-01 15:36:01</t>
  </si>
  <si>
    <t>Mera id nhi khul raha g hai customer care koi solution nahi deta h</t>
  </si>
  <si>
    <t>2024-02-01 15:30:42</t>
  </si>
  <si>
    <t>SPICE MONEY  ji sir mohammademranansari71@gmail.com</t>
  </si>
  <si>
    <t>2024-02-01 15:27:45</t>
  </si>
  <si>
    <t>2024-02-01 15:18:34</t>
  </si>
  <si>
    <t>Dear Sir, Namaskar! Aapko batana chahenge ki ye saari meetings ki information aapke area ke sales person ki taraf se aapko mil  jayegi. Regards, Team Spice Money</t>
  </si>
  <si>
    <t>2024-02-01 15:12:15</t>
  </si>
  <si>
    <t>2024-02-01 15:09:22</t>
  </si>
  <si>
    <t>Dear Sir, Namaskar! Aapse request hai ki please apna Mobile number &amp; email id hume share karein, hamari official customer care team aapse jald hi sampark karegi.Regards, Team Spice Money</t>
  </si>
  <si>
    <t>2024-02-01 15:03:25</t>
  </si>
  <si>
    <t>@SpiceMoneyIndia Spice Monye account deletetion request
Please close my spice money application please DM</t>
  </si>
  <si>
    <t>2024-02-01 14:31:33</t>
  </si>
  <si>
    <t>Spiece money ka sabse jyada use hone wala feture aeps aur money transfer ka hai 
Aeps Commission sahi kro ya jo 199 ka pack dete ho vo htao jisse adhikariyo ki kuch earning badh sake ek to npci pahle se danda kiye huye hai uper se Commission bahut kam aur teesra choro se id bchate ghumo milta kya hai 2 rupye 5 rupye ya 10 rupye</t>
  </si>
  <si>
    <t>2024-02-01 13:57:34</t>
  </si>
  <si>
    <t>Ji sar grahak ko loan de sakte hain jaise Apne case collection hai vah application se de sakte hain Kitna limited use bacha Ja sakta hai 80 ka hai to de sakte hain ki nahin</t>
  </si>
  <si>
    <t>2024-02-01 13:53:33</t>
  </si>
  <si>
    <t>@kumari86686 Dear Sir, Namaskar! Aapse Batchit ke anusar aapki id par name mismatch ke resolution ke  baare me hamari taraf se aapko jankari share kar di gayi hai. Adhik jankari ke liye aap hamare official customer care number 0120-3645645 par bhi sampark kar sakte hain. Regards, Team (1/2)</t>
  </si>
  <si>
    <t>2024-02-01 13:47:27</t>
  </si>
  <si>
    <t>@kumari86686 Spice Money (2/2)</t>
  </si>
  <si>
    <t>2024-02-01 13:35:55</t>
  </si>
  <si>
    <t>2024-02-01 13:35:20</t>
  </si>
  <si>
    <t>2024-02-01 13:34:32</t>
  </si>
  <si>
    <t>2024-02-01 13:32:26</t>
  </si>
  <si>
    <t>new id lene ke liye kese apliye kare</t>
  </si>
  <si>
    <t>2024-02-01 13:14:18</t>
  </si>
  <si>
    <t>Dear Spice money Adhikari kripya yah Jankari dijiye ki jo distributor aur retailer ki detail hai aapki company Se Kaise leak ho rahi hai jisse frod Log Kai Log retailer ke paise transfer kar rahe hain dmt se
@SpiceMoneyIndia</t>
  </si>
  <si>
    <t>2024-02-01 13:09:00</t>
  </si>
  <si>
    <t>@SpiceMoneyIndia Dear sir 09/01/2024 se wait kar raha hu kuch hua nahin Abhi tak daily bolte Hain aaj 01/02/2024 date ho gaya hai</t>
  </si>
  <si>
    <t>2024-02-01 12:30:31</t>
  </si>
  <si>
    <t>@@SpiceMoneyOfficial इस नम्बर पर कोई हेल्प नहीं हुई है फ़ोन लगता ही नही है</t>
  </si>
  <si>
    <t>2024-02-01 11:45:33</t>
  </si>
  <si>
    <t>jagran, Ekart, Aasa international pvt ltd ye tino spice Money me add kre, isse business growth hoga</t>
  </si>
  <si>
    <t>2024-02-01 11:43:41</t>
  </si>
  <si>
    <t>2024-02-01 11:25:20</t>
  </si>
  <si>
    <t>2024-02-01 11:24:56</t>
  </si>
  <si>
    <t>2024-02-01 11:24:22</t>
  </si>
  <si>
    <t>2024-02-01 11:23:51</t>
  </si>
  <si>
    <t>Dehradun uttrakhand me bi karvao kbi sir hm bi Kam karte aapke liye</t>
  </si>
  <si>
    <t>2024-02-01 11:09:01</t>
  </si>
  <si>
    <t>स्पाइस मनी की नई कैश कलेक्शन सुविधा से जुड़ें! इस अवसर का लाभ उठाएं ज़्यादा से ज़्यादा ग्राहकों को कैश कलेक्शन सुविधा देकर अपनी आमदनी बढ़ाएं! 
#SpiceMoney #SpiceMoneyGuarantee
#RuralFintech #SpiceMoneyAdhikari #NewCashCollection
#BestCommisonService https://t.co/OlAYXnc4VW</t>
  </si>
  <si>
    <t>2024-02-01 11:01:56</t>
  </si>
  <si>
    <t>स्पाइस मनी की नई कैश कलेक्शन सुविधा से जुड़ें! इस अवसर का लाभ उठाएं ज़्यादा से ज़्यादा ग्राहकों को कैश कलेक्शन सुविधा देकर अपनी आमदनी बढ़ाएं! 
#SpiceMoney #SpiceMoneyGuarantee
#RuralFintech #SpiceMoneyAdhikari #NewCashCollection
#BestCommisonService
स्पाइस मनी की नई कैश कलेक्शन सुविधा से जुड़ें! इस अवसर का लाभ उठाएं ज़्यादा से ज़्यादा ग्राहकों को कैश कलेक्शन सुविधा देकर अपनी आमदनी बढ़ाएं! 
#SpiceMoney #SpiceMoneyGuarantee
#RuralFintech #SpiceMoneyAdhikari #NewCashCollection
#BestCommisonService</t>
  </si>
  <si>
    <t>2024-02-01 11:01:02</t>
  </si>
  <si>
    <t>2024-02-01 10:45:23</t>
  </si>
  <si>
    <t>2024-02-01 10:17:26</t>
  </si>
  <si>
    <t>@ArvindK94137404 Dear Sir, Greetings! Our customer care officer will get in touch with you shortly. Regards, Team Spice Money</t>
  </si>
  <si>
    <t>2024-02-01 10:10:22</t>
  </si>
  <si>
    <t>Adhikary aid kaise aprup Hoga sir Btaye ❤🙏🙏🙏🙏🙏</t>
  </si>
  <si>
    <t>2024-02-01 10:09:57</t>
  </si>
  <si>
    <t>2024-02-01 10:08:34</t>
  </si>
  <si>
    <t>2024-02-01 09:36:19</t>
  </si>
  <si>
    <t>2024-02-01 09:35:57</t>
  </si>
  <si>
    <t>2024-02-01 09:35:17</t>
  </si>
  <si>
    <t>2024-02-01 09:27:20</t>
  </si>
  <si>
    <t>Shahnawaz_1992</t>
  </si>
  <si>
    <t>Shahnawaz Ashraf</t>
  </si>
  <si>
    <t>@SpiceMoneyIndia When</t>
  </si>
  <si>
    <t>2024-02-01 06:39:01</t>
  </si>
  <si>
    <t>Jast Nice Leking me Nehi Ho 😌</t>
  </si>
  <si>
    <t>2024-02-01 00:02:54</t>
  </si>
  <si>
    <t>2024-01-31</t>
  </si>
  <si>
    <t>@SpiceMoneyIndia 
Name -Arvind Kumar
Id sdl680307
Complain UPI cash withdrawal amount not settle in my Bank Account
Date of widthrwa 09/01/2024
Aapko mail bhi Kiya, baat bhi Kiya your support team but amount not received in my Bank Account.
Today date 31/01/2024. Daily report.</t>
  </si>
  <si>
    <t>2024-01-31 23:10:10</t>
  </si>
  <si>
    <t>@SpiceMoneyIndia 
Dear sir Mera UPI CASH WITHDRAWAL AMOUNT Settlement abhi tak hua nahi 09/01/2024 ko kiya tha aapke customer support me baat karta wo Keval bank statement Mail karne ko bolte hai Phir 2 working days time lagega.aaj 31/01/2024 Date Ho gaya but amount not Settle.</t>
  </si>
  <si>
    <t>2024-01-31 23:06:19</t>
  </si>
  <si>
    <t>@SpiceMoneyIndia 
Dear sir Main Spice Money ka Adhikari
Hu.
My I'd sdl680307
Name -Arvind Kumar
Sir 09/01/2024 ko maine UPI cash withdrawal 800rs Kiya but wo amount not Settlement in my Bank Account.
Sir main daily customer support,Mail pe Baat Kiya wo bolte hai 2 working days . https://t.co/8w1n4PlqNc</t>
  </si>
  <si>
    <t>2024-01-31 23:02:04</t>
  </si>
  <si>
    <t>sdl428832 ...UPI cash withdrawal successful but amount not credited bank 09 January 2024</t>
  </si>
  <si>
    <t>2024-01-31 22:47:34</t>
  </si>
  <si>
    <t>Asif No.2</t>
  </si>
  <si>
    <t>PayNearby se Bank of Baroda ka paisa kaise nikale |Spice money Ezeepay se bank of Baroda Aeps chalu</t>
  </si>
  <si>
    <t>2024-01-31 22:11:40</t>
  </si>
  <si>
    <t>kumari86686</t>
  </si>
  <si>
    <t>Sunil</t>
  </si>
  <si>
    <t>@SpiceMoneyIndia Aaj se 4 days ho gaye hai abhi tak kisi ka bhi call nii aaya h</t>
  </si>
  <si>
    <t>2024-01-31 21:48:53</t>
  </si>
  <si>
    <t>Good jab❤❤❤❤❤❤</t>
  </si>
  <si>
    <t>2024-01-31 21:14:32</t>
  </si>
  <si>
    <t>Koi sunbai nahi hai inki company mai</t>
  </si>
  <si>
    <t>2024-01-31 21:10:47</t>
  </si>
  <si>
    <t>Mera bhi band kr diya</t>
  </si>
  <si>
    <t>2024-01-31 21:10:13</t>
  </si>
  <si>
    <t>Sir mera DMT activate nhi ho rhi h kai baar डिस्ट्रीब्यूटर customer care ko v complain kiya koi solution nhi de paa rhi h??</t>
  </si>
  <si>
    <t>2024-01-31 19:58:31</t>
  </si>
  <si>
    <t>SBI PNB Ka Account Opening Lana Hia</t>
  </si>
  <si>
    <t>2024-01-31 19:55:41</t>
  </si>
  <si>
    <t>Sab fake hai.</t>
  </si>
  <si>
    <t>2024-01-31 19:51:55</t>
  </si>
  <si>
    <t>Ye sab metting kaha ho raha hai.?</t>
  </si>
  <si>
    <t>2024-01-31 19:51:48</t>
  </si>
  <si>
    <t>New</t>
  </si>
  <si>
    <t>2024-01-31 19:27:58</t>
  </si>
  <si>
    <t>Sir muja I'd password chahiye</t>
  </si>
  <si>
    <t>2024-01-31 19:27:55</t>
  </si>
  <si>
    <t>Account opening ki service nahin I hai</t>
  </si>
  <si>
    <t>2024-01-31 19:20:58</t>
  </si>
  <si>
    <t>सेंट्रल बैंक ऑफ़ इंडिया का ट्रांजैक्शन नहीं हो पा रहा है कृपया समाधान बताएं</t>
  </si>
  <si>
    <t>2024-01-31 19:13:13</t>
  </si>
  <si>
    <t>Plz kindly update money deposit &amp; transfer</t>
  </si>
  <si>
    <t>2024-01-31 18:50:58</t>
  </si>
  <si>
    <t>2024-01-31 18:47:39</t>
  </si>
  <si>
    <t>Jharkhand  list mein hai ya nhi</t>
  </si>
  <si>
    <t>2024-01-31 18:47:35</t>
  </si>
  <si>
    <t>Sir humko new I'd Lena hai kaise le</t>
  </si>
  <si>
    <t>2024-01-31 18:47:31</t>
  </si>
  <si>
    <t>SPICE MONEY kuch nhi karta h</t>
  </si>
  <si>
    <t>2024-01-31 18:42:47</t>
  </si>
  <si>
    <t>Dear Sir, Greetings! Spice Money ki taraf se aapke paas verification ke liye ya fir id password share karne ke liye koi bhi call nahi jati hai ,aapse requst hai ki kripya aisi kisi bhi link  par click na kare aur na hi apni details share kare ,otherwise aap fraud ke shikaar ho sakte, Sawdhan rahein, Surakshit rahein. Regards, Team Spice Money</t>
  </si>
  <si>
    <t>2024-01-31 18:41:05</t>
  </si>
  <si>
    <t>@Debjyoti1 Dear Sir, Greetings! You can also contact us on our official customer care number 0120-3645645 Regards, Team Spice Money</t>
  </si>
  <si>
    <t>2024-01-31 18:39:56</t>
  </si>
  <si>
    <t>@GaneshChavan-sk7je</t>
  </si>
  <si>
    <t>Prime membership ke naam per Mera 5000 kat Liya hai spice Mani adhikariyon ne</t>
  </si>
  <si>
    <t>2024-01-31 18:39:36</t>
  </si>
  <si>
    <t>2024-01-31 18:39:20</t>
  </si>
  <si>
    <t>@Shailen49128672 Dear Sir, Namaskar! Aapse request hai ki please apna Mobile number &amp;amp; email id hume inbox me share karein, hamari customer care team aapse jald hi sampark karegi. Regards, Team Spice Money</t>
  </si>
  <si>
    <t>2024-01-31 18:38:58</t>
  </si>
  <si>
    <t>@kumari86686 Dear Sir, Greetings! Hamare grahak sewa adhikari aapse jald hi sampark karenge. Regards, Team Spice Money</t>
  </si>
  <si>
    <t>2024-01-31 18:38:33</t>
  </si>
  <si>
    <t>2024-01-31 18:36:36</t>
  </si>
  <si>
    <t>2024-01-31 18:35:42</t>
  </si>
  <si>
    <t>@BabluKu27995748 Dear Sir, Greetings! Hamare grahak sewa adhikari aapse jald hi sampark karenge. Regards, Team Spice Money</t>
  </si>
  <si>
    <t>2024-01-31 18:34:03</t>
  </si>
  <si>
    <t>2024-01-31 18:33:34</t>
  </si>
  <si>
    <t>SPICE MONEY ok sir ji</t>
  </si>
  <si>
    <t>2024-01-31 18:32:30</t>
  </si>
  <si>
    <t>2024-01-31 18:29:34</t>
  </si>
  <si>
    <t>@SaurabhRam6 Dear Sir, Greetings! We regret the inconvenience caused to you. Our customer care officer will get in touch with you shortly. Regards, Team Spice Money</t>
  </si>
  <si>
    <t>2024-01-31 18:28:16</t>
  </si>
  <si>
    <t>Dear Sir, Namaskar!Aapko batana chahenge ki ye Pan card ka process App aur Web dono ke liye same hai .Adhik jankari ke liye aap hamare official customer care number 0120-3645645 par bhi sampark kar sakte hain. Regards, Team Spice Money</t>
  </si>
  <si>
    <t>2024-01-31 18:26:17</t>
  </si>
  <si>
    <t>Dear sir, Greetings! Aapke sujhaav ke liye dhanyavaad, humne ise note kar liya hai.Regards, Team Spice  Money</t>
  </si>
  <si>
    <t>2024-01-31 18:24:56</t>
  </si>
  <si>
    <t>2024-01-31 18:24:10</t>
  </si>
  <si>
    <t>2024-01-31 18:24:00</t>
  </si>
  <si>
    <t>2024-01-31 18:19:44</t>
  </si>
  <si>
    <t>2024-01-31 18:17:31</t>
  </si>
  <si>
    <t>Dear Sir, Namaskar! Aapse Batchit ke anusar  AEPS authentication  ke  baare me hamari taraf se aapko jankari share kar di gayi hai. Adhik jankari ke liye aap hamare official customer care number 0120-3645645 par bhi sampark kar sakte hain. Regards, Team Spice Money</t>
  </si>
  <si>
    <t>2024-01-31 18:01:51</t>
  </si>
  <si>
    <t>प्रिय महोदय, नमस्कार! Happy loan के बारे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</si>
  <si>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2024-01-31 17:42:16</t>
  </si>
  <si>
    <t>Dear Sir, Greetings! As per discussed with you your concern related  ID re-activation issue ,issue already resolved from our end and Thank you for your suggestion, we have taken a note of it. Regards, Team spice money</t>
  </si>
  <si>
    <t>2024-01-31 17:22:54</t>
  </si>
  <si>
    <t>Dear Sir, Namaskar! Aapse Batchit ke anusar T-shirt and Account opening option ke  baare me hamari taraf se aapko jankari share kar di gayi hai. Adhik jankari ke liye aap hamare official customer care number 0120-3645645 par bhi sampark kar sakte hain. Regards, Team Spice Money</t>
  </si>
  <si>
    <t>2024-01-31 17:15:30</t>
  </si>
  <si>
    <t>Congratulations 🎊</t>
  </si>
  <si>
    <t>2024-01-31 17:07:55</t>
  </si>
  <si>
    <t>Dear Sir, Greetings! As per discussed with you your concern related  BBPS transaction issue ,issue already resolved from our end .Regards, Team spice money</t>
  </si>
  <si>
    <t>2024-01-31 17:04:16</t>
  </si>
  <si>
    <t>Iss Fixed Deposit plus Rupicard Offer Ke Hain Kai Fayde!</t>
  </si>
  <si>
    <t>2024-01-31 16:23:14</t>
  </si>
  <si>
    <t>@lovingvishwas24 Dear Sir, Greetings! As per discussed with you your concern  regarding ID deactivation issue, information  shared from our end .If you have any query,you can also contact us on our official customer care number 0120-3645645 Regards, Team Spice Money</t>
  </si>
  <si>
    <t>2024-01-31 16:22:19</t>
  </si>
  <si>
    <t>Mera to service hi baock kar Diya h company is frod</t>
  </si>
  <si>
    <t>2024-01-31 15:13:10</t>
  </si>
  <si>
    <t>Kuch Employee ab company  ke sath ford kar rhe h wo din dur nahi jab company   ko le dubege</t>
  </si>
  <si>
    <t>2024-01-31 15:03:45</t>
  </si>
  <si>
    <t>Id se paise cut jaate Hain froad kar rahi hai company retailer ke sath</t>
  </si>
  <si>
    <t>2024-01-31 15:01:23</t>
  </si>
  <si>
    <t>Shailen49128672</t>
  </si>
  <si>
    <t>Shailendra Singh</t>
  </si>
  <si>
    <t>@SpiceMoneyIndia Upi cash withdraw kitne din me sattlement hota h 5din ho gaye  spice money bhi froud kre lagi</t>
  </si>
  <si>
    <t>2024-01-31 14:47:19</t>
  </si>
  <si>
    <t>Very Nice Services</t>
  </si>
  <si>
    <t>2024-01-31 14:43:45</t>
  </si>
  <si>
    <t>@SpiceMoneyIndia 
25/01/2024 upi withdraw kiya 1000rs pr paisa na to account aaya na hee wallet me</t>
  </si>
  <si>
    <t>2024-01-31 14:42:17</t>
  </si>
  <si>
    <t>koi bhi problem sunane ke liye taiyar nahin rahata</t>
  </si>
  <si>
    <t>2024-01-31 14:18:46</t>
  </si>
  <si>
    <t>@SpiceMoneyIndia रिटेलर.की डिटेल कैसे लिक हो.रही है कंपनी से</t>
  </si>
  <si>
    <t>2024-01-31 14:17:03</t>
  </si>
  <si>
    <t>💐💐💐</t>
  </si>
  <si>
    <t>2024-01-31 14:10:22</t>
  </si>
  <si>
    <t>LordM15353</t>
  </si>
  <si>
    <t>Lord Marketsnft</t>
  </si>
  <si>
    <t>@SpiceMoneyIndia i love you 🔥 https://t.co/6u2B5pkr1I 
  Quoted Tweet : @marineb051 : I make around 5-10 ETH per week! 🤑
Tutorial: https://t.co/x7n2BxWCOM
I've been using it for 3 months now.
It works great for me and it's my biggest source of income right now.✅
It's the best i've seen so far♥️
Literally a gamechanger!
Don't forget to like + share https://t.co/flOdF66fKr</t>
  </si>
  <si>
    <t>2024-01-31 14:09:36</t>
  </si>
  <si>
    <t>Gibraltar</t>
  </si>
  <si>
    <t>समर्थन और विश्वास के लिए दिल से आभार
स्पाइस मनी गारंटी यात्रा को इतने बड़े पैमाने पर सफल बनाने और हमारे उद्देश्यों को सफलता का ताज पहनाने के लिए हम सिलीगुड़ी के अपने सभी पार्टनर्स एवं अधिकारियों का धन्यवाद करते हैं! यूँही साथ जुड़े रहें और अपने संग औरों की भी लाइफ बनाते रहें।… https://t.co/cqKG8LHhco</t>
  </si>
  <si>
    <t>2024-01-31 14:09:28</t>
  </si>
  <si>
    <t>समर्थन और विश्वास के लिए दिल से आभार
स्पाइस मनी गारंटी यात्रा को इतने बड़े पैमाने पर सफल बनाने और हमारे उद्देश्यों को सफलता का ताज पहनाने के लिए हम सिलीगुड़ी के अपने सभी पार्टनर्स एवं अधिकारियों का धन्यवाद करते हैं! यूँही साथ जुड़े रहें और अपने संग औरों की भी लाइफ बनाते रहें।
#SpiceMoney #GuaranteeYatraSiliguri
#RuralFintech #PartnersMeet
समर्थन और विश्वास के लिए दिल से आभार
स्पाइस मनी गारंटी यात्रा को इतने बड़े पैमाने पर सफल बनाने और हमारे उद्देश्यों को सफलता का ताज पहनाने के लिए हम सिलीगुड़ी के अपने सभी पार्टनर्स एवं अधिकारियों का धन्यवाद करते हैं! यूँही साथ जुड़े रहें और अपने संग औरों की भी लाइफ बनाते रहें।
#SpiceMoney #GuaranteeYatraSiliguri
#RuralFintech #PartnersMeet</t>
  </si>
  <si>
    <t>2024-01-31 14:09:00</t>
  </si>
  <si>
    <t>Account opening service nahin I hai</t>
  </si>
  <si>
    <t>2024-01-31 13:52:27</t>
  </si>
  <si>
    <t>Spice Money Retailer I'd Ke Liye Sampark Kare</t>
  </si>
  <si>
    <t>2024-01-31 13:26:34</t>
  </si>
  <si>
    <t>Ab AePS cash withdrawal ki har Transaction par Adhikari aur Grahark Karein Two Factor Authentication</t>
  </si>
  <si>
    <t>2024-01-31 12:44:52</t>
  </si>
  <si>
    <t>हमारे अधिकारी कमलजीत से जानें किस तरह दूसरे बिज़नेस के साथ साथ स्पाइस मनी आईडी लेकर अपनी आमदनी को बढ़ाया जा सकता है।
पूरा वीडियो देखने के लिए लिंक https://youtu.be/DMlpygM0MQM पर क्लिक करें।
#KamaalkiCharcha</t>
  </si>
  <si>
    <t>2024-01-31 10:58:33</t>
  </si>
  <si>
    <t>Quinnnft683664</t>
  </si>
  <si>
    <t>Quinnnft</t>
  </si>
  <si>
    <t>@SpiceMoneyIndia that's lit https://t.co/wYFqUjJV4l 
  Quoted Tweet : @marineb051 : I make around 5-10 ETH per week! 🤑
Tutorial: https://t.co/x7n2BxWCOM
I've been using it for 3 months now.
It works great for me and it's my biggest source of income right now.✅
It's the best i've seen so far♥️
Literally a gamechanger!
Don't forget to like + share https://t.co/flOdF66fKr</t>
  </si>
  <si>
    <t>2024-01-31 10:54:25</t>
  </si>
  <si>
    <t>Croatia</t>
  </si>
  <si>
    <t>हमारे अधिकारी कमलजीत से जानें किस तरह दूसरे बिज़नेस के साथ साथ स्पाइस मनी आईडी लेकर अपनी आमदनी को बढ़ाया जा सकता है।
पूरा वीडियो देखने के लिए लिंक https://t.co/PyZQyzcTKP पर क्लिक करें।
#KamaalkiCharcha https://t.co/aUzhRnUGwm</t>
  </si>
  <si>
    <t>2024-01-31 10:54:20</t>
  </si>
  <si>
    <t>AEPS or DMT Pan eisob product Nehi chole ga age ja kor kuch new unique business start korna hoga Nehi to shop closed korna hoga , I am requested to spice money management kindly start smart phone sale business with best EMI facility it is very demanding product right now in market, every customer want to new mobile every year. kindly think about this. Yah business customer ko attractive kore age aur ek business ka idea hai aap log kisi bhi Bank ka KYC karana start kijiye is problem ka bhi bahut bada demand hai market me 🙏🙏🙏🙏</t>
  </si>
  <si>
    <t>2024-01-31 10:50:30</t>
  </si>
  <si>
    <t>@thinkdifferent5599</t>
  </si>
  <si>
    <t>🎉❤🎉</t>
  </si>
  <si>
    <t>2024-01-31 10:18:20</t>
  </si>
  <si>
    <t>#KamaalKiCharcha Adhikari KamalJeet ji ke saath!</t>
  </si>
  <si>
    <t>2024-01-31 10:10:11</t>
  </si>
  <si>
    <t>@NPCI_NPCI @SpiceMoneyIndia #AEPS #UTGB from the 1 week we are unable to mini statement &amp;amp; balance enquery for the uttarakhand Gramin bank in the AEPS. Please anyone can update me.when issue will be fixed . https://t.co/wVIvgNrzBu</t>
  </si>
  <si>
    <t>2024-01-31 09:35:24</t>
  </si>
  <si>
    <t>@amolgore3261</t>
  </si>
  <si>
    <t>Mobail se bananeki proses bataye please</t>
  </si>
  <si>
    <t>2024-01-31 09:25:04</t>
  </si>
  <si>
    <t>@technicalr.d2065</t>
  </si>
  <si>
    <t>Recharge Aur Bill Payment Pan Card Par 0 Commission</t>
  </si>
  <si>
    <t>2024-01-31 09:20:46</t>
  </si>
  <si>
    <t>मोबाइल नंबर चेन्ज करना है</t>
  </si>
  <si>
    <t>2024-01-31 07:55:55</t>
  </si>
  <si>
    <t>मेरा नम्बर बन्द हो गया है</t>
  </si>
  <si>
    <t>2024-01-31 07:55:17</t>
  </si>
  <si>
    <t>@SpiceMoneyIndia Hello sir Meri Id mane Re kyc nahi ho rahi hai Pan or aadhar card me Mene Mera name Sahi karwaya tha toh esliya mismatch type aa rha hai, muje ab wapas work karna hai plz help kare sir sdl631258</t>
  </si>
  <si>
    <t>2024-01-31 07:44:21</t>
  </si>
  <si>
    <t>@myangle1320</t>
  </si>
  <si>
    <t>Mujhe response nahi diya abhi tak spice money ne, kyun?</t>
  </si>
  <si>
    <t>2024-01-31 07:39:34</t>
  </si>
  <si>
    <t>@bhaiyajeefunnyboy2548</t>
  </si>
  <si>
    <t>UPI CASH payment ka limit badhana chahiye 😢😢😢</t>
  </si>
  <si>
    <t>2024-01-31 07:21:16</t>
  </si>
  <si>
    <t>2024-01-31 06:54:45</t>
  </si>
  <si>
    <t>Debjyoti1</t>
  </si>
  <si>
    <t>Debjyoti 🍁</t>
  </si>
  <si>
    <t>@SpiceMoneyIndia @SpiceMoneyIndia https://t.co/OOmLhZl5NY</t>
  </si>
  <si>
    <t>2024-01-31 00:31:05</t>
  </si>
  <si>
    <t>West bengal, india</t>
  </si>
  <si>
    <t>2024-01-30</t>
  </si>
  <si>
    <t>8003116195
gouriamin5@gmail.com</t>
  </si>
  <si>
    <t>2024-01-30 23:28:34</t>
  </si>
  <si>
    <t>@Abhi_9174</t>
  </si>
  <si>
    <t>Mantra MFS 110 kab tak live hoga</t>
  </si>
  <si>
    <t>2024-01-30 21:42:44</t>
  </si>
  <si>
    <t>Riya Web Technology</t>
  </si>
  <si>
    <t>Aap sb jitne log hai please meri help kr dijiye ek bar
हमारे इस चैनल को सब्सक्राइब कर दीजिए
👇👇👇👇👇👇👇👇
https://youtu.be/C19Hdxujpq4</t>
  </si>
  <si>
    <t>2024-01-30 20:23:52</t>
  </si>
  <si>
    <t>my ne sab jagah bat kiya koi nhi sunta</t>
  </si>
  <si>
    <t>2024-01-30 19:34:41</t>
  </si>
  <si>
    <t>Manoj Kumar yadav 9768000484 
Mera Paisa 1 sal se hold hai 
please help me</t>
  </si>
  <si>
    <t>2024-01-30 19:33:19</t>
  </si>
  <si>
    <t>Aeps or DMT pan business ka ab market me kuch dimand Nehi hai. New business chahiye Nehi shop closed korana pore ga age ja kor</t>
  </si>
  <si>
    <t>2024-01-30 18:58:11</t>
  </si>
  <si>
    <t>BabluKu27995748</t>
  </si>
  <si>
    <t>Bablu Pal</t>
  </si>
  <si>
    <t>@SpiceMoneyIndia Mene 10 January ko UPI se cash withdrawal Kiya th transaction successful lekin amount abhi thak settlement nhi hua h
Spice money team se sampark Kiya
Kuch samadhan nhi Kiya
Aaj Kil karte h</t>
  </si>
  <si>
    <t>2024-01-30 18:19:53</t>
  </si>
  <si>
    <t>कासगंज, भारत</t>
  </si>
  <si>
    <t>@SpiceMoneyIndia Email mrbablukumarpal@gmail.com
Mob 9720599248</t>
  </si>
  <si>
    <t>2024-01-30 18:17:36</t>
  </si>
  <si>
    <t>@BabluKu27995748 Dear Sir, Namaskar! Aapse request hai ki please apna Mobile number &amp;amp; email id hume inbox me share karein, hamari customer care team aapse jald hi sampark karegi. Regards, Team Spice Money</t>
  </si>
  <si>
    <t>2024-01-30 18:14:14</t>
  </si>
  <si>
    <t>@SpiceMoneyIndia Spice money ke team koi samadhan nhi krti h 
Aaj kal Aaj kal krti rhati ha</t>
  </si>
  <si>
    <t>2024-01-30 18:02:00</t>
  </si>
  <si>
    <t>@SpiceMoneyIndia Spice money sbse ghatiya service</t>
  </si>
  <si>
    <t>2024-01-30 18:00:24</t>
  </si>
  <si>
    <t>2024-01-30 17:42:22</t>
  </si>
  <si>
    <t>@PRINCE_GUPTA_64 Dear Sir, Greetings! Hamare grahak sewa adhikari aapse jald hi sampark karenge. Regards, Team Spice Money</t>
  </si>
  <si>
    <t>2024-01-30 17:39:24</t>
  </si>
  <si>
    <t>2024-01-30 17:37:59</t>
  </si>
  <si>
    <t>Dear Sir, Namaskar!Aapko batana chahenge ki Spice Money ka koi telegram channel nahi hai. Aapse request hai ki latest update ke liye aap hamare Youtube channel aur Facebook channel se jude rahein.Regards, Team Spice Money</t>
  </si>
  <si>
    <t>2024-01-30 17:37:21</t>
  </si>
  <si>
    <t>I love 💕💕💕💕💕💕 spice spice money</t>
  </si>
  <si>
    <t>2024-01-30 17:36:09</t>
  </si>
  <si>
    <t>2024-01-30 17:35:17</t>
  </si>
  <si>
    <t>2024-01-30 17:34:50</t>
  </si>
  <si>
    <t>2024-01-30 17:34:34</t>
  </si>
  <si>
    <t>2024-01-30 17:27:52</t>
  </si>
  <si>
    <t>2024-01-30 17:25:56</t>
  </si>
  <si>
    <t>@Debjyoti1 Dear Sir, Greetings! Go to Twitter and search spicemoneyofficial in the message box, select it, type your message and send it. You can also contact us on our official customer care number 0120-3645645 Regards, Team Spice Money</t>
  </si>
  <si>
    <t>2024-01-30 17:25:24</t>
  </si>
  <si>
    <t>2024-01-30 17:22:59</t>
  </si>
  <si>
    <t>2024-01-30 17:21:59</t>
  </si>
  <si>
    <t>Spice Money Guarantee: Adhikariyon aur Partners ke Liye Arthik Safalta ka Vaada!</t>
  </si>
  <si>
    <t>2024-01-30 16:05:22</t>
  </si>
  <si>
    <t>@awadheshverma9696</t>
  </si>
  <si>
    <t>Maine aply Kiya hai 5 ghante ho Gaye hai instant pan card mail pe Aya nahi hai help me</t>
  </si>
  <si>
    <t>2024-01-30 15:40:25</t>
  </si>
  <si>
    <t>2024-01-30 14:36:28</t>
  </si>
  <si>
    <t>SnftJeff37821</t>
  </si>
  <si>
    <t>Jeff Snft</t>
  </si>
  <si>
    <t>@SpiceMoneyIndia Good morning. I will test it now \nWish me luck guys👍 https://t.co/NMD0BdyKU0 
  Quoted Tweet : @TheFameMaker_ : #AltLayer PRIVATE AIRDROP!🚨
I got a CODE for my "X" community to enter the Altlayer airdrop!
1.000 People are able to enter with my code ✅
Everyone is eligible to claim $500!
Website: https://t.co/xzoUCm3kAg
Code:  2024drop
Be fast friends,
don't forget to like + share ♥️ https://t.co/tpITYnFRC6</t>
  </si>
  <si>
    <t>2024-01-30 14:21:49</t>
  </si>
  <si>
    <t>Palestinian territory, oc</t>
  </si>
  <si>
    <t>स्पाइस मनी गारंटी के इन वादों के साथ अपने अधिकारियों और पार्टनर्स को देता है आर्थिक आत्मनिर्भरता, ख़ुशहाली और कामयाबी की गारंटी! 
#SpiceMoney #SpiceMoneyGuarantee
#RuralFintech #MainAdhikariKhudHoonGuarantee https://t.co/vRS198fitv</t>
  </si>
  <si>
    <t>2024-01-30 14:21:44</t>
  </si>
  <si>
    <t>PRINCE_GUPTA_64</t>
  </si>
  <si>
    <t>PRINCE GUPTA</t>
  </si>
  <si>
    <t>@SpiceMoneyIndia service buy karne ke bad bhi active nahin hua NSDL payment Bank ka lagta hai mere sath scan Ho Gaya 
I'd number = sdl1290904 https://t.co/Bdr0EDtLHY</t>
  </si>
  <si>
    <t>2024-01-30 13:25:26</t>
  </si>
  <si>
    <t>EthW022535470</t>
  </si>
  <si>
    <t>w0225.eth</t>
  </si>
  <si>
    <t>@SpiceMoneyIndia that's lit https://t.co/htF7MfEfH5 
  Quoted Tweet : @TheFameMaker_ : #AltLayer PRIVATE AIRDROP!🚨
I got a CODE for my "X" community to enter the Altlayer airdrop!
1.000 People are able to enter with my code ✅
Everyone is eligible to claim $500!
Website: https://t.co/xzoUCm3kAg
Code:  2024drop
Be fast friends,
don't forget to like + share ♥️ https://t.co/tpITYnFRC6</t>
  </si>
  <si>
    <t>2024-01-30 12:45:02</t>
  </si>
  <si>
    <t>जीत का राज़ है, सबका साथ
मदुरई में स्पाइस मनी गारंटी यात्रा को मिली अपार सफलता और समर्थन ने हमें भावुक कर दिया। यकीनन आप डिस्ट्रीब्यूटर्स एवं अधिकारियों का साथ ही हमारी ताकत है। आपने ही स्पाइस मनी की सेवाओं को भारत में स्थित दूर दराज गांवों तक पहुंचाया और इसे एक सफल ब्रांड बनाया।… https://t.co/vqRU1xLBlJ</t>
  </si>
  <si>
    <t>2024-01-30 12:44:57</t>
  </si>
  <si>
    <t>जीत का राज़ है, सबका साथ
मदुरई में स्पाइस मनी गारंटी यात्रा को मिली अपार सफलता और समर्थन ने हमें भावुक कर दिया। यकीनन आप डिस्ट्रीब्यूटर्स एवं अधिकारियों का साथ ही हमारी ताकत है। आपने ही स्पाइस मनी की सेवाओं को भारत में स्थित दूर दराज गांवों तक पहुंचाया और इसे एक सफल ब्रांड बनाया।
#SpiceMoney #GuaranteeYatraMadurai
#RuralFintech #PartnersMeet
जीत का राज़ है, सबका साथ
मदुरई में स्पाइस मनी गारंटी यात्रा को मिली अपार सफलता और समर्थन ने हमें भावुक कर दिया। यकीनन आप डिस्ट्रीब्यूटर्स एवं अधिकारियों का साथ ही हमारी ताकत है। आपने ही स्पाइस मनी की सेवाओं को भारत में स्थित दूर दराज गांवों तक पहुंचाया और इसे एक सफल ब्रांड बनाया।
#SpiceMoney #GuaranteeYatraMadurai
#RuralFintech #PartnersMeet</t>
  </si>
  <si>
    <t>2024-01-30 12:43:59</t>
  </si>
  <si>
    <t>@domanlaldhruw8579</t>
  </si>
  <si>
    <t>I have not cancelled cheque of bank. Can i use spice money</t>
  </si>
  <si>
    <t>2024-01-30 11:59:08</t>
  </si>
  <si>
    <t>@SpiceMoneyIndia I not an verifyed user in X that why i cannot send a message</t>
  </si>
  <si>
    <t>2024-01-30 09:35:35</t>
  </si>
  <si>
    <t>@Debjyoti1 Dear Sir, Greetings! Please share your email id and mobile number in inbox .we'll reach out to you to resolve all your concerns.Regards, Team Spice Money</t>
  </si>
  <si>
    <t>2024-01-30 09:27:32</t>
  </si>
  <si>
    <t>@Manjindersin911 Dear Sir, Greetings! Go to Twitter and search spicemoneyofficial in the message box, select it, type your message and send it. You can also contact us on our official customer care number 0120-3645645 Regards, Team Spice Money</t>
  </si>
  <si>
    <t>2024-01-30 09:16:33</t>
  </si>
  <si>
    <t>@Shivkumar15317</t>
  </si>
  <si>
    <t>@@SpiceMoneyOfficial thank you mam</t>
  </si>
  <si>
    <t>2024-01-30 08:43:54</t>
  </si>
  <si>
    <t>@Haji_9023 Dear Sir, Greetings! Please share your email id and mobile number in inbox .we'll reach out to you to resolve all your concerns.Regards, Team Spice Money</t>
  </si>
  <si>
    <t>2024-01-30 08:37:47</t>
  </si>
  <si>
    <t>@Shahnawaz_1992 Dear Sir, Greetings! We regret the inconvenience caused to you. Our customer care officer will get in touch with you shortly. Regards, Team Spice Money</t>
  </si>
  <si>
    <t>2024-01-30 08:35:38</t>
  </si>
  <si>
    <t>@DSvairawa Dear Sir, Greetings! Please share your email id and mobile number in inbox .we'll reach out to you to resolve all your concerns.Regards, Team Spice Money</t>
  </si>
  <si>
    <t>2024-01-30 08:34:38</t>
  </si>
  <si>
    <t>2024-01-30 08:32:28</t>
  </si>
  <si>
    <t>2024-01-30 08:30:40</t>
  </si>
  <si>
    <t>2024-01-30 08:28:28</t>
  </si>
  <si>
    <t>@Benadeemgeelani Dear Sir, Greetings! Please share your email id and mobile number in inbox .we'll reach out to you to resolve all your concerns.Regards, Team Spice Money</t>
  </si>
  <si>
    <t>2024-01-30 08:27:47</t>
  </si>
  <si>
    <t>2024-01-30 08:26:38</t>
  </si>
  <si>
    <t>2024-01-30 08:25:31</t>
  </si>
  <si>
    <t>2024-01-29</t>
  </si>
  <si>
    <t>@gawatipubg3996</t>
  </si>
  <si>
    <t>Meri id mere bhai ko use karna hai to kaise kare use</t>
  </si>
  <si>
    <t>2024-01-29 21:50:07</t>
  </si>
  <si>
    <t>aryandigital_1</t>
  </si>
  <si>
    <t>Aryan Digital</t>
  </si>
  <si>
    <t>@SpiceMoneyIndia Dear sir,
I am very sad the things which were happened with you. 
Do not keep such a big amount in your wallet. You should transfer when it is 25000₹ or on daily basis when you close your shop.</t>
  </si>
  <si>
    <t>2024-01-29 21:33:59</t>
  </si>
  <si>
    <t>@SpiceMoneyIndia @NPCI_NPCI could you please confirm why this error occurred while doing #AEPS transaction. https://t.co/ayJavfZ8AW</t>
  </si>
  <si>
    <t>2024-01-29 20:28:05</t>
  </si>
  <si>
    <t>@user-tg2lc2pj7w</t>
  </si>
  <si>
    <t>Government service ko add kariye</t>
  </si>
  <si>
    <t>2024-01-29 20:13:20</t>
  </si>
  <si>
    <t>Government service nahin hai</t>
  </si>
  <si>
    <t>2024-01-29 20:12:38</t>
  </si>
  <si>
    <t>Greetings from Spice Money Customer Care !
As per your service request regarding ID activation, we are working on your query and will keep you updated with the resolution.
Request you to please wait for 5 working days.
Regards,
please wait for 5 working days.
I Am Complete.
Date-20-01-2024
But Not Id Activation</t>
  </si>
  <si>
    <t>2024-01-29 19:12:06</t>
  </si>
  <si>
    <t>स्पाइस मनी को मिला मीडिया का साथ!
गारंटी यात्रा के प्रभाव और सफलता की कहानी लिखने के लिए प्रत्येक मीडिया हाउस का धन्यवाद।
देश के विभिन्न राज्यों में हुए गारंटी यात्रा को 18 प्रकाशनों द्वारा कवर किया जाना अपने आप में एक उपलब्धि और गर्व की बात है। इसी तरह हमारी आवाज आमजन तक… https://t.co/pnWMiWtRcJ</t>
  </si>
  <si>
    <t>2024-01-29 18:34:37</t>
  </si>
  <si>
    <t>Thanks🙏</t>
  </si>
  <si>
    <t>2024-01-29 18:21:24</t>
  </si>
  <si>
    <t>Bbps ka paisa kab milega 40 din ho gaya
8887854954</t>
  </si>
  <si>
    <t>2024-01-29 17:57:12</t>
  </si>
  <si>
    <t>2024-01-29 17:50:27</t>
  </si>
  <si>
    <t>Sabhi adhikariyon ko ek ek t shirt Diya jaye</t>
  </si>
  <si>
    <t>2024-01-29 16:54:07</t>
  </si>
  <si>
    <t>स्पाइस मनी को मिला मीडिया का साथ!
गारंटी यात्रा के प्रभाव और सफलता की कहानी लिखने के लिए प्रत्येक मीडिया हाउस का धन्यवाद। 
देश के विभिन्न राज्यों में हुए गारंटी यात्रा को 18 प्रकाशनों द्वारा कवर किया जाना अपने आप में एक उपलब्धि और गर्व की बात है। इसी तरह हमारी आवाज आमजन तक पहुंचाते रहें और रूरल फिंटेक क्षेत्र को उन्नत बनाने में स्पाइस मनी मदद करते रहें।
#MediaCoverage #EmergingIndia #RuralFintech #SpiceMoney #GuaranteeYatra #PartnersMeet</t>
  </si>
  <si>
    <t>2024-01-29 16:41:32</t>
  </si>
  <si>
    <t>@divyamkaushikji</t>
  </si>
  <si>
    <t>Mujhe to Mila hi nahi axis ka kaam 😢😢</t>
  </si>
  <si>
    <t>2024-01-29 16:38:42</t>
  </si>
  <si>
    <t>2024-01-29 16:19:26</t>
  </si>
  <si>
    <t>DSvairawa</t>
  </si>
  <si>
    <t>Dilip Kumar (INC)</t>
  </si>
  <si>
    <t>@SpiceMoneyIndia @SonuSood
Worst service 💔
Still Money not moved from wallet to bank 
Waiting for 19hr</t>
  </si>
  <si>
    <t>2024-01-29 14:50:56</t>
  </si>
  <si>
    <t>gabru_aksar</t>
  </si>
  <si>
    <t>Gabru Aksar</t>
  </si>
  <si>
    <t>बदलते भारत की गारंटी यात्रा
18 जनवरी को कोलकाता में आयोजित इवेंट में आप सभी का अपार समर्थन पाकर हम बेहद खुश और उत्साहित हैं।
 यकीनन हम मिलकर कामयाबी के इस सफर को अपनी सोच से भी आगे ले जाएंगे और इस साल के लिए हमने जो भी लक्ष्य तय किया है उसे सच करके दिखाएंगे।
#SpiceMoney… https://t.co/XY8kP4WaIQ</t>
  </si>
  <si>
    <t>2024-01-29 14:13:00</t>
  </si>
  <si>
    <t>महोदय ये जो आपकी Company के अधिकारियों के साथ साइबर अपराधी धोखाधड़ी कर रहे है इस पर भी ध्यान देने की जरूरत है नही ये यात्रा आपकी असफल हो जायेगी इसका कोई मतलब नहीं रह जायेगा उस समय जिस समय आपकी Company के Retailer को मजबूरन अपनी I'd को बंद करने के लिए विवश होना पड़ेगा क्योंकी इस समय केवल आपकी कम्पनी के रिटेलरों के पास भारी मात्रा में इस समय फ्रॉड कॉल आ रही है जिसमे अपराधी स्वयं को कंपनी के कर्मचारी होने का दावा करके पैन कार्ड की Details को अपडेट करने के लिए बोलता है और SMS के माध्यम से लिंक शेयर करता है और तो और आपकी अधिकारी I'd और Name को अपराथी स्वयं बताता है ऐसे में कहीं न कहीं कम्पनी का Privacy Data को लीक किया जा रहा है इसमें कम्पनी से जुड़े कर्मचारियों का हाथ ही है तो कृपया ...मेरा आपसे विनम्र निवेदन है की अधिकारियों की Privacy लीक न हो इसके लिए कम्पनी ठोस कदम उठाए जिससे Retailrs का भरोसा कम्पनी पर सदा बना रहे कोई रिटेलर यदि आपकी कम्पनी से जुड़ा है तो कुछ कमाने के लिए न की अपना नुकसान करवाने के लिए और मै दावे के साथ कह सकता हूं की यदि कम्पनी का यही हाल रहा तो एक दिन Retailrs ने भरी मात्रा में गिरावट देखने को जरूर मिलेगी जिसका प्रमुख कारण होगा Privacy लीक के साथ साइबर धोखाधड़ी  क्योंकी इस समय हर दिन प्रत्येक Retailrs के पास 05-10 कॉल अलग अलग नंबरों से आ रही है only आपकी कंपनी के नाम से</t>
  </si>
  <si>
    <t>2024-01-29 14:12:09</t>
  </si>
  <si>
    <t>Haji_9023</t>
  </si>
  <si>
    <t>Sultan Salahuddin Ayyubi</t>
  </si>
  <si>
    <t>@SpiceMoneyIndia     full bad Customers care help https://t.co/pBTkfRVmXj</t>
  </si>
  <si>
    <t>2024-01-29 12:30:58</t>
  </si>
  <si>
    <t>Nsdl kit free hai ya paid</t>
  </si>
  <si>
    <t>2024-01-29 11:38:55</t>
  </si>
  <si>
    <t>2024-01-29 11:38:30</t>
  </si>
  <si>
    <t>2024-01-29 11:37:49</t>
  </si>
  <si>
    <t>Manjindersin911</t>
  </si>
  <si>
    <t>Manjinder Singh</t>
  </si>
  <si>
    <t>@SpiceMoneyIndia totally waste of time. #Useless spice money support and services I want to delete my agent account but no response from spice money. I want to write here to inbox but only verified premium account can send messages to inbox in spice money. Worst and useless</t>
  </si>
  <si>
    <t>2024-01-29 11:33:45</t>
  </si>
  <si>
    <t>@k.m7386</t>
  </si>
  <si>
    <t>,449 charge 0 kaha se huaa Bhai</t>
  </si>
  <si>
    <t>2024-01-29 09:44:16</t>
  </si>
  <si>
    <t>@SpiceMoneyIndia 
Hello Sir, On 10th Jan 2024 one UPI cash withdrawal amount 700 was done, transaction was successful but the amount was not credited to my bank account. I complaint so many time but till now no result. Pls Help</t>
  </si>
  <si>
    <t>2024-01-29 06:38:31</t>
  </si>
  <si>
    <t>Mam mere spice money me dmt nahi ho raha or kai seva bhi nahi chalu he mam</t>
  </si>
  <si>
    <t>2024-01-29 06:26:58</t>
  </si>
  <si>
    <t>2024-01-28</t>
  </si>
  <si>
    <t>@SpiceMoneyIndia I have filed a complaint through email a few days ago to deactivate my agent ID but it is still not completed.</t>
  </si>
  <si>
    <t>2024-01-28 23:14:49</t>
  </si>
  <si>
    <t>Sir spice money ka telegram channel nahi hai kya</t>
  </si>
  <si>
    <t>2024-01-28 20:41:43</t>
  </si>
  <si>
    <t>@kilar8562</t>
  </si>
  <si>
    <t>Mein spice mony mein rgistration  kar raha hu par pan already exits bata raha he or scan nahi ho raha</t>
  </si>
  <si>
    <t>2024-01-28 20:41:12</t>
  </si>
  <si>
    <t>Cash limit bdao mem</t>
  </si>
  <si>
    <t>2024-01-28 20:37:57</t>
  </si>
  <si>
    <t>Cash  ki suvida uplab kro adikari ko</t>
  </si>
  <si>
    <t>2024-01-28 20:35:12</t>
  </si>
  <si>
    <t>जिससे मेरी id active हो सके</t>
  </si>
  <si>
    <t>2024-01-28 20:34:41</t>
  </si>
  <si>
    <t>मेने happy loan spice money से loan liya kuch mujh par pending rah gya उसको भरना चाहता हूं lekin na spice money bale कुछ बताते और ना ही हैप्पी लोन वाले जवाब देते स्पाइस मनी से निवेदन है की मेरी problem Ko solve करो</t>
  </si>
  <si>
    <t>2024-01-28 20:33:39</t>
  </si>
  <si>
    <t>Dear spice team please come to our loni 201103 To encourage Me and All loni spice adhikari thank you so much ❤️</t>
  </si>
  <si>
    <t>2024-01-28 20:13:02</t>
  </si>
  <si>
    <t>Bhojpur ara me kab ana hoga.. sir</t>
  </si>
  <si>
    <t>2024-01-28 20:09:37</t>
  </si>
  <si>
    <t>Aajad Maliya Agasdi bahut acha Vichar</t>
  </si>
  <si>
    <t>2024-01-28 19:03:26</t>
  </si>
  <si>
    <t>मेरा agent note active please try again dikha rha he kya kru</t>
  </si>
  <si>
    <t>2024-01-28 18:40:05</t>
  </si>
  <si>
    <t>SPICE MONEY koi call nhi aya</t>
  </si>
  <si>
    <t>2024-01-28 18:36:54</t>
  </si>
  <si>
    <t>Muzaffarpur kab aana hai ?</t>
  </si>
  <si>
    <t>2024-01-28 18:28:40</t>
  </si>
  <si>
    <t>@SpiceMoneyIndia I can't send write you in inbox</t>
  </si>
  <si>
    <t>2024-01-28 18:20:13</t>
  </si>
  <si>
    <t>2024-01-28 18:14:50</t>
  </si>
  <si>
    <t>@firoz_k07 Dear Sir, Greetings! We thank you for the appreciation.Regards, Team Spice Money</t>
  </si>
  <si>
    <t>2024-01-28 18:14:32</t>
  </si>
  <si>
    <t>2024-01-28 18:14:12</t>
  </si>
  <si>
    <t>2024-01-28 18:13:18</t>
  </si>
  <si>
    <t>Dear Sir, Namaskar! Spice Money ki taraf se aapke paas verification ke liye ya fir id password share karne ke liye aisi koi bhi call nahi jati hai ,aapse requst hai ki kripya aisi kisi link par click na kare aur na hi apni details share kare ,otherwise aap fraud ke shikaar ho sakte hain, Regards, Team Spice Money</t>
  </si>
  <si>
    <t>2024-01-28 18:12:08</t>
  </si>
  <si>
    <t>@Manjindersin911 Dear Sir, Greetings! Please share your email id and mobile number in inbox .we'll reach out to you to resolve all your concerns.Regards, Team Spice Money</t>
  </si>
  <si>
    <t>2024-01-28 18:11:44</t>
  </si>
  <si>
    <t>@ravipratatpsing प्रिय महोदय, नमस्कार! आपकी ID पर  physical verification के बारे में आपसे चर्चा के अनुसार, हमारी ओर से समस्या का समाधान पहले ही हो चुका है। सादर, टीम स्पाइस मनी</t>
  </si>
  <si>
    <t>2024-01-28 18:01:50</t>
  </si>
  <si>
    <t>@SpiceMoneyIndia I want to delete my agent account i already emailed regarding this but I did not received any response. I'm totally disappointed from spice money support. Worst and useless support I ever faced</t>
  </si>
  <si>
    <t>2024-01-28 17:43:04</t>
  </si>
  <si>
    <t>Dear Sir, Namaskar! Aapse Batchit ke anusar UPI cash withdrawal transaction ke  baare me hamari taraf se aapko jankari share kar di gayi hai. Adhik jankari ke liye aap hamare official customer care number 0120-3645645 par bhi sampark kar sakte hain. Regards, Team Spice Money</t>
  </si>
  <si>
    <t>2024-01-28 17:07:55</t>
  </si>
  <si>
    <t>@ShoaibAkhtertsk Dear Sir, Greetings! As per discussed with you your concern  regarding ID suspension, information  shared from our end .If you have any query,you can also contact us on our official customer care number 0120-3645645 Regards, Team Spice Money</t>
  </si>
  <si>
    <t>2024-01-28 16:45:27</t>
  </si>
  <si>
    <t>Mer bhi paas call bahut aati hai</t>
  </si>
  <si>
    <t>2024-01-28 16:32:12</t>
  </si>
  <si>
    <t>Dear Sir, Namaskar! Aapse Batchit ke anusar aapki id ke regarding  CPV(Customer physical verification) ke  baare me hamari taraf se aapko jankari share kar di gayi hai. Adhik jankari ke liye aap hamare official customer care number 0120-3645645 par bhi sampark kar sakte hain. Regards, Team Spice Money</t>
  </si>
  <si>
    <t>2024-01-28 16:21:49</t>
  </si>
  <si>
    <t>SPICE MONEY please Activated plan D Commission</t>
  </si>
  <si>
    <t>2024-01-28 16:12:41</t>
  </si>
  <si>
    <t>@PRINCE_GUPTA_64 Dear Sir, Namaskar! Aapse Batchit ke anusar Account opening option ke  baare me hamari taraf se aapko jankari share kar di gayi hai. Adhik jankari ke liye aap hamare official customer care number 0120-3645645 par bhi sampark kar sakte hain. Regards, Team Spice Money</t>
  </si>
  <si>
    <t>2024-01-28 16:02:43</t>
  </si>
  <si>
    <t>Kumar Gaurav spice ka kaam dbg mai nahi hota hai</t>
  </si>
  <si>
    <t>2024-01-28 15:52:03</t>
  </si>
  <si>
    <t>Isme dbg k koi h hi nhi</t>
  </si>
  <si>
    <t>2024-01-28 15:44:58</t>
  </si>
  <si>
    <t>2024-01-28 15:33:45</t>
  </si>
  <si>
    <t>Samastipur me kab hoga</t>
  </si>
  <si>
    <t>2024-01-28 15:18:23</t>
  </si>
  <si>
    <t>@dineshsahu0202 Dear Sir, Greetings! We are trying to contact you but your number is not contactable. Please share your contact details and suitable times. Regards, Team Spice Money</t>
  </si>
  <si>
    <t>2024-01-28 15:16:06</t>
  </si>
  <si>
    <t>Dear Sir, Greetings! As per discussed with you your concern regarding AEPS transaction issue, please allow us sometime for your concern, we’ll update you soon  .Regards, Team spice money</t>
  </si>
  <si>
    <t>2024-01-28 14:59:56</t>
  </si>
  <si>
    <t>Never do business with @SpiceMoneyIndia 
It is a fraud company
Cheating with customers
I have mini atm dispute,i paid Rs.5000 but it has been 5years ia didn't get my refund
Now I will lodge a police complaint as well as cyber complaint .
@SpiceMoneyIndia is a fraud company</t>
  </si>
  <si>
    <t>2024-01-28 14:45:06</t>
  </si>
  <si>
    <t>2024-01-28 14:37:04</t>
  </si>
  <si>
    <t>Bbps ka kata paisa nahi mil raha 1 month se uppar ho gaya</t>
  </si>
  <si>
    <t>2024-01-28 14:04:10</t>
  </si>
  <si>
    <t>firoz_k07</t>
  </si>
  <si>
    <t>firozkhan</t>
  </si>
  <si>
    <t>@SpiceMoneyIndia Spice money to life bani</t>
  </si>
  <si>
    <t>2024-01-28 13:58:25</t>
  </si>
  <si>
    <t>Rampur, india</t>
  </si>
  <si>
    <t>Any jobs available in</t>
  </si>
  <si>
    <t>2024-01-28 13:21:29</t>
  </si>
  <si>
    <t>Spice Money U.P Ambedkar Nagar मैं कब आओगे</t>
  </si>
  <si>
    <t>2024-01-28 13:20:59</t>
  </si>
  <si>
    <t>Call plz alka ji 8009688006</t>
  </si>
  <si>
    <t>2024-01-28 13:15:49</t>
  </si>
  <si>
    <t>गारंटी यात्रा के साथ कामयाब सफ़र की शुरुआत  मेरठ में गारंटी यात्रा को मिली अपार सफलता से हम सब बेहद उत्साहित और इस साल के लिए तय लक्ष्यों को जल्द पूरा करने के लिए तैयार हैं। वाकई, आप जैसे पार्टनर्स एवं अधिकारियों की मेहनत और समर्पण का ही नतीजा है कि हम गर्व से कहते हैं "स्पाइस… https://t.co/Atsev7P1vJ</t>
  </si>
  <si>
    <t>2024-01-28 13:12:18</t>
  </si>
  <si>
    <t>गारंटी यात्रा के साथ कामयाब सफ़र की शुरुआत  मेरठ में गारंटी यात्रा को मिली अपार सफलता से हम सब बेहद उत्साहित और इस साल के लिए तय लक्ष्यों को जल्द पूरा करने के लिए तैयार हैं। वाकई, आप जैसे पार्टनर्स एवं अधिकारियों की मेहनत और समर्पण का ही नतीजा है कि हम गर्व से कहते हैं "स्पाइस मनी तो लाइफ बनी"!                   
                                                                                         #SpiceMoney #GuaranteeYatraMeerut #RuralFintech #PartnersMeet.
गारंटी यात्रा के साथ कामयाब सफ़र की शुरुआत  मेरठ में गारंटी यात्रा को मिली अपार सफलता से हम सब बेहद उत्साहित और इस साल के लिए तय लक्ष्यों को जल्द पूरा करने के लिए तैयार हैं। वाकई, आप जैसे पार्टनर्स एवं अधिकारियों की मेहनत और समर्पण का ही नतीजा है कि हम गर्व से कहते हैं "स्पाइस मनी तो लाइफ बनी"!                   
                                                                                         #SpiceMoney #GuaranteeYatraMeerut #RuralFintech #PartnersMeet.</t>
  </si>
  <si>
    <t>2024-01-28 13:11:48</t>
  </si>
  <si>
    <t>प्रिय महोदय, नमस्कार! आपको verification करने या अपना आईडी पासवर्ड साझा करने के लिए स्पाइस मनी से कोई कॉल नहीं किया जाता है, आपसे अनुरोध है कि कृपया ऐसे किसी भी लिंक पर क्लिक न करें या अपना विवरण साझा न करे। आपके सुझाव के लिए धन्यवाद, हम इसे अपनी टीम के साथ जरूर शेयर करेंगे ।सादर, टीम स्पाइस मनी</t>
  </si>
  <si>
    <t>2024-01-28 11:35:29</t>
  </si>
  <si>
    <t>2024-01-28 11:27:08</t>
  </si>
  <si>
    <t>2024-01-28 11:23:52</t>
  </si>
  <si>
    <t>2024-01-28 11:00:46</t>
  </si>
  <si>
    <t>ye sirf mobile par hi link activate karne ke liye kahte hai system par nahi aur apne ko spice ka distributor bata kar phone kare hai</t>
  </si>
  <si>
    <t>2024-01-28 10:18:00</t>
  </si>
  <si>
    <t>Aajad Maliya Agasdi  Right 👍</t>
  </si>
  <si>
    <t>2024-01-28 09:42:31</t>
  </si>
  <si>
    <t>2024-01-28 09:38:16</t>
  </si>
  <si>
    <t>2024-01-28 09:37:40</t>
  </si>
  <si>
    <t>2024-01-28 09:35:50</t>
  </si>
  <si>
    <t>2024-01-28 09:32:40</t>
  </si>
  <si>
    <t>@gurjitsinghpkdigitalservic7557</t>
  </si>
  <si>
    <t>Spice money ID ko hack karke froad ho rahe hain company is per kuchh nahin kar rahi</t>
  </si>
  <si>
    <t>2024-01-28 09:17:01</t>
  </si>
  <si>
    <t>@tinkutelecom5063</t>
  </si>
  <si>
    <t>Spice Money is the best ❤</t>
  </si>
  <si>
    <t>2024-01-28 07:17:24</t>
  </si>
  <si>
    <t>Spice me bahut fraud jo rha hai , retailer k sath bhi aur employees k sath bhi</t>
  </si>
  <si>
    <t>2024-01-28 06:35:12</t>
  </si>
  <si>
    <t>@dmyoutuber97</t>
  </si>
  <si>
    <t>Spice money me ajj raat sobka id  "something went wrong" show ho raha hai knu. Login nehi ho raha hai.. or night me customer support bhi nahi hai, kese baat karu. Please solve this issue.</t>
  </si>
  <si>
    <t>2024-01-28 00:01:03</t>
  </si>
  <si>
    <t>2024-01-28 00:00:52</t>
  </si>
  <si>
    <t>2024-01-28 00:00:40</t>
  </si>
  <si>
    <t>2024-01-28 00:00:29</t>
  </si>
  <si>
    <t>2024-01-28 00:00:07</t>
  </si>
  <si>
    <t>2024-01-27</t>
  </si>
  <si>
    <t>2024-01-27 23:58:48</t>
  </si>
  <si>
    <t>2024-01-27 21:51:36</t>
  </si>
  <si>
    <t>2024-01-27 21:48:16</t>
  </si>
  <si>
    <t>2024-01-27 21:19:04</t>
  </si>
  <si>
    <t>Agent not active please try again..show kr rha he kya kru</t>
  </si>
  <si>
    <t>2024-01-27 21:02:02</t>
  </si>
  <si>
    <t>Jinke sath fraud hua...unse b pucha karo</t>
  </si>
  <si>
    <t>2024-01-27 20:56:25</t>
  </si>
  <si>
    <t>@s_hityar9689</t>
  </si>
  <si>
    <t>Aise hai ki NPCI KA Dimag kam nahin krta hai
Ek to har kisi ko I'D Mil jata hai
Unpar koi rok nahin
Banking system ko chalane ke liye abhi padhna koi jaruri nahin😂😂😂😂😡😡😡</t>
  </si>
  <si>
    <t>2024-01-27 20:21:30</t>
  </si>
  <si>
    <t>मेरे पास भी फोन आ चुका है</t>
  </si>
  <si>
    <t>2024-01-27 18:53:08</t>
  </si>
  <si>
    <t>My 6 year se spice Money ajent ka kam kar raha hu abhi tak kisi bhi tarah ki kuch gift nhi nahi area manager ka pata h ladania Madhubani</t>
  </si>
  <si>
    <t>2024-01-27 18:46:38</t>
  </si>
  <si>
    <t>@JatinTripathiii Dear Sir, Greetings! Please share your contact details on our official customer care email customercare@spicemoney.com .we'll reach out to you to resolve all your concerns. If you'll not share we'll unable to help you.Regards, Team Spice Money</t>
  </si>
  <si>
    <t>2024-01-27 17:48:59</t>
  </si>
  <si>
    <t>2024-01-27 17:19:44</t>
  </si>
  <si>
    <t>2024-01-27 16:17:24</t>
  </si>
  <si>
    <t>@SpiceMoneyIndia Id-sdl98590
Name-vishwas
https://t.co/OLzRIP3sZC.-9992421049</t>
  </si>
  <si>
    <t>2024-01-27 16:17:13</t>
  </si>
  <si>
    <t>JatinTripathiii</t>
  </si>
  <si>
    <t>Jatin Tripathi | 🇮🇳</t>
  </si>
  <si>
    <t>@SpiceMoneyIndia I am not going to share my personal number or email here! 
If you can share your personal then it will be great for me.</t>
  </si>
  <si>
    <t>2024-01-27 15:51:54</t>
  </si>
  <si>
    <t>Maharashtra, india</t>
  </si>
  <si>
    <t>@JatinTripathiii Dear Sir, Greetings! Please share your email id and mobile number here only .we'll reach out to you to resolve all your concerns.Regards, Team Spice Money</t>
  </si>
  <si>
    <t>2024-01-27 15:45:23</t>
  </si>
  <si>
    <t>2024-01-27 15:34:59</t>
  </si>
  <si>
    <t>@SpiceMoneyIndia But where should I share my Email and Phone number?</t>
  </si>
  <si>
    <t>2024-01-27 15:34:09</t>
  </si>
  <si>
    <t>2024-01-27 15:29:07</t>
  </si>
  <si>
    <t>SPICE MONEY  Humlogo ka bhi samannit Ho Hum 7  year se  jure hai spice money se accha kaam kar ke diye hai</t>
  </si>
  <si>
    <t>2024-01-27 15:27:50</t>
  </si>
  <si>
    <t>2024-01-27 15:26:13</t>
  </si>
  <si>
    <t>SPICE MONEY Hamlog ka bari kab hai</t>
  </si>
  <si>
    <t>2024-01-27 15:25:06</t>
  </si>
  <si>
    <t>2024-01-27 15:24:02</t>
  </si>
  <si>
    <t>Madhubani ka bari kab ka hai sir</t>
  </si>
  <si>
    <t>2024-01-27 15:21:35</t>
  </si>
  <si>
    <t>Kiya yah sab dekhaba hai ya program vi hota hai</t>
  </si>
  <si>
    <t>2024-01-27 15:08:21</t>
  </si>
  <si>
    <t>Sir humere district me aur hum logo ko khabar vi nahi</t>
  </si>
  <si>
    <t>2024-01-27 15:07:31</t>
  </si>
  <si>
    <t>2024-01-27 15:05:14</t>
  </si>
  <si>
    <t>स्पाइस मनी की गारंटी यात्रा, दरभंगा में एक अद्भुत सफलता थी! 
हमारी लीडरशिप टीम को, पार्टनर्स और अधिकारियों से मिलकर अच्छा लगा, हम सबके लिए सीखने का मौका थाI हम सब मिलकर भारत के कल को आज बदलने को तैयार है और बैंकिंग सेवाओं के क्षेत्र में हम मिलकर क्रांति लाएंगेI 
#SpiceMoney… https://t.co/A1m2RyPjut</t>
  </si>
  <si>
    <t>2024-01-27 14:59:42</t>
  </si>
  <si>
    <t>स्पाइस मनी की गारंटी यात्रा, दरभंगा में एक अद्भुत सफलता थी! 
हमारी लीडरशिप टीम को, पार्टनर्स और अधिकारियों से मिलकर अच्छा लगा, हम सबके लिए सीखने का मौका थाI हम सब मिलकर भारत के कल को आज बदलने को तैयार है और बैंकिंग सेवाओं के क्षेत्र में हम मिलकर क्रांति लाएंगेI 
#SpiceMoney #GuaranteeYatraDarbhanga
#RuralFintech #PartnersMeet
स्पाइस मनी की गारंटी यात्रा, दरभंगा में एक अद्भुत सफलता थी! 
हमारी लीडरशिप टीम को, पार्टनर्स और अधिकारियों से मिलकर अच्छा लगा, हम सबके लिए सीखने का मौका थाI हम सब मिलकर भारत के कल को आज बदलने को तैयार है और बैंकिंग सेवाओं के क्षेत्र में हम मिलकर क्रांति लाएंगेI 
#SpiceMoney #GuaranteeYatraDarbhanga
#RuralFintech #PartnersMeet</t>
  </si>
  <si>
    <t>2024-01-27 14:59:14</t>
  </si>
  <si>
    <t>SPICE MONEY sir koi meri problem solve kejiye</t>
  </si>
  <si>
    <t>2024-01-27 14:48:40</t>
  </si>
  <si>
    <t>@hasanimamhasanimam1570</t>
  </si>
  <si>
    <t>Bhai customer ko bolo SBI bank me Mobile no link karaye</t>
  </si>
  <si>
    <t>2024-01-27 13:57:10</t>
  </si>
  <si>
    <t>Aap log NSDL payment bank account opening Charge Bahut Zayada Le Rahe hai 449 Bahut Zayada hai Koi bhi Nhi Kulwana Nhi chahta hai Mujhe Laga ki ye customer ke account me jata hai</t>
  </si>
  <si>
    <t>2024-01-27 13:52:12</t>
  </si>
  <si>
    <t>जय हिन्द ❤❤</t>
  </si>
  <si>
    <t>2024-01-27 12:25:52</t>
  </si>
  <si>
    <t>@rahulchavda4337</t>
  </si>
  <si>
    <t>Kitna time me approve hoga</t>
  </si>
  <si>
    <t>2024-01-27 11:42:07</t>
  </si>
  <si>
    <t>स्पाइस मनी का हर एक अधिकारी खुद है समानता और स्वतंत्रता का प्रतीक, अपनी मेहनत से वह खुद है तरक्की की गारंटी!
हमारी ओर से आप सभी को गणतंत्र दिवस की हार्दिक शुभकामनाएं!
#SpiceMoney #RepublicDay #RuralFintech https://t.co/j5xsYqZirU</t>
  </si>
  <si>
    <t>2024-01-27 10:45:36</t>
  </si>
  <si>
    <t>2024-01-27 09:32:43</t>
  </si>
  <si>
    <t>2024-01-27 09:29:40</t>
  </si>
  <si>
    <t>2024-01-27 09:15:47</t>
  </si>
  <si>
    <t>2024-01-27 09:03:19</t>
  </si>
  <si>
    <t>2024-01-27 09:02:23</t>
  </si>
  <si>
    <t>Spice money me daly 1रु  kyun  kat rahe hain</t>
  </si>
  <si>
    <t>2024-01-27 08:10:02</t>
  </si>
  <si>
    <t>Mam spice money me kaise aprup karaye jankari de🙏🙏🙏🙏🙏🚩🚩🚩🚩🚩🚩🚩🚩🚩🚩🚩🚩🚩🚩🚩🚩🚩</t>
  </si>
  <si>
    <t>2024-01-27 07:26:19</t>
  </si>
  <si>
    <t>Mam kaise spice money me aprup karaye ap Bataye 🇳🇪🇳🇪🇳🇪🇳🇪🇳🇪🇳🇪🇳🇪🇳🇪🇳🇪🇳🇪🇳🇪</t>
  </si>
  <si>
    <t>2024-01-27 07:21:40</t>
  </si>
  <si>
    <t>Kaha se ap hai sir mere ko ap se jankari Lena hai spice many  🎉kaise aprup hoga bataye sir please 🙏🙏🙏🙏🙏🙏🙏🙏🙏🙏❤️❤️❤️🥀🥀💕💕💕💕🙏🙏🙏</t>
  </si>
  <si>
    <t>2024-01-27 07:12:12</t>
  </si>
  <si>
    <t>2024-01-26</t>
  </si>
  <si>
    <t>@neerajkumarnayak1371</t>
  </si>
  <si>
    <t>rashmi mam please.apka contact.no.do mujhe bat kerni hai appse please mam</t>
  </si>
  <si>
    <t>2024-01-26 22:02:08</t>
  </si>
  <si>
    <t>2024-01-26 22:01:01</t>
  </si>
  <si>
    <t>Iska video dekh roj spice money ko chodne soch tha mee......</t>
  </si>
  <si>
    <t>2024-01-26 20:39:09</t>
  </si>
  <si>
    <t>Number chahiye</t>
  </si>
  <si>
    <t>2024-01-26 20:32:17</t>
  </si>
  <si>
    <t>Ranchi ka hade kon h</t>
  </si>
  <si>
    <t>2024-01-26 20:31:55</t>
  </si>
  <si>
    <t>@RICKYWindowsOfficial22</t>
  </si>
  <si>
    <t>Jay Hind</t>
  </si>
  <si>
    <t>2024-01-26 18:35:53</t>
  </si>
  <si>
    <t>@Kumardungi_S.__official7510</t>
  </si>
  <si>
    <t>Spice money nice wark  my dhaniyad Dena chahuga aur age bade</t>
  </si>
  <si>
    <t>2024-01-26 18:23:39</t>
  </si>
  <si>
    <t>2024-01-26 17:41:29</t>
  </si>
  <si>
    <t>@sanjuu123456 Dear Sir, Greetings! Our customer care officer will get in touch with you shortly. Regards, Team Spice Money</t>
  </si>
  <si>
    <t>2024-01-26 17:12:59</t>
  </si>
  <si>
    <t>@husainansari9181</t>
  </si>
  <si>
    <t>Instant pan card kaise ho ga</t>
  </si>
  <si>
    <t>2024-01-26 16:55:36</t>
  </si>
  <si>
    <t>sanjuu123456</t>
  </si>
  <si>
    <t>SANJAY CHOUHAN</t>
  </si>
  <si>
    <t>@IamDilipModi @SpiceMoneyIndia This is how you change India ? https://t.co/tVfSc6CqTp</t>
  </si>
  <si>
    <t>2024-01-26 15:24:21</t>
  </si>
  <si>
    <t>Indore, india🇮🇳</t>
  </si>
  <si>
    <t>@IamDilipModi @SpiceMoneyIndia Your officer is not picking up my phone, I am online on WhatsApp but not replying, what is this method?
Adhikari is number 90094 54468</t>
  </si>
  <si>
    <t>2024-01-26 15:21:30</t>
  </si>
  <si>
    <t>@SpiceMoneyIndia Hello spiace money 90094 54468 Your officer canceled my approval twice yesterday, there was some mistake in it but I changed it again, after that your officer is not picking up my phone, I am online on WhatsApp but not replying.</t>
  </si>
  <si>
    <t>2024-01-26 15:17:58</t>
  </si>
  <si>
    <t>@SpiceMoneyIndia It's the third day today not any of your officers called me I am not able to log into the spice money portal or app</t>
  </si>
  <si>
    <t>2024-01-26 14:06:34</t>
  </si>
  <si>
    <t>2024-01-26 14:01:49</t>
  </si>
  <si>
    <t>2024-01-26 14:01:07</t>
  </si>
  <si>
    <t>Happy Republic Day</t>
  </si>
  <si>
    <t>2024-01-26 13:50:28</t>
  </si>
  <si>
    <t>2024-01-26 13:21:47</t>
  </si>
  <si>
    <t>SPICE MONEY  8959403546
udaybhanahirwar665@gmail.com</t>
  </si>
  <si>
    <t>2024-01-26 12:34:46</t>
  </si>
  <si>
    <t>2024-01-26 12:32:10</t>
  </si>
  <si>
    <t>आपकी सर्विस अच्छी नहीं है मेरी सर्विस ब्लॉक a Rahi hai kyonki mene limit kam fill ki thi ab koi bhi adhikari meri help nahi kar Raha hai</t>
  </si>
  <si>
    <t>2024-01-26 12:29:19</t>
  </si>
  <si>
    <t>Spice Money is Best platform हम सलूट करते हैं इस स्पाइस मनी को</t>
  </si>
  <si>
    <t>2024-01-26 12:29:09</t>
  </si>
  <si>
    <t>2024-01-26 12:10:55</t>
  </si>
  <si>
    <t>स्पाइस मनी का हर एक अधिकारी खुद है समानता और स्वतंत्रता का प्रतीक, अपनी मेहनत से वह खुद है तरक्की की गारंटी!
हमारी ओर से आप सभी को गणतंत्र दिवस की हार्दिक शुभकामनाएं!
#SpiceMoney #RepublicDay</t>
  </si>
  <si>
    <t>2024-01-26 12:05:52</t>
  </si>
  <si>
    <t>santoshbha73771</t>
  </si>
  <si>
    <t>santosh bhawankar</t>
  </si>
  <si>
    <t>@SpiceMoneyIndia Don't give me any unsatisfied comments give me my money return fraud by spice money</t>
  </si>
  <si>
    <t>2024-01-26 12:04:45</t>
  </si>
  <si>
    <t>Spice money ki ek I'd me ek staff ka option hona chahiye jisase I'd owner ka ek staff Kam kar sake</t>
  </si>
  <si>
    <t>2024-01-26 11:39:37</t>
  </si>
  <si>
    <t>@gujjarbrandofficial1234</t>
  </si>
  <si>
    <t>सारे जहां से अच्छा हिंदुस्तान हमारा 🇮🇳🚩♥️🤟</t>
  </si>
  <si>
    <t>2024-01-26 11:04:22</t>
  </si>
  <si>
    <t>Jai ❤hind</t>
  </si>
  <si>
    <t>2024-01-26 11:02:47</t>
  </si>
  <si>
    <t>Happy Republic day</t>
  </si>
  <si>
    <t>2024-01-26 10:55:29</t>
  </si>
  <si>
    <t>Bank CSP Update</t>
  </si>
  <si>
    <t>Aeps New Update NPCI Big Update Roinet Paynearby Spice Money Fino Bank 2024</t>
  </si>
  <si>
    <t>2024-01-26 10:34:20</t>
  </si>
  <si>
    <t>Dear sir, Greetings! Aapke sujhaav ke liye dhanyavaad, humne ise note kar liya hai. Regards, Team Spice Money</t>
  </si>
  <si>
    <t>2024-01-26 10:27:12</t>
  </si>
  <si>
    <t>2024-01-26 10:24:31</t>
  </si>
  <si>
    <t>Happy Republic Day and face scan withdrawal system like sir please</t>
  </si>
  <si>
    <t>2024-01-26 10:15:15</t>
  </si>
  <si>
    <t>Dear Sir, Greetings!  We would like to inform you that we’re unable to found you contact details. . Please share your mobile number  and suitable times. Regards, Team Spice Money</t>
  </si>
  <si>
    <t>2024-01-26 09:25:18</t>
  </si>
  <si>
    <t>**********
Sanjayfattha,@gmail.com</t>
  </si>
  <si>
    <t>2024-01-26 09:19:06</t>
  </si>
  <si>
    <t>Jai Hind</t>
  </si>
  <si>
    <t>2024-01-26 09:18:44</t>
  </si>
  <si>
    <t>2024-01-26 09:18:21</t>
  </si>
  <si>
    <t>2024-01-26 09:17:38</t>
  </si>
  <si>
    <t>2024-01-26 09:13:13</t>
  </si>
  <si>
    <t>2024-01-26 09:11:15</t>
  </si>
  <si>
    <t>2024-01-26 09:06:58</t>
  </si>
  <si>
    <t>2024-01-26 09:05:00</t>
  </si>
  <si>
    <t>2024-01-26 09:03:31</t>
  </si>
  <si>
    <t>@sumanprashad Dear Sir, Greetings! Hamare grahak sewa adhikari aapse jald hi sampark karenge. Regards, Team Spice Money</t>
  </si>
  <si>
    <t>2024-01-26 08:48:31</t>
  </si>
  <si>
    <t>2024-01-26 08:48:01</t>
  </si>
  <si>
    <t>@xtredumanjeet</t>
  </si>
  <si>
    <t>Jai hind</t>
  </si>
  <si>
    <t>2024-01-26 08:10:40</t>
  </si>
  <si>
    <t>Happy republic day</t>
  </si>
  <si>
    <t>2024-01-26 08:09:26</t>
  </si>
  <si>
    <t>Miptaul Habib plan By kijiye tab to milegi</t>
  </si>
  <si>
    <t>2024-01-26 07:54:54</t>
  </si>
  <si>
    <t>Jai hind Jai Bharat</t>
  </si>
  <si>
    <t>2024-01-26 07:20:33</t>
  </si>
  <si>
    <t>स्वतंत्रता और समानता की गारंटी देता है हमारा देश !
अपनी गारंटी यात्रा के साथ हम जा रहे हैं अपने महान देश के हर कोने में मिलने अपने पार्टनर्स और अधिकारियों से देने उन्हें तरक्की की गारंटी। 
जहाँ विज़न हो एक वहां रास्ता भी होता है एक। 
स्पाइस मनी की ओर से गणतंत्र दिवस की हार्दिक बधाई।
#SpiceMoney #RepublicDay</t>
  </si>
  <si>
    <t>2024-01-26 07:00:21</t>
  </si>
  <si>
    <t>@vasuahirkar9757</t>
  </si>
  <si>
    <t>जय हिंद जय भारत!!</t>
  </si>
  <si>
    <t>2024-01-26 06:58:26</t>
  </si>
  <si>
    <t>स्वतंत्रता और समानता की गारंटी देता है हमारा देश !
अपनी गारंटी यात्रा के साथ हम जा रहे हैं अपने महान देश के हर कोने में मिलने अपने पार्टनर्स और अधिकारियों से देने उन्हें तरक्की की गारंटी। 
जहाँ विज़न हो एक वहां रास्ता भी होता है एक। 
स्पाइस मनी की ओर से गणतंत्र दिवस की हार्दिक… https://t.co/U1t3GGeiwX</t>
  </si>
  <si>
    <t>2024-01-26 00:02:13</t>
  </si>
  <si>
    <t>2024-01-25</t>
  </si>
  <si>
    <t>@hasangaming8768</t>
  </si>
  <si>
    <t>Jai Hind Vande Mataram!</t>
  </si>
  <si>
    <t>2024-01-25 22:41:36</t>
  </si>
  <si>
    <t>आधे पार्टनर आधा काम भेत भाव करते है spice के उच्च अधिकारी और spice लखनऊ मे आयोजित गारंटी यात्रा मे सभी डिस्टीब्यूटर को नहीं पूछा गया ये क्या तरीका है ऐसे होते है इवेंट spice मै ऐसे इवेंट के होने ना होने का कोई फायदा नहीं</t>
  </si>
  <si>
    <t>2024-01-25 22:22:34</t>
  </si>
  <si>
    <t>2024-01-25 21:41:18</t>
  </si>
  <si>
    <t>Dear Sir please Active Commission plan D SDL
279284</t>
  </si>
  <si>
    <t>2024-01-25 21:40:47</t>
  </si>
  <si>
    <t>@sahidafridi6084</t>
  </si>
  <si>
    <t>Mam state Bank of India ka sabhi account main cash withdrawal nahi ho raha hai kyun suspect faurd likha aa raha hai</t>
  </si>
  <si>
    <t>2024-01-25 21:13:28</t>
  </si>
  <si>
    <t>2024-01-25 21:13:00</t>
  </si>
  <si>
    <t>स्पाइस मनी की ओर से गणतंत्र दिवस की हार्दिक बधाई।</t>
  </si>
  <si>
    <t>2024-01-25 21:08:11</t>
  </si>
  <si>
    <t>2024-01-25 21:00:45</t>
  </si>
  <si>
    <t>2024-01-25 20:53:12</t>
  </si>
  <si>
    <t>sumanprashad</t>
  </si>
  <si>
    <t>Suman Kumar</t>
  </si>
  <si>
    <t>मेरा आईडी चालू नहीं हो रहा कृपया मेरी आईडी को एक्टिव किया जाए ताकि हम बिजनेस कर सकें
मुझे कस्टमर केयर से वी सपोर्ट नहीं मिल रहा है
@SpiceMoneyIndia
Please help me😭😩🙏 https://t.co/37BtGuHf2x 
  Quoted Tweet : @SpiceMoneyIndia : रांची में गारंटी यात्रा की सफलता
23 जनवरी को रांची में गारंटी यात्रा हुई, इस मौके पर बड़ी संख्या में स्पाइस मनी के पार्टनर्स मौजूद रहे। सभी से मिलकर और उनका उत्साह देखकर हम बेहद खुश और एक्साइटेड हैं।
हम आपके साथ मिलकर आपके कारोबार को बढ़ाने और आपके ग्राहकों को बेहतर सेवाएं प्रदान… https://t.co/RwRhnOaDyk</t>
  </si>
  <si>
    <t>2024-01-25 19:58:59</t>
  </si>
  <si>
    <t>Bihar</t>
  </si>
  <si>
    <t>मैं स्पाइस मनी का डिस्ट्रीब्यूटर हूं और मेरा कमीशन कम आता है मैंने सभी जगह बोल भी है कि मेरा कमीशन कम आ रहा है फिर भी कोई सुनता नहीं है मेरा कमीशन ₹2 की जगह 1.4 पैसे तथा₹1 की जगह 70 पैसे आता है जो की अन्य डिस्ट्रीब्यूटर से कम है क्या आप से मुझे कोई हेल्प मिल सकती है</t>
  </si>
  <si>
    <t>2024-01-25 19:58:23</t>
  </si>
  <si>
    <t>@ashitoshhonale6217</t>
  </si>
  <si>
    <t>Mam Maine cash deposit tha 16/01/2023 ko State Bank of India me customer ke account me cash deposit nhi huaa hai mam Maine email bhi Kiya tha mam please meri help kro mam</t>
  </si>
  <si>
    <t>2024-01-25 19:54:43</t>
  </si>
  <si>
    <t>@DIFIXEntertainment</t>
  </si>
  <si>
    <t>Aadhar enrollment centre chahiye</t>
  </si>
  <si>
    <t>2024-01-25 19:15:03</t>
  </si>
  <si>
    <t>Service zero</t>
  </si>
  <si>
    <t>2024-01-25 19:04:49</t>
  </si>
  <si>
    <t>@SpiceMoneyIndia Problem solve nahi hui</t>
  </si>
  <si>
    <t>2024-01-25 19:04:41</t>
  </si>
  <si>
    <t>Best company in the world 🌎❤️, Spice Moeny,</t>
  </si>
  <si>
    <t>2024-01-25 18:57:49</t>
  </si>
  <si>
    <t>@SamadhanMore</t>
  </si>
  <si>
    <t>​@@SpiceMoneyOfficial registration fee kitni hai or mere pas dukan nahi Hain to bhi register kar sakata hu kya</t>
  </si>
  <si>
    <t>2024-01-25 18:48:22</t>
  </si>
  <si>
    <t>@@SpiceMoneyOfficial जो नम्बर अपने दिया है उसपर फ़ोन नहीं लगता टोकन नंबर डालने को बताता है आइडी खुल नहीं रही है तो टोकन नंबर कहा से मिलेंगा यही दिक्कत है सर जी 4से 5 माह होने वाला है बहुत नुक्सान हो रहा है सर जी प्लीज़ चालू करवाने का कष्ट करें सरजी</t>
  </si>
  <si>
    <t>2024-01-25 18:41:03</t>
  </si>
  <si>
    <t>@@SpiceMoneyOfficial सर जी कइ बार प्रयास कर चुका हूं कोई मदद नहीं मिल रही है प्लीज चालू करवा दें मैं ज्यादा जानता नही हू</t>
  </si>
  <si>
    <t>2024-01-25 18:31:15</t>
  </si>
  <si>
    <t>@Sandeep72227848 प्रिय महोदय,नमस्कार! हमने आपका ये concern हमारी टीम को शेयर कर दिया है, जानकरी के लिए आपका बहुत बहुत धन्यवाद है। सादर,टीम स्पाइस मनी</t>
  </si>
  <si>
    <t>2024-01-25 18:23:47</t>
  </si>
  <si>
    <t>Main bh Ludhiana ka hu aur distributor hu Aur 2.5-3 CR ka business hai bt hme to nhn bulaya</t>
  </si>
  <si>
    <t>2024-01-25 18:11:14</t>
  </si>
  <si>
    <t>Sandeep72227848</t>
  </si>
  <si>
    <t>Sandeep Arya</t>
  </si>
  <si>
    <t>@reliancejio @Spicemoney37831 @SpiceMoneyIndia मोबाइल नंबर से +91 8240269936 से साइबर धोखाधड़ी की जा रही है मेरा टेलीकॉम कंपनी से निवेदन है कि कृपया जांच करें की इतने बड़े पैमाने पर फर्जी सिमकार्ड कैसे जारी किए जा रहे है</t>
  </si>
  <si>
    <t>2024-01-25 17:54:49</t>
  </si>
  <si>
    <t>@santoshbha73771 Dear Sir, Greetings! As per discussed with you your concern  regarding Fraud case transaction issue, information  shared from our end .If you have any query,you can also contact us on our official customer care number 0120-3645645 Regards, Team Spice Money</t>
  </si>
  <si>
    <t>2024-01-25 17:49:03</t>
  </si>
  <si>
    <t>@CPLODHII Dear Sir, Namaskar! Aapse Batchit ke anusar NSDL kit ke  baare me hamari taraf se aapko jankari share kar di gayi hai. Adhik jankari ke liye aap hamare official customer care number 0120-3645645 par bhi sampark kar sakte hain. Regards, Team Spice Money</t>
  </si>
  <si>
    <t>2024-01-25 17:43:06</t>
  </si>
  <si>
    <t>2024-01-25 17:05:21</t>
  </si>
  <si>
    <t>2024-01-25 17:04:54</t>
  </si>
  <si>
    <t>Spice Mani best company</t>
  </si>
  <si>
    <t>2024-01-25 16:36:49</t>
  </si>
  <si>
    <t>रांची में गारंटी यात्रा की सफलता
23 जनवरी को रांची में गारंटी यात्रा हुई, इस मौके पर बड़ी संख्या में स्पाइस मनी के पार्टनर्स मौजूद रहे। सभी से मिलकर और उनका उत्साह देखकर हम बेहद खुश और एक्साइटेड हैं।
हम आपके साथ मिलकर आपके कारोबार को बढ़ाने और आपके ग्राहकों को बेहतर सेवाएं प्रदान… https://t.co/RwRhnOaDyk</t>
  </si>
  <si>
    <t>2024-01-25 15:59:20</t>
  </si>
  <si>
    <t>23 जनवरी को भुवनेश्वर में आयोजित गारंटी यात्रा में आप सब पार्टनर्स एवं अधिकारियों की उपस्थिति से हम आनंदित हो उठे। वाकई आप ही हैं स्पाइस मनी गारंटी I यात्रा के दौरान यह तेह हो गया है की स्पाइस मनी भारत की बैंकिंग सर्विसेज में एक नया इतिहास रचने की ओर सक्षम है I
#SpiceMoney… https://t.co/YC50PclPGr</t>
  </si>
  <si>
    <t>2024-01-25 15:58:09</t>
  </si>
  <si>
    <t>रांची में गारंटी यात्रा की सफलता
23 जनवरी को रांची में गारंटी यात्रा हुई, इस मौके पर बड़ी संख्या में स्पाइस मनी के पार्टनर्स मौजूद रहे। सभी से मिलकर और उनका उत्साह देखकर हम बेहद खुश और एक्साइटेड हैं।
हम आपके साथ मिलकर आपके कारोबार को बढ़ाने और आपके ग्राहकों को बेहतर सेवाएं प्रदान करने की राह में लगातार प्रयासरत हैं।
#SpiceMoney #GuaranteeYatraRanchi
#RuralFintech #PartnersMeet
रांची में गारंटी यात्रा की सफलता
23 जनवरी को रांची में गारंटी यात्रा हुई, इस मौके पर बड़ी संख्या में स्पाइस मनी के पार्टनर्स मौजूद रहे। सभी से मिलकर और उनका उत्साह देखकर हम बेहद खुश और एक्साइटेड हैं।
हम आपके साथ मिलकर आपके कारोबार को बढ़ाने और आपके ग्राहकों को बेहतर सेवाएं प्रदान करने की राह में लगातार प्रयासरत हैं।
#SpiceMoney #GuaranteeYatraRanchi
#RuralFintech #PartnersMeet</t>
  </si>
  <si>
    <t>2024-01-25 15:55:22</t>
  </si>
  <si>
    <t>Mera mobile number band ho gaya hai kya kara</t>
  </si>
  <si>
    <t>2024-01-25 15:32:54</t>
  </si>
  <si>
    <t>@jalam_inda_07 प्रिय महोदय, नमस्कार! आपकी आईडी पर हुई धोखाधड़ी के बारे में 
आपका  concern  आगे raise कर दिया गया है है, हमारी टीम  काम कर रही है। अधिक जानकारी के लिए आप हमारे आधिकारिक ग्राहक सेवा नंबर 0120-3645645 पर भी संपर्क कर सकते हैं। सादर, टीम स्पाइस मनी</t>
  </si>
  <si>
    <t>2024-01-25 15:24:41</t>
  </si>
  <si>
    <t>2024-01-25 14:56:18</t>
  </si>
  <si>
    <t>2024-01-25 14:44:42</t>
  </si>
  <si>
    <t>23 जनवरी को भुवनेश्वर में आयोजित गारंटी यात्रा में आप सब पार्टनर्स एवं अधिकारियों की उपस्थिति से हम आनंदित हो उठे। वाकई आप ही हैं स्पाइस मनी गारंटी I यात्रा के दौरान यह तेह हो गया है की स्पाइस मनी भारत की बैंकिंग सर्विसेज में एक नया इतिहास रचने की ओर सक्षम है I
#SpiceMoney #GuaranteeYatraBhubaneswar
#RuralFintech #PartnersMeet
23 जनवरी को भुवनेश्वर में आयोजित गारंटी यात्रा में आप सब पार्टनर्स एवं अधिकारियों की उपस्थिति से हम आनंदित हो उठे। वाकई आप ही हैं स्पाइस मनी गारंटी I यात्रा के दौरान यह तेह हो गया है की स्पाइस मनी भारत की बैंकिंग सर्विसेज में एक नया इतिहास रचने की ओर सक्षम है I
#SpiceMoney #GuaranteeYatraBhubaneswar
#RuralFintech #PartnersMeet</t>
  </si>
  <si>
    <t>2024-01-25 14:44:00</t>
  </si>
  <si>
    <t>@JatinTripathiii Dear Sir, Greetings! Please share your email id and mobile number  .we'll reach out to you to resolve all your concerns.Regards, Team Spice Money</t>
  </si>
  <si>
    <t>2024-01-25 13:46:07</t>
  </si>
  <si>
    <t>@mrsaeemidrishi7654</t>
  </si>
  <si>
    <t>@@SpiceMoneyOfficial 50 bar send Kiya hai
Jab bolte ho tab bhejte hai but no response</t>
  </si>
  <si>
    <t>2024-01-25 13:43:05</t>
  </si>
  <si>
    <t>2024-01-25 13:40:39</t>
  </si>
  <si>
    <t>जय जय श्री राम 🚩🚩🚩</t>
  </si>
  <si>
    <t>2024-01-25 13:40:02</t>
  </si>
  <si>
    <t>2024-01-25 13:39:59</t>
  </si>
  <si>
    <t>2024-01-25 13:34:33</t>
  </si>
  <si>
    <t>2024-01-25 13:30:55</t>
  </si>
  <si>
    <t>2024-01-25 13:26:58</t>
  </si>
  <si>
    <t>2024-01-25 13:25:44</t>
  </si>
  <si>
    <t>@ShahidH42990125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</si>
  <si>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2024-01-25 13:24:17</t>
  </si>
  <si>
    <t>2024-01-25 13:18:07</t>
  </si>
  <si>
    <t>2024-01-25 13:17:11</t>
  </si>
  <si>
    <t>2024-01-25 13:15:36</t>
  </si>
  <si>
    <t>2024-01-25 13:15:21</t>
  </si>
  <si>
    <t>2024-01-25 13:14:49</t>
  </si>
  <si>
    <t>2024-01-25 13:00:44</t>
  </si>
  <si>
    <t>23 जनवरी को भुवनेश्वर में आयोजित गारंटी यात्रा में आप सब पार्टनर्स एवं अधिकारियों की उपस्थिति से हम आनंदित हो उठे। वाकई आप ही हैं स्पाइस मनी गारंटी I यात्रा के दौरान यह तेह हो गया है की स्पाइस मनी भारत की बैंकिंग सर्विसेज में एक नया इतिहास रचने की ओर सक्षम है I
#SpiceMoney… https://t.co/7fJyRBB7Yu</t>
  </si>
  <si>
    <t>2024-01-25 12:24:17</t>
  </si>
  <si>
    <t>New MORPHO MSO 1300 E3 RD L1 Not Working at Spice Money Portal
SDL 90220 please check and confirm me sir</t>
  </si>
  <si>
    <t>2024-01-25 12:18:07</t>
  </si>
  <si>
    <t>2024-01-25 12:18:01</t>
  </si>
  <si>
    <t>2024-01-25 12:17:55</t>
  </si>
  <si>
    <t>2024-01-25 12:17:44</t>
  </si>
  <si>
    <t>2024-01-25 12:17:39</t>
  </si>
  <si>
    <t>2024-01-25 12:17:32</t>
  </si>
  <si>
    <t>New MORPHO MSO 1300 E3 RD L1 Not Working at Spice Money Portal Please check and confirm me</t>
  </si>
  <si>
    <t>2024-01-25 12:14:23</t>
  </si>
  <si>
    <t>2024-01-25 12:13:26</t>
  </si>
  <si>
    <t>23 जनवरी 2024 को लुधियाना में आयोजित गारंटी यात्रा के दौरान सभी का उत्साह देखकर मन खुश हो गया। स्पाइस मनी के साथ मिलकर, हमारे पार्टनर्स फिनटेक क्षेत्र में नई सफलता की कहानी रचने के लिए पूरी तैयारी में हैं।
#SpiceMoney #GuaranteeYatraLudhiana
#RuralFintech #PartnersMeet https://t.co/wJhKTK03SZ</t>
  </si>
  <si>
    <t>2024-01-25 12:09:26</t>
  </si>
  <si>
    <t>23 जनवरी 2024 को लुधियाना में आयोजित गारंटी यात्रा के दौरान सभी का उत्साह देखकर मन खुश हो गया। स्पाइस मनी के साथ मिलकर, हमारे पार्टनर्स फिनटेक क्षेत्र में नई सफलता की कहानी रचने के लिए पूरी तैयारी में हैं।
#SpiceMoney #GuaranteeYatraLudhiana 
#RuralFintech #PartnersMeet
23 जनवरी 2024 को लुधियाना में आयोजित गारंटी यात्रा के दौरान सभी का उत्साह देखकर मन खुश हो गया। स्पाइस मनी के साथ मिलकर, हमारे पार्टनर्स फिनटेक क्षेत्र में नई सफलता की कहानी रचने के लिए पूरी तैयारी में हैं।
#SpiceMoney #GuaranteeYatraLudhiana 
#RuralFintech #PartnersMeet</t>
  </si>
  <si>
    <t>2024-01-25 12:08:46</t>
  </si>
  <si>
    <t>@ashishblogger62</t>
  </si>
  <si>
    <t>distributor id chahiye plz help</t>
  </si>
  <si>
    <t>2024-01-25 11:57:00</t>
  </si>
  <si>
    <t>Spice money customer sampark nhi kiya</t>
  </si>
  <si>
    <t>2024-01-25 09:51:03</t>
  </si>
  <si>
    <t>@DK_YADAV82 Dear Sir, Greetings! Hamare grahak sewa adhikari aapse jald hi sampark karenge. Regards, Team Spice Money</t>
  </si>
  <si>
    <t>2024-01-25 09:50:00</t>
  </si>
  <si>
    <t>@SpiceMoneyIndia @SpiceMoneyIndia  service buy karne ke bad bhi active nahin hua NSDL payment Bank ka lagta hai mere sath scan Ho Gaya 
I'd number = sdl1290904 https://t.co/RBPF89AuYa</t>
  </si>
  <si>
    <t>2024-01-25 09:23:55</t>
  </si>
  <si>
    <t>@SpiceMoneyIndia  service buy karne ke bad bhi active nahin hua NSDL payment Bank ka lagta hai mere sath scan Ho Gaya https://t.co/Q7RXOMSVl9</t>
  </si>
  <si>
    <t>2024-01-25 09:22:14</t>
  </si>
  <si>
    <t>@SpiceMoneyIndia No any of your officers call me yet I need to kuch of my account</t>
  </si>
  <si>
    <t>2024-01-25 09:06:44</t>
  </si>
  <si>
    <t>Spice money is good service</t>
  </si>
  <si>
    <t>2024-01-25 08:38:41</t>
  </si>
  <si>
    <t>कुंवर कुशालसिह राजपूत upi txn settlement nhi hoti use BBPS or DMT</t>
  </si>
  <si>
    <t>2024-01-25 06:40:11</t>
  </si>
  <si>
    <t>Froud company hai chor
2 month se call kar Rahe hai koi help support nahi de rahe</t>
  </si>
  <si>
    <t>2024-01-25 06:13:25</t>
  </si>
  <si>
    <t>2024-01-24</t>
  </si>
  <si>
    <t>AEPS Fraud Spice money fino paynear rapi pay Airtel payments Bank other</t>
  </si>
  <si>
    <t>2024-01-24 23:28:22</t>
  </si>
  <si>
    <t>@SpiceMoneyIndia And about your Customer Care Number, I also contacted on that  number your system said "our team will call you back".
Till now I am waiting for the call. 
Great Job @SpiceMoneyIndia</t>
  </si>
  <si>
    <t>2024-01-24 22:37:40</t>
  </si>
  <si>
    <t>@SpiceMoneyIndia I would also like to inform you that I clicked on the "No, Thanks" option but it doesn't work the way you think, I attached a screenshot for your understanding please go through it! https://t.co/kelqLcMAmO</t>
  </si>
  <si>
    <t>2024-01-24 22:32:52</t>
  </si>
  <si>
    <t>@SpiceMoneyIndia I would also like to inform you that I clicked on "No,Thanks" option and it didn't work the way you thinking, you can see in the given screenshot. 
And about that customer care number I contacted them too they said our team will call you... Not a single call I got from your side. https://t.co/2ohTOSrLc5</t>
  </si>
  <si>
    <t>2024-01-24 22:27:18</t>
  </si>
  <si>
    <t>SPICE MONEY 8390682373</t>
  </si>
  <si>
    <t>2024-01-24 22:12:40</t>
  </si>
  <si>
    <t>@DILIPKUMAR-bc7kn</t>
  </si>
  <si>
    <t>Spice money main aur bank add nahi h</t>
  </si>
  <si>
    <t>2024-01-24 21:40:05</t>
  </si>
  <si>
    <t>@adkbiswasmuce</t>
  </si>
  <si>
    <t>🎉mara cat hoya ha 270 rs debt hoya</t>
  </si>
  <si>
    <t>2024-01-24 21:31:35</t>
  </si>
  <si>
    <t>Bob ka payment kiu ni nik ra ha</t>
  </si>
  <si>
    <t>2024-01-24 21:24:35</t>
  </si>
  <si>
    <t>@vikassoni9811</t>
  </si>
  <si>
    <t>Chor company h</t>
  </si>
  <si>
    <t>2024-01-24 21:13:50</t>
  </si>
  <si>
    <t>@Dakshpavan</t>
  </si>
  <si>
    <t>Agra mai bhi aa jao.....❤❤❤</t>
  </si>
  <si>
    <t>2024-01-24 20:26:13</t>
  </si>
  <si>
    <t>@jitendrakurmivlogs7565</t>
  </si>
  <si>
    <t>Spice Money 100% Safe hai</t>
  </si>
  <si>
    <t>2024-01-24 19:55:14</t>
  </si>
  <si>
    <t>Spice money newer do this</t>
  </si>
  <si>
    <t>2024-01-24 19:54:33</t>
  </si>
  <si>
    <t>BizIndustryNews</t>
  </si>
  <si>
    <t>Biz Industry</t>
  </si>
  <si>
    <t>Spice Money's Adhikari Network Surges 11.17% in Odisha, Setting a New Benchmark in Rural Fintech Growth
https://t.co/q825ilB182
@SpiceMoneyIndia
#bizindustry #SpiceMoney #RuralFintech #Nanopreneurs #FinancialInclusion #OdishaGrowth #SpiceMoneyGuaranteeDrive #DigitalBanking</t>
  </si>
  <si>
    <t>2024-01-24 19:35:20</t>
  </si>
  <si>
    <t>@KhabarBollyTolly92</t>
  </si>
  <si>
    <t>Real hero</t>
  </si>
  <si>
    <t>2024-01-24 19:28:43</t>
  </si>
  <si>
    <t>@Masticom-qg8fy</t>
  </si>
  <si>
    <t>Spice money compani thik hai 100%   par app nahi kyo ki app chor log bina OTP batay apk jariy login ho jata hai app ko login karte samay OTP ant fingar ka hona jaruri hai tab mai manuga ki spice money best hai 😂😂😂😂😂😂😂😂😂😂😂😂😂</t>
  </si>
  <si>
    <t>2024-01-24 19:16:53</t>
  </si>
  <si>
    <t>ShahidH42990125</t>
  </si>
  <si>
    <t>MOHAMMAD SHAHID HUSAIN</t>
  </si>
  <si>
    <t>@SpiceMoneyIndia aeps withdrwa से पैसे निकाल रहे हैं स्पाइस मनी और आधार पैसे दोनों में से किसी से पैसे नहीं निकलने ऐसी समस्या के लिए जो डिस्ट्रीब्यूटर है ठाकुरद्वारा के उन्हें कई बार अवगत करा दिया गया अभी तक उनसे हमारी समस्या का समाधान नहीं हुआ https://t.co/29SSZWB7MM</t>
  </si>
  <si>
    <t>2024-01-24 19:08:04</t>
  </si>
  <si>
    <t>Thakurdwara</t>
  </si>
  <si>
    <t>Apka app mai chala rha hu or uska pasward change krna h to OTP nhi aata h</t>
  </si>
  <si>
    <t>2024-01-24 18:27:11</t>
  </si>
  <si>
    <t>DK_YADAV82</t>
  </si>
  <si>
    <t>Dharmendra</t>
  </si>
  <si>
    <t>@SpiceMoneyIndia 9981701028 email ydharmendraguna@gmail.com</t>
  </si>
  <si>
    <t>2024-01-24 18:24:09</t>
  </si>
  <si>
    <t>Maksudangarh</t>
  </si>
  <si>
    <t>@JatinTripathiii Dear Sir, Greetings ! We would like to inform you that please click on " No, Thanks" option and then proceed for messaging us. You can also contact us on our official customer care number 0120-3645645 Regards, Team Spice Money</t>
  </si>
  <si>
    <t>2024-01-24 18:13:05</t>
  </si>
  <si>
    <t>SPICE MONEY 9166389575 kushalsingh33845@gmail.com</t>
  </si>
  <si>
    <t>2024-01-24 18:08:31</t>
  </si>
  <si>
    <t>2024-01-24 18:05:30</t>
  </si>
  <si>
    <t>2024-01-24 18:04:04</t>
  </si>
  <si>
    <t>2024-01-24 18:01:38</t>
  </si>
  <si>
    <t>2024-01-24 17:56:57</t>
  </si>
  <si>
    <t>2024-01-24 17:54:33</t>
  </si>
  <si>
    <t>@dineshsahu0202 Dear Sir, Greetings! Our customer care officer will get in touch with you shortly. Regards, Team Spice Money</t>
  </si>
  <si>
    <t>2024-01-24 17:52:41</t>
  </si>
  <si>
    <t>Dear Sir, Namaskar!Aapko batana chahenge ki Spice Money me  bike insurance ki service abhi available nahi hai .Adhik jankari ke liye aap hamare official customer care number 0120-3645645 par bhi sampark kar sakte hain. Regards, Team Spice Money</t>
  </si>
  <si>
    <t>2024-01-24 17:38:59</t>
  </si>
  <si>
    <t>@SpiceMoneyIndia Aapki team kitne dino me bat karegi</t>
  </si>
  <si>
    <t>2024-01-24 17:37:59</t>
  </si>
  <si>
    <t>2024-01-24 17:22:27</t>
  </si>
  <si>
    <t>@ravipratatpsing प्रिय महोदय, नमस्कार! हमारे ग्राहक सेवा अधिकारी जल्द ही आपसे संपर्क करेंगे। सादर, टीम स्पाइस मनी</t>
  </si>
  <si>
    <t>2024-01-24 17:20:12</t>
  </si>
  <si>
    <t>Ranchi update kijye</t>
  </si>
  <si>
    <t>2024-01-24 16:50:49</t>
  </si>
  <si>
    <t>@lovingvishwas24 Dear Sir, Greetings! We regret the inconvenience caused to you. Please share your email id and mobile number in inbox .we'll reach out to you to resolve all your concerns.Regards, Team Spice Money</t>
  </si>
  <si>
    <t>2024-01-24 16:30:13</t>
  </si>
  <si>
    <t>है पूरा विश्वास, रचेंगे कामयाबी का इतिहास। 
23 जनवरी को नाशिक में हुई गारंटी यात्रा मीट के दौरान आप सभी का रिस्पॉन्स देखकर हम हर्षित हो उठे। आपका साथ व समर्पण हमारी पूंजी है और बड़े रिकॉर्ड बनाने की कुंजी है।
#SpiceMoney #GuaranteeYatraNashik
#RuralFintech #PartnersMeet https://t.co/m609TRf8Hu</t>
  </si>
  <si>
    <t>2024-01-24 16:30:06</t>
  </si>
  <si>
    <t>है पूरा विश्वास, रचेंगे कामयाबी का इतिहास। 
23 जनवरी को नाशिक में हुई गारंटी यात्रा मीट के दौरान आप सभी का रिस्पॉन्स देखकर हम हर्षित हो उठे। आपका साथ व समर्पण हमारी पूंजी है और बड़े रिकॉर्ड बनाने की कुंजी है।
#SpiceMoney #GuaranteeYatraNashik
#RuralFintech #PartnersMeet
है पूरा विश्वास, रचेंगे कामयाबी का इतिहास। 
23 जनवरी को नाशिक में हुई गारंटी यात्रा मीट के दौरान आप सभी का रिस्पॉन्स देखकर हम हर्षित हो उठे। आपका साथ व समर्पण हमारी पूंजी है और बड़े रिकॉर्ड बनाने की कुंजी है।
#SpiceMoney #GuaranteeYatraNashik
#RuralFintech #PartnersMeet</t>
  </si>
  <si>
    <t>2024-01-24 16:25:23</t>
  </si>
  <si>
    <t>@maithilbabulal Dear Sir, Namaskar! New id request ke regarding aap hamare official customer care 0120-3645622 par sampark karein. Regards, Team Spice Money</t>
  </si>
  <si>
    <t>2024-01-24 16:25:19</t>
  </si>
  <si>
    <t>ravipratatpsing</t>
  </si>
  <si>
    <t>ravi pratatp singh</t>
  </si>
  <si>
    <t>@SpiceMoneyIndia 9005339893</t>
  </si>
  <si>
    <t>2024-01-24 16:07:31</t>
  </si>
  <si>
    <t>Lucknow</t>
  </si>
  <si>
    <t>Spic mony good</t>
  </si>
  <si>
    <t>2024-01-24 16:00:36</t>
  </si>
  <si>
    <t>2024-01-24 16:00:15</t>
  </si>
  <si>
    <t>@ROHITKU22787129 Dear Sir, Namaskar! Distributor id request ke regarding aap hamare official customer care 0120-3645622 par sampark karein. Regards, Team Spice Money</t>
  </si>
  <si>
    <t>2024-01-24 15:59:14</t>
  </si>
  <si>
    <t>@ravipratatpsing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</si>
  <si>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2024-01-24 15:58:13</t>
  </si>
  <si>
    <t>Dipak Digital News</t>
  </si>
  <si>
    <t>Spice Money &amp;amp; Fino Payment Bank Aeps Cash Deposit Life এপিএস ক্যাশ ডিপোজিট লাইফ</t>
  </si>
  <si>
    <t>2024-01-24 15:51:56</t>
  </si>
  <si>
    <t>2024-01-24 15:51:33</t>
  </si>
  <si>
    <t>2024-01-24 15:50:43</t>
  </si>
  <si>
    <t>2024-01-24 15:49:11</t>
  </si>
  <si>
    <t>2024-01-24 15:47:00</t>
  </si>
  <si>
    <t>Dear Sir, Namaskar! Spice Money ki taraf se aapke paas verification ke liye ya fir id password share karne ke liye aisi koi bhi call nahi jati hai ,aapse requst hai ki kripya aisi kisi link par click na kare aur na hi apni details share kare ,otherwise aap fraud ke shikaar ho sakte, Regards,Team Spice Money</t>
  </si>
  <si>
    <t>2024-01-24 15:45:01</t>
  </si>
  <si>
    <t>maithilbabulal</t>
  </si>
  <si>
    <t>DR.BABULAL Yadav</t>
  </si>
  <si>
    <t>Hii sir/mam i need id of spice money so help me 
Hi Sir/mam hamko id chahiye spice money @SpiceMoneyIndia @SpiceMoneyIndia</t>
  </si>
  <si>
    <t>2024-01-24 15:42:45</t>
  </si>
  <si>
    <t>Darbhanga railway station, dar</t>
  </si>
  <si>
    <t>2024-01-24 15:40:14</t>
  </si>
  <si>
    <t>2024-01-24 15:38:58</t>
  </si>
  <si>
    <t>2024-01-24 15:37:05</t>
  </si>
  <si>
    <t>Dear sir, Greetings! Aapke sujhaav ke liye dhanyvaad, humne ise note kar liya hai. Regards, Team Spice money</t>
  </si>
  <si>
    <t>2024-01-24 15:36:06</t>
  </si>
  <si>
    <t>2024-01-24 15:34:17</t>
  </si>
  <si>
    <t>2024-01-24 15:33:18</t>
  </si>
  <si>
    <t>@SpiceMoneyIndia 9977267910</t>
  </si>
  <si>
    <t>2024-01-24 15:32:08</t>
  </si>
  <si>
    <t>@CPLODHII Dear Sir, Namaskar! Aapse request hai ki please apna Mobile number &amp;amp; email id hume inbox me share karein, hamari customer care team aapse jald hi sampark karegi. Regards, Team Spice Money</t>
  </si>
  <si>
    <t>2024-01-24 15:27:33</t>
  </si>
  <si>
    <t>@SpiceMoneyIndia Sir spice money RM sir chating kar rahe hai NSDL payment Bank kit nahi bhej rahe hai</t>
  </si>
  <si>
    <t>2024-01-24 14:57:28</t>
  </si>
  <si>
    <t>2024-01-24 14:20:22</t>
  </si>
  <si>
    <t>2024-01-24 14:17:26</t>
  </si>
  <si>
    <t>2024-01-24 14:16:40</t>
  </si>
  <si>
    <t>2024-01-24 14:14:11</t>
  </si>
  <si>
    <t>Ok</t>
  </si>
  <si>
    <t>2024-01-24 14:00:54</t>
  </si>
  <si>
    <t>जय श्री राम</t>
  </si>
  <si>
    <t>2024-01-24 13:36:10</t>
  </si>
  <si>
    <t>@SpiceMoneyIndia avoid using spice money. Customer service is very bad. I requested to delete account they did nothing. Then I requested to rwmove my mobile no. from sms notification service. They did nothing. After too many requests they are still sending me sms for loan.</t>
  </si>
  <si>
    <t>2024-01-24 13:28:23</t>
  </si>
  <si>
    <t>@SpiceMoneyIndia This is showing while I am logging  in https://t.co/DxSZY08Xpc</t>
  </si>
  <si>
    <t>2024-01-24 13:09:50</t>
  </si>
  <si>
    <t>EthRambone70112</t>
  </si>
  <si>
    <t>RamBoneAlone.eth</t>
  </si>
  <si>
    <t>@InvGurInd @IamDilipModi @SpiceMoneyIndia Already heard about it. I will do it now. https://t.co/j6SYjzrTMP 
  Quoted Tweet : @kripsuri : It makes me around 5-10 ETH per week! 🤑
How: https://t.co/EPQ9ZQnzbM
I've been using it for 3 months now.
It works great for me and it's my biggest source of income right now.✅
The Developer only take 2% of the profits!
It's the best i've seen so far ♥️ https://t.co/QhR81WR4of</t>
  </si>
  <si>
    <t>2024-01-24 12:28:07</t>
  </si>
  <si>
    <t>Burkina faso</t>
  </si>
  <si>
    <t>InvGurInd</t>
  </si>
  <si>
    <t>Investment Guru India</t>
  </si>
  <si>
    <t>Pre-budget Expectations : Financial inclusion stands out as another critical aspect likely to be addressed in the budget by Mr. @IamDilipModi , Founder, @SpiceMoneyIndia 
https://t.co/48L1RIsg5M
#ExpertViews #PreBudgetExpectations #SpiceMoney #DilipModi #Investmentguruindia https://t.co/EB3v51Xscm</t>
  </si>
  <si>
    <t>2024-01-24 12:27:59</t>
  </si>
  <si>
    <t>@SpiceMoneyIndia ek madarchod or ghatiya company hai jo apne agent ki tk ni sunti is madarchod ko use krna band krdo sabhi log</t>
  </si>
  <si>
    <t>2024-01-24 12:15:18</t>
  </si>
  <si>
    <t>@DK_YADAV82 Dear Sir, Namaskar! Aapse request hai ki please apna Mobile number &amp;amp; email id hume inbox me share karein, hamari customer care team aapse jald hi sampark karegi. Regards, Team Spice Money</t>
  </si>
  <si>
    <t>2024-01-24 11:56:00</t>
  </si>
  <si>
    <t>Thank you so much spice money services tim🎉🎉🎉🎉🎉🎉❤❤❤❤</t>
  </si>
  <si>
    <t>2024-01-24 11:43:22</t>
  </si>
  <si>
    <t>@pritamsarkar6003</t>
  </si>
  <si>
    <t>Bass band karde spice money Voice alert ⚠️ charge  har ak retailers parishan me hai is voice alert charg ko lekar, is voice alert service ko koi bhi retailers manmutbi band nahi karparahihi 😢
Bass parishan kiyajarahai spice money k aurse
GMAIL+call karke koibhi samadhan nahi milrahihi...</t>
  </si>
  <si>
    <t>2024-01-24 11:27:04</t>
  </si>
  <si>
    <t>Aeps Portal bohat solo hai</t>
  </si>
  <si>
    <t>2024-01-24 11:16:03</t>
  </si>
  <si>
    <t>@AxisBank Spice Money Se account Khole The Aur Vijaypur axis bank IFSC Code UTIB0002538 Dwara Account Hold Nahin hataya Ja raha hai Aur Manager Kahti hai mujhe Baat Karne  Ka Samay Nahin</t>
  </si>
  <si>
    <t>2024-01-24 11:01:27</t>
  </si>
  <si>
    <t>@VikuKumar-jz2ou</t>
  </si>
  <si>
    <t>Rose apaka niyam badalta hai</t>
  </si>
  <si>
    <t>2024-01-24 09:57:23</t>
  </si>
  <si>
    <t>2024-01-24 09:52:48</t>
  </si>
  <si>
    <t>2024-01-24 09:52:32</t>
  </si>
  <si>
    <t>2024-01-24 09:51:23</t>
  </si>
  <si>
    <t>2024-01-24 09:49:42</t>
  </si>
  <si>
    <t>प्रिय महोदय, नमस्कार! आपसे अनुरोध है कि कृपया अपना मोबाइल नंबर और ईमेल आईडी हमें inbox me साझा करें, हमारी ग्राहक सेवा टीम आपसे जल्द ही संपर्क करेगी। आप हमारे आधिकारिक ग्राहक सेवा नंबर 0120-3645645 पर भी संपर्क कर सकते हैं। सादर, टीम स्पाइस मनी</t>
  </si>
  <si>
    <t>2024-01-24 09:48:39</t>
  </si>
  <si>
    <t>2024-01-24 09:28:52</t>
  </si>
  <si>
    <t>2024-01-24 09:15:58</t>
  </si>
  <si>
    <t>2024-01-24 09:10:18</t>
  </si>
  <si>
    <t>2024-01-24 08:38:05</t>
  </si>
  <si>
    <t>2024-01-24 08:36:11</t>
  </si>
  <si>
    <t>2024-01-24 08:34:04</t>
  </si>
  <si>
    <t>स्पाइस मनी गारंटी यात्रा क्या है? 
कैसे ये भारत के कल को आज बदल रहा है। 
जानने के लिए वीडियो लिंक पर https://youtu.be/IHWzT2TNYKQ क्लिक करें।
#SpiceSamachar</t>
  </si>
  <si>
    <t>2024-01-24 08:00:58</t>
  </si>
  <si>
    <t>Thank you mam</t>
  </si>
  <si>
    <t>2024-01-24 06:38:47</t>
  </si>
  <si>
    <t>Thank you for spice money sirvce ❤❤❤</t>
  </si>
  <si>
    <t>2024-01-24 06:37:47</t>
  </si>
  <si>
    <t>UPI cash withdrawal successful but amount not credit account or wallet 9 January 1000 compliant kiya hai 48 hours bolta hai email kiya resolution nhi mila hai</t>
  </si>
  <si>
    <t>2024-01-24 00:17:26</t>
  </si>
  <si>
    <t>2024-01-24 00:16:56</t>
  </si>
  <si>
    <t>2024-01-24 00:16:20</t>
  </si>
  <si>
    <t>2024-01-24 00:15:58</t>
  </si>
  <si>
    <t>2024-01-24 00:15:25</t>
  </si>
  <si>
    <t>2024-01-24 00:15:05</t>
  </si>
  <si>
    <t>2024-01-23</t>
  </si>
  <si>
    <t>sdl428832 compliant solve nahi huya 15din up huya hai</t>
  </si>
  <si>
    <t>2024-01-23 23:30:51</t>
  </si>
  <si>
    <t>Sir bike insurance kr sakte kya spice money se v kese</t>
  </si>
  <si>
    <t>2024-01-23 22:56:34</t>
  </si>
  <si>
    <t>ROHITKU22787129</t>
  </si>
  <si>
    <t>ROHIT YADAV</t>
  </si>
  <si>
    <t>@SpiceMoneyIndia  SPICE DISTRIBUTOR SHIP CHAHIYE</t>
  </si>
  <si>
    <t>2024-01-23 21:32:34</t>
  </si>
  <si>
    <t>Bihar, india</t>
  </si>
  <si>
    <t>Jai shree ram</t>
  </si>
  <si>
    <t>2024-01-23 21:09:27</t>
  </si>
  <si>
    <t>@samalpurimujical</t>
  </si>
  <si>
    <t>3000 Mera hai</t>
  </si>
  <si>
    <t>2024-01-23 20:40:41</t>
  </si>
  <si>
    <t>dineshsahu0202</t>
  </si>
  <si>
    <t>Dinesh Sahu</t>
  </si>
  <si>
    <t>@SpiceMoneyIndia 9399428585,9907657068 this is a contact number u  can contact on these number at any time .</t>
  </si>
  <si>
    <t>2024-01-23 20:34:09</t>
  </si>
  <si>
    <t>@nageshdebbarma5726</t>
  </si>
  <si>
    <t>Tripura main bhi aaye</t>
  </si>
  <si>
    <t>2024-01-23 20:30:05</t>
  </si>
  <si>
    <t>meri id hi hake karke haker ne100000rs transfer ker liye cyber cell ko majboot karo madam</t>
  </si>
  <si>
    <t>2024-01-23 20:07:58</t>
  </si>
  <si>
    <t>SPICE MONEY  morning mai 11 baje call kare aap</t>
  </si>
  <si>
    <t>2024-01-23 19:03:47</t>
  </si>
  <si>
    <t>@jaanmoniborphukan2109</t>
  </si>
  <si>
    <t>Lovely 🎉🎉🎉im fom asasam, Dhemaji jila</t>
  </si>
  <si>
    <t>2024-01-23 18:55:53</t>
  </si>
  <si>
    <t>Sir dewas ke khategaon me ayenge kya sir</t>
  </si>
  <si>
    <t>2024-01-23 18:52:27</t>
  </si>
  <si>
    <t>@manarora1851</t>
  </si>
  <si>
    <t>Account opening ki suvidha mujhe nahi mil rahi hai 
sdl963929</t>
  </si>
  <si>
    <t>2024-01-23 18:51:13</t>
  </si>
  <si>
    <t>Bank of Baroda transaction nahi hota hai sir</t>
  </si>
  <si>
    <t>2024-01-23 18:51:00</t>
  </si>
  <si>
    <t>@COMELEARNMORE7800</t>
  </si>
  <si>
    <t>Nice but solution timely nahi milta h tb retailer preshan ho jate h please give all solutions on timely</t>
  </si>
  <si>
    <t>2024-01-23 18:41:56</t>
  </si>
  <si>
    <t>@user-tx9et4jo9p</t>
  </si>
  <si>
    <t>Mera payment wallet ya account me abi tak settlement nahi hua hai 11/01/2024ko kiya tha</t>
  </si>
  <si>
    <t>2024-01-23 18:38:52</t>
  </si>
  <si>
    <t>Spice Money Guarantee Yatra Partners ke success ki yatra hai!</t>
  </si>
  <si>
    <t>2024-01-23 18:37:02</t>
  </si>
  <si>
    <t>2024-01-23 18:00:24</t>
  </si>
  <si>
    <t>3.5  lakh spice wallet  se us bande ka gya he vo kaha gaya abhi tak sahi jankari Or pesa kaha gya uska pata nhi chala</t>
  </si>
  <si>
    <t>2024-01-23 16:17:12</t>
  </si>
  <si>
    <t>Muje abhitak konasi madat nahi mili</t>
  </si>
  <si>
    <t>2024-01-23 15:09:31</t>
  </si>
  <si>
    <t>आस्था से खिलवाड़ करने वाले ऐसे ठगों से बचें!
पूरी जानकारी के लिए वीडियो लिंक पर https://t.co/CCRrXBxC3b क्लिक करें।
#SpiceSatark #SpiceMoney https://t.co/5eKqh4BQbl</t>
  </si>
  <si>
    <t>2024-01-23 14:36:10</t>
  </si>
  <si>
    <t>19 जनवरी को मैसूर में गारंटी यात्रा पहुंची। स्पाइस मनी पार्टनर्स से मिलकर और आपका उत्साह देखकर बेहद प्रसन्नता हुई । हम और आप मिलकर कामयाबी का एक नया इतिहास रचने को पूरी तरह तैयार हैं।
#SpiceMoney #GuaranteeYatraMysore
#RuralFintech #PartnersMeet https://t.co/ei5mUKyPP2</t>
  </si>
  <si>
    <t>2024-01-23 14:34:09</t>
  </si>
  <si>
    <t>गारंटी यात्रा है, उन्नति का मार्ग
19 जनवरी को अहमदाबाद में हुई इस यात्रा में, हम सभी अपने स्पाइस मनी पार्टनर्स से मिलकर उत्साहित थे। आप सभी का काम के प्रति समर्पण और हमारी योजनाओं के साथ, हम कामयाबी के बड़े रिकॉर्ड बनाने के लिए तैयार हैं।
#SpiceMoney #GuaranteeAhmedabad… https://t.co/95Usb0WNXJ</t>
  </si>
  <si>
    <t>2024-01-23 14:32:48</t>
  </si>
  <si>
    <t>आस्था से खिलवाड़ करने वाले ऐसे ठगों से बचें!
पूरी जानकारी के लिए वीडियो लिंक पर https://youtu.be/ySy-ogKu0Pk क्लिक करें।
#SpiceSatark #SpiceMoney</t>
  </si>
  <si>
    <t>2024-01-23 14:32:37</t>
  </si>
  <si>
    <t>Fece authentication cash withdrawal aana chahiye Jald se jald kyuki iski bahut aawasyakta hai bahut logo ka finger nahi lagta hai.</t>
  </si>
  <si>
    <t>2024-01-23 14:19:03</t>
  </si>
  <si>
    <t>@mziyanetwork786</t>
  </si>
  <si>
    <t>Meri AEPS active nhi ho rahi h 1 month hogya h koi sahi update deta hi nhi h</t>
  </si>
  <si>
    <t>2024-01-23 14:14:31</t>
  </si>
  <si>
    <t>@Irshadbanking</t>
  </si>
  <si>
    <t>Yah sab theek hai mem Spice Mani Mein Ek update jaruri hai face scan withdrawal system jald se jald layiye</t>
  </si>
  <si>
    <t>2024-01-23 13:55:24</t>
  </si>
  <si>
    <t>@Dreamguru887</t>
  </si>
  <si>
    <t>Spice money me paise face rhta hai aise koi bhai abhi issue hai</t>
  </si>
  <si>
    <t>2024-01-23 13:45:13</t>
  </si>
  <si>
    <t>@krishnathesrkmobile6663</t>
  </si>
  <si>
    <t>जय श्री राम ❤❤❤❤❤</t>
  </si>
  <si>
    <t>2024-01-23 13:44:22</t>
  </si>
  <si>
    <t>@SUNNIISLAMIC1987</t>
  </si>
  <si>
    <t>Mere pas bhi aaya tha link au call bhi lekin maine use fatkaar doya</t>
  </si>
  <si>
    <t>2024-01-23 13:44:16</t>
  </si>
  <si>
    <t>Kya Aapke Pas Bhi Aisa Koi Link Aaya Hai, To Ho Jayein Sawdhaan!</t>
  </si>
  <si>
    <t>2024-01-23 13:43:16</t>
  </si>
  <si>
    <t>Spice bhout aage jayega</t>
  </si>
  <si>
    <t>2024-01-23 13:42:12</t>
  </si>
  <si>
    <t>2024-01-23 13:24:01</t>
  </si>
  <si>
    <t>Good spice money service ❤❤❤❤❤🎉🎉🎉❤❤ done'</t>
  </si>
  <si>
    <t>2024-01-23 13:07:34</t>
  </si>
  <si>
    <t>Are ye mini statment ka commissin sabhi aeps Or bc me milta he bina koi pack kharide ok</t>
  </si>
  <si>
    <t>2024-01-23 12:23:16</t>
  </si>
  <si>
    <t>T Shirt or banner ke liye kyu request korna hain sir agar mey assa khasa bussiness kor Raha hu to mujhe aisey hi milna sahiye I'd password send nahi kor sakta hu t shirt or banner key liye woh apka team ko check ✅ korke dekh lijiye.</t>
  </si>
  <si>
    <t>2024-01-23 12:22:39</t>
  </si>
  <si>
    <t>@alireja.jestha</t>
  </si>
  <si>
    <t>😂pagol ekta .... Amader to 1 taka commission dei</t>
  </si>
  <si>
    <t>2024-01-23 12:05:46</t>
  </si>
  <si>
    <t>@GabruEdit</t>
  </si>
  <si>
    <t>No1 Company</t>
  </si>
  <si>
    <t>2024-01-23 11:58:16</t>
  </si>
  <si>
    <t>@user-ds2qm7mv3u</t>
  </si>
  <si>
    <t>Es admi ko posa kaha Sola goi vidio Dena hoga tovi admi log vilig korega .kese uska rupiy Sola goi</t>
  </si>
  <si>
    <t>2024-01-23 11:54:39</t>
  </si>
  <si>
    <t>Sar fasc scn option tak a raha hai option</t>
  </si>
  <si>
    <t>2024-01-23 11:39:04</t>
  </si>
  <si>
    <t>@baabull2020</t>
  </si>
  <si>
    <t>Jo log kaam kar rahe the as a spice money official,spice money me, ab jo chor chuke he spice money, wo log jada feila rahe hai</t>
  </si>
  <si>
    <t>2024-01-23 11:10:45</t>
  </si>
  <si>
    <t>@ratansharma8330</t>
  </si>
  <si>
    <t>मेरा DMT option बंद क्यू हो गई</t>
  </si>
  <si>
    <t>2024-01-23 11:02:43</t>
  </si>
  <si>
    <t>@SpiceMoneyIndia महोदय 20 दिन से एक id नही चालू हो पाई है ऐसे सर्विस की जाएगी। ? आपके डिस्ट्रीब्यूटर सिर्फ सुन लेते है कम कोई काम नही करते है कृपया जल्द से जल्द id शुरू करवाने का कष्ट करे</t>
  </si>
  <si>
    <t>2024-01-23 10:56:23</t>
  </si>
  <si>
    <t>@thedigitaltransformation3037</t>
  </si>
  <si>
    <t>Spice Money India best AEPS 🎉🎉🎉🎉🎉🎉❤</t>
  </si>
  <si>
    <t>2024-01-23 10:51:53</t>
  </si>
  <si>
    <t>@comedyjunction1244</t>
  </si>
  <si>
    <t>Hamare kshetra me bhi kata hua hai 62000</t>
  </si>
  <si>
    <t>2024-01-23 10:41:16</t>
  </si>
  <si>
    <t>@AnilKumarpal-rq8gi</t>
  </si>
  <si>
    <t>Ok mam</t>
  </si>
  <si>
    <t>2024-01-23 10:40:29</t>
  </si>
  <si>
    <t>@ibrahimdigitalservicepoint1881</t>
  </si>
  <si>
    <t>Main Assam Darrang Village chenibari rehne wala hu spice money best platform aeps whidrwal m atm whidrwal electric bill mobile recharge baaki sab</t>
  </si>
  <si>
    <t>2024-01-23 10:38:07</t>
  </si>
  <si>
    <t>Main peshle 3 saal se spice money agent hun mujhe koi bhi problem nahi howa hai very nice and very good service hai</t>
  </si>
  <si>
    <t>2024-01-23 10:34:56</t>
  </si>
  <si>
    <t>@Mewati_story</t>
  </si>
  <si>
    <t>Bhai uske pass bhi to kuchh saboot is ladke ki video Maine bhi dekhi hai yah spice Mani wale to apni Safai apni Safai de rahe hain man raha hun uske sath froad hua hai lekin lekin unko is ladke ke sath Dena Dena chahie cal ko aapke sath bhi kuchh ho</t>
  </si>
  <si>
    <t>2024-01-23 10:33:29</t>
  </si>
  <si>
    <t>Hi reshmi mem very good 👍</t>
  </si>
  <si>
    <t>2024-01-23 10:32:47</t>
  </si>
  <si>
    <t>@bipulroy8365</t>
  </si>
  <si>
    <t>100% Spice money Secure 🔐</t>
  </si>
  <si>
    <t>2024-01-23 10:28:26</t>
  </si>
  <si>
    <t>@AnkitDixitstudiosagar</t>
  </si>
  <si>
    <t>Achchi saport hai is company ki</t>
  </si>
  <si>
    <t>2024-01-23 10:20:00</t>
  </si>
  <si>
    <t>App batao uske wallet ka pesa gya kaha to hamara dar bhi khatam ho jaye 350000 lakh koi chota amount nhi hota</t>
  </si>
  <si>
    <t>2024-01-23 10:19:41</t>
  </si>
  <si>
    <t>@mdsabihwarsi1807</t>
  </si>
  <si>
    <t>Mai jab bhi kisi ka mini statement nikalta hu to har ek transection par 1 rupay kat jata hai jab ki mere id par koi service active nhi hai</t>
  </si>
  <si>
    <t>2024-01-23 10:16:00</t>
  </si>
  <si>
    <t>@roshanwadive9631</t>
  </si>
  <si>
    <t>instant pan card kabse start hoga</t>
  </si>
  <si>
    <t>2024-01-23 10:14:28</t>
  </si>
  <si>
    <t>Me 4sal se use kar raha hu koi problem nhi......99.9 %</t>
  </si>
  <si>
    <t>2024-01-23 10:13:34</t>
  </si>
  <si>
    <t>@ashu0755</t>
  </si>
  <si>
    <t>Spice money is tha best aeps company main pichhle 4 saal se use kr raha hun no problem</t>
  </si>
  <si>
    <t>2024-01-23 10:10:05</t>
  </si>
  <si>
    <t>@parkas9959</t>
  </si>
  <si>
    <t>Nahin Samjha Sir</t>
  </si>
  <si>
    <t>2024-01-23 10:09:28</t>
  </si>
  <si>
    <t>@seorbjaiswal</t>
  </si>
  <si>
    <t>Sahi BAAT hai spice Money shasan ke niyamon ka ulanghan Karti hai aur retailer ke wallet se Paisa kat leti hai</t>
  </si>
  <si>
    <t>2024-01-23 10:08:51</t>
  </si>
  <si>
    <t>@kamleshsahu5787</t>
  </si>
  <si>
    <t>Ji</t>
  </si>
  <si>
    <t>2024-01-23 10:08:37</t>
  </si>
  <si>
    <t>@raviranjan89840</t>
  </si>
  <si>
    <t>Thanks for alert</t>
  </si>
  <si>
    <t>2024-01-23 10:08:18</t>
  </si>
  <si>
    <t>@RAVISHEK...</t>
  </si>
  <si>
    <t>Jldi se comment kr deta hu like milega</t>
  </si>
  <si>
    <t>2024-01-23 10:07:57</t>
  </si>
  <si>
    <t>@Pkeditz2m</t>
  </si>
  <si>
    <t>Spice money best for aeps portal.</t>
  </si>
  <si>
    <t>2024-01-23 10:07:37</t>
  </si>
  <si>
    <t>2024-01-23 10:06:56</t>
  </si>
  <si>
    <t>@NEWMOVIE-lq6tz</t>
  </si>
  <si>
    <t>2024-01-23 10:06:46</t>
  </si>
  <si>
    <t>Spice Money Ke Khilaf Afwaah Failane Wale Aise Videos Se Sawdhaan Rahein!</t>
  </si>
  <si>
    <t>2024-01-23 10:06:22</t>
  </si>
  <si>
    <t>ApurbaD41697729</t>
  </si>
  <si>
    <t>Apurba Das</t>
  </si>
  <si>
    <t>@SpiceMoneyIndia Thank you sir mara Paisa refund mil gia mara problem solve ho gia ha 😊 thanks 🙏 https://t.co/LqdIAFtLHf</t>
  </si>
  <si>
    <t>2024-01-23 09:44:25</t>
  </si>
  <si>
    <t>Sir mera id login nahi ho Raha hai</t>
  </si>
  <si>
    <t>2024-01-23 09:26:20</t>
  </si>
  <si>
    <t>@sonuji971</t>
  </si>
  <si>
    <t>Bbps ka paisa kab refund milega 1 month ho Gaya hai</t>
  </si>
  <si>
    <t>2024-01-23 09:12:12</t>
  </si>
  <si>
    <t>Technical Sonu World</t>
  </si>
  <si>
    <t>Roinet Xpresso CSP ID Kaise Le Roinet New Update Fino Spice Money NPCI AEPS संचालक 2024</t>
  </si>
  <si>
    <t>2024-01-23 08:14:48</t>
  </si>
  <si>
    <t>19 जनवरी को मैसूर में गारंटी यात्रा पहुंची। स्पाइस मनी पार्टनर्स से मिलकर और आपका उत्साह देखकर बेहद प्रसन्नता हुई । हम और आप मिलकर कामयाबी का एक नया इतिहास रचने को पूरी तरह तैयार हैं।
#SpiceMoney #GuaranteeYatraMysore
#RuralFintech #PartnersMeet
19 जनवरी को मैसूर में गारंटी यात्रा पहुंची। स्पाइस मनी पार्टनर्स से मिलकर और आपका उत्साह देखकर बेहद प्रसन्नता हुई । हम और आप मिलकर कामयाबी का एक नया इतिहास रचने को पूरी तरह तैयार हैं।
#SpiceMoney #GuaranteeYatraMysore
#RuralFintech #PartnersMeet</t>
  </si>
  <si>
    <t>2024-01-23 08:00:10</t>
  </si>
  <si>
    <t>Welcome ❤️🌹</t>
  </si>
  <si>
    <t>2024-01-23 07:39:06</t>
  </si>
  <si>
    <t>2024-01-22</t>
  </si>
  <si>
    <t>@SpiceMoneyIndia Ganja fuk ke reply kar raha hai kya? 
Kya faltugiri hai mai bol raha hu koi massage ka option nahi aara... Maine attach kare huve photo ne reference id hai udhar se track karlo na!</t>
  </si>
  <si>
    <t>2024-01-22 22:35:44</t>
  </si>
  <si>
    <t>DSA SERVICE HUB</t>
  </si>
  <si>
    <t>Aeps संचालक के लिए बड़ी बड़ी अपडेट, Bank और NPCI के बिच हुआ मीटिंग, नियमो में बड़ा बदलाव !</t>
  </si>
  <si>
    <t>2024-01-22 21:17:17</t>
  </si>
  <si>
    <t>@Prakash_sahoo07 प्रिय महोदय, नमस्कार!BBPS transaction  के बारे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</si>
  <si>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2024-01-22 18:20:16</t>
  </si>
  <si>
    <t>2024-01-22 18:07:23</t>
  </si>
  <si>
    <t>@dineshsahu0202 Dear Sir, Greetings! We are trying to contact you but you are not answering . Please share your contact details and suitable times. Regards, Team Spice Money</t>
  </si>
  <si>
    <t>2024-01-22 17:50:33</t>
  </si>
  <si>
    <t>2024-01-22 17:19:27</t>
  </si>
  <si>
    <t>2024-01-22 17:18:03</t>
  </si>
  <si>
    <t>@mkgamer6046</t>
  </si>
  <si>
    <t>Sir I phase same problem</t>
  </si>
  <si>
    <t>2024-01-22 17:02:02</t>
  </si>
  <si>
    <t>Dear Sir, Greetings! We are trying to contact you but your number is switched off . Please share your contact details and suitable times. Regards, Team Spice Money</t>
  </si>
  <si>
    <t>2024-01-22 16:54:11</t>
  </si>
  <si>
    <t>Dear Sir, Namaskar! Aapse Batchit ke anusar aapki ID suspension ke  baare me hamari taraf se aapko jankari share kar di gayi hai. Adhik jankari ke liye aap hamare official customer care number 0120-3645645 par bhi sampark kar sakte hain. Regards, Team Spice Money</t>
  </si>
  <si>
    <t>2024-01-22 16:50:51</t>
  </si>
  <si>
    <t>Dear Sir, Namaskar! Aapse Batchit ke anusar  AEPS me SBI transaction ke  baare me hamari taraf se aapko jankari share kar di gayi hai. Adhik jankari ke liye aap hamare official customer care number 0120-3645645 par bhi sampark kar sakte hain. Regards, Team Spice Money</t>
  </si>
  <si>
    <t>2024-01-22 16:45:36</t>
  </si>
  <si>
    <t>2024-01-22 16:40:32</t>
  </si>
  <si>
    <t>@bapimallick5340</t>
  </si>
  <si>
    <t>10000 hona chae</t>
  </si>
  <si>
    <t>2024-01-22 16:40:21</t>
  </si>
  <si>
    <t>2024-01-22 16:39:25</t>
  </si>
  <si>
    <t>Love you Spice money</t>
  </si>
  <si>
    <t>2024-01-22 16:37:00</t>
  </si>
  <si>
    <t>Spice money portal safe karna ka vyavastha kijiye</t>
  </si>
  <si>
    <t>2024-01-22 16:36:33</t>
  </si>
  <si>
    <t>प्रिय महोदय, नमस्कार! हम आपसे संपर्क करने का प्रयास कर रहे हैं लेकिन आपका नंबर not contactable है। कृपया अपना संपर्क विवरण और उपयुक्त समय साझा करें। सादर, टीम स्पाइस मनी</t>
  </si>
  <si>
    <t>2024-01-22 16:36:15</t>
  </si>
  <si>
    <t>Spice money ke sath froad ho raha hai mam</t>
  </si>
  <si>
    <t>2024-01-22 16:35:41</t>
  </si>
  <si>
    <t>@ShoaibAkhtertsk Dear Sir, Greetings! As per discussed with you your concern  regarding mobile number change issue, information  shared from our end .If you have any query,you can also contact us on our official customer care number 0120-3645645 Regards, Team Spice Money</t>
  </si>
  <si>
    <t>2024-01-22 16:12:32</t>
  </si>
  <si>
    <t>very nice and beautiful ❤️</t>
  </si>
  <si>
    <t>2024-01-22 16:09:45</t>
  </si>
  <si>
    <t>Spice Money is The best platform Aeps Services मैं पिछले 2 साल से स्पाइस मनी से कम कर रहा हूं मुझको बहुत फायदा मिला स्पाइस मनी से</t>
  </si>
  <si>
    <t>2024-01-22 15:03:06</t>
  </si>
  <si>
    <t>@samirkanhar23</t>
  </si>
  <si>
    <t>कितने समय में pan card प्राप्त होगा??</t>
  </si>
  <si>
    <t>2024-01-22 14:45:31</t>
  </si>
  <si>
    <t>Dear Sir, Namaskar! Aapse Batchit ke anusar Account opening  ke  baare me hamari taraf se aapko jankari share kar di gayi hai. Adhik jankari ke liye aap hamare official customer care number 0120-3645645 par bhi sampark kar sakte hain. Regards, Team Spice Money</t>
  </si>
  <si>
    <t>2024-01-22 14:03:55</t>
  </si>
  <si>
    <t>Mujhe bhi axis Bank ka Option Nahi mila hai</t>
  </si>
  <si>
    <t>2024-01-22 13:40:54</t>
  </si>
  <si>
    <t>Siliguri West Bengal me kab hai Mitting please share date ID 275423</t>
  </si>
  <si>
    <t>2024-01-22 13:38:40</t>
  </si>
  <si>
    <t>@sumanprashad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</si>
  <si>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2024-01-22 13:31:35</t>
  </si>
  <si>
    <t>Jai Sri Ram</t>
  </si>
  <si>
    <t>2024-01-22 13:25:51</t>
  </si>
  <si>
    <t>गारंटी यात्रा है, उन्नति का मार्ग
19 जनवरी को अहमदाबाद में हुई इस यात्रा में, हम सभी अपने स्पाइस मनी पार्टनर्स से मिलकर उत्साहित थे। आप सभी का काम के प्रति समर्पण और हमारी योजनाओं के साथ, हम कामयाबी के बड़े रिकॉर्ड बनाने के लिए तैयार हैं।
#SpiceMoney #GuaranteeAhmedabad
#RuralFintech #PartnersMeet
गारंटी यात्रा है, उन्नति का मार्ग
19 जनवरी को अहमदाबाद में हुई इस यात्रा में, हम सभी अपने स्पाइस मनी पार्टनर्स से मिलकर उत्साहित थे। आप सभी का काम के प्रति समर्पण और हमारी योजनाओं के साथ, हम कामयाबी के बड़े रिकॉर्ड बनाने के लिए तैयार हैं।
#SpiceMoney #GuaranteeAhmedabad
#RuralFintech #PartnersMeet</t>
  </si>
  <si>
    <t>2024-01-22 13:00:12</t>
  </si>
  <si>
    <t>Vid mate I'd free for all punjab</t>
  </si>
  <si>
    <t>2024-01-22 12:52:49</t>
  </si>
  <si>
    <t>L**da ye sab Post</t>
  </si>
  <si>
    <t>2024-01-22 12:52:12</t>
  </si>
  <si>
    <t>Maine bahot soch kar spice money me as costumer register karne ki bahot kosis ki par video upload me unsuccessful ho jata pleas isse suggest kre or approved kre 
Thanks and best regards</t>
  </si>
  <si>
    <t>2024-01-22 12:45:10</t>
  </si>
  <si>
    <t>jalam_inda_07</t>
  </si>
  <si>
    <t>Jalam Singh Inda</t>
  </si>
  <si>
    <t>Spice money कस्टमर care की तरफ से कोई सहायता नही मिल रही है मेरी id ओपन करवाने के लिए में 10 दिन से वेट कर रहा हु शुरू नही कर रहे है sdl786051
मेने ईमेल कर दी है लेकिन अभी तक कोई कार्यवाही नही हुई है 
#spicemoney
@SpiceMoneyIndia 
@SpiceMoneyIndia
#spicemoney</t>
  </si>
  <si>
    <t>2024-01-22 12:20:02</t>
  </si>
  <si>
    <t>जय श्री राम 💐🙏</t>
  </si>
  <si>
    <t>2024-01-22 12:14:09</t>
  </si>
  <si>
    <t>@SpiceMoneyIndia JAI SHREE RAM</t>
  </si>
  <si>
    <t>2024-01-22 11:25:11</t>
  </si>
  <si>
    <t>सभी को जय श्री राम</t>
  </si>
  <si>
    <t>2024-01-22 11:17:36</t>
  </si>
  <si>
    <t>Jai shree Ram</t>
  </si>
  <si>
    <t>2024-01-22 11:10:21</t>
  </si>
  <si>
    <t>1 month ho gaya</t>
  </si>
  <si>
    <t>2024-01-22 11:08:48</t>
  </si>
  <si>
    <t>Bbps ka paisa kab milega</t>
  </si>
  <si>
    <t>2024-01-22 11:08:37</t>
  </si>
  <si>
    <t>Juannft00588056</t>
  </si>
  <si>
    <t>Juannft</t>
  </si>
  <si>
    <t>@SpiceMoneyIndia 🤑 i don't know what to say. You are a king. https://t.co/lobBOusRzS 
  Quoted Tweet : @kripsuri : The $MANTA AIRDROP is finally live! 🚨
Everyone is eligible to claim a random amount between $200 - $2.000. ✅
Here: https://t.co/KoCXthgFfX
Don't miss out this time! 
Also don't forget to like + share ♥️ https://t.co/f35tTuKYZC</t>
  </si>
  <si>
    <t>2024-01-22 10:57:53</t>
  </si>
  <si>
    <t>Serbia</t>
  </si>
  <si>
    <t>Badhai</t>
  </si>
  <si>
    <t>2024-01-22 10:57:04</t>
  </si>
  <si>
    <t>cbmalalsqy</t>
  </si>
  <si>
    <t>cbmaler.eth</t>
  </si>
  <si>
    <t>@SpiceMoneyIndia i will try rn! 😄😃 https://t.co/KDvesc4NtK 
  Quoted Tweet : @kripsuri : The $MANTA AIRDROP is finally live! 🚨
Everyone is eligible to claim a random amount between $200 - $2.000. ✅
Here: https://t.co/KoCXthgFfX
Don't miss out this time! 
Also don't forget to like + share ♥️ https://t.co/f35tTuKYZC</t>
  </si>
  <si>
    <t>2024-01-22 10:33:56</t>
  </si>
  <si>
    <t>Guinea-bissau</t>
  </si>
  <si>
    <t>राम लला घर आए हैं। आप सभी को श्री राम मंदिर प्राण प्रतिष्ठा की हार्दिक बधाई।
#JaiShriRam #RamMandirPranPratishtha #SpiceMoney https://t.co/i5eimWwihc</t>
  </si>
  <si>
    <t>2024-01-22 10:33:52</t>
  </si>
  <si>
    <t>2024-01-22 10:33:04</t>
  </si>
  <si>
    <t>2024-01-22 10:32:25</t>
  </si>
  <si>
    <t>2024-01-22 10:29:19</t>
  </si>
  <si>
    <t>Jai shree Ram...
🙏🙏</t>
  </si>
  <si>
    <t>2024-01-22 10:07:06</t>
  </si>
  <si>
    <t>Jay shree ram</t>
  </si>
  <si>
    <t>2024-01-22 10:05:10</t>
  </si>
  <si>
    <t>SPICE MONEY 9602048851</t>
  </si>
  <si>
    <t>2024-01-22 09:52:30</t>
  </si>
  <si>
    <t>Jai shre Ram 🙏</t>
  </si>
  <si>
    <t>2024-01-22 09:49:15</t>
  </si>
  <si>
    <t>Gokul Kushwaha Ji Authentication sign-in nhi kr pa rha hu due to Yes Bank</t>
  </si>
  <si>
    <t>2024-01-22 09:48:21</t>
  </si>
  <si>
    <t>@TinkuYadav9334 Dear Sir, Namaskar! Aapse Batchit ke anusar distributor ID ke  baare me hamari taraf se aapko jankari share kar di gayi hai. Adhik jankari ke liye aap hamare official customer care number 0120-3645622 par bhi sampark kar sakte hain. Regards, Team Spice Money</t>
  </si>
  <si>
    <t>2024-01-22 09:48:04</t>
  </si>
  <si>
    <t>🚩जय श्रीराम 🚩</t>
  </si>
  <si>
    <t>2024-01-22 09:46:01</t>
  </si>
  <si>
    <t>2024-01-22 09:45:45</t>
  </si>
  <si>
    <t>2024-01-22 09:42:29</t>
  </si>
  <si>
    <t>2024-01-22 09:40:57</t>
  </si>
  <si>
    <t>Bhai hme to 3 years Ho gye hai koi bhi problem nhi Hui hai</t>
  </si>
  <si>
    <t>2024-01-22 09:40:35</t>
  </si>
  <si>
    <t>Jai shree ram 🙏</t>
  </si>
  <si>
    <t>2024-01-22 09:40:16</t>
  </si>
  <si>
    <t>Dilshad Alam Ansari क्या हुआ है</t>
  </si>
  <si>
    <t>2024-01-22 09:39:42</t>
  </si>
  <si>
    <t>जय श्री राम 🚩🚩🚩🥰🙏🙏</t>
  </si>
  <si>
    <t>2024-01-22 09:39:15</t>
  </si>
  <si>
    <t>2024-01-22 09:37:30</t>
  </si>
  <si>
    <t>2024-01-22 09:36:07</t>
  </si>
  <si>
    <t>SPICE MONEY call kr k aapne Roz ki trha 2 working days ka time Dena hai bas ...isse zyada aap kuch ni kr skte 🙏🙏🙏🙏</t>
  </si>
  <si>
    <t>2024-01-22 09:33:12</t>
  </si>
  <si>
    <t>2024-01-22 09:31:38</t>
  </si>
  <si>
    <t>2024-01-22 09:31:18</t>
  </si>
  <si>
    <t>जय सियाराम 🙏</t>
  </si>
  <si>
    <t>2024-01-22 09:30:01</t>
  </si>
  <si>
    <t>Ye post baad me kr lena pehle meri Id To activate kr do ..pichle 1 hafte s kch v kaam ni kr pa rha hu 🤷🏻‍♂️🤷🏻‍♂️🙏🙏🙏🙏</t>
  </si>
  <si>
    <t>2024-01-22 09:26:31</t>
  </si>
  <si>
    <t>2024-01-22 09:18:59</t>
  </si>
  <si>
    <t>राम लला घर आए हैं। आप सभी को श्री राम मंदिर प्राण प्रतिष्ठा की हार्दिक बधाई।
#JaiShriRam #RamMandirPranPratishtha #SpiceMoney
राम लला घर आए हैं। आप सभी को श्री राम मंदिर प्राण प्रतिष्ठा की हार्दिक बधाई।
#JaiShriRam #RamMandirPranPratishtha #SpiceMoney</t>
  </si>
  <si>
    <t>2024-01-22 09:18:23</t>
  </si>
  <si>
    <t>2024-01-22 09:17:15</t>
  </si>
  <si>
    <t>Grahak ka nsdl ke saving account kaise open karna a mere I'd pe option nahi aarha hai❤❤❤❤❤❤❤</t>
  </si>
  <si>
    <t>2024-01-22 09:06:25</t>
  </si>
  <si>
    <t>Mera axis Bank ka option nahi a rhe</t>
  </si>
  <si>
    <t>2024-01-22 08:58:56</t>
  </si>
  <si>
    <t>SPICE MONEY 9801063389
Gmail- Abhinawraksa123@gmail.com</t>
  </si>
  <si>
    <t>2024-01-22 08:51:25</t>
  </si>
  <si>
    <t>Me pichhle 4 saal se spice mony me kaam kr Raha hua but ab to I'd bhi nahi chal Rahi hai company kisi bhi tarah se halp nahi kr Rahi hai</t>
  </si>
  <si>
    <t>2024-01-22 07:50:14</t>
  </si>
  <si>
    <t>2024-01-21</t>
  </si>
  <si>
    <t>No any gift provide me I m running spice mony portal last 3 year and running good business for spice money..</t>
  </si>
  <si>
    <t>2024-01-21 23:53:55</t>
  </si>
  <si>
    <t>@SpiceMoneyIndia travelsshoaib@gmail.com
9957755225</t>
  </si>
  <si>
    <t>2024-01-21 23:25:36</t>
  </si>
  <si>
    <t>Sir mujhko 5 saal ho gye ajj tak spice money ki taraf se kuch bhi gift nahi Mila hai
My contact number 7692904529</t>
  </si>
  <si>
    <t>2024-01-21 23:12:42</t>
  </si>
  <si>
    <t>Mera distributor mere I'd verfiya nhi kar raha hai maina Kai bar usko phone kar chuka hu</t>
  </si>
  <si>
    <t>2024-01-21 22:09:37</t>
  </si>
  <si>
    <t>Hum To Her Mont 1cr Ka Turnover Karte ha Spices Money se</t>
  </si>
  <si>
    <t>2024-01-21 21:16:43</t>
  </si>
  <si>
    <t>Yah sab theek Hai Sar NSDL account opening charge kam kijiye</t>
  </si>
  <si>
    <t>2024-01-21 19:49:13</t>
  </si>
  <si>
    <t>SPICE MONEY Netra wala Mantra kitne mein aata</t>
  </si>
  <si>
    <t>2024-01-21 18:47:32</t>
  </si>
  <si>
    <t>महोदय जो अच्छा काम करे उसे आप भी अवार्ड से सम्मानित किया करो कभी।</t>
  </si>
  <si>
    <t>2024-01-21 18:47:06</t>
  </si>
  <si>
    <t>Dear Sir, Greetings!  We would like to inform you we are unable to find your contact details.  Please share your mobile number in inbox .we'll reach out to you to resolve all your concerns.Regards, Team Spice Money</t>
  </si>
  <si>
    <t>2024-01-21 18:43:53</t>
  </si>
  <si>
    <t>2024-01-21 18:41:40</t>
  </si>
  <si>
    <t>2024-01-21 18:40:33</t>
  </si>
  <si>
    <t>2024-01-21 18:38:28</t>
  </si>
  <si>
    <t>2024-01-21 18:38:23</t>
  </si>
  <si>
    <t>2024-01-21 18:38:04</t>
  </si>
  <si>
    <t>2024-01-21 18:37:35</t>
  </si>
  <si>
    <t>Ab ye gya</t>
  </si>
  <si>
    <t>2024-01-21 18:37:15</t>
  </si>
  <si>
    <t>SPICE MONEY my mail id is hemant9719@gmail.com</t>
  </si>
  <si>
    <t>2024-01-21 18:37:13</t>
  </si>
  <si>
    <t>Shyam Sunder Rav itni froud hai ki I'd login khud kar leta hai</t>
  </si>
  <si>
    <t>2024-01-21 18:36:57</t>
  </si>
  <si>
    <t>2024-01-21 18:36:55</t>
  </si>
  <si>
    <t>2024-01-21 18:36:15</t>
  </si>
  <si>
    <t>2024-01-21 18:33:38</t>
  </si>
  <si>
    <t>प्रिय महोदय, नमस्कार! आपको बताना चाहेंगे कि आपके Area sales person की तरफ से  आपको जानकारी शेयर कर दी जायेगी। सादर, टीम स्पाइस मनी</t>
  </si>
  <si>
    <t>2024-01-21 18:27:36</t>
  </si>
  <si>
    <t>2024-01-21 18:26:47</t>
  </si>
  <si>
    <t>2024-01-21 18:25:44</t>
  </si>
  <si>
    <t>2024-01-21 18:25:23</t>
  </si>
  <si>
    <t>SPICE MONEY  टीम का कार्य एवं सेवाएं अतिसराहनीय है लेकिन कुछ न कुछ समस्या सभी रिटेलर मित्रों के बीच मैं बनी रहती हैं मै स्पाइस मॉनी टीम चाहूँगा की आप ज्यादा सक्रियता से काम करें और अच्छा 
कार्य करने वालों को कुछ अच्छा सम्मान करें ताकी उनका मनोबल बढे और हम सभी मित्रों को #उपहार स्वरूप कुछ प्रदान करें !
धन्यवाद #स्पाइस_मनी 🙏😊</t>
  </si>
  <si>
    <t>2024-01-21 18:21:00</t>
  </si>
  <si>
    <t>Akash Babu kuch नही देते है सिर्फ उल्लू बनाते है koi support नही मिलता है</t>
  </si>
  <si>
    <t>2024-01-21 18:20:41</t>
  </si>
  <si>
    <t>2024-01-21 18:20:14</t>
  </si>
  <si>
    <t>2024-01-21 18:19:36</t>
  </si>
  <si>
    <t>2024-01-21 18:19:02</t>
  </si>
  <si>
    <t>@ViksahY प्रिय महोदय, नमस्कार!  Twitter पर जाएं और मैसेज बॉक्स में spicemoneyofficial  सर्च करें, उसे चुनें, अपना मैसेज टाइप करें और भेजें। आप हमसे हमारे आधिकारिक ग्राहक सेवा नंबर 0120-3645645 पर भी संपर्क कर सकते हैं। सादर, टीम स्पाइस मनी</t>
  </si>
  <si>
    <t>2024-01-21 18:18:30</t>
  </si>
  <si>
    <t>Mere id me acount opening ka site nhi aa rha hi</t>
  </si>
  <si>
    <t>2024-01-21 18:16:59</t>
  </si>
  <si>
    <t>2024-01-21 18:15:47</t>
  </si>
  <si>
    <t>@JatinTripathiii Dear Sir, Greetings! Go to Twitter and search spicemoneyofficial in the message box, select it, type your message and send it. You can also contact us on our official customer care number 0120-3645645 Regards, Team Spice Money</t>
  </si>
  <si>
    <t>2024-01-21 18:15:22</t>
  </si>
  <si>
    <t>2024-01-21 18:14:23</t>
  </si>
  <si>
    <t>@ShoaibAkhtertsk Dear Sir, Greetings! Please share your email id and mobile number .we'll reach out to you to resolve all your concerns.Regards, Team Spice Money</t>
  </si>
  <si>
    <t>2024-01-21 18:12:20</t>
  </si>
  <si>
    <t>ViksahY</t>
  </si>
  <si>
    <t>VIKASH KUMAR@123</t>
  </si>
  <si>
    <t>@SpiceMoneyIndia Inbox mein message typing option off https://t.co/L0454We8dC</t>
  </si>
  <si>
    <t>2024-01-21 18:10:51</t>
  </si>
  <si>
    <t>Katihar, india</t>
  </si>
  <si>
    <t>2024-01-21 18:10:13</t>
  </si>
  <si>
    <t>@ViksahY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</si>
  <si>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2024-01-21 18:06:03</t>
  </si>
  <si>
    <t>@anwer_raqib Dear Sir, Greetings! We are trying to contact you but your number is busy. Please share your contact details and suitable times. Regards, Team Spice Money</t>
  </si>
  <si>
    <t>2024-01-21 17:59:48</t>
  </si>
  <si>
    <t>Dear Sir, Namaskar! Aapse Batchit ke anusar  Adhikari loan ke  baare me hamari taraf se aapko jankari share kar di gayi hai. Adhik jankari ke liye aap hamare official customer care number 0120-3645645 par bhi sampark kar sakte hain. Regards, Team Spice Money</t>
  </si>
  <si>
    <t>2024-01-21 17:55:22</t>
  </si>
  <si>
    <t>Dear Sir, Namaskar! Aapse Batchit ke anusar AEPS authentication ke  baare me hamari taraf se aapko jankari share kar di gayi hai. Adhik jankari ke liye aap hamare official customer care number 0120-3645645 par bhi sampark kar sakte hain. Regards, Team Spice Money</t>
  </si>
  <si>
    <t>2024-01-21 17:46:09</t>
  </si>
  <si>
    <t xml:space="preserve">DK Cyberzone </t>
  </si>
  <si>
    <t>Aeps portal se paisa gayeb ho gya kya kare.spice money .fino payment Bank.live news. aeps portal</t>
  </si>
  <si>
    <t>2024-01-21 17:40:25</t>
  </si>
  <si>
    <t>Enquiry</t>
  </si>
  <si>
    <t>SPICE MONEY 7894706637 And 8456902416</t>
  </si>
  <si>
    <t>2024-01-21 17:34:34</t>
  </si>
  <si>
    <t>2024-01-21 17:31:07</t>
  </si>
  <si>
    <t>@SpiceMoneyIndia 🤦 https://t.co/hIXcACAnuI</t>
  </si>
  <si>
    <t>2024-01-21 17:27:51</t>
  </si>
  <si>
    <t>सर मैं 5 वर्षों से स्पाइस मनी के साथ जुड़ा हूं सर कोई पुरस्कार भी नहीं मिला अत कोई पुरस्कार या कुछ इनाम दिया जाए जैसे की टी-शर्ट बैनर आदि</t>
  </si>
  <si>
    <t>2024-01-21 17:24:37</t>
  </si>
  <si>
    <t>Dear Sir, Namaskar! Aapse Batchit ke anusar banner,poster and t-shirt  ke  baare me hamari taraf se aapko jankari share kar di gayi hai. Adhik jankari ke liye aap hamare official customer care number 0120-3645645 par bhi sampark kar sakte hain. Regards, Team Spice Money</t>
  </si>
  <si>
    <t>2024-01-21 17:17:45</t>
  </si>
  <si>
    <t>@GulamHu94492562 प्रिय महोदय, नमस्कार! आपकी आईडी पर जन्मतिथि  mismatch के संबंध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</si>
  <si>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2024-01-21 17:14:49</t>
  </si>
  <si>
    <t>SPICE MONEY 7489530446</t>
  </si>
  <si>
    <t>2024-01-21 17:10:28</t>
  </si>
  <si>
    <t>Spice money company me koi dum nhi hai dum hai to inke sales office me iske baad distributor aur retailer sb bewkoof  my contact numner is 9415364508</t>
  </si>
  <si>
    <t>2024-01-21 17:07:57</t>
  </si>
  <si>
    <t>स्पाइस मनी अपने आप मे कुछ नही है सिर्फ अपने employee का तलवे चाट कर बड़ी हुई है क्यों कि इसके सेल्स ऑफीसर इसके भगवान हैं और ये चूतिया</t>
  </si>
  <si>
    <t>2024-01-21 17:04:38</t>
  </si>
  <si>
    <t>Faltu he spice money</t>
  </si>
  <si>
    <t>2024-01-21 17:03:10</t>
  </si>
  <si>
    <t>2024-01-21 16:55:38</t>
  </si>
  <si>
    <t>2024-01-21 16:54:20</t>
  </si>
  <si>
    <t>SPICE MONEY sorry today mein exam paper not pick up call</t>
  </si>
  <si>
    <t>2024-01-21 16:50:54</t>
  </si>
  <si>
    <t>Dear Sir, Greetings! As per discussed with you your concern regarding AEPS transaction issue,information  shared from our end .If you have any query,you can also contact us on our official customer care number 0120-3645645 Regards, Team Spice Money</t>
  </si>
  <si>
    <t>2024-01-21 16:49:48</t>
  </si>
  <si>
    <t>Thank you</t>
  </si>
  <si>
    <t>2024-01-21 16:38:21</t>
  </si>
  <si>
    <t>SPICE MONEY thank you</t>
  </si>
  <si>
    <t>2024-01-21 16:38:08</t>
  </si>
  <si>
    <t>Dear Sir, Namaskar! Aapse Batchit ke anusar Account opening option ke  baare me hamari taraf se aapko jankari share kar di gayi hai. Adhik jankari ke liye aap hamare official customer care number 0120-3645645 par bhi sampark kar sakte hain. Regards, Team Spice Money</t>
  </si>
  <si>
    <t>2024-01-21 16:37:13</t>
  </si>
  <si>
    <t>Dear Sir, Namaskar! spice money ki taraf se aapke paas verification ke liye ya fir id password share karne ke liye aisi koi bhi call nahi jati hai ,aapse requst hai ki kripya aisi kisi link par click na kare aur na hi apni details share kare ,otherwise aap fraud ke shikaar ho sakte hain, Regards, Team Spice Money</t>
  </si>
  <si>
    <t>2024-01-21 16:16:19</t>
  </si>
  <si>
    <t>No any gift provide me I m running spice mony portal last 4 year</t>
  </si>
  <si>
    <t>2024-01-21 16:14:38</t>
  </si>
  <si>
    <t>Dear sir, Greetings! Aapke sujhaav ke liye dhanyvaad, humne ise note kar liya hai.Regards, Team Spice Money</t>
  </si>
  <si>
    <t>2024-01-21 16:13:08</t>
  </si>
  <si>
    <t>2024-01-21 16:02:02</t>
  </si>
  <si>
    <t>2024-01-21 16:00:38</t>
  </si>
  <si>
    <t>Hi 👋👋👋👋👋👋👋👋</t>
  </si>
  <si>
    <t>2024-01-21 16:00:04</t>
  </si>
  <si>
    <t>Account opening ki service nahin I ❤️🙌</t>
  </si>
  <si>
    <t>2024-01-21 15:59:47</t>
  </si>
  <si>
    <t>2024-01-21 15:58:16</t>
  </si>
  <si>
    <t>2024-01-21 15:43:09</t>
  </si>
  <si>
    <t>Spice Money प्लीज हमारे यूपी में कब आएंगे</t>
  </si>
  <si>
    <t>2024-01-21 15:38:59</t>
  </si>
  <si>
    <t>2024-01-21 15:36:30</t>
  </si>
  <si>
    <t>2024-01-21 15:34:41</t>
  </si>
  <si>
    <t>2024-01-21 15:26:11</t>
  </si>
  <si>
    <t>मेरा आईडी चालू नहीं हो रहा कृपया मेरी आईडी को एक्टिव किया जाए ताकि हम बिजनेस कर सकें
मुझे कस्टमर केयर से वी सपोर्ट नहीं मिल रहा है
@SpiceMoneyIndia
Please help me😭😩🙏 https://t.co/hgDhAkxf96</t>
  </si>
  <si>
    <t>2024-01-21 14:54:39</t>
  </si>
  <si>
    <t>Dear Sir, Namaskar! Aapse Batchit ke anusar UPI cash withdrawal ke  baare me hamari taraf se aapko jankari share kar di gayi hai. Adhik jankari ke liye aap hamare official customer care number 0120-3645645 par bhi sampark kar sakte hain. Regards, Team Spice Money</t>
  </si>
  <si>
    <t>2024-01-21 14:46:41</t>
  </si>
  <si>
    <t>@SpiceMoneyIndia The number you are Providing to call there is asking a token number of five digits 
And your inbox is asking to subscribe with different packages which kind of customer support system do you have 
You are not understanding my concern
I can't log into the spice money portel</t>
  </si>
  <si>
    <t>2024-01-21 14:33:04</t>
  </si>
  <si>
    <t>@user-du7xf1hm3b</t>
  </si>
  <si>
    <t>Time kitna lagta hai. 24 hours hogaya hai avhi settle nahi ho Raha hai</t>
  </si>
  <si>
    <t>2024-01-21 14:32:23</t>
  </si>
  <si>
    <t>Dear Sir, Greetings! As per discussed with you your concern  regarding AEPS service and settlement issue, information  shared from our end .If you have any query,you can also contact us on our official customer care number 0120-3645645 Regards, Team Spice Money</t>
  </si>
  <si>
    <t>2024-01-21 14:30:32</t>
  </si>
  <si>
    <t>@PunitSr51902640 number 0120-3645645 Regards, Team Spice Money (2/2)</t>
  </si>
  <si>
    <t>2024-01-21 14:16:19</t>
  </si>
  <si>
    <t>@PunitSr51902640 Dear Sir, Greetings! As per discussed with you your concern  regarding Fraud case transaction issue, information  shared from our end  and Thank you for your suggestion, we have taken a note of it.If you have any query,you can also contact us on our official customer care (1/2)</t>
  </si>
  <si>
    <t>@SpiceMoneyIndia It's showing in inbox https://t.co/OzENapQpCd</t>
  </si>
  <si>
    <t>2024-01-21 13:47:22</t>
  </si>
  <si>
    <t>Dear Sir, Namaskar! Aapse batchit ke anusar Account opening option ke  baare me hamari taraf se aapko jankari share kar di gayi hai. Adhik jankari ke liye aap hamare official customer care number 0120-3645645 par bhi sampark kar sakte hain. Regards, Team Spice Money</t>
  </si>
  <si>
    <t>2024-01-21 13:39:36</t>
  </si>
  <si>
    <t>Suspected froud ka erro or fail ka error kyu aa raha hain ? Please confirm</t>
  </si>
  <si>
    <t>2024-01-21 13:36:54</t>
  </si>
  <si>
    <t>@Shobhitvar97831 प्रिय महोदय, नमस्कार! आपकी ID पर हुई Fraud transaction के बारे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</si>
  <si>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2024-01-21 13:24:54</t>
  </si>
  <si>
    <t>Raj Lakshkar contact nhi hoga Bhai</t>
  </si>
  <si>
    <t>2024-01-21 13:20:46</t>
  </si>
  <si>
    <t>Fraud hone pr koi help nahi kar te</t>
  </si>
  <si>
    <t>2024-01-21 13:15:35</t>
  </si>
  <si>
    <t>2024-01-21 13:02:29</t>
  </si>
  <si>
    <t>Data link krti h</t>
  </si>
  <si>
    <t>2024-01-21 12:29:31</t>
  </si>
  <si>
    <t>Fraud ho raha hai</t>
  </si>
  <si>
    <t>2024-01-21 12:24:11</t>
  </si>
  <si>
    <t>@SpiceMoneyIndia madarchod reply to de teri maa ka bhosdaa</t>
  </si>
  <si>
    <t>2024-01-21 12:07:40</t>
  </si>
  <si>
    <t>english parneka nehi ata hai english mein dega tuh achha hota</t>
  </si>
  <si>
    <t>2024-01-21 11:33:47</t>
  </si>
  <si>
    <t>2024-01-21 11:18:18</t>
  </si>
  <si>
    <t>Spice Money गारन्टी यात्रा</t>
  </si>
  <si>
    <t>2024-01-21 11:08:15</t>
  </si>
  <si>
    <t>SPICE MONEY  7999556508-radhacharanahirwar987@gmail.com</t>
  </si>
  <si>
    <t>2024-01-21 10:56:03</t>
  </si>
  <si>
    <t>Sir Mera I'd login problem ho rha hai please help me</t>
  </si>
  <si>
    <t>2024-01-21 10:43:18</t>
  </si>
  <si>
    <t>sir Mera I'd login problem ho rha hai please help me</t>
  </si>
  <si>
    <t>2024-01-21 10:43:01</t>
  </si>
  <si>
    <t>Spice money to life bani</t>
  </si>
  <si>
    <t>2024-01-21 10:40:22</t>
  </si>
  <si>
    <t>@ShoaibAkhtertsk Dear Sir, Greetings! Go to Twitter and search spicemoneyofficial in the message box, select it, type your message and send it. You can also contact us on our official customer care number 0120-3645645 Regards, Team Spice Money</t>
  </si>
  <si>
    <t>2024-01-21 10:32:27</t>
  </si>
  <si>
    <t>@raheminstationery4018</t>
  </si>
  <si>
    <t>2024-01-21 10:30:44</t>
  </si>
  <si>
    <t>2024-01-21 10:28:43</t>
  </si>
  <si>
    <t>2024-01-21 10:27:54</t>
  </si>
  <si>
    <t>गारंटी यात्रा है, उन्नति का रास्ता
इस यात्रा के तहत 18 जनवरी को इन्दौर में अपने स्पाइस मनी पार्टनर्स से मिलकर हम बेहद उत्साहित हुए। यकीनन, काम के प्रति आप सभी का समर्पण और हमारी प्लानिंग्स, कामयाबी के बड़े रिकार्ड्स दर्ज करने को तैयार है।
#SpiceMoney #GuaranteeYatraIndore… https://t.co/cEF5Nuaxtq</t>
  </si>
  <si>
    <t>2024-01-21 10:24:50</t>
  </si>
  <si>
    <t>गारंटी यात्रा है, उन्नति का रास्ता
इस यात्रा के तहत 18 जनवरी को इन्दौर में अपने स्पाइस मनी पार्टनर्स से मिलकर हम बेहद उत्साहित हुए। यकीनन, काम के प्रति आप सभी का समर्पण और हमारी प्लानिंग्स, कामयाबी के बड़े रिकार्ड्स दर्ज करने को तैयार है।
#SpiceMoney #GuaranteeYatraIndore
#RuralFintech #PartnersMeet
गारंटी यात्रा है, उन्नति का रास्ता
इस यात्रा के तहत 18 जनवरी को इन्दौर में अपने स्पाइस मनी पार्टनर्स से मिलकर हम बेहद उत्साहित हुए। यकीनन, काम के प्रति आप सभी का समर्पण और हमारी प्लानिंग्स, कामयाबी के बड़े रिकार्ड्स दर्ज करने को तैयार है।
#SpiceMoney #GuaranteeYatraIndore
#RuralFintech #PartnersMeet</t>
  </si>
  <si>
    <t>2024-01-21 10:24:19</t>
  </si>
  <si>
    <t>2024-01-21 10:15:45</t>
  </si>
  <si>
    <t>गारंटी यात्रा के साथ भारत के कल को बदलेंगे आज 
18 जनवरी को लखनऊ में आयोजित गारंटी यात्रा इवेंट में आप सब पार्टनर्स एवं अधिकारियों की उपस्थिति से हम निहाल हो उठे। वाकई आप ही हैं स्पाइस मनी गारंटी।
#SpiceMoney #GuaranteeYatraLucknow
#RuralFintech #PartnersMeet https://t.co/tqYErEdXSk</t>
  </si>
  <si>
    <t>2024-01-21 09:57:43</t>
  </si>
  <si>
    <t>गारंटी यात्रा के साथ भारत के कल को बदलेंगे आज 
18 जनवरी को लखनऊ में आयोजित गारंटी यात्रा इवेंट में आप सब पार्टनर्स एवं अधिकारियों की उपस्थिति से हम निहाल हो उठे। वाकई आप ही हैं स्पाइस मनी गारंटी।
#SpiceMoney #GuaranteeYatraLucknow
#RuralFintech #PartnersMeet
गारंटी यात्रा के साथ भारत के कल को बदलेंगे आज 
18 जनवरी को लखनऊ में आयोजित गारंटी यात्रा इवेंट में आप सब पार्टनर्स एवं अधिकारियों की उपस्थिति से हम निहाल हो उठे। वाकई आप ही हैं स्पाइस मनी गारंटी।
#SpiceMoney #GuaranteeYatraLucknow
#RuralFintech #PartnersMeet</t>
  </si>
  <si>
    <t>2024-01-21 09:57:15</t>
  </si>
  <si>
    <t>@SpiceMoneyIndia Share the link for inbox</t>
  </si>
  <si>
    <t>2024-01-21 09:31:53</t>
  </si>
  <si>
    <t>@SpiceMoneyIndia Inbox me msg bhejna allow nahi hai</t>
  </si>
  <si>
    <t>2024-01-21 09:30:49</t>
  </si>
  <si>
    <t>2024-01-21 09:27:15</t>
  </si>
  <si>
    <t>2024-01-21 09:26:04</t>
  </si>
  <si>
    <t>2024-01-21 09:25:38</t>
  </si>
  <si>
    <t>Spice Money AEPS संचालक सावधान Big fraud in India Roinet Paynearby Fino Bank 2024</t>
  </si>
  <si>
    <t>2024-01-21 09:19:33</t>
  </si>
  <si>
    <t>2024-01-21 09:09:59</t>
  </si>
  <si>
    <t>2024-01-21 09:07:45</t>
  </si>
  <si>
    <t>Frod ka vi problam aa rha hai ek bande ka 300000 rup kat gya hai midya wale dikha rhe hai yaisa kyi bar huwa hai pahle esko roka jai</t>
  </si>
  <si>
    <t>2024-01-21 09:04:53</t>
  </si>
  <si>
    <t>2024-01-21 08:51:19</t>
  </si>
  <si>
    <t>2024-01-21 08:43:21</t>
  </si>
  <si>
    <t>2024-01-21 08:38:10</t>
  </si>
  <si>
    <t>@ShoaibAkhtertsk Dear Sir, Greetings! We regret the inconvenience caused to you. Please share your email id and mobile number in inbox .we'll reach out to you to resolve all your concerns.Regards, Team Spice Money</t>
  </si>
  <si>
    <t>2024-01-21 08:37:46</t>
  </si>
  <si>
    <t>2024-01-21 08:34:47</t>
  </si>
  <si>
    <t>One t shirt spice money</t>
  </si>
  <si>
    <t>2024-01-21 08:07:11</t>
  </si>
  <si>
    <t>2024-01-20</t>
  </si>
  <si>
    <t>EwenAma30141</t>
  </si>
  <si>
    <t>AmaEwen</t>
  </si>
  <si>
    <t>made a complain here on same issue earlier today and no one responded to me. 
Had no choice but to write to them on Instagram officiall_wallacefixxer which I got a fast response and my issue was resolved 
  Quoted Tweet : @ShoaibAkhtertsk : @SpiceMoneyIndia Your customers care support system is careless I am mailing through email several times for my request to change my lost mobile number with the current mobile number you just reply that you will be called but nobody called me yet, 
Now tell me how can i change my mobile no</t>
  </si>
  <si>
    <t>2024-01-20 23:19:40</t>
  </si>
  <si>
    <t>Ny</t>
  </si>
  <si>
    <t>@SpiceMoneyIndia Your customers care support system is careless I am mailing through email several times for my request to change my lost mobile number with the current mobile number you just reply that you will be called but nobody called me yet, 
Now tell me how can i change my mobile no</t>
  </si>
  <si>
    <t>2024-01-20 23:16:22</t>
  </si>
  <si>
    <t>Is meeting me giya tha.e mera Kolkata ka meeting he me is photo frem me hu..</t>
  </si>
  <si>
    <t>2024-01-20 22:26:37</t>
  </si>
  <si>
    <t>2024-01-20 21:53:39</t>
  </si>
  <si>
    <t>श्रीमान महोदय अपना मोबाइल नंबर और ईमेल आईडी देने से क्या होगा जो कहना था जो मुझे अपनी बात आपको बताना था मैंने बता दिया</t>
  </si>
  <si>
    <t>2024-01-20 21:42:39</t>
  </si>
  <si>
    <t>Meri I'd ki re KYC nahi ho rahi hai</t>
  </si>
  <si>
    <t>2024-01-20 21:19:33</t>
  </si>
  <si>
    <t>NSDL payment bank ka charges Kam kre nahi to customer dukhi hai account oppan nahi karwate hai please</t>
  </si>
  <si>
    <t>2024-01-20 21:16:49</t>
  </si>
  <si>
    <t>Mera Axis ka Savings account opening ka option nahi aa rha hai,</t>
  </si>
  <si>
    <t>2024-01-20 20:35:00</t>
  </si>
  <si>
    <t>स्टार रिटेलर होते हुए  भी  हमलोगों  का open axix acount बंद कर के रखा गया hai  पोर्टल  पर है लेकिन बैंक ka options   not nearest brand likh Kar के आता है west champaran bihar narakatiyagaj</t>
  </si>
  <si>
    <t>2024-01-20 19:59:46</t>
  </si>
  <si>
    <t>भाई मै तो डिस्ट्रीब्यूटर था स्पाइस मैं 150 के लगभग रिटेलर थे  / मेरी आईडी कलस्टर हेड और सेल्स मैनेजर  ने टर्मीनेट करवा दी है और 50000 रूपए भी खा गए है सेल्स मैनेजर जब कंपनी मैं  कंप्लेंट की तो कुछ भी कार्यवाही नही करी गई है  सब मिले है इससे बड़ी फ्रॉड कंपनी  मैने पूरी फिंटेक मैं नही देखी है  जो सेल्स मैनेजर बोले इनको बस ओही सही लगता है</t>
  </si>
  <si>
    <t>2024-01-20 19:54:35</t>
  </si>
  <si>
    <t>@xtronic1261</t>
  </si>
  <si>
    <t>Dear Prospect, you are not at your shop location, This is an important step to complete your registration. please be at your shop location and re-try.</t>
  </si>
  <si>
    <t>2024-01-20 19:34:23</t>
  </si>
  <si>
    <t>9934432336
govindjhasmp12899@gmail.com</t>
  </si>
  <si>
    <t>2024-01-20 19:12:37</t>
  </si>
  <si>
    <t>@SpiceMoneyIndia Nothing get by only communication give return  my money otherwise I will complaint against your company in RBI on very serious intentions</t>
  </si>
  <si>
    <t>2024-01-20 19:08:49</t>
  </si>
  <si>
    <t>Santosh Ahirwar</t>
  </si>
  <si>
    <t>2024-01-20 18:38:40</t>
  </si>
  <si>
    <t>2024-01-20 18:38:27</t>
  </si>
  <si>
    <t>@SpiceMoneyIndia I want to be spice money distributor.</t>
  </si>
  <si>
    <t>2024-01-20 18:20:58</t>
  </si>
  <si>
    <t>2024-01-20 18:14:33</t>
  </si>
  <si>
    <t>2024-01-20 18:13:22</t>
  </si>
  <si>
    <t>@GulamHu94492562 प्रिय महोदय, नमस्कार! हमारे ग्राहक सेवा अधिकारी जल्द ही आपसे संपर्क करेंगे। सादर, टीम स्पाइस मनी</t>
  </si>
  <si>
    <t>2024-01-20 18:13:05</t>
  </si>
  <si>
    <t>2024-01-20 18:11:29</t>
  </si>
  <si>
    <t>2024-01-20 18:11:06</t>
  </si>
  <si>
    <t>@JatinTripathiii Dear Sir, Greetings! Please share your email id and mobile number in inbox .we'll reach out to you to resolve all your concerns.Regards, Team Spice Money</t>
  </si>
  <si>
    <t>2024-01-20 18:09:40</t>
  </si>
  <si>
    <t>@SpiceMoneyIndia 
I want to make a spice money distributor/retailer. Nobody distributor available near my location. Please call me back 9334023154.And guide me</t>
  </si>
  <si>
    <t>2024-01-20 18:09:29</t>
  </si>
  <si>
    <t>2024-01-20 18:08:46</t>
  </si>
  <si>
    <t>2024-01-20 18:08:05</t>
  </si>
  <si>
    <t>2024-01-20 18:07:23</t>
  </si>
  <si>
    <t>@santoshbha73771 Dear Sir, Greetings! Our customer care officer will get in touch with you shortly. Regards, Team Spice Money</t>
  </si>
  <si>
    <t>2024-01-20 18:06:54</t>
  </si>
  <si>
    <t>@dineshsahu0202 Dear Sir, Greetings! We regret the inconvenience caused to you. Our customer care officer will get in touch with you shortly. Regards, Team Spice Money</t>
  </si>
  <si>
    <t>2024-01-20 18:05:18</t>
  </si>
  <si>
    <t>Sir
Mere id par acount opening ka option nahi aa raha hai
Mobile 8052844235
Email-anily5936@gmail.com</t>
  </si>
  <si>
    <t>2024-01-20 18:04:59</t>
  </si>
  <si>
    <t>2024-01-20 18:03:38</t>
  </si>
  <si>
    <t>2024-01-20 18:03:24</t>
  </si>
  <si>
    <t>2024-01-20 18:00:41</t>
  </si>
  <si>
    <t>2024-01-20 17:56:51</t>
  </si>
  <si>
    <t>2024-01-20 17:56:27</t>
  </si>
  <si>
    <t>2024-01-20 17:55:43</t>
  </si>
  <si>
    <t>2024-01-20 17:55:07</t>
  </si>
  <si>
    <t>@dheeren47839279 Dear Sir, Namaskar! Aapko batana chahenge ki is concern ke regarding aapke area ke sales person ki taraf se aapko information provide kar di jayegi. Regards, Team Spice Money</t>
  </si>
  <si>
    <t>2024-01-20 17:52:21</t>
  </si>
  <si>
    <t>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</si>
  <si>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2024-01-20 17:51:40</t>
  </si>
  <si>
    <t>@mohsinahmad007 Dear Sir, Greetings! We would like to inform you that your concern regarding new id request , you can contact us on our official customer care number 0120-3645622 Regards, Team Spice Money</t>
  </si>
  <si>
    <t>2024-01-20 17:51:01</t>
  </si>
  <si>
    <t>2024-01-20 17:49:49</t>
  </si>
  <si>
    <t>@GovCsc8259 Dear Sir, Greetings! As per discussed with you your concern your issue regarding  reserve amount, your concern already raised with our team. Our team working on it. If you have any query,you can also contact us on our official customer care number 0120-3645645 Regards, (1/2)</t>
  </si>
  <si>
    <t>2024-01-20 17:47:05</t>
  </si>
  <si>
    <t>@GovCsc8259 Team Spice Money (2/2)</t>
  </si>
  <si>
    <t>@ig_ronyyyy Dear Sir, Greetings! As per discussed with you your concern regarding Id suspension, information  shared from our end .If you have any query,you can also contact us on our official customer care number 0120-3645645 Regards, Team Spice Money</t>
  </si>
  <si>
    <t>2024-01-20 17:28:01</t>
  </si>
  <si>
    <t>@Abhisheksa44246 Dear Sir, Greetings! As per discussed with you your concern  regarding retailer mapping issue,already raised with our team. Our team working on it .If you have any query,you can also contact us on our official customer care number 0120-3645644 Regards, Team Spice Money</t>
  </si>
  <si>
    <t>2024-01-20 17:18:41</t>
  </si>
  <si>
    <t>Kabhi Lalitpur district bhi aao sar ( spice money team )</t>
  </si>
  <si>
    <t>2024-01-20 17:14:54</t>
  </si>
  <si>
    <t>पिछले 4 साल से स्पाइस मनी के साथ काम कर रहा हू एक रिटेलर के हिसाब से एक पाच रुपये का पेन आज तक नही दिया भाई इन लोगो ने ये किसी को कुछ नही देते सिर्फ दिखाते है</t>
  </si>
  <si>
    <t>2024-01-20 17:00:58</t>
  </si>
  <si>
    <t>Dewas district ke khategaon melpipliya nayapura m.p.455336</t>
  </si>
  <si>
    <t>2024-01-20 16:12:00</t>
  </si>
  <si>
    <t>Sir hamare sahar bhi aye</t>
  </si>
  <si>
    <t>2024-01-20 16:11:25</t>
  </si>
  <si>
    <t>Dear Sir please quick solve ftr problem &amp; always surver down problem.....🙏🏻
I Support Spice Money.....🫡</t>
  </si>
  <si>
    <t>2024-01-20 15:58:14</t>
  </si>
  <si>
    <t>Assam ka distributor Meet kap hoqa</t>
  </si>
  <si>
    <t>2024-01-20 15:46:28</t>
  </si>
  <si>
    <t>बिल जमा करने में प्रॉब्लम आ रही है</t>
  </si>
  <si>
    <t>2024-01-20 15:11:47</t>
  </si>
  <si>
    <t>बिजली के बिल में सर अकाउंट नंबर डालो उसमें प्रॉब्लम आ रही है</t>
  </si>
  <si>
    <t>2024-01-20 15:11:07</t>
  </si>
  <si>
    <t>SPICE MONEY आप का कोटि-२ धन्यवाद, मैं आप के जवाब से सहमत हूँ...</t>
  </si>
  <si>
    <t>2024-01-20 14:59:42</t>
  </si>
  <si>
    <t>सभी अधिकारियों को एक एक टी शर्ट दिया जाए ।
मेरे 🆔 में अकाउंट ओपनिंग का ऑप्शन नहीं आ रहा है ।
ऑप्शन de Diya Jaye 
Please</t>
  </si>
  <si>
    <t>2024-01-20 14:55:05</t>
  </si>
  <si>
    <t>प्रिय महोदय, नमस्कार! हमारे तरफ से Instant Pan Service के बारे में आपको जानकारी शेयर कर दी गई है। अधिक जानकारी के लिए आप हमारे आधिकारिक ग्राहक सेवा नंबर 0120-3645645 पर भी संपर्क कर सकते हैं। सादर, टीम स्पाइस मनी</t>
  </si>
  <si>
    <t>2024-01-20 14:53:10</t>
  </si>
  <si>
    <t>mohsinahmad007</t>
  </si>
  <si>
    <t>mohsin</t>
  </si>
  <si>
    <t>@SpiceMoneyIndia i applied for agent id but distribuyer asking for 750 rs. for activating id. ? is there charge for activation .</t>
  </si>
  <si>
    <t>2024-01-20 14:52:06</t>
  </si>
  <si>
    <t>@SpiceMoneyIndia Doesn't any support spice money .it's a money scam  . Spice money deducted all money from retailer account without any OTP msg</t>
  </si>
  <si>
    <t>2024-01-20 14:51:24</t>
  </si>
  <si>
    <t>dheeren47839279</t>
  </si>
  <si>
    <t>dheerendra</t>
  </si>
  <si>
    <t>@SpiceMoneyIndia mp main kab hogi</t>
  </si>
  <si>
    <t>2024-01-20 14:26:56</t>
  </si>
  <si>
    <t>Ham bhi 2008 se spice use kr rhe h loni ghaziabad baad m hme to invite nhi Mila ya sirf bade logo ko invite Kiya gya tha. Hm bhi spice adhikari h hme bhi bulana tha</t>
  </si>
  <si>
    <t>2024-01-20 14:22:04</t>
  </si>
  <si>
    <t>@SpiceMoneyIndia 8975182144 santosh83083@gmail.com</t>
  </si>
  <si>
    <t>2024-01-20 14:06:21</t>
  </si>
  <si>
    <t>Acount opening ka option show nahi kar raha hai</t>
  </si>
  <si>
    <t>2024-01-20 13:59:13</t>
  </si>
  <si>
    <t>Yadav Ji kya matlab</t>
  </si>
  <si>
    <t>2024-01-20 13:10:04</t>
  </si>
  <si>
    <t>2024-01-20 12:49:28</t>
  </si>
  <si>
    <t>बदलते भारत की गारंटी यात्रा
18 जनवरी को कोलकाता में आयोजित इवेंट में आप सभी का अपार समर्थन पाकर हम बेहद खुश और उत्साहित हैं।
यकीनन हम मिलकर कामयाबी के इस सफर को अपनी सोच से भी आगे ले जाएंगे और इस साल के लिए हमने जो भी लक्ष्य तय किया है उसे सच करके दिखाएंगे।
#SpiceMoney #GuaranteeYatraKolkata
#RuralFintech #PartnersMeet
बदलते भारत की गारंटी यात्रा
18 जनवरी को कोलकाता में आयोजित इवेंट में आप सभी का अपार समर्थन पाकर हम बेहद खुश और उत्साहित हैं।
यकीनन हम मिलकर कामयाबी के इस सफर को अपनी सोच से भी आगे ले जाएंगे और इस साल के लिए हमने जो भी लक्ष्य तय किया है उसे सच करके दिखाएंगे।
#SpiceMoney #GuaranteeYatraKolkata
#RuralFintech #PartnersMeet</t>
  </si>
  <si>
    <t>2024-01-20 12:48:44</t>
  </si>
  <si>
    <t>Plz call 8009688006</t>
  </si>
  <si>
    <t>2024-01-20 12:23:46</t>
  </si>
  <si>
    <t>Mujhe 2018 se kaam karte ho gye Aaj Tak kuch bhi nahi mila 8009003816
Mail id - golukhan.golu786@gmail.com</t>
  </si>
  <si>
    <t>2024-01-20 12:16:22</t>
  </si>
  <si>
    <t>Kisi ko multi recharge id chiye to sampark kre free mai milega banwa ke 3 present commission hai</t>
  </si>
  <si>
    <t>2024-01-20 12:06:12</t>
  </si>
  <si>
    <t>Unexpected service experience from your side. Disappointed and hoping for a swift resolution. 🤞 
@SpiceMoneyIndia</t>
  </si>
  <si>
    <t>2024-01-20 10:37:27</t>
  </si>
  <si>
    <t>Hey @SpiceMoneyIndia , been waiting for my account approval from the distributo'r side for a week now.  I talked with him and he said "Abhi server kam nahi kar raha hai".</t>
  </si>
  <si>
    <t>2024-01-20 10:35:12</t>
  </si>
  <si>
    <t>Is company me business chahe jitane ka kar lo magar company promotion ke liye kuch bhi nahi deti hai....</t>
  </si>
  <si>
    <t>2024-01-20 10:32:48</t>
  </si>
  <si>
    <t>Good morning 🌄🌞🌞🌄🌞🌞🌞🌞🌄🌞🌞🌞🌞🌄🌞🌞🌞🌞🌄🌞🌞🌞🌞🌄🌞🌞🌞🌞🌄🌞🌞🌞🌞🌄🌞🌞🌞🌞🌄🌞🌞🌞🌞🌄🌞🌞🌞🌞🌄🌞🌞🌞🌞🌄🌞🌞🌞🌞🌄🌞🌞🌞🌞🌄🌞🌞🌞🌞🌄🌞🌞🌞🌞🌄🌞🌞🌞🌞🌄🌞🌞🌞🌞🌄</t>
  </si>
  <si>
    <t>2024-01-20 10:22:51</t>
  </si>
  <si>
    <t>Rupendra Singh Parihar सबको मिलेगा बाबा जी ठुल्लू</t>
  </si>
  <si>
    <t>2024-01-20 10:22:14</t>
  </si>
  <si>
    <t>SPICE MONEY 7489530446
mayanktripathi188@gmail.com</t>
  </si>
  <si>
    <t>2024-01-20 10:03:55</t>
  </si>
  <si>
    <t>Meri ID per Maine loan ki request Dali thi abhi tak uska kuchh nahin hua</t>
  </si>
  <si>
    <t>2024-01-20 10:00:38</t>
  </si>
  <si>
    <t>9755309272 deepak910101@gmail.com</t>
  </si>
  <si>
    <t>2024-01-20 09:56:02</t>
  </si>
  <si>
    <t>Sir mujhko 6 saal ho gye ajj tak spice money ki taraf se ek rupya ki pensil bhi ni di gyi</t>
  </si>
  <si>
    <t>2024-01-20 09:50:46</t>
  </si>
  <si>
    <t>@trasharvarshney6750</t>
  </si>
  <si>
    <t>Mam im Btech CSE student, Mam can i get refferal in spice money in development side</t>
  </si>
  <si>
    <t>2024-01-20 09:48:57</t>
  </si>
  <si>
    <t>Sir im Btech CSE student, sir can i get refferal in spice money in development side</t>
  </si>
  <si>
    <t>2024-01-20 09:47:46</t>
  </si>
  <si>
    <t>GulamHu94492562</t>
  </si>
  <si>
    <t>Gulam Husain</t>
  </si>
  <si>
    <t>@SpiceMoneyIndia Mob-9693979249
E-mail id.gulamhusain25046@gmail.com</t>
  </si>
  <si>
    <t>2024-01-20 09:46:11</t>
  </si>
  <si>
    <t>SPICE MONEY  8935896000
abhishekkumarverma710@gmail.com</t>
  </si>
  <si>
    <t>2024-01-20 09:44:25</t>
  </si>
  <si>
    <t>2024-01-20 09:43:37</t>
  </si>
  <si>
    <t>@Prakash_sahoo07 प्रिय महोदय, नमस्कार! हमारे ग्राहक सेवा अधिकारी जल्द ही आपसे संपर्क करेंगे। सादर, टीम स्पाइस मनी</t>
  </si>
  <si>
    <t>2024-01-20 09:43:07</t>
  </si>
  <si>
    <t>@GulamHu94492562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</si>
  <si>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2024-01-20 09:42:07</t>
  </si>
  <si>
    <t>2024-01-20 09:40:55</t>
  </si>
  <si>
    <t>2024-01-20 09:40:36</t>
  </si>
  <si>
    <t>2024-01-20 09:39:39</t>
  </si>
  <si>
    <t>2024-01-20 09:39:15</t>
  </si>
  <si>
    <t>Sir ji 5 sal se me bi spice money ke sath kam kar raha hu likin ajj tak kuch nhi diya h benar kuch bi nhi</t>
  </si>
  <si>
    <t>2024-01-20 09:38:21</t>
  </si>
  <si>
    <t>2024-01-20 09:37:56</t>
  </si>
  <si>
    <t>Meri I'd me account opening ka option nahi hai</t>
  </si>
  <si>
    <t>2024-01-20 09:35:04</t>
  </si>
  <si>
    <t>Jay Prakash Kumar zerp tec support</t>
  </si>
  <si>
    <t>2024-01-20 09:32:37</t>
  </si>
  <si>
    <t>Tozawashin33445</t>
  </si>
  <si>
    <t>Tozawashinzo.eth</t>
  </si>
  <si>
    <t>@SpiceMoneyIndia Big business 🤩 https://t.co/M9plWIFvon 
  Quoted Tweet : @kripsuri : It makes me around 5-10 ETH per week! 🤑
How: https://t.co/OlryxPgdd5
I've been using it for 3 months now.
It works great for me and it's my biggest source of income right now.✅
The Developer only take 2% of the profits!
It's the best i've seen so far ♥️ https://t.co/LgynopfHko</t>
  </si>
  <si>
    <t>2024-01-20 09:29:49</t>
  </si>
  <si>
    <t>17 जनवरी को स्पाइस मनी गारंटी यात्रा के तहत दिल्ली NCR में शामिल हुए अपने पार्टनर्स का समर्पण और विश्वास देखकर हम निहाल उठे। 
यकीनन, हम हर बढ़ते दिन के साथ कामयाबी के करीब जा रहे हैं। साथ मिलकर लक्ष्य को पूरा करने में जुट गए हैं। अपनी तमाम फाइनेंशियल सेवाओं के ज़रिए अपने आपको आगे… https://t.co/56wZTsyzrS</t>
  </si>
  <si>
    <t>2024-01-20 09:29:46</t>
  </si>
  <si>
    <t>17 जनवरी को स्पाइस मनी गारंटी यात्रा के तहत दिल्ली NCR में शामिल हुए अपने पार्टनर्स का समर्पण और विश्वास देखकर हम निहाल उठे। 
यकीनन, हम हर बढ़ते दिन के साथ कामयाबी के करीब जा रहे हैं। साथ मिलकर लक्ष्य को पूरा करने में जुट गए हैं। अपनी तमाम फाइनेंशियल सेवाओं के ज़रिए अपने आपको आगे बढ़ा रहे हैं और देश की उन्नति में अहम योगदान भी दे रहे हैं।
#SpiceMoney #GuaranteeYatraDelhiNCR
#RuralFintech #PartnersMeet
17 जनवरी को स्पाइस मनी गारंटी यात्रा के तहत दिल्ली NCR में शामिल हुए अपने पार्टनर्स का समर्पण और विश्वास देखकर हम निहाल उठे। 
यकीनन, हम हर बढ़ते दिन के साथ कामयाबी के करीब जा रहे हैं। साथ मिलकर लक्ष्य को पूरा करने में जुट गए हैं। अपनी तमाम फाइनेंशियल सेवाओं के ज़रिए अपने आपको आगे बढ़ा रहे हैं और देश की उन्नति में अहम योगदान भी दे रहे हैं।
#SpiceMoney #GuaranteeYatraDelhiNCR
#RuralFintech #PartnersMeet</t>
  </si>
  <si>
    <t>2024-01-20 09:29:23</t>
  </si>
  <si>
    <t>2024-01-20 09:28:33</t>
  </si>
  <si>
    <t>8058586952
rajendralaksh@gmail.com</t>
  </si>
  <si>
    <t>2024-01-20 09:15:48</t>
  </si>
  <si>
    <t>@sumitdhurve8575</t>
  </si>
  <si>
    <t>Veriy nice</t>
  </si>
  <si>
    <t>2024-01-20 09:14:16</t>
  </si>
  <si>
    <t>2024-01-20 09:04:01</t>
  </si>
  <si>
    <t>2024-01-20 09:02:46</t>
  </si>
  <si>
    <t>2024-01-20 09:01:27</t>
  </si>
  <si>
    <t>bhaskarkomalchandra@gmail.com</t>
  </si>
  <si>
    <t>2024-01-20 08:58:56</t>
  </si>
  <si>
    <t>SPICE MONEY 7828775754</t>
  </si>
  <si>
    <t>2024-01-20 08:58:44</t>
  </si>
  <si>
    <t>2024-01-20 08:58:06</t>
  </si>
  <si>
    <t>2024-01-20 08:57:36</t>
  </si>
  <si>
    <t>@anwer_raqib Dear Sir, Greetings! Our customer care officer will get in touch with you shortly. Regards, Team Spice Money</t>
  </si>
  <si>
    <t>2024-01-20 08:56:00</t>
  </si>
  <si>
    <t>2024-01-20 08:53:20</t>
  </si>
  <si>
    <t>Sir Mera I'd unblock nahi ho rahay hn</t>
  </si>
  <si>
    <t>2024-01-20 08:36:28</t>
  </si>
  <si>
    <t>Mere ko 5 year ho gaya kuchh nahi mila</t>
  </si>
  <si>
    <t>2024-01-20 08:10:39</t>
  </si>
  <si>
    <t>Account opening ka option nahi AA Raha hai mere I'd me</t>
  </si>
  <si>
    <t>2024-01-20 04:45:47</t>
  </si>
  <si>
    <t>2024-01-19</t>
  </si>
  <si>
    <t>Sir Mera I'd login problem aa rha h please help me</t>
  </si>
  <si>
    <t>2024-01-19 23:59:33</t>
  </si>
  <si>
    <t>A/c opening ks suhia</t>
  </si>
  <si>
    <t>2024-01-19 23:49:37</t>
  </si>
  <si>
    <t>Adhikari ke liye kam se kam ek t shirt hi de do</t>
  </si>
  <si>
    <t>2024-01-19 23:05:05</t>
  </si>
  <si>
    <t>@jansevakendravahanbimakend8623</t>
  </si>
  <si>
    <t>स्पाइस मनी के कर्मचारी चोर हो गए हैं डाटा इधर उधर करते हैं जिससे इस समय फ्रॉड बहुत ज्यादा हो रहा है और कोई सुनवाई नहीं करते हैं बाद में कहेंगे मेरा कोई जिम्मेदारी नहीं है भाई लोग स्पाइस मनी से बच के रहना मेरा नुकसान हुआ है बाद में यह लोग तुम्हारी गलती दे देंगे</t>
  </si>
  <si>
    <t>2024-01-19 21:45:13</t>
  </si>
  <si>
    <t>Pichle 5 saal se Kam kr rha hu kuch bhi help nhi hoti h</t>
  </si>
  <si>
    <t>2024-01-19 21:38:05</t>
  </si>
  <si>
    <t>Sir commision bahut km hai ek to npci roj roj nye niyam la  raha uper se Commission bahut km 3000 ke uper seedhe 9 ya 10 rupye kro Commission</t>
  </si>
  <si>
    <t>2024-01-19 21:22:41</t>
  </si>
  <si>
    <t>Bank of Baroda ka transaction hota hai</t>
  </si>
  <si>
    <t>2024-01-19 21:13:19</t>
  </si>
  <si>
    <t>Sar Aadhar ka kam lekar aaiae Aadhar seva Kendra 9759936570</t>
  </si>
  <si>
    <t>2024-01-19 21:11:56</t>
  </si>
  <si>
    <t>Commision Kam hai</t>
  </si>
  <si>
    <t>2024-01-19 21:02:31</t>
  </si>
  <si>
    <t>मैं भी एक अधिकारी हूं मुझे भी एक शर्ट दे दो कम से कम 1 साल से ज्यादा हो गया काम करते-करते अभी तक कुछ नहीं मिला</t>
  </si>
  <si>
    <t>2024-01-19 20:54:57</t>
  </si>
  <si>
    <t>Sar Mere ID Mein account opening ka system Nahin a raha hai</t>
  </si>
  <si>
    <t>2024-01-19 20:46:27</t>
  </si>
  <si>
    <t>koi help nhi mil rha h aapke care se</t>
  </si>
  <si>
    <t>2024-01-19 20:35:17</t>
  </si>
  <si>
    <t>sir mera id me authentication nhi hota h or matm device kam nhi kar rha h</t>
  </si>
  <si>
    <t>2024-01-19 20:35:06</t>
  </si>
  <si>
    <t>Hum v Bihar se hi hai</t>
  </si>
  <si>
    <t>2024-01-19 20:26:37</t>
  </si>
  <si>
    <t>Prakash_sahoo07</t>
  </si>
  <si>
    <t>Prakash Sahoo</t>
  </si>
  <si>
    <t>@SpiceMoneyIndia क्या हुआ सर अभी तक कोई कॉल आया नहीं</t>
  </si>
  <si>
    <t>2024-01-19 20:22:33</t>
  </si>
  <si>
    <t>Meri I'd Band ho gyi Matm bhi hai aapki Company ka Customer ko call ker diya Gmali ker but I'd open Nahi hui</t>
  </si>
  <si>
    <t>2024-01-19 20:19:23</t>
  </si>
  <si>
    <t>Sir Mera I'd login nhi ho Raha hai please help karein
SDL67514</t>
  </si>
  <si>
    <t>2024-01-19 19:56:52</t>
  </si>
  <si>
    <t>Jinke sath fraud ho rha hai....unse se pucho kbi</t>
  </si>
  <si>
    <t>2024-01-19 19:33:08</t>
  </si>
  <si>
    <t>Sahi bat hai abhi tk hamlogo ke pas spice money ek v Tshirt ya Kit nhi diya.</t>
  </si>
  <si>
    <t>2024-01-19 19:30:00</t>
  </si>
  <si>
    <t>Kuch nahi hai bas presan hi karto ho AAP log</t>
  </si>
  <si>
    <t>2024-01-19 19:29:17</t>
  </si>
  <si>
    <t>मैंने लगभग 04 वर्ष तक Spice Money के साथ काम किया लेकिन पिछले 06 माह से मेरी 🆔 बंद है कोई जवाबदेही लेने को तैयार नहीं हैं।</t>
  </si>
  <si>
    <t>2024-01-19 19:28:42</t>
  </si>
  <si>
    <t>@SpiceMoneyIndia please help me sdl640764
Raqib Anwar pin 854329 https://t.co/yHc8qiuUKd</t>
  </si>
  <si>
    <t>2024-01-19 19:21:51</t>
  </si>
  <si>
    <t>ca2428137</t>
  </si>
  <si>
    <t>ASHOK CHAUHAN ((I proud to be an Indian farmer )))</t>
  </si>
  <si>
    <t>@SpiceMoneyIndia  सबसे बड़ी फ्रॉड कंपनी है स्पाइस मनी जो की दुनिया के छोटे-छोटे कस्टमर को बेवकूफ बनाती है और उनसे ज्यादा से ज्यादा पैसे कटती है धोखेबाज फ्रॉड बेईमान यह कंपनी इस चीज में माहिर है https://t.co/aYneDqlrX9</t>
  </si>
  <si>
    <t>2024-01-19 19:14:24</t>
  </si>
  <si>
    <t>North lakhimpur, india</t>
  </si>
  <si>
    <t>@SpiceMoneyIndia 
स्पाइस मनी एक थर्ड पार्टी एप्लीकेशन है जो की ऐप्स विड्रोल बैंक अकाउंट ओपनिंग करता है लेकिन यह सबसे बड़ी फ्रॉड कंपनी है यह पैसा काट लेती है और इधर-उधर के चार्ज भी काटती है मेरा ट्रैवल यूनियन का 1 साल बाद आईआरसीटीसी रेनवाल चार्ज काटा है 590 सबसे बड़ी फ्रॉड कंपनीहै</t>
  </si>
  <si>
    <t>2024-01-19 19:12:24</t>
  </si>
  <si>
    <t>@SpiceMoneyIndia Santosh bhawankar mobile number 8975182144 email santosh83083@gmail.com spice I'd sdl146323</t>
  </si>
  <si>
    <t>2024-01-19 19:08:30</t>
  </si>
  <si>
    <t>Sonu Gupta kabhi nhi</t>
  </si>
  <si>
    <t>2024-01-19 19:07:24</t>
  </si>
  <si>
    <t>@SpiceMoneyIndia Santosh bhawankar 8975182144 santosh83083@gmail.com spice I'd sdl146323</t>
  </si>
  <si>
    <t>2024-01-19 19:07:18</t>
  </si>
  <si>
    <t>5 साल से काम रहे है सर</t>
  </si>
  <si>
    <t>2024-01-19 19:06:26</t>
  </si>
  <si>
    <t>Hello sir mere pass abhi tak Account opening Seytam aya ni hi please help me sir</t>
  </si>
  <si>
    <t>2024-01-19 19:05:40</t>
  </si>
  <si>
    <t>Hello sir mere pass abhi tak Account opening Seytam aya ni hi please help me</t>
  </si>
  <si>
    <t>2024-01-19 19:04:38</t>
  </si>
  <si>
    <t>मुझे काल करें...!!
9065556056</t>
  </si>
  <si>
    <t>2024-01-19 19:03:40</t>
  </si>
  <si>
    <t>SPICE MONEY thanks 🙏</t>
  </si>
  <si>
    <t>2024-01-19 18:51:02</t>
  </si>
  <si>
    <t>मेरी आईडी में केवाईसी नही हो रही हैं</t>
  </si>
  <si>
    <t>2024-01-19 18:50:52</t>
  </si>
  <si>
    <t>2024-01-19 18:50:20</t>
  </si>
  <si>
    <t>SPICE MONEY Mob-7894706637 email id sprasadgond@gmail.com</t>
  </si>
  <si>
    <t>2024-01-19 18:50:12</t>
  </si>
  <si>
    <t>2024-01-19 18:49:54</t>
  </si>
  <si>
    <t>2024-01-19 18:48:55</t>
  </si>
  <si>
    <t>2024-01-19 18:48:32</t>
  </si>
  <si>
    <t>2024-01-19 18:48:02</t>
  </si>
  <si>
    <t>MukammilBabu</t>
  </si>
  <si>
    <t>Mohd Mukammil Babu</t>
  </si>
  <si>
    <t>Dear NPCI. 
इस समस्या को कृपया कर के ठीक किया जाए। 
क्यूँ की हम आपके ही issue किये गये Portal के माध्यम से निकासी करते है। जैसे Fino payments bank. airtel payments bank. Spice money. paynearby. India post payment bank. etc. . . .</t>
  </si>
  <si>
    <t>2024-01-19 18:47:45</t>
  </si>
  <si>
    <t>Uttaranchal, india</t>
  </si>
  <si>
    <t>2024-01-19 18:47:37</t>
  </si>
  <si>
    <t>2024-01-19 18:46:58</t>
  </si>
  <si>
    <t>SPICE MONEY 
Sdl266656
Rambabu Rai
9452336021</t>
  </si>
  <si>
    <t>2024-01-19 18:46:21</t>
  </si>
  <si>
    <t>2024-01-19 18:45:44</t>
  </si>
  <si>
    <t>2024-01-19 18:44:50</t>
  </si>
  <si>
    <t>Top 3 AEPS Company कौन सा है Fino Payment Bank Roinet Paynearby Spice Money 2024</t>
  </si>
  <si>
    <t>2024-01-19 18:44:11</t>
  </si>
  <si>
    <t>2024-01-19 18:43:56</t>
  </si>
  <si>
    <t>2024-01-19 18:43:24</t>
  </si>
  <si>
    <t>मेरे id से 7000रुपये dmt ho गये</t>
  </si>
  <si>
    <t>2024-01-19 18:42:55</t>
  </si>
  <si>
    <t>पहिले spice mani से जो froud ho rahe हे o रोखो</t>
  </si>
  <si>
    <t>2024-01-19 18:42:23</t>
  </si>
  <si>
    <t>2024-01-19 18:42:14</t>
  </si>
  <si>
    <t>2024-01-19 18:41:08</t>
  </si>
  <si>
    <t>2024-01-19 18:39:33</t>
  </si>
  <si>
    <t>2024-01-19 18:39:13</t>
  </si>
  <si>
    <t>Sbi ka Withdraw me problem ho raha hai</t>
  </si>
  <si>
    <t>2024-01-19 18:39:03</t>
  </si>
  <si>
    <t>2024-01-19 18:38:24</t>
  </si>
  <si>
    <t>2024-01-19 18:37:56</t>
  </si>
  <si>
    <t>2024-01-19 18:37:29</t>
  </si>
  <si>
    <t>2024-01-19 18:37:05</t>
  </si>
  <si>
    <t>2024-01-19 18:36:14</t>
  </si>
  <si>
    <t>@akhilpal</t>
  </si>
  <si>
    <t>@@SpiceMoneyOfficial maine bahut bar sampark Kiya kuchh nahi hua kahta hai Axis bank balance se sampark kijiya axis bank Wale Ko pass bhi gaya kuchh nahin hua</t>
  </si>
  <si>
    <t>2024-01-19 18:35:09</t>
  </si>
  <si>
    <t>मेरे 4साल हो गए स्पाइस मनी से जुड़े और तभी से बेहतर काम करता हूं लेकिन आज तक कुछ नही मिला न बेनर न चार्ट न टी शर्ट न बैग 
Name Pavan Raidas
Mo.7746972231
Email pavanraidas21229@gmail.com</t>
  </si>
  <si>
    <t>2024-01-19 18:33:20</t>
  </si>
  <si>
    <t>प्रिय महोदय, नमस्कार! नए ID अनुरोध के संबंध में, कृपया हमारे आधिकारिक ग्राहक सेवा 0120-3645622 पर संपर्क करें।सादर, टीम स्पाइस मनी</t>
  </si>
  <si>
    <t>2024-01-19 18:30:23</t>
  </si>
  <si>
    <t>2024-01-19 18:29:47</t>
  </si>
  <si>
    <t>2024-01-19 18:29:28</t>
  </si>
  <si>
    <t>2024-01-19 18:28:48</t>
  </si>
  <si>
    <t>2024-01-19 18:27:45</t>
  </si>
  <si>
    <t>2024-01-19 18:27:18</t>
  </si>
  <si>
    <t>2024-01-19 18:25:54</t>
  </si>
  <si>
    <t>2024-01-19 18:25:12</t>
  </si>
  <si>
    <t>SPICE MONEY NSDL BANK KA</t>
  </si>
  <si>
    <t>2024-01-19 18:21:59</t>
  </si>
  <si>
    <t>2024-01-19 18:21:14</t>
  </si>
  <si>
    <t>Shyam suryawanshi
9131744862
shyamborna3@gmail.com</t>
  </si>
  <si>
    <t>2024-01-19 18:21:05</t>
  </si>
  <si>
    <t>Dear sir, Greetings! Aapke sujhaav ke liye dhanyavaad, humne ise note kar liya hai. Regards,  Team Spice Money</t>
  </si>
  <si>
    <t>2024-01-19 18:20:35</t>
  </si>
  <si>
    <t>@santoshbha73771 Dear Sir, Namaskar! Aapse request hai ki please apna Mobile number &amp;amp; email id hume inbox me share karein, hamari customer care team aapse jald hi sampark karegi. Regards, Team Spice Money</t>
  </si>
  <si>
    <t>2024-01-19 18:19:55</t>
  </si>
  <si>
    <t>2024-01-19 18:19:30</t>
  </si>
  <si>
    <t>2024-01-19 18:13:45</t>
  </si>
  <si>
    <t>2024-01-19 18:10:30</t>
  </si>
  <si>
    <t>Please my settlement option activate now, my settlement option deactivate 27 day's ago, 
&amp; Physical veryfy complete, but not settlement activate,,
Please refund now my money...</t>
  </si>
  <si>
    <t>2024-01-19 18:10:02</t>
  </si>
  <si>
    <t>2024-01-19 18:09:59</t>
  </si>
  <si>
    <t>2024-01-19 18:09:29</t>
  </si>
  <si>
    <t>2024-01-19 18:08:50</t>
  </si>
  <si>
    <t>2024-01-19 18:08:25</t>
  </si>
  <si>
    <t>2024-01-19 18:08:04</t>
  </si>
  <si>
    <t>2024-01-19 18:07:12</t>
  </si>
  <si>
    <t>2024-01-19 17:49:58</t>
  </si>
  <si>
    <t>2024-01-19 17:47:34</t>
  </si>
  <si>
    <t>2024-01-19 17:45:58</t>
  </si>
  <si>
    <t>@Tarunrajbarmer Dear Sir, Greetings! Please share your email id and mobile number in inbox .we'll reach out to you to resolve all your concerns.Regards, Team Spice Money</t>
  </si>
  <si>
    <t>2024-01-19 17:45:35</t>
  </si>
  <si>
    <t>Merko 5 sal hogye abhi tak ek chart ya benar tk nhi mila</t>
  </si>
  <si>
    <t>2024-01-19 17:36:37</t>
  </si>
  <si>
    <t>@SpiceMoneyIndia Meresath spice money bada fraud Hui hai</t>
  </si>
  <si>
    <t>2024-01-19 17:16:40</t>
  </si>
  <si>
    <t>Veri good service spice money but Mera Axis Bank current account mines mein hai</t>
  </si>
  <si>
    <t>2024-01-19 16:34:56</t>
  </si>
  <si>
    <t>Account opening ka charge kam kijiye please</t>
  </si>
  <si>
    <t>2024-01-19 15:51:11</t>
  </si>
  <si>
    <t>हम सब अधिकारियों की राय है सब को एक एक टी शर्ट देने चाहिए !</t>
  </si>
  <si>
    <t>2024-01-19 15:36:37</t>
  </si>
  <si>
    <t>Ramroop Rajoriya yes SPICE MONEY @followers</t>
  </si>
  <si>
    <t>2024-01-19 14:50:16</t>
  </si>
  <si>
    <t>How to take account opening service I am not getting service till now</t>
  </si>
  <si>
    <t>2024-01-19 11:48:26</t>
  </si>
  <si>
    <t>Myanmar Lal bol Raha Hun main 5 sal se spice Mani ka kam kar raha hun account opening ki service Abhi Tak nahin</t>
  </si>
  <si>
    <t>2024-01-19 11:44:12</t>
  </si>
  <si>
    <t>मेरा नम्बर बन्द हो गया है क्या करें ओटीपी नहीं आ रही है</t>
  </si>
  <si>
    <t>2024-01-19 11:02:32</t>
  </si>
  <si>
    <t>2024-01-19 10:46:16</t>
  </si>
  <si>
    <t>@SpiceMoneyIndia I have victim by spice money by big financial fraud</t>
  </si>
  <si>
    <t>2024-01-19 10:29:39</t>
  </si>
  <si>
    <t>Upi se cash withdrawal nhi ho rha ha customere care kuch nhi krte</t>
  </si>
  <si>
    <t>2024-01-19 10:12:03</t>
  </si>
  <si>
    <t>स्पाइस मनी के 24/7 कस्टमर सपोर्ट के फ़ायदे क्या हैं, इससे आपको किस तरह मदद मिलेगी?
सारी जानकारी के लिए वीडियो लिंक https://youtu.be/L48LASyoHuE पर क्लिक करें!
#SpiceMoney #SpiceMoneyGuarantee #SpiceSamachar
#RuralFintech #24/7CustomerCare #MainAdhikariKhudHoonGuarantee</t>
  </si>
  <si>
    <t>2024-01-19 10:00:55</t>
  </si>
  <si>
    <t>Tarunrajbarmer</t>
  </si>
  <si>
    <t>𝐓𝐚𝐫𝐮𝐧𝐫𝐚𝐣</t>
  </si>
  <si>
    <t>@SpiceMoneyIndia Our ID has been turned off for several days.</t>
  </si>
  <si>
    <t>2024-01-19 09:41:19</t>
  </si>
  <si>
    <t>24 कस्टमर केयर उपलब्ध रहने से क्या मतलब बैंक का ट्रांजैक्शन हो ही नहीं रहा पोर्टल पर कम से कम हर बैंकों का पांच ट्रांजैक्शन पैसा निकालना चाहिए कोई भी बैंक हो कम से कम हम लोग का धंधा पानी चलता रहेगा पैसा ना निकलने की वजह से एकदम बैठे हुए हैं 24 सपोर्ट रहने का क्या मतलब होगा जब हम लोग काम नहीं करेंगे तो आप क्या सपोर्ट करेंगे</t>
  </si>
  <si>
    <t>2024-01-19 09:31:41</t>
  </si>
  <si>
    <t>@abhaytech6843</t>
  </si>
  <si>
    <t>Bank of Baroda ka Paisa nahi nikal Raha hai</t>
  </si>
  <si>
    <t>2024-01-19 09:22:59</t>
  </si>
  <si>
    <t>@arvinddamor9742</t>
  </si>
  <si>
    <t>Wallet ka option nahi aa raha hai</t>
  </si>
  <si>
    <t>2024-01-19 09:21:25</t>
  </si>
  <si>
    <t>SPICE MONEY  kab karoge</t>
  </si>
  <si>
    <t>2024-01-19 09:14:51</t>
  </si>
  <si>
    <t>24hr ghanta service dene ke liye dhanyvad.... Best Service</t>
  </si>
  <si>
    <t>2024-01-19 09:10:10</t>
  </si>
  <si>
    <t>@SDH_India</t>
  </si>
  <si>
    <t>Thank You Mem</t>
  </si>
  <si>
    <t>2024-01-19 09:08:39</t>
  </si>
  <si>
    <t>@sonualiansari4258</t>
  </si>
  <si>
    <t>Spice Mony team complain par koyi Kam nahi karti hai</t>
  </si>
  <si>
    <t>2024-01-19 09:08:35</t>
  </si>
  <si>
    <t>Good morning mam... मेरा निवेदन है कि जो फ्रॉड कर रहे हैं आपकी साइट को लेकर तो आप जल्दी से जल्दी कंपनी को एक्शन लेना चाहिए! लोगों का विश्वास सिर्फ आपकी कंपनी पर है!</t>
  </si>
  <si>
    <t>2024-01-19 09:08:11</t>
  </si>
  <si>
    <t>@prabitrai2362</t>
  </si>
  <si>
    <t>Spice money retailer cash kaha say lay</t>
  </si>
  <si>
    <t>2024-01-19 09:06:15</t>
  </si>
  <si>
    <t>Good morning 🌅🌄 mam thank you</t>
  </si>
  <si>
    <t>2024-01-19 09:05:30</t>
  </si>
  <si>
    <t>@mdabdullahilkafi2719</t>
  </si>
  <si>
    <t>সার্ভিস কিচ্ছু ভালো না টাকায় উঠতে চাই না বেশিরভাগ সময় ফেল মারবে।</t>
  </si>
  <si>
    <t>2024-01-19 09:03:16</t>
  </si>
  <si>
    <t>स्पाइस मनी के 24/7 कस्टमर सपोर्ट के फ़ायदे क्या हैं, इससे आपको किस तरह मदद मिलेगी?
सारी जानकारी के लिए वीडियो लिंक https://t.co/beoumvV1lK पर क्लिक करें!
#SpiceMoney #SpiceMoneyGuarantee #SpiceSamachar
#RuralFintech #24/7CustomerCare #MainAdhikariKhudHoonGuarantee https://t.co/Kenocegx2C</t>
  </si>
  <si>
    <t>2024-01-19 09:00:00</t>
  </si>
  <si>
    <t>@anarulhaldar1</t>
  </si>
  <si>
    <t>Thank</t>
  </si>
  <si>
    <t>2024-01-19 08:56:40</t>
  </si>
  <si>
    <t>25 dec ka kata hai 5 bar complaint ho gaya hai</t>
  </si>
  <si>
    <t>2024-01-19 08:56:09</t>
  </si>
  <si>
    <t>Bbps ka paisa kab doge</t>
  </si>
  <si>
    <t>2024-01-19 08:55:28</t>
  </si>
  <si>
    <t>@onlinecashbackbiharibabu435</t>
  </si>
  <si>
    <t>2024-01-19 08:54:32</t>
  </si>
  <si>
    <t>#SpiceSamachar Mein Janein Spice Money Customer Support Se Judi Kuchh Khas Batein!</t>
  </si>
  <si>
    <t>2024-01-19 08:54:17</t>
  </si>
  <si>
    <t>Bina link ke usake pass data hai</t>
  </si>
  <si>
    <t>2024-01-19 08:53:09</t>
  </si>
  <si>
    <t>Spice money team se request hai ki mujhe app logo se kuch jaruri bat karni hai 
8756133657 adhikari contract number</t>
  </si>
  <si>
    <t>2024-01-19 08:46:42</t>
  </si>
  <si>
    <t>स्पाइस मनी देता है 24/7 कस्टमर सपोर्ट की गारंटी! आप अधिकारी और डिस्ट्रीब्यूटर मन लगाकर अपना बिज़नेस करें और किसी भी समस्या का समाधान पाने के लिए संपर्क करें।
#SpiceMoney #SpiceMoneyGuarantee
#RuralFintech #24/7CustomerCare #MainAdhikariKhudHoonGuarantee
स्पाइस मनी देता है 24/7 कस्टमर सपोर्ट की गारंटी! आप अधिकारी और डिस्ट्रीब्यूटर मन लगाकर अपना बिज़नेस करें और किसी भी समस्या का समाधान पाने के लिए संपर्क करें।
#SpiceMoney #SpiceMoneyGuarantee
#RuralFintech #24/7CustomerCare #MainAdhikariKhudHoonGuarantee</t>
  </si>
  <si>
    <t>2024-01-19 08:00:11</t>
  </si>
  <si>
    <t>स्पाइस मनी देता है 24/7 कस्टमर सपोर्ट की गारंटी! आप अधिकारी और डिस्ट्रीब्यूटर मन लगाकर अपना बिज़नेस करें और किसी भी समस्या का समाधान पाने के लिए संपर्क करें।
#SpiceMoney #SpiceMoneyGuarantee
#RuralFintech #24/7CustomerCare #MainAdhikariKhudHoonGuarantee https://t.co/UdekgDXxWY</t>
  </si>
  <si>
    <t>2024-01-19 08:00:00</t>
  </si>
  <si>
    <t>Distributor se sampark kijiye mil jaega tshirt aap sabko</t>
  </si>
  <si>
    <t>2024-01-19 07:30:27</t>
  </si>
  <si>
    <t>UPI cash withdrawal payment limit ko 1000 se bada kar kam se kam 10000 tak kar dena chahiye
1000 se jyada payment kisi costumer ko chahiye to bar bar payment lena padta hai
8756133657</t>
  </si>
  <si>
    <t>2024-01-19 07:03:53</t>
  </si>
  <si>
    <t>Humko spice money I'd chaye so please give me your mobile number</t>
  </si>
  <si>
    <t>2024-01-19 05:46:21</t>
  </si>
  <si>
    <t>@PremStudiopremstudio</t>
  </si>
  <si>
    <t>भाई मैं भी बिहार से हूं मैं स्पाइस मनी का सुपर डइस्टूबूटर बनना चाहता हूं</t>
  </si>
  <si>
    <t>2024-01-19 04:19:54</t>
  </si>
  <si>
    <t>सभी अधिकारियों एक टी शर्ट दिया जाए</t>
  </si>
  <si>
    <t>2024-01-19 04:04:40</t>
  </si>
  <si>
    <t>Sir mujhe na hi poster baner Kuch nhi mila to kya lgye shop par</t>
  </si>
  <si>
    <t>2024-01-19 04:02:42</t>
  </si>
  <si>
    <t>सभी जिले में एक बार अधिकारियो के साथ बैठक करें और उन्हें कम्पनी के कुछ प्रोडक्ट सभी अधिकारियों को दिया जाए ताकि सभी अधिकारियों का काम करने में मन लगता रहे।                                               
धन्यवाद 
SPICE MONEY</t>
  </si>
  <si>
    <t>2024-01-19 04:00:08</t>
  </si>
  <si>
    <t>Sir Assam ka Karimganj kab aoge</t>
  </si>
  <si>
    <t>2024-01-19 03:58:55</t>
  </si>
  <si>
    <t>2024-01-18</t>
  </si>
  <si>
    <t>6 year kam kor Raha hu</t>
  </si>
  <si>
    <t>2024-01-18 23:45:51</t>
  </si>
  <si>
    <t>सर जी हम को नींव आईडी लेना है कीया करना होगा मेरा फ़ोन नम्बर ********** है</t>
  </si>
  <si>
    <t>2024-01-18 23:29:18</t>
  </si>
  <si>
    <t>जिससे सभी अधिकारियों की अलग पहचान के साथ स्पाइस मनी अधिकारी अधिक से अधिक लोग इस जुड़कर इस प्लेटफॉर्म को और आगे बढ़ाए और नंबर 1 प्लेटफॉर्म कहलाये ये मेरी ब्यक्तिगत राय है।</t>
  </si>
  <si>
    <t>2024-01-18 22:49:47</t>
  </si>
  <si>
    <t>टी शर्ट सभी अधिकारियों को देना चाहिए नए वर्ष का लेकिन अभी तक कुछ नही मिला है मैम</t>
  </si>
  <si>
    <t>2024-01-18 22:42:37</t>
  </si>
  <si>
    <t>@SpiceMoneyIndia ये कंपनी  रिटेलर का जमा किया हु पैसा घोटाला करके दूसरे खाते में ट्रांसफर केर देता है बहुत बड़ी फर्जी कंपनी अभी हाल में मेरे जीजा के  spice money wallet से 365000 लगभग 19 अकाउंट में ट्रांसफर हो गया है बिना किसी ओटीपी संदेश के जिसका अभी तक कोई पूछताछ परिणाम नहीं आया है .</t>
  </si>
  <si>
    <t>2024-01-18 22:36:59</t>
  </si>
  <si>
    <t>Agartala mei koi Hain? Kuch advertisement chahiye.</t>
  </si>
  <si>
    <t>2024-01-18 22:35:50</t>
  </si>
  <si>
    <t>Sir hum bhi Bihar ke hain 
Aur woh bhi star retailer hain humlog ko bhi information hona chahiye</t>
  </si>
  <si>
    <t>2024-01-18 22:30:25</t>
  </si>
  <si>
    <t>मैं भी पिछले 4 साल से चला रहा हूँ लेकिन मुझे अभी तक कुछ नही मिला न बैनर ,पोस्टर कुछ भी नही मिला</t>
  </si>
  <si>
    <t>2024-01-18 22:12:38</t>
  </si>
  <si>
    <t>SPICE MONEY सही है सभी अधिकारियों को मिलनी चाहिए एक एक टी शर्ट</t>
  </si>
  <si>
    <t>2024-01-18 22:09:10</t>
  </si>
  <si>
    <t>Sir ji hame bhi kuch nhi mila h</t>
  </si>
  <si>
    <t>2024-01-18 21:47:57</t>
  </si>
  <si>
    <t>Deoghar Jharkhand Aa rahe hai kya</t>
  </si>
  <si>
    <t>2024-01-18 21:44:13</t>
  </si>
  <si>
    <t>Spic money ma ab koi bhi nahi sunta purana</t>
  </si>
  <si>
    <t>2024-01-18 21:41:42</t>
  </si>
  <si>
    <t>सब अधिकारी को एक-एक Tshirt देना चाहिए
स्पाइस maney ki</t>
  </si>
  <si>
    <t>2024-01-18 21:28:58</t>
  </si>
  <si>
    <t>Star retler रहते  हुए  भि हमलोग  के यहा  axix bank ka खाता नहीं खोल  पा रहे हैं  महोदय कुछ किया  जाये  west champaran bihar  नरकटियागंज  अभी ऑप्शन  रहते हुए भी   नहीं खुल पा रहा है</t>
  </si>
  <si>
    <t>2024-01-18 21:17:22</t>
  </si>
  <si>
    <t>Spice money best platform from starting</t>
  </si>
  <si>
    <t>2024-01-18 21:11:58</t>
  </si>
  <si>
    <t>8979151574 call for spice money activation</t>
  </si>
  <si>
    <t>2024-01-18 21:10:12</t>
  </si>
  <si>
    <t>West Bengal, Uttar Dinajpur, Dalkhola kab Meeting hoga</t>
  </si>
  <si>
    <t>2024-01-18 21:10:05</t>
  </si>
  <si>
    <t>💥💥JOINING HURRY UP💥💥
Click On " *REGISTER FOR FREE* "
ENTER MOBILE NUMBER
Steps Of Process
1. Basic Information
2. Workplace Details
3. Distributor Mapping
     Id: 181054
4. PAN Card
5. Proof Of Address
6. Bank Details
7. Self Declaration
8. Other Details
Download Spice Money App
https://play.google.com/store/apps/details?id=in.spicemudra
Distributor Id
181054</t>
  </si>
  <si>
    <t>2024-01-18 21:06:33</t>
  </si>
  <si>
    <t>पिछले छे सात साल से स्पाइस मनी के साथ काम कर रहा हू एक रिटेलर के हिसाब से एक पाच रुपये का पेन आज तक नही दिया भाई इन लोगो ने ये किसी को कुछ नही देते सिर्फ दिखाते है</t>
  </si>
  <si>
    <t>2024-01-18 21:02:23</t>
  </si>
  <si>
    <t>सभी को नीचे बैठा कर वाह क्या बात है</t>
  </si>
  <si>
    <t>2024-01-18 21:02:15</t>
  </si>
  <si>
    <t>Shyam Sunder Rav किसी भी लिंक पर क्लीक न करे न ही उसमे id पासवर्ड डाले नही तो लूट लिए जाओगे</t>
  </si>
  <si>
    <t>2024-01-18 21:02:14</t>
  </si>
  <si>
    <t>Govind Kumar Kushwaha 181054</t>
  </si>
  <si>
    <t>2024-01-18 21:01:22</t>
  </si>
  <si>
    <t>Nsdl aucont opnig charj kam kijiye</t>
  </si>
  <si>
    <t>2024-01-18 21:00:43</t>
  </si>
  <si>
    <t>Ik Kohinoor स्टार स्पाइस को कमीशन ही कुछ बेहतर दे दे इतना ही बहुत है</t>
  </si>
  <si>
    <t>2024-01-18 20:57:06</t>
  </si>
  <si>
    <t>अन्य पोर्टल पर बहुत अच्छा कमीसन मिलता है जितना आप मंथली पैक में कमीशन देते हो उतना तो अन्य कम्पनी ऐसे ही देती है कमीशन में सुधार करो नही तो पोर्टल कोई दूसरा यूज़ करना पड़ेगा</t>
  </si>
  <si>
    <t>2024-01-18 20:55:56</t>
  </si>
  <si>
    <t>Bagaha</t>
  </si>
  <si>
    <t>2024-01-18 20:40:58</t>
  </si>
  <si>
    <t>West Champaran</t>
  </si>
  <si>
    <t>2024-01-18 20:40:53</t>
  </si>
  <si>
    <t>SPICE MONEY 
Distributor mapping I'd chahiye</t>
  </si>
  <si>
    <t>2024-01-18 20:40:31</t>
  </si>
  <si>
    <t>जिस प्रकार से हम लोग किसी भी बैंक के बैलेंस विड्रोल या बैलेंस इंक्वारी कर लेते हैं ठीक इसी प्रकार से सभी बैंक के अकाउंट ओपनिंग होता तो कितना अच्छा होता स्पाइस मनी फैमिली के लोगों के लिए</t>
  </si>
  <si>
    <t>2024-01-18 20:34:00</t>
  </si>
  <si>
    <t>Bilku kuch milna chaye mai star spice hu</t>
  </si>
  <si>
    <t>2024-01-18 20:27:35</t>
  </si>
  <si>
    <t>Asgar Ali chup mc🤣🤣🤣</t>
  </si>
  <si>
    <t>2024-01-18 20:19:39</t>
  </si>
  <si>
    <t>Sar isme  Aadhar ki service active karen to bahut Achcha hoga</t>
  </si>
  <si>
    <t>2024-01-18 20:11:52</t>
  </si>
  <si>
    <t>Bilkul kuch to mile ऑफर इस साल का महोदय</t>
  </si>
  <si>
    <t>2024-01-18 20:04:06</t>
  </si>
  <si>
    <t>Sir meri id suspended hai bahut eky kar lekin request reject ho jati or ab kyc nhi ho rahi h
Mo 9399791085</t>
  </si>
  <si>
    <t>2024-01-18 19:54:14</t>
  </si>
  <si>
    <t>SPICE MONEY mobile number se kuch nahi krte ho tum</t>
  </si>
  <si>
    <t>2024-01-18 19:44:23</t>
  </si>
  <si>
    <t>3 saal se spice money chala raha hu fir bhi kuch nahi mila</t>
  </si>
  <si>
    <t>2024-01-18 19:43:31</t>
  </si>
  <si>
    <t>2024-01-18 19:43:29</t>
  </si>
  <si>
    <t>18 jan kolkata</t>
  </si>
  <si>
    <t>2024-01-18 19:35:20</t>
  </si>
  <si>
    <t>Ramroop Rajoriya ji
sir jiii tshirt dila dijiye</t>
  </si>
  <si>
    <t>2024-01-18 19:25:38</t>
  </si>
  <si>
    <t>sir Bihar me Araria district nahi aayenge</t>
  </si>
  <si>
    <t>2024-01-18 19:23:16</t>
  </si>
  <si>
    <t>सब अधिकारी को एक एक एक t-shirt  तो बनता है</t>
  </si>
  <si>
    <t>2024-01-18 19:18:41</t>
  </si>
  <si>
    <t>प्लीज सब स्पाइस मनी अधिकारियों के लिए प्लीज एक टी-शर्ट जरूर दे दो</t>
  </si>
  <si>
    <t>2024-01-18 19:08:21</t>
  </si>
  <si>
    <t>SPICE MONEY hamare sales person kon h sir</t>
  </si>
  <si>
    <t>2024-01-18 19:05:43</t>
  </si>
  <si>
    <t>2024-01-18 18:54:34</t>
  </si>
  <si>
    <t>Kuch nahi hota hai hamare id 1 mah se band hai</t>
  </si>
  <si>
    <t>2024-01-18 18:46:41</t>
  </si>
  <si>
    <t>यहाँ पर सबको बाबा जी का ठुल्लू मिलता है।</t>
  </si>
  <si>
    <t>2024-01-18 18:26:08</t>
  </si>
  <si>
    <t>Spice money me bahut farod call aa raha hai esh bat pe bhi dhayan dena chahiye bahut adhikari ka paisa lud gaya hai 
  Space money se data lik ho raha hai</t>
  </si>
  <si>
    <t>2024-01-18 18:26:07</t>
  </si>
  <si>
    <t>2024-01-18 18:09:01</t>
  </si>
  <si>
    <t>2024-01-18 18:08:44</t>
  </si>
  <si>
    <t>@ashukm प्रिय महोदय, नमस्कार!AEPS service के बारे में हमारी तरफ से आपकी जानकारी शेयर कर दी गई है। अधिक जानकारी के लिए आप हमारे आधिकारिक ग्राहक सेवा नंबर 0120-3645645 पर भी संपर्क कर सकते हैं। सादर, टीम स्पाइस मनी</t>
  </si>
  <si>
    <t>2024-01-18 18:08:29</t>
  </si>
  <si>
    <t>Sir ashoknagar mp kab AA rhe ho</t>
  </si>
  <si>
    <t>2024-01-18 18:05:35</t>
  </si>
  <si>
    <t>2024-01-18 18:04:08</t>
  </si>
  <si>
    <t>2024-01-18 18:03:15</t>
  </si>
  <si>
    <t>2024-01-18 18:02:49</t>
  </si>
  <si>
    <t>2024-01-18 18:00:22</t>
  </si>
  <si>
    <t>2024-01-18 17:57:53</t>
  </si>
  <si>
    <t>2024-01-18 17:57:17</t>
  </si>
  <si>
    <t>2024-01-18 17:57:00</t>
  </si>
  <si>
    <t>2024-01-18 17:56:39</t>
  </si>
  <si>
    <t>2024-01-18 17:56:17</t>
  </si>
  <si>
    <t>@Tanveer50190409 प्रिय महोदय, नमस्कार! आपसे अनुरोध है कि कृपया अपना मोबाइल नंबर और ईमेल आईडी हमें inbox me साझा करें, हमारी ग्राहक सेवा टीम आपसे जल्द ही संपर्क करेगी। सादर, टीम स्पाइस मनी</t>
  </si>
  <si>
    <t>2024-01-18 17:54:51</t>
  </si>
  <si>
    <t>@BIJAY2050 Dear sir, Greetings! Thank you for your suggestion, we have taken a note of it. Regards, Team Spice Money</t>
  </si>
  <si>
    <t>2024-01-18 17:52:42</t>
  </si>
  <si>
    <t>Welcome ❤️🌹🌹💐💐</t>
  </si>
  <si>
    <t>2024-01-18 17:10:34</t>
  </si>
  <si>
    <t>Sar Purnia bhi aaiae</t>
  </si>
  <si>
    <t>2024-01-18 17:00:26</t>
  </si>
  <si>
    <t>2024-01-18 16:58:32</t>
  </si>
  <si>
    <t>2024-01-18 16:49:35</t>
  </si>
  <si>
    <t>Alam S Ansari bilkul sahi bola apne bade bhai</t>
  </si>
  <si>
    <t>2024-01-18 16:48:57</t>
  </si>
  <si>
    <t>2024-01-18 16:42:39</t>
  </si>
  <si>
    <t>गारंटी यात्रा:सफलता की ओर एक कदम
16 जनवरी को भोपाल में हुए इवेंट की सफलता से हम बेहद उत्साहित हैं।हम इस साल मिलकर कामयाबी का नया इतिहास रचने वाले हैं। आप सभी का साथ, विश्वास और आगे बढ़ने की चाह स्पाइस मनी की सफलता की चाभी है। यूँही जुड़े रहें, आगे बढ़ते रहें।
#SpiceMoney… https://t.co/4Uwvh5BBTd</t>
  </si>
  <si>
    <t>2024-01-18 16:41:21</t>
  </si>
  <si>
    <t>गारंटी यात्रा:सफलता की ओर एक कदम
16 जनवरी को भोपाल में हुए इवेंट की सफलता से हम बेहद उत्साहित हैं।हम इस साल मिलकर कामयाबी का नया इतिहास रचने वाले हैं। आप सभी का साथ, विश्वास और आगे बढ़ने की चाह स्पाइस मनी की सफलता की चाभी है। यूँही जुड़े रहें, आगे बढ़ते रहें।
#SpiceMoney #GuaranteeYatraBhopal
#RuralFintech #PartnersMeet
गारंटी यात्रा:सफलता की ओर एक कदम
16 जनवरी को भोपाल में हुए इवेंट की सफलता से हम बेहद उत्साहित हैं।हम इस साल मिलकर कामयाबी का नया इतिहास रचने वाले हैं। आप सभी का साथ, विश्वास और आगे बढ़ने की चाह स्पाइस मनी की सफलता की चाभी है। यूँही जुड़े रहें, आगे बढ़ते रहें।
#SpiceMoney #GuaranteeYatraBhopal
#RuralFintech #PartnersMeet</t>
  </si>
  <si>
    <t>2024-01-18 16:40:39</t>
  </si>
  <si>
    <t>Sir hm bhi bihar se hi hai aur humko koi information hi nhi hai</t>
  </si>
  <si>
    <t>2024-01-18 16:05:29</t>
  </si>
  <si>
    <t>Sir mp me kab Aa rahe ho</t>
  </si>
  <si>
    <t>2024-01-18 15:28:14</t>
  </si>
  <si>
    <t>बहुत-बहुत धन्यवाद स्पाइस मनी हमारे एरिया में कब आ रहे हैं यूपी उत्तर प्रदेश में</t>
  </si>
  <si>
    <t>2024-01-18 14:52:54</t>
  </si>
  <si>
    <t>Mujhe bhi kuch nahi Mila na hi poster na banner</t>
  </si>
  <si>
    <t>2024-01-18 14:49:28</t>
  </si>
  <si>
    <t>Sir Sagar Madhya Pradesh kab AA rahe ho</t>
  </si>
  <si>
    <t>2024-01-18 14:47:11</t>
  </si>
  <si>
    <t>Sir alwar rajasthan kab AA rahe ho</t>
  </si>
  <si>
    <t>2024-01-18 13:55:17</t>
  </si>
  <si>
    <t>बहुत-बहुत धन्यवाद करता हूं  स्पाइस मनी परिवार को जो स्पाइस मनी अधिकारी और रिटेलर सबका हौसला बढ़ा रहे हैं</t>
  </si>
  <si>
    <t>2024-01-18 13:52:16</t>
  </si>
  <si>
    <t>गारंटी यात्रा है, उन्नति का रास्ता 
इस यात्रा के तहत 16 जनवरी को बिहार में अपने स्पाइस मनी पार्टनर्स से मिलकर हम बेहद उत्साहित हैं। 
यकीनन, काम के प्रति आप सभी का समर्पण और हमारी प्लानिंग्स, कामयाबी के बड़े रिकार्ड्स दर्ज करने को तैयार है।
#SpiceMoney #GuaranteeYatraBihar… https://t.co/uDtPTOVCj3</t>
  </si>
  <si>
    <t>2024-01-18 13:43:53</t>
  </si>
  <si>
    <t>गारंटी यात्रा है, उन्नति का रास्ता 
इस यात्रा के तहत 16 जनवरी को बिहार में अपने स्पाइस मनी पार्टनर्स से मिलकर हम बेहद उत्साहित हैं। 
यकीनन, काम के प्रति आप सभी का समर्पण और हमारी प्लानिंग्स, कामयाबी के बड़े रिकार्ड्स दर्ज करने को तैयार है।
#SpiceMoney #GuaranteeYatraBihar
#RuralFintech #PartnersMeet
गारंटी यात्रा है, उन्नति का रास्ता 
इस यात्रा के तहत 16 जनवरी को बिहार में अपने स्पाइस मनी पार्टनर्स से मिलकर हम बेहद उत्साहित हैं। 
यकीनन, काम के प्रति आप सभी का समर्पण और हमारी प्लानिंग्स, कामयाबी के बड़े रिकार्ड्स दर्ज करने को तैयार है।
#SpiceMoney #GuaranteeYatraBihar
#RuralFintech #PartnersMeet</t>
  </si>
  <si>
    <t>2024-01-18 13:43:21</t>
  </si>
  <si>
    <t>@BadalKu32709639 @SpiceMoneyIndia @FinoPaymntsBank @NPCI_NPCI hai.
Dhanyavad. (2/2)</t>
  </si>
  <si>
    <t>2024-01-18 12:32:31</t>
  </si>
  <si>
    <t>@BadalKu32709639 @SpiceMoneyIndia @FinoPaymntsBank @NPCI_NPCI Namaste Badal, aapke sujhaav ke liye Dhanyavad. Hum ise humare team ke saath share karenge. Yeh nishchit roop se humein aapki behtar seva karne mein madad karega. Apne in-app notifications ko zarur padhein, hum app ke saare naye feature aur service launch wahan share karte (1/2)</t>
  </si>
  <si>
    <t>2024-01-18 12:32:30</t>
  </si>
  <si>
    <t>@SpiceMoneyIndia Pls update calender in app 2024 for marketing kit</t>
  </si>
  <si>
    <t>2024-01-18 12:20:41</t>
  </si>
  <si>
    <t>@SpiceMoneyIndia क्या यही गारंटी है महोदय https://t.co/Xmcv6QH7ng</t>
  </si>
  <si>
    <t>2024-01-18 12:08:36</t>
  </si>
  <si>
    <t>@SpiceMoneyIndia मा का भोसड़ा तुम्हारी</t>
  </si>
  <si>
    <t>2024-01-18 11:31:50</t>
  </si>
  <si>
    <t>@chandansinghkushwaha9518</t>
  </si>
  <si>
    <t>@@SpiceMoneyOfficial yaha kese share Karu ...or me phle sehi spice money adhikari hu..</t>
  </si>
  <si>
    <t>2024-01-18 11:18:35</t>
  </si>
  <si>
    <t>2024-01-18 11:15:00</t>
  </si>
  <si>
    <t>2024-01-18 11:14:26</t>
  </si>
  <si>
    <t>2024-01-18 11:14:01</t>
  </si>
  <si>
    <t>2024-01-18 11:13:56</t>
  </si>
  <si>
    <t>@SpiceMoneyIndia Wallet se bar-bar amount deduct Kiya ja raha hae. https://t.co/9QFQziofh4</t>
  </si>
  <si>
    <t>2024-01-18 10:23:02</t>
  </si>
  <si>
    <t>Mujhe kuch nahi Mila</t>
  </si>
  <si>
    <t>2024-01-18 10:18:18</t>
  </si>
  <si>
    <t>Namaskar sir Mujhe bhi kuch nhi Mila na poster or na banner</t>
  </si>
  <si>
    <t>2024-01-18 10:02:13</t>
  </si>
  <si>
    <t>@@SpiceMoneyOfficial मैं यूनियन बैंक ने अपना लिमिट खत्म कर दिया है एनपीसीआई से आप लोग बात करिए और और हर बैंकों का काम से कम 5 से 8 ट्रांजैक्शन हर महीने में होना चाहिए</t>
  </si>
  <si>
    <t>2024-01-18 09:39:45</t>
  </si>
  <si>
    <t>Spice money to life money</t>
  </si>
  <si>
    <t>2024-01-18 09:36:21</t>
  </si>
  <si>
    <t>SPICE MONEY 8051730499</t>
  </si>
  <si>
    <t>2024-01-18 09:21:24</t>
  </si>
  <si>
    <t>2024-01-18 09:20:54</t>
  </si>
  <si>
    <t>Mujhe bhi kuch nhi milah</t>
  </si>
  <si>
    <t>2024-01-18 09:03:50</t>
  </si>
  <si>
    <t>@PunitSr51902640 Dear Sir, Greetings! Our customer care officer will get in touch with you shortly. Regards, Team Spice Money</t>
  </si>
  <si>
    <t>2024-01-18 08:50:14</t>
  </si>
  <si>
    <t>PunitSr51902640</t>
  </si>
  <si>
    <t>Punit Srivastava</t>
  </si>
  <si>
    <t>@SpiceMoneyIndia Mob 7905820930
E-mail - punit1983pks@gmail.con</t>
  </si>
  <si>
    <t>2024-01-18 08:48:45</t>
  </si>
  <si>
    <t>गोरखपुर</t>
  </si>
  <si>
    <t>2024-01-18 08:32:35</t>
  </si>
  <si>
    <t>2024-01-18 08:32:10</t>
  </si>
  <si>
    <t>2024-01-18 08:31:37</t>
  </si>
  <si>
    <t>2024-01-18 08:30:48</t>
  </si>
  <si>
    <t>2024-01-18 08:29:56</t>
  </si>
  <si>
    <t>@PunitSr51902640 Dear Sir, Greetings! Please share your email id and mobile number in inbox .we'll reach out to you to resolve all your concerns.Regards, Team Spice Money</t>
  </si>
  <si>
    <t>2024-01-18 08:29:29</t>
  </si>
  <si>
    <t>2024-01-18 08:27:40</t>
  </si>
  <si>
    <t>2024-01-18 08:27:00</t>
  </si>
  <si>
    <t>2024-01-18 08:24:26</t>
  </si>
  <si>
    <t>@Shobhitvar97831 प्रिय महोदय, नमस्कार! हमारे ग्राहक सेवा अधिकारी जल्द ही आपसे संपर्क करेंगे। सादर, टीम स्पाइस मनी</t>
  </si>
  <si>
    <t>2024-01-18 08:24:10</t>
  </si>
  <si>
    <t>2024-01-18 08:22:24</t>
  </si>
  <si>
    <t>BadalKu32709639</t>
  </si>
  <si>
    <t>Badal Kumar</t>
  </si>
  <si>
    <t>kon kon cahta hai ki aeps portal per upi payment ka option hona cahiye. @SpiceMoneyIndia @FinoPaymntsBank @PayNearby @NPCI_NPCI</t>
  </si>
  <si>
    <t>2024-01-18 08:02:14</t>
  </si>
  <si>
    <t>Shobhitvar97831</t>
  </si>
  <si>
    <t>Shobhit varshney</t>
  </si>
  <si>
    <t>@SpiceMoneyIndia सब फेक है।</t>
  </si>
  <si>
    <t>2024-01-18 07:04:52</t>
  </si>
  <si>
    <t>@SpiceMoneyIndia @SonuSood @narendramodi @PMOIndia @AmitShah @jagograhakjago @PiyushGoyalOffc @PiyushGoyal @myogiadityanath @myogioffice @AmitShahOffice 9639930399,  after 4p.m. okk</t>
  </si>
  <si>
    <t>2024-01-18 07:03:32</t>
  </si>
  <si>
    <t>2024-01-18 06:18:00</t>
  </si>
  <si>
    <t>2024-01-17</t>
  </si>
  <si>
    <t>बिजली बिल जमा करने पर कमीशन होना चाहिए</t>
  </si>
  <si>
    <t>2024-01-17 21:47:04</t>
  </si>
  <si>
    <t>@SpiceMoneyIndia @cyberpolice_up @HDFC_Bank 
Sir 
This person is a fraud person.
He gives froud seeting and takes money from spice wollet. Please take necessary action. https://t.co/8wE7Rz6VDC</t>
  </si>
  <si>
    <t>2024-01-17 21:09:17</t>
  </si>
  <si>
    <t>Login nahi ho Raha</t>
  </si>
  <si>
    <t>2024-01-17 20:01:54</t>
  </si>
  <si>
    <t>@@Rishabhpatel502 mera I'd pahle se bana hua hai</t>
  </si>
  <si>
    <t>2024-01-17 20:01:35</t>
  </si>
  <si>
    <t>@Rishabhpatel502</t>
  </si>
  <si>
    <t>Bhai khud apply kar do online app se</t>
  </si>
  <si>
    <t>2024-01-17 19:50:23</t>
  </si>
  <si>
    <t>2024-01-17 17:43:57</t>
  </si>
  <si>
    <t>@ankurmishra31 Dear Sir, Namaskar! Aapko batana chahenge ki is concern ke regarding aapke area ke sales person ki taraf se aapko information provide kar di jayegi. Regards, Team Spice Money</t>
  </si>
  <si>
    <t>2024-01-17 17:39:39</t>
  </si>
  <si>
    <t>2024-01-17 17:36:27</t>
  </si>
  <si>
    <t>@Shobhitvar97831 @SonuSood @narendramodi @PMOIndia @AmitShah @jagograhakjago @PiyushGoyalOffc @PiyushGoyal @myogiadityanath @myogioffice @AmitShahOffice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</si>
  <si>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2024-01-17 17:34:46</t>
  </si>
  <si>
    <t>@ig_ronyyyy Dear Sir, Greetings! Hamare grahak sewa adhikari aapse jald hi sampark karenge. Regards, Team Spice Money</t>
  </si>
  <si>
    <t>2024-01-17 17:16:30</t>
  </si>
  <si>
    <t>ig_ronyyyy</t>
  </si>
  <si>
    <t>Ankit Maddheshiya</t>
  </si>
  <si>
    <t>@SpiceMoneyIndia 
Name:- Sanjay Maddeshiya
Spice Money ID:- sdl1666551
Sir Maine New spice money ID Create Karvaya tha Jisme maine 17 thousand Something Transaction kiya tha Aur Aaj Mera spice money ID Invalid bata rha hai Please aap use kaise bhi karke sahi/Chalu kar dijiye.</t>
  </si>
  <si>
    <t>2024-01-17 17:14:01</t>
  </si>
  <si>
    <t>Gorakhpur, india</t>
  </si>
  <si>
    <t>@Satra_Arsha_Purulia</t>
  </si>
  <si>
    <t>UPI cash withdrawal kiye par statement nahi hua please help</t>
  </si>
  <si>
    <t>2024-01-17 17:07:53</t>
  </si>
  <si>
    <t>@Tanveer50190409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</si>
  <si>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2024-01-17 17:00:39</t>
  </si>
  <si>
    <t>2024-01-17 16:56:25</t>
  </si>
  <si>
    <t>2024-01-17 16:56:00</t>
  </si>
  <si>
    <t>2024-01-17 16:55:36</t>
  </si>
  <si>
    <t>2024-01-17 16:54:07</t>
  </si>
  <si>
    <t>@SpiceMoneyIndia Aur Kitana barbaad karegea sabki I'd se paisea nikal kar https://t.co/IMBrK7BNTt</t>
  </si>
  <si>
    <t>2024-01-17 13:19:07</t>
  </si>
  <si>
    <t>Local Distributor iya employe se bat kojiye</t>
  </si>
  <si>
    <t>2024-01-17 13:03:13</t>
  </si>
  <si>
    <t>स्पाइस मनी की हर बार इंस्टेंट कमीशन की गारंटी के साथ भरें तरक्की की उड़ान!
पूरी जानकारी के लिए लिंक https://t.co/bwSgexs4qW पर क्लिक करें और पूरा वीडियो देखें  ।
#SpiceMoney #SpiceMoneyGuarantee #SpiceSamachar
#RuralFintech #HarBarInstantCommission #MainAdhikariKhudHoonGuarantee https://t.co/lPOiMcJc24</t>
  </si>
  <si>
    <t>2024-01-17 12:22:25</t>
  </si>
  <si>
    <t>स्पाइस मनी की हर बार इंस्टेंट कमीशन की गारंटी के साथ भरें तरक्की की उड़ान!
पूरी जानकारी के लिए लिंक https://youtu.be/nw5NSk5mPF8 पर क्लिक करें और पूरा वीडियो देखें।
#SpiceMoney #SpiceMoneyGuarantee #SpiceSamachar
#RuralFintech #HarBarInstantCommission #MainAdhikariKhudHoonGuarantee</t>
  </si>
  <si>
    <t>2024-01-17 12:20:06</t>
  </si>
  <si>
    <t>@SpiceMoneyIndia पिछले महीने खोले गए खाते का कमीशन अभी तक नहीं आया वॉलेट में।</t>
  </si>
  <si>
    <t>2024-01-17 11:58:14</t>
  </si>
  <si>
    <t>Spice money number one platform but account opening charge jyada hai NSDL payment Bank charge kam kijiye please</t>
  </si>
  <si>
    <t>2024-01-17 11:54:04</t>
  </si>
  <si>
    <t>Manish Darbhangiya</t>
  </si>
  <si>
    <t>Thats Geat I also use S. M</t>
  </si>
  <si>
    <t>2024-01-17 11:39:52</t>
  </si>
  <si>
    <t>Spice Money plateform acha h services k liye</t>
  </si>
  <si>
    <t>2024-01-17 11:34:40</t>
  </si>
  <si>
    <t>MurphhEth54142</t>
  </si>
  <si>
    <t>Murphh.eth</t>
  </si>
  <si>
    <t>@SpiceMoneyIndia my future will be champagne 😍 https://t.co/SK5JPWzgDb 
  Quoted Tweet : @kripsuri : It makes me around 5-10 ETH per week! 🤑
How: https://t.co/lpGLK2A8bf
I've been using it for 3 months now.
It works great for me and it's my biggest source of income right now.✅
The Developer only take 2% of the profits!
It's the best i've seen so far ♥️ https://t.co/8vX6I82E4X</t>
  </si>
  <si>
    <t>2024-01-17 11:33:56</t>
  </si>
  <si>
    <t>स्पाइस मनी की हर बार इंस्टेंट कमीशन की गारंटी के साथ पाएं कामयाबी! सभी सेवाओं का भरपूर इस्तेमाल करें और खुशहाली की राह चुनें।
#SpiceMoney #SpiceMoneyGuarantee
#RuralFintech #HarBarInstantCommission #MainAdhikariKhudHoonGuarantee https://t.co/egZnji7Qcd</t>
  </si>
  <si>
    <t>2024-01-17 11:33:51</t>
  </si>
  <si>
    <t>स्पाइस मनी की हर बार इंस्टेंट कमीशन की गारंटी के साथ पाएं कामयाबी! सभी सेवाओं का भरपूर इस्तेमाल करें और खुशहाली की राह चुनें।
#SpiceMoney #SpiceMoneyGuarantee
#RuralFintech #HarBarInstantCommission #MainAdhikariKhudHoonGuarantee
स्पाइस मनी की हर बार इंस्टेंट कमीशन की गारंटी के साथ पाएं कामयाबी! सभी सेवाओं का भरपूर इस्तेमाल करें और खुशहाली की राह चुनें।
#SpiceMoney #SpiceMoneyGuarantee
#RuralFintech #HarBarInstantCommission #MainAdhikariKhudHoonGuarantee</t>
  </si>
  <si>
    <t>2024-01-17 11:33:17</t>
  </si>
  <si>
    <t>Abhisheksa44246</t>
  </si>
  <si>
    <t>Abhishek saini</t>
  </si>
  <si>
    <t>@SpiceMoneyIndia No response received yet from your side very bad company</t>
  </si>
  <si>
    <t>2024-01-17 11:09:09</t>
  </si>
  <si>
    <t>@anuraggautam1605</t>
  </si>
  <si>
    <t>Axis bank mein single name ka account open nhi hota hai to koi rashta bataye</t>
  </si>
  <si>
    <t>2024-01-17 10:04:25</t>
  </si>
  <si>
    <t>Nsdl account opening portal nhi mil rha please hamko nsdl ka account chahiye kyuki single name ka axis account open nhi hota</t>
  </si>
  <si>
    <t>2024-01-17 10:02:44</t>
  </si>
  <si>
    <t>@krishankumaryt7533</t>
  </si>
  <si>
    <t>Froid hai mere spice money me paise bhi pade hai par account invalid dikha Raha hai aur inka koi costume care ka support bhi nhi hai</t>
  </si>
  <si>
    <t>2024-01-17 09:32:17</t>
  </si>
  <si>
    <t>welcome to my siddharthnagar up sir please</t>
  </si>
  <si>
    <t>2024-01-17 09:29:21</t>
  </si>
  <si>
    <t>welcome to the group siddharthnagar up</t>
  </si>
  <si>
    <t>2024-01-17 09:28:29</t>
  </si>
  <si>
    <t>2024-01-17 09:21:39</t>
  </si>
  <si>
    <t>2024-01-17 09:21:27</t>
  </si>
  <si>
    <t>2024-01-17 09:20:57</t>
  </si>
  <si>
    <t>2024-01-17 09:17:44</t>
  </si>
  <si>
    <t>2024-01-17 09:17:30</t>
  </si>
  <si>
    <t>MERE SAATH FORUD BUT ID BOLOCK KARBAYE THE  PAR ID ACTIVE NAHI HO RAHA HAI customercare E MAIL PAR E EAMIL KAR BA RAHE HAI PAR HOTA NAHI</t>
  </si>
  <si>
    <t>2024-01-17 09:16:46</t>
  </si>
  <si>
    <t>@sumanprashad Dear Sir, Greetings! Our customer care officer will get in touch with you shortly. Regards, Team Spice Money</t>
  </si>
  <si>
    <t>2024-01-17 09:16:45</t>
  </si>
  <si>
    <t>2024-01-17 09:15:43</t>
  </si>
  <si>
    <t>2024-01-17 09:15:07</t>
  </si>
  <si>
    <t>Jiske pass axis Bank ka opsan hai o nsdl payment back ka opsan mil sakta hai</t>
  </si>
  <si>
    <t>2024-01-17 08:59:50</t>
  </si>
  <si>
    <t>Account opening ka commission bahut Kam milta hai</t>
  </si>
  <si>
    <t>2024-01-17 08:58:48</t>
  </si>
  <si>
    <t>@omprakashgupta4659</t>
  </si>
  <si>
    <t>AEPS aur DMT  karne ke liye  option hona chahiye ki retailer kis AEPS PORTAL OR DMT PORTAL KAM SE KAM 2 HONA CHAHIYE</t>
  </si>
  <si>
    <t>2024-01-17 08:25:08</t>
  </si>
  <si>
    <t>Spice adhikari ka (Retailer) NSDL me Current ac me kitna charge lagta hai</t>
  </si>
  <si>
    <t>2024-01-17 08:22:30</t>
  </si>
  <si>
    <t>2024-01-17 08:01:56</t>
  </si>
  <si>
    <t>2024 me kam accha nhi lagta hai</t>
  </si>
  <si>
    <t>2024-01-17 08:01:36</t>
  </si>
  <si>
    <t>@APNITECTEEM</t>
  </si>
  <si>
    <t>New id nahi mil rahi</t>
  </si>
  <si>
    <t>2024-01-17 07:58:39</t>
  </si>
  <si>
    <t>@technicalfriendup816</t>
  </si>
  <si>
    <t>Account opening ka commission instant nhi milta hai</t>
  </si>
  <si>
    <t>2024-01-17 07:26:28</t>
  </si>
  <si>
    <t>फ्रॉड he</t>
  </si>
  <si>
    <t>2024-01-17 07:24:31</t>
  </si>
  <si>
    <t>#SpiceSamachar: Har Bar Instant Commission Ki Guarantee deta hai Spice Money</t>
  </si>
  <si>
    <t>2024-01-17 07:23:56</t>
  </si>
  <si>
    <t>Dewas ke khategaon melpipliya nayapura me bhi anyege kya aap</t>
  </si>
  <si>
    <t>2024-01-17 05:57:00</t>
  </si>
  <si>
    <t>Id kaise milega sir</t>
  </si>
  <si>
    <t>2024-01-17 05:23:53</t>
  </si>
  <si>
    <t>2024-01-16</t>
  </si>
  <si>
    <t>2024-01-16 22:09:36</t>
  </si>
  <si>
    <t>Bolojeet Barchung 💥💥JOINING HURRY UP💥💥
Click On " *REGISTER FOR FREE* "
ENTER MOBILE NUMBER
Steps Of Process
1. Basic Information
2. Workplace Details
3. Distributor Mapping
     Id: 181054
4. PAN Card
5. Proof Of Address
6. Bank Details
7. Self Declaration
8. Other Details
Download Spice Money App
https://play.google.com/store/apps/details?id=in.spicemudra
Distributor Id
181054</t>
  </si>
  <si>
    <t>2024-01-16 21:56:11</t>
  </si>
  <si>
    <t>Welcome ❤️ MP</t>
  </si>
  <si>
    <t>2024-01-16 21:38:13</t>
  </si>
  <si>
    <t>@ArifPleaseSubscribe</t>
  </si>
  <si>
    <t>Cash deposit nie horaha</t>
  </si>
  <si>
    <t>2024-01-16 21:36:33</t>
  </si>
  <si>
    <t>Cash deposit nie milta ha</t>
  </si>
  <si>
    <t>2024-01-16 21:36:07</t>
  </si>
  <si>
    <t>Welcome</t>
  </si>
  <si>
    <t>2024-01-16 21:34:20</t>
  </si>
  <si>
    <t>ankurmishra31</t>
  </si>
  <si>
    <t>Ankur Mishra</t>
  </si>
  <si>
    <t>@SpiceMoneyIndia Sir partner meet hoga kya ?,our KB hoga</t>
  </si>
  <si>
    <t>2024-01-16 21:26:35</t>
  </si>
  <si>
    <t>Kushinagar, india</t>
  </si>
  <si>
    <t>Ek to double fingerprint baala jee ka janjaal ban gya etni sardi me finger jldi match nhi krta kisi ka uper se baar baar apni figer lgao mai bhi ab aeps ka kaam bnd kr dunga ..</t>
  </si>
  <si>
    <t>2024-01-16 21:01:31</t>
  </si>
  <si>
    <t>Welcome to jamui jila bihar</t>
  </si>
  <si>
    <t>2024-01-16 20:57:55</t>
  </si>
  <si>
    <t>Mera DMT service bandh ho gaya .ab spice money mere Kam nahi aa rahe hai.</t>
  </si>
  <si>
    <t>2024-01-16 20:54:22</t>
  </si>
  <si>
    <t>Bolojeet Barchung kaha se hai</t>
  </si>
  <si>
    <t>2024-01-16 20:41:35</t>
  </si>
  <si>
    <t>@SpiceMoneyIndia महोदय सिर्फ एक बार फोन आया है कुछ आवश्यक कार्य कर रहा था इसलिए फोन रिसीव नहीं कर पाया</t>
  </si>
  <si>
    <t>2024-01-16 20:40:12</t>
  </si>
  <si>
    <t>Bolojeet Barchung mil jayegi id</t>
  </si>
  <si>
    <t>2024-01-16 20:39:42</t>
  </si>
  <si>
    <t>yes</t>
  </si>
  <si>
    <t>2024-01-16 20:28:10</t>
  </si>
  <si>
    <t>Kiya matlab ??</t>
  </si>
  <si>
    <t>2024-01-16 20:25:52</t>
  </si>
  <si>
    <t>2024-01-16 20:23:30</t>
  </si>
  <si>
    <t>बंगाल में मत आ जाना स्पाइस मनी जनता चप्पल जूता सब लेकर बैठी है</t>
  </si>
  <si>
    <t>2024-01-16 20:17:39</t>
  </si>
  <si>
    <t>एक नंबर का फ्रॉड कंपनी है स्पाइस मनी मेरा भी  सारे 3000 रिटेलर मेरा काट दिया गया है
फ्रॉड रोकने के लिए फिजिकल वेरिफिकेशन करवाओ लोगों का किसी का रिटेलर मत काटो तो</t>
  </si>
  <si>
    <t>2024-01-16 20:17:13</t>
  </si>
  <si>
    <t>सारे मास्टर डिस्ट्रीब्यूटर का रिटेलर काटकर अब तुम जा रहे लोगों के बीच मिलने के लिए एक बार आओ तो जूता से स्वागत करेगा सब</t>
  </si>
  <si>
    <t>2024-01-16 20:15:40</t>
  </si>
  <si>
    <t>@earningdudespk5191</t>
  </si>
  <si>
    <t>Ek transtaion maine 12 01 2024 ko kiya tha aur ek 15 01 2024 ko but abhi tak account me  credit settelment nahi kiya gya hai kripya aap log bhi upi se cash na nikale kisi ka bhi</t>
  </si>
  <si>
    <t>2024-01-16 19:58:54</t>
  </si>
  <si>
    <t>@khatushyambhajan975</t>
  </si>
  <si>
    <t>Helo Sir  meri id reactive nahi ho rhi hai 
sir meri addhar biomatric nahi ho rhi hai
finger print not acept my id</t>
  </si>
  <si>
    <t>2024-01-16 19:50:04</t>
  </si>
  <si>
    <t>Id kaise milega??</t>
  </si>
  <si>
    <t>2024-01-16 19:33:48</t>
  </si>
  <si>
    <t>सही मै 
  Quoted Tweet : @AdvIshulodhi : @SpiceMoneyIndia आपकी कंपनी बिलकुल डिस्ट्रीब्यूटर का सपोर्ट नहीं करती चाह डिस्ट्रीब्यूटर को कितनी भी गालियां खाना पढ़े लेकिन आप समस्या का समाधान नहीं करते
धन्यवाद
ईशू लोधी
7999293354
स्पाइस मनी डिस्ट्रीब्यूटर</t>
  </si>
  <si>
    <t>2024-01-16 19:31:21</t>
  </si>
  <si>
    <t>Laptop jo pahla portal open hota tha aeps ka best tha ab new wala sahi work nahi karta pahle wala shuru karo maine to transition ban kar di hai</t>
  </si>
  <si>
    <t>2024-01-16 19:28:16</t>
  </si>
  <si>
    <t>Koi jankari nhi milti</t>
  </si>
  <si>
    <t>2024-01-16 19:27:52</t>
  </si>
  <si>
    <t>Sdl266976
Spicemoney266976@gmail.com 
  Quoted Tweet : @ashukm : @SpiceMoneyIndia एक घटिया और बेकार कंपनी है जो लाखो कमाकर देने वाले एजेंट की तक नही सुनती #MKBD</t>
  </si>
  <si>
    <t>2024-01-16 19:22:36</t>
  </si>
  <si>
    <t>Surendr41118316</t>
  </si>
  <si>
    <t>Surendra Pareek</t>
  </si>
  <si>
    <t>@SpiceMoneyIndia Msg kro to inbox me</t>
  </si>
  <si>
    <t>2024-01-16 19:16:20</t>
  </si>
  <si>
    <t>बनेगी बात जब मिलकर करेंगे बात।
स्पाइस मनी की गारंटी यात्रा के साथ हम आ रहे हैं आपके शहर, तरक्की की बात करने। मिलेंगे ना आप?
#SpiceMoney #GuaranteeYatra
#RuralFintech #PartnersMeet https://t.co/r1sioiaXZQ</t>
  </si>
  <si>
    <t>2024-01-16 19:14:23</t>
  </si>
  <si>
    <t>@SpiceMoneyIndia hello sir, 
I want to reactivate my spice money I'd but unable to do.... Plz help me.. Mybspice I'd is sdl266976
Thanks</t>
  </si>
  <si>
    <t>2024-01-16 19:14:20</t>
  </si>
  <si>
    <t>बनेगी बात जब मिलकर चलेंगे साथ। 
स्पाइस मनी की गारंटी यात्रा के साथ हम आ रहे हैं आपके शहर, तरक्की की बात करने। मिलेंगे ना आप?
#SpiceMoney #GuaranteeYatra
#RuralFintech #PartnersMeet
बनेगी बात जब मिलकर चलेंगे साथ। 
स्पाइस मनी की गारंटी यात्रा के साथ हम आ रहे हैं आपके शहर, तरक्की की बात करने। मिलेंगे ना आप?
#SpiceMoney #GuaranteeYatra
#RuralFintech #PartnersMeet</t>
  </si>
  <si>
    <t>2024-01-16 19:13:49</t>
  </si>
  <si>
    <t>SPICE MONEY sir muze bhi poster benar nahi mila</t>
  </si>
  <si>
    <t>2024-01-16 18:26:47</t>
  </si>
  <si>
    <t>2024-01-16 18:07:52</t>
  </si>
  <si>
    <t>@Prakash_sahoo07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</si>
  <si>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2024-01-16 18:07:35</t>
  </si>
  <si>
    <t>@lalitmohanvar Dear Sir, Greetings! As per discussed with you your concern  regarding Id suspension, information  shared from our end .If you have any query,you can also contact us on our official customer care number 0120-3645645 Regards, Team Spice Money</t>
  </si>
  <si>
    <t>2024-01-16 18:04:15</t>
  </si>
  <si>
    <t>@SailenduKhuntia Dear Sir, Greetings! We are trying to contact you but you are not answering . Please share your contact details and suitable times. Regards, Team Spice Money</t>
  </si>
  <si>
    <t>2024-01-16 17:38:16</t>
  </si>
  <si>
    <t>Wallet upload option mobile app me open nai hota hai</t>
  </si>
  <si>
    <t>2024-01-16 17:24:49</t>
  </si>
  <si>
    <t>@SpiceMoneyIndia चार-पांच साल से अभी तक कोई कस्टमर गाली देकर के नहीं गया है आप लोगों की सर्विस की वजह से आज हमें गालियां खानी पड़ रही हैं</t>
  </si>
  <si>
    <t>2024-01-16 15:45:54</t>
  </si>
  <si>
    <t>2024-01-16 15:45:32</t>
  </si>
  <si>
    <t>2024-01-16 15:45:10</t>
  </si>
  <si>
    <t>@SpiceMoneyIndia 2 दिन हो गया सर जी अभी तक कोई फोन नहीं आया है
और हमारे पास कस्टमर आकर के गलियां पर गालियां दे रहा है</t>
  </si>
  <si>
    <t>2024-01-16 15:44:38</t>
  </si>
  <si>
    <t>@MdHelaludd55272 Dear Sir, Greetings! We regret the inconvenience caused to you. Our customer care officer will get in touch with you shortly. Regards, Team Spice Money</t>
  </si>
  <si>
    <t>2024-01-16 15:44:27</t>
  </si>
  <si>
    <t>@Surendr41118316 Dear Sir, Namaskar! Aapse request hai ki please apna Mobile number &amp;amp; email id hume inbox me  share karein, hamari customer care team aapse jald hi sampark karegi. Regards, Team Spice Money</t>
  </si>
  <si>
    <t>2024-01-16 15:43:36</t>
  </si>
  <si>
    <t>2024-01-16 14:03:34</t>
  </si>
  <si>
    <t>ffi_fintechfest</t>
  </si>
  <si>
    <t>FinTech Festival India</t>
  </si>
  <si>
    <t>#SpeakerSpotlight 
Srivaths Varadharajan, COO/CTO at @SpiceMoneyIndia , is all set to take the stage at Mumbai City Experience. He will be sharing his insights on Unbundling the Bank Via Banking-as-a-Service platforms by 2024.
Book your delegate ticket - https://t.co/DlPSMTZZes https://t.co/JmvTFjxf5O</t>
  </si>
  <si>
    <t>2024-01-16 12:30:00</t>
  </si>
  <si>
    <t>sji884351@gmail.com</t>
  </si>
  <si>
    <t>2024-01-16 11:31:38</t>
  </si>
  <si>
    <t>SPICE MONEY  8887854954</t>
  </si>
  <si>
    <t>2024-01-16 11:31:25</t>
  </si>
  <si>
    <t>@Bhaveshkumarseju</t>
  </si>
  <si>
    <t>मंत्रा mfs110 डिवाइस अपडेट करें</t>
  </si>
  <si>
    <t>2024-01-16 11:28:08</t>
  </si>
  <si>
    <t>spice money add mein zero social media mein hero ..👎👎👎👎👎</t>
  </si>
  <si>
    <t>2024-01-16 11:00:41</t>
  </si>
  <si>
    <t>2024-01-16 10:34:15</t>
  </si>
  <si>
    <t>Very bed</t>
  </si>
  <si>
    <t>2024-01-16 10:33:49</t>
  </si>
  <si>
    <t>2024-01-16 10:33:47</t>
  </si>
  <si>
    <t>2024-01-16 10:07:42</t>
  </si>
  <si>
    <t>2024-01-16 10:06:55</t>
  </si>
  <si>
    <t>2024-01-16 10:05:01</t>
  </si>
  <si>
    <t>@SpiceMoneyIndia मैने spicemoney की id Li or usme cpv ke nam par 250 rs cut kar liye gye July 2023 me or na hi to abhi Tak kyc Hui or na hi paise wapis company Wale distributer se baat karne ka bol rahe he 
Lekin distributer bol Raha he ki mujhse kuch nahi higa 6 mhine hi gye</t>
  </si>
  <si>
    <t>2024-01-16 09:11:27</t>
  </si>
  <si>
    <t>Please call me not open my account **********</t>
  </si>
  <si>
    <t>2024-01-16 08:34:46</t>
  </si>
  <si>
    <t>MdHelaludd55272</t>
  </si>
  <si>
    <t>Md Helaluddin</t>
  </si>
  <si>
    <t>@SpiceMoneyIndia Not received any call from team</t>
  </si>
  <si>
    <t>2024-01-16 08:33:21</t>
  </si>
  <si>
    <t xml:space="preserve">Imphal manipur </t>
  </si>
  <si>
    <t>Dharmendra8793</t>
  </si>
  <si>
    <t>Dharmendra Kushwaha</t>
  </si>
  <si>
    <t>@Warmbirds12 @SpiceMoneyIndia Nahi bhai 😭😥</t>
  </si>
  <si>
    <t>2024-01-16 07:17:27</t>
  </si>
  <si>
    <t>2024-01-15</t>
  </si>
  <si>
    <t>@nafishshekh1123</t>
  </si>
  <si>
    <t>Mujhe bhi AEPS wali ID chahiye🎉</t>
  </si>
  <si>
    <t>2024-01-15 21:48:24</t>
  </si>
  <si>
    <t>@funnywithzasim</t>
  </si>
  <si>
    <t>Aadhar correction services laye</t>
  </si>
  <si>
    <t>2024-01-15 20:52:48</t>
  </si>
  <si>
    <t>SPICE MONEY sdl198882</t>
  </si>
  <si>
    <t>2024-01-15 20:11:11</t>
  </si>
  <si>
    <t>SPICE MONEY  number- 8823010007 
Email- pushpendrasingh88230@gmail.com</t>
  </si>
  <si>
    <t>2024-01-15 20:06:19</t>
  </si>
  <si>
    <t>@Kuldeep5309</t>
  </si>
  <si>
    <t>भाई पूरी जानकारी दो केसे भाग गई</t>
  </si>
  <si>
    <t>2024-01-15 20:03:10</t>
  </si>
  <si>
    <t>@devhapate8588</t>
  </si>
  <si>
    <t>kaise kya ho gaya mai bhi spice money adhikari hoo</t>
  </si>
  <si>
    <t>2024-01-15 19:41:16</t>
  </si>
  <si>
    <t>@SpiceMoneyIndia मा का भोसड़ा तुम्हारी, अभी तक नही मिला टाइम 2 दिन हो गए बहनचोद</t>
  </si>
  <si>
    <t>2024-01-15 19:05:40</t>
  </si>
  <si>
    <t>SPICE MONEY  hamko 4 years ho gaya id chalte huye abhi tak postar bainnar kuch nahi milaa hai 9696862544
Lalkrishnakushwaha96@gmail.com</t>
  </si>
  <si>
    <t>2024-01-15 16:32:07</t>
  </si>
  <si>
    <t>BBPS helpline no भी नहीं मिल रहा है</t>
  </si>
  <si>
    <t>2024-01-15 16:23:48</t>
  </si>
  <si>
    <t>25 तारीख का BBPS का पैसा कटा अभी तक नहीं आया है</t>
  </si>
  <si>
    <t>2024-01-15 16:22:53</t>
  </si>
  <si>
    <t>2024-01-15 14:51:28</t>
  </si>
  <si>
    <t>Kotak Mahindra Bank CSP ID Kaise Le Kotak BC Partner ID Kaise Le 2024</t>
  </si>
  <si>
    <t>2024-01-15 14:31:26</t>
  </si>
  <si>
    <t>@SpiceMoneyIndia महोदय अभी तक कोई अपडेट नहीं मिला</t>
  </si>
  <si>
    <t>2024-01-15 14:30:59</t>
  </si>
  <si>
    <t>2024-01-15 14:27:19</t>
  </si>
  <si>
    <t>2024-01-15 14:02:49</t>
  </si>
  <si>
    <t>@@anup_gupta_official new id price</t>
  </si>
  <si>
    <t>2024-01-15 13:56:25</t>
  </si>
  <si>
    <t>2024-01-15 13:53:14</t>
  </si>
  <si>
    <t>2024-01-15 13:47:24</t>
  </si>
  <si>
    <t>2024-01-15 13:47:08</t>
  </si>
  <si>
    <t>Sir humko koi poster nai mila</t>
  </si>
  <si>
    <t>2024-01-15 12:37:06</t>
  </si>
  <si>
    <t>मेरा सिम बन्द हो गई है तो अब ऐप खुल  नहीं रहा है</t>
  </si>
  <si>
    <t>2024-01-15 12:09:10</t>
  </si>
  <si>
    <t>Sharma Bantu भाई सबसे ज्यादा अभी तक फर्जी आईपीएस Aeps हैं तो वो है इनका कोई सर्विस नही बस ,जमीनी हकीकत,मेरा अकाउंट से इनलोगो ने ,3k गायब कर दिया अभी तक इनके बड़े बड़े पदाधिकारियों लोगो तक मैटर गया लेकिन अभी तक कोई इन लोगो ने समाधान नही किया,बस एक दूसरे पे थोप रहे हैं,</t>
  </si>
  <si>
    <t>2024-01-15 12:07:06</t>
  </si>
  <si>
    <t>स्पाइस मनी दे रहा है सबसे ज़्यादा सर्विसेज़ की गारंटी!
सारी डिटेल जानने के लिए वीडियो लिंक https://youtu.be/dqPqFJSj1VA पर क्लिक करें।
#SpiceMoney #SpiceMoneyGuarantee #SpiceSamachar
#RuralFintech #SabseZyadaServices #MainAdhikariKhudHoonGuarantee</t>
  </si>
  <si>
    <t>2024-01-15 12:00:32</t>
  </si>
  <si>
    <t>स्पाइस मनी दे रहा है सबसे ज़्यादा सर्विसेज़ की गारंटी!
सारी डिटेल जानने के लिए वीडियो लिंक https://t.co/FbGJaSHzQL पर क्लिक करें।
#SpiceMoney #SpiceMoneyGuarantee #SpiceSamachar
#RuralFintech #SabseZyadaServices #MainAdhikariKhudHoonGuarantee https://t.co/sdizqx779u</t>
  </si>
  <si>
    <t>2024-01-15 12:00:29</t>
  </si>
  <si>
    <t>यहाँ किसी काम की कोई गारंटी नही है जरा बचके मेरे यार</t>
  </si>
  <si>
    <t>2024-01-15 11:27:24</t>
  </si>
  <si>
    <t>पैसे ले लेने का बाद भी 1 महीने से ऊपर हो गया हैं, पैन कार्ड की सर्विस शुरू नहीं हो पाई हैं, केवल गोली-बाज़ी हो रही हैं</t>
  </si>
  <si>
    <t>2024-01-15 11:11:30</t>
  </si>
  <si>
    <t>@SpiceMoneyIndia Very worst services without any OTP and message 3.65 lakh rupees is deducted and transferred any many account. U think if you are below middle class man when 3.65  lakh rupees deducted then how you feel</t>
  </si>
  <si>
    <t>2024-01-15 10:56:06</t>
  </si>
  <si>
    <t>सबसे ज़्यादा सर्विसेज़ की गारंटी!
जी हाँ, अपने अधिकारी एवं पार्टनर्स के लिए कैश विड्रॉल , कैश डिपॉज़िट, मिनी एटीएएम, बिल पेमेंट्स, अकाउंट ओपनिंग, कैश/EMI कलेक्शन, गोल्ड लोन, लोन सहित कई और बैंकिंग एवं डिजिटल सर्विसेज़ के साथ स्पाइस मनी देता है सबसे ज़्यादा सर्विसेज़ की गारंटी।… https://t.co/6SDhA1FE2u</t>
  </si>
  <si>
    <t>2024-01-15 10:46:09</t>
  </si>
  <si>
    <t>सबसे ज़्यादा सर्विसेज़ की गारंटी!
जी हाँ, अपने अधिकारी एवं पार्टनर्स के लिए कैश विड्रॉल , कैश डिपॉज़िट, मिनी एटीएएम, बिल पेमेंट्स, अकाउंट ओपनिंग, कैश/EMI कलेक्शन, गोल्ड लोन, लोन सहित कई और बैंकिंग एवं डिजिटल सर्विसेज़ के साथ स्पाइस मनी देता है सबसे ज़्यादा सर्विसेज़ की गारंटी।
#SpiceMoney #SpiceMoneyGuarantee
#RuralFintech #SabseZyadaServices #MainAdhikariKhudHoonGuarantee
सबसे ज़्यादा सर्विसेज़ की गारंटी!
जी हाँ, अपने अधिकारी एवं पार्टनर्स के लिए कैश विड्रॉल , कैश डिपॉज़िट, मिनी एटीएएम, बिल पेमेंट्स, अकाउंट ओपनिंग, कैश/EMI कलेक्शन, गोल्ड लोन, लोन सहित कई और बैंकिंग एवं डिजिटल सर्विसेज़ के साथ स्पाइस मनी देता है सबसे ज़्यादा सर्विसेज़ की गारंटी।
#SpiceMoney #SpiceMoneyGuarantee
#RuralFintech #SabseZyadaServices #MainAdhikariKhudHoonGuarantee</t>
  </si>
  <si>
    <t>2024-01-15 10:45:39</t>
  </si>
  <si>
    <t>Bekar sarvice</t>
  </si>
  <si>
    <t>2024-01-15 10:08:04</t>
  </si>
  <si>
    <t>@anup_gupta_official</t>
  </si>
  <si>
    <t>Kaise bhai</t>
  </si>
  <si>
    <t>2024-01-15 09:57:26</t>
  </si>
  <si>
    <t>@Amodksharma</t>
  </si>
  <si>
    <t>Of course</t>
  </si>
  <si>
    <t>2024-01-15 09:37:42</t>
  </si>
  <si>
    <t>3 लाख 50 हजार रुपया ले कर भाग गया spice money</t>
  </si>
  <si>
    <t>2024-01-15 09:24:36</t>
  </si>
  <si>
    <t>@sanjeevkumar-he9wd</t>
  </si>
  <si>
    <t>बिल्कुल नहीं</t>
  </si>
  <si>
    <t>2024-01-15 09:22:05</t>
  </si>
  <si>
    <t>#SpiceSamachar: Sabse Zyada Services dilana hai Spice Money Ki Guarantee!</t>
  </si>
  <si>
    <t>2024-01-15 09:21:06</t>
  </si>
  <si>
    <t>2024-01-15 09:14:33</t>
  </si>
  <si>
    <t>2024-01-15 09:12:35</t>
  </si>
  <si>
    <t>2024-01-15 09:10:43</t>
  </si>
  <si>
    <t>2024-01-15 09:10:11</t>
  </si>
  <si>
    <t>2024-01-15 09:09:10</t>
  </si>
  <si>
    <t>2024-01-15 08:59:35</t>
  </si>
  <si>
    <t>Happy  Makar Sankranti</t>
  </si>
  <si>
    <t>2024-01-15 05:21:48</t>
  </si>
  <si>
    <t>APS-1042352 id actveson Valvai Khumanbhai Narvatbhai mo,9512778803</t>
  </si>
  <si>
    <t>2024-01-15 01:46:13</t>
  </si>
  <si>
    <t>2024-01-15 01:44:45</t>
  </si>
  <si>
    <t>2024-01-14</t>
  </si>
  <si>
    <t>@SpiceMoneyIndia 9695969777
sahooenterprises0747@gmail.com</t>
  </si>
  <si>
    <t>2024-01-14 23:12:19</t>
  </si>
  <si>
    <t>How to put the poster banner if not? I
n my opinion, retailers need to provide posters and banners on behalf of the company.</t>
  </si>
  <si>
    <t>2024-01-14 21:26:06</t>
  </si>
  <si>
    <t>Add material ke naam pr zero hai</t>
  </si>
  <si>
    <t>2024-01-14 21:14:22</t>
  </si>
  <si>
    <t>@SonuSood  @spicemoneyindia @sanjeevkumar Urgent plea for assistance. A struggling man, whose modest business has been devastated, now faces the heartbreaking impact on his family</t>
  </si>
  <si>
    <t>2024-01-14 20:49:48</t>
  </si>
  <si>
    <t>Tech99 Solution</t>
  </si>
  <si>
    <t>NPCI करेगा अब सभी ऐसे AEPS संचालकों की ID बंद | New Big Update 2024 | roinet, fino, spice money 2024</t>
  </si>
  <si>
    <t>2024-01-14 20:25:03</t>
  </si>
  <si>
    <t>2024-01-14 19:39:34</t>
  </si>
  <si>
    <t>@SpiceMoneyIndia rishabhcomputer301@gmail.com
9907657068</t>
  </si>
  <si>
    <t>2024-01-14 19:05:19</t>
  </si>
  <si>
    <t>Ashok8390</t>
  </si>
  <si>
    <t>Ashok Bulbule</t>
  </si>
  <si>
    <t>मेरा spice money Aeps Account hack करके 9000रू निकाल दीये गये है.@parbhanipolice @DGPMaharashtra @MumbaiPolice @Mum_CyberPolice @CPMumbaiPolice
@police 8340160095 इस नंबर से कॉल आया था @SpiceMoneyIndia क्या करे</t>
  </si>
  <si>
    <t>2024-01-14 18:50:36</t>
  </si>
  <si>
    <t>@SpiceMoneyIndia @SonuSood</t>
  </si>
  <si>
    <t>2024-01-14 18:46:35</t>
  </si>
  <si>
    <t>2024-01-14 18:37:27</t>
  </si>
  <si>
    <t>Poster banners nahi diya gaya to kaise lagayen. Poster banners diya jaye</t>
  </si>
  <si>
    <t>2024-01-14 18:18:28</t>
  </si>
  <si>
    <t>2024-01-14 18:18:09</t>
  </si>
  <si>
    <t>@Prakash_sahoo07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</si>
  <si>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2024-01-14 18:17:39</t>
  </si>
  <si>
    <t>@dineshsahu0202 Dear Sir, Greetings! Please share your email id and mobile number in inbox .we'll reach out to you to resolve all your concerns.Regards, Team Spice Money</t>
  </si>
  <si>
    <t>2024-01-14 18:16:24</t>
  </si>
  <si>
    <t>2024-01-14 18:14:00</t>
  </si>
  <si>
    <t>@GovCsc8259 Dear Sir, Greetings! As per discussed with you your concern regarding amount hold on your wallet, please allow us sometime for your concern, we’ll update you soon  .Regards, Team spice money</t>
  </si>
  <si>
    <t>2024-01-14 17:45:10</t>
  </si>
  <si>
    <t>2024-01-14 17:21:26</t>
  </si>
  <si>
    <t>https://t.co/q0q7iM467s 
  Quoted Tweet : @Tulsi4Nation : @SpiceMoneyIndia Alert! Retailer Prdeep Kumar Sahu faced security breach with three lakh rupees automatically deducted and transferred to various accounts, each with different sender name. Urgent action needed #SpiceMoneySecurityBreach @RBI @Cyberdost @mpcyberpolice @collectorapr https://t.co/lh6yq297Gp</t>
  </si>
  <si>
    <t>2024-01-14 16:59:14</t>
  </si>
  <si>
    <t>Install app https://sizarpay.in/InviteApp/1450 and become Merchant of SizarPay and Start Recharge, Bill Payments, Money Transfer, AEPS- Adhar Enable Payment System, MINI ATM, Vehicle Insurance Services and Get attractive commission on Every trasaction.
365 Dyas Hassle free Services. with Round the clock Customer Support.</t>
  </si>
  <si>
    <t>2024-01-14 16:54:39</t>
  </si>
  <si>
    <t>@SpiceMoneyIndia Alert! Retailer Prdeep Kumar Sahu faced security breach with three lakh rupees automatically deducted and transferred to various accounts, each with different sender name. Urgent action needed #SpiceMoneySecurityBreach @RBI @Cyberdost @mpcyberpolice @collectorapr https://t.co/lh6yq297Gp</t>
  </si>
  <si>
    <t>2024-01-14 16:48:24</t>
  </si>
  <si>
    <t>TrivediRan73067</t>
  </si>
  <si>
    <t>RANOO TRIVEDI</t>
  </si>
  <si>
    <t>सुविधा दे पाते थे। 
Dear NPCI. 
इस समस्या को कृपया कर के ठीक किया जाए। 
क्यूँ की हम आपके ही issue किये गये Portal के माध्यम से निकासी करते है। जैसे Fino payments bank. airtel payments bank. Spice money. paynearby. India post payment bank. etc. . . .  
हम आपसे हाथ जोड़ कर आनुरोध</t>
  </si>
  <si>
    <t>2024-01-14 16:08:05</t>
  </si>
  <si>
    <t>यहाँ एजेंट को अगर कोई प्रॉब्लम होती है तो उसकी प्रॉब्लम को दूर करने में  स्पाइस मनी की टेक्निकल टीम पूरी तरह नाकाम है जरा बचके मेरे दोस्तों</t>
  </si>
  <si>
    <t>2024-01-14 15:44:11</t>
  </si>
  <si>
    <t>Happy Makar Sakranti Spice Money Teams</t>
  </si>
  <si>
    <t>2024-01-14 15:32:05</t>
  </si>
  <si>
    <t>Dear Sir, Greetings! As per discussed with you your concern regarding Mobile number issue, information shared from our end .If you have any query,you can also contact us on our official customer care number 0120-3645645 Regards, Team Spice Money</t>
  </si>
  <si>
    <t>2024-01-14 15:22:47</t>
  </si>
  <si>
    <t>@SpiceMoneyIndia महोदय,मैंने 6 जनवरी 2024 को DMI0036635434 का LOAN पेमेंट किया था तथा इसी लोन अकाउंट नंबर पर 14 जनवरी 2024 को लोन पेमेंट किया है ।
दोनों पेमेंट सक्सेसफुल दिख रहा है किंतु दोनों पेमेंट का रिसिप्ट नहीं डाउनलोड हो रहा है और लोन कंपनी के पास अभी तक अपडेट नहीं हुआ है https://t.co/DvCS0ozUjb</t>
  </si>
  <si>
    <t>2024-01-14 15:20:27</t>
  </si>
  <si>
    <t>Grahak loan me 1% commission or bo bhi 45 din me ayega .... Very bakwas service....😢</t>
  </si>
  <si>
    <t>2024-01-14 15:06:32</t>
  </si>
  <si>
    <t>@SpiceMoneyIndia महोदय,मैंने 6 जनवरी 2024 को DMI0036635434 का LOAN पेमेंट किया था तथा इसी लोन अकाउंट नंबर पर 14 जनवरी 2024 को लोन पेमेंट किया है ।
दोनों पेमेंट सक्सेसफुल दिख रहा है किंतु दोनों पेमेंट का रिसिप्ट नहीं डाउनलोड हो रहा है और लोन कंपनी के पास अभी तक अपडेट नहीं हुआ है https://t.co/UR7n7m2Rkf</t>
  </si>
  <si>
    <t>2024-01-14 14:58:58</t>
  </si>
  <si>
    <t>2024-01-14 13:47:27</t>
  </si>
  <si>
    <t>2024-01-14 13:44:22</t>
  </si>
  <si>
    <t>2024-01-14 13:41:58</t>
  </si>
  <si>
    <t>2024-01-14 13:41:41</t>
  </si>
  <si>
    <t>@ashukm प्रिय महोदय, नमस्कार! हमारे ग्राहक सेवा अधिकारी जल्द ही आपसे संपर्क करेंगे। सादर, टीम स्पाइस मनी</t>
  </si>
  <si>
    <t>2024-01-14 12:44:50</t>
  </si>
  <si>
    <t>2024-01-14 12:44:03</t>
  </si>
  <si>
    <t>जब कोई फसेगा तो पता चल जाएगा कम्पनी किस प्रकार अपने एजेंट की प्रॉब्लम को salve करती है।यहाँ प्राब्लम को salve करने की टाइम लिमिट नही है ।यहाँ पर कस्टमर केअर पर बात करने जबाब मिलता है हम आप को निशित टाइम नही बात सकते यहाँ मिलता है टाइम पर टाइम टाइम पर टाइम</t>
  </si>
  <si>
    <t>2024-01-14 11:50:39</t>
  </si>
  <si>
    <t>@SpiceMoneyIndia Sdl943226
Mo. 7489956452
Email.ashokkumarmehra5@gmail.com</t>
  </si>
  <si>
    <t>2024-01-14 11:24:51</t>
  </si>
  <si>
    <t>2024-01-14 10:59:52</t>
  </si>
  <si>
    <t>2024-01-14 10:59:33</t>
  </si>
  <si>
    <t>Company ne add material nahi bhejna
Apni add retailer to karwaunge</t>
  </si>
  <si>
    <t>2024-01-14 10:57:51</t>
  </si>
  <si>
    <t>3 year us bahut achchi Aeps sarvice</t>
  </si>
  <si>
    <t>2024-01-14 10:39:53</t>
  </si>
  <si>
    <t>2024-01-14 10:14:14</t>
  </si>
  <si>
    <t>Mera Spice voilet -11000 show ho rha lekin mene spice money ko 10 bar call kar Diya uska koi samadhan nhi nikla</t>
  </si>
  <si>
    <t>2024-01-14 10:05:18</t>
  </si>
  <si>
    <t>2024-01-14 10:03:31</t>
  </si>
  <si>
    <t>रेडब्लू रिवोल्यूशन से डिजिटल बैंकिंग सेवाएं देने वाली दुकानों को एक नई पहचान मिली है। 
अपनी दुकान को लाल और नीले रंग में रंगकर हमारी मुहीम को सफल बनाने के लिए ब्रिजेश कुमार यादव जैसे सभी लोगों का दिल से शुक्रिया।
#SpiceMoney #SpiceMoneyGuarantee #RuralFinTech #RedBlueRevolution #NayiPehchan #MainAdhikariKhudHoonGuarantee
रेडब्लू रिवोल्यूशन से डिजिटल बैंकिंग सेवाएं देने वाली दुकानों को एक नई पहचान मिली है। 
अपनी दुकान को लाल और नीले रंग में रंगकर हमारी मुहीम को सफल बनाने के लिए ब्रिजेश कुमार यादव जैसे सभी लोगों का दिल से शुक्रिया।
#SpiceMoney #SpiceMoneyGuarantee #RuralFinTech #RedBlueRevolution #NayiPehchan #MainAdhikariKhudHoonGuarantee</t>
  </si>
  <si>
    <t>2024-01-14 10:00:17</t>
  </si>
  <si>
    <t>2024-01-14 09:13:26</t>
  </si>
  <si>
    <t>2024-01-14 09:13:19</t>
  </si>
  <si>
    <t>2024-01-14 09:13:09</t>
  </si>
  <si>
    <t>2024-01-14 09:12:56</t>
  </si>
  <si>
    <t>2024-01-14 09:12:18</t>
  </si>
  <si>
    <t>2024-01-14 09:11:02</t>
  </si>
  <si>
    <t>2024-01-14 09:10:25</t>
  </si>
  <si>
    <t>@nsrajpurohit108 Dear Sir, Greetings! Our customer care officer will get in touch with you shortly. Regards, Team Spice Money</t>
  </si>
  <si>
    <t>2024-01-14 09:07:58</t>
  </si>
  <si>
    <t>Heinekenqoow</t>
  </si>
  <si>
    <t>Heineken</t>
  </si>
  <si>
    <t>@ParwinderS82656 @SpiceMoneyIndia For quick solution of account issues like I encountered, grab @codingwest here on Twitter assistance without delay. They were a great help to me.</t>
  </si>
  <si>
    <t>2024-01-14 08:56:46</t>
  </si>
  <si>
    <t>FredWashin71488</t>
  </si>
  <si>
    <t>Fred Washington</t>
  </si>
  <si>
    <t>@ParwinderS82656 @SpiceMoneyIndia kindly send @codingwest a message here on Twitter (x)he can help you  regain full access to your account and create a firewall for your account to prevent further hacking threats</t>
  </si>
  <si>
    <t>2024-01-14 08:56:37</t>
  </si>
  <si>
    <t>Ecuador</t>
  </si>
  <si>
    <t>@SpiceMoneyIndia A few days ago someone hacked the ID of Spice Money.  Do you have any security or not? Clear it.</t>
  </si>
  <si>
    <t>2024-01-14 08:55:42</t>
  </si>
  <si>
    <t>2024-01-14 08:55:27</t>
  </si>
  <si>
    <t>Good work Spice Many</t>
  </si>
  <si>
    <t>2024-01-14 08:13:49</t>
  </si>
  <si>
    <t>@govtsrschoolpalina817</t>
  </si>
  <si>
    <t>Meri I'd ki Abhi tak cpv nhi huie hai muje I'd leye hua 6 month ho chuke hai distributor koi sahayata nahi kar Raha hai aor 3 bar me e mail bhi kar chuka hu</t>
  </si>
  <si>
    <t>2024-01-14 01:23:18</t>
  </si>
  <si>
    <t>2024-01-13</t>
  </si>
  <si>
    <t>@RiteshTechnicalStar</t>
  </si>
  <si>
    <t>Distributer id  lena hai</t>
  </si>
  <si>
    <t>2024-01-13 22:49:33</t>
  </si>
  <si>
    <t>SPICE MONEY 7063114616</t>
  </si>
  <si>
    <t>2024-01-13 22:23:46</t>
  </si>
  <si>
    <t>APS Kyc ,sdl1042352 id ,mo.9512778803 Valvai Khumanbhai Narvatbhai</t>
  </si>
  <si>
    <t>2024-01-13 21:52:28</t>
  </si>
  <si>
    <t>APS kyc ser</t>
  </si>
  <si>
    <t>2024-01-13 21:50:27</t>
  </si>
  <si>
    <t>Jai hind sir ji</t>
  </si>
  <si>
    <t>2024-01-13 21:07:44</t>
  </si>
  <si>
    <t>nsrajpurohit108</t>
  </si>
  <si>
    <t>Narpat singh</t>
  </si>
  <si>
    <t>@SpiceMoneyIndia @ashukm Mera bhi same haal hai Bhai me pichle 20 din se preshan ho gya hu mere I'd me 6500 rs bhi hai or I'd active nhi ho rhi or n costumer support mil rha hai I'd no. sdl188856</t>
  </si>
  <si>
    <t>2024-01-13 20:54:22</t>
  </si>
  <si>
    <t>Barmer, india</t>
  </si>
  <si>
    <t>@ashukm Dear Sir, Namaskar! Aapse request hai ki please apna Mobile number &amp;amp; email id hume share karein, hamari customer care team aapse jald hi sampark karegi. Regards, Team Spice Money</t>
  </si>
  <si>
    <t>2024-01-13 20:36:19</t>
  </si>
  <si>
    <t>Sabse bed service</t>
  </si>
  <si>
    <t>2024-01-13 20:24:43</t>
  </si>
  <si>
    <t>Yha pe koi bhi aapne number share nhi kre aapke sath froud ho sakta he</t>
  </si>
  <si>
    <t>2024-01-13 19:24:08</t>
  </si>
  <si>
    <t>2024-01-13 18:09:39</t>
  </si>
  <si>
    <t>@KumarRahul9321 Dear Sir, Greetings! Our customer care officer will get in touch with you shortly. Regards, Team Spice Money</t>
  </si>
  <si>
    <t>2024-01-13 18:09:17</t>
  </si>
  <si>
    <t>@Warmbirds12 Dear Sir, Greetings! As per discussed with you your concern related Id unblocking request ,information shared from our end.If you have any query,you can also contact us on our official customer care number 0120-3645645 Regards, Team Spice Money</t>
  </si>
  <si>
    <t>2024-01-13 18:07:45</t>
  </si>
  <si>
    <t>2024-01-13 18:00:53</t>
  </si>
  <si>
    <t>2024-01-13 17:59:52</t>
  </si>
  <si>
    <t>2024-01-13 17:58:29</t>
  </si>
  <si>
    <t>NPCI करेगा अब सभी ऐसे AEPS संचालकों की ID बंद | New Big Update 2024 | roinet,fino, spice money, rnfi</t>
  </si>
  <si>
    <t>2024-01-13 17:10:52</t>
  </si>
  <si>
    <t>@mithilasales1 Dear Sir, Greetings! We are trying to contact you but you are not answering . Please share your contact details and suitable times. Regards, Team Spice Money</t>
  </si>
  <si>
    <t>2024-01-13 17:07:45</t>
  </si>
  <si>
    <t>Warmbirds12</t>
  </si>
  <si>
    <t>Warmbirds</t>
  </si>
  <si>
    <t>@SpiceMoneyIndia Sorry for inconvenience.. I'm available 4 pm to 8pm... please look into this matter...</t>
  </si>
  <si>
    <t>2024-01-13 16:22:33</t>
  </si>
  <si>
    <t>Dear Sir, Namaskar! Aapse Batchit ke anusar Spice Money T-shirt ke  baare me hamari taraf se aapko jankari share kar di gayi hai. Regards, Team Spice Money</t>
  </si>
  <si>
    <t>2024-01-13 16:09:14</t>
  </si>
  <si>
    <t>Shahealam8756</t>
  </si>
  <si>
    <t>shahealam</t>
  </si>
  <si>
    <t>@SpiceMoneyIndia Tq</t>
  </si>
  <si>
    <t>2024-01-13 16:06:58</t>
  </si>
  <si>
    <t>Pratapgarh uttar pradesh</t>
  </si>
  <si>
    <t>@Shahealam8756 Dear Sir, Namaskar! Aapse Batchit ke anusar UPI cash withdrawal transaction ke baare me hamari taraf se aapko jankari share kar di gayi hai. Adhik jankari ke liye aap hamare official customer care number 0120-3645645 par bhi sampark kar sakte hain. Regards, Team Spice Money</t>
  </si>
  <si>
    <t>2024-01-13 16:02:57</t>
  </si>
  <si>
    <t>@Warmbirds12 Dear Sir, Greetings! We are trying to contact you but you are not answering . Please share your contact details and suitable times. Regards, Team Spice Money</t>
  </si>
  <si>
    <t>2024-01-13 15:57:02</t>
  </si>
  <si>
    <t>2024-01-13 15:24:31</t>
  </si>
  <si>
    <t>@thegullyboys336</t>
  </si>
  <si>
    <t>axis bank sceem flof rahi hai</t>
  </si>
  <si>
    <t>2024-01-13 14:48:01</t>
  </si>
  <si>
    <t>@kishans1996</t>
  </si>
  <si>
    <t>Dear prospect, you are not at your shop location. Error is coming when I tried to re-kyc at my shop location . How to fix it</t>
  </si>
  <si>
    <t>2024-01-13 14:18:54</t>
  </si>
  <si>
    <t>KRISHNA67713666</t>
  </si>
  <si>
    <t>KRISHNA KANT VERMA</t>
  </si>
  <si>
    <t>@SpiceMoneyIndia https://t.co/xh6h267K3C</t>
  </si>
  <si>
    <t>2024-01-13 14:07:29</t>
  </si>
  <si>
    <t>@SpiceMoneyIndia एक घटिया और बेकार कंपनी है जो लाखो कमाकर देने वाले एजेंट की तक नही सुनती #MKBD</t>
  </si>
  <si>
    <t>2024-01-13 13:50:36</t>
  </si>
  <si>
    <t>2024-01-13 13:46:26</t>
  </si>
  <si>
    <t>@SpiceMoneyIndia Any further updates... didn't anyone from your customer contact me yet!</t>
  </si>
  <si>
    <t>2024-01-13 11:37:27</t>
  </si>
  <si>
    <t>KrishanKum62314</t>
  </si>
  <si>
    <t>Krishan Kumar Jha</t>
  </si>
  <si>
    <t>@SpiceMoneyIndia 9056959465</t>
  </si>
  <si>
    <t>2024-01-13 11:12:13</t>
  </si>
  <si>
    <t>2024-01-13 09:27:27</t>
  </si>
  <si>
    <t>Sushanta Dishri new id lene ka soch raha aisa problem hai</t>
  </si>
  <si>
    <t>2024-01-13 08:39:55</t>
  </si>
  <si>
    <t>पर्व अनेक, उत्साह एक 
स्पाइस मनी परिवार की ओर से भारत की विविधता में एकता के इस महापर्व की हार्दिक बधाइयां।
#SpiceMoney #SpiceMoneyGuarantee #Lohri #MakarSankranti #Pongal #Bihu
पर्व अनेक, उत्साह एक 
स्पाइस मनी परिवार की ओर से भारत की विविधता में एकता के इस महापर्व की हार्दिक बधाइयां।
#SpiceMoney #SpiceMoneyGuarantee #Lohri #MakarSankranti #Pongal #Bihu</t>
  </si>
  <si>
    <t>2024-01-13 08:00:19</t>
  </si>
  <si>
    <t>पर्व अनेक, उत्साह एक 
स्पाइस मनी परिवार की ओर से भारत की विविधता में एकता के इस महापर्व की हार्दिक बधाइयां।
#SpiceMoney #SpiceMoneyGuarantee #Lohri #MakarSankranti #Pongal #Bihu https://t.co/avi9Ixy1bS</t>
  </si>
  <si>
    <t>2024-01-13 08:00:00</t>
  </si>
  <si>
    <t>2024-01-12</t>
  </si>
  <si>
    <t>जब csc वाले कमीशन दे सकते है तो आप कियो नही?</t>
  </si>
  <si>
    <t>2024-01-12 23:30:28</t>
  </si>
  <si>
    <t>Ab bekaar kar Diya hai bhai</t>
  </si>
  <si>
    <t>2024-01-12 23:22:01</t>
  </si>
  <si>
    <t>2024-01-12 23:21:39</t>
  </si>
  <si>
    <t>SPICE MONEY sem problem</t>
  </si>
  <si>
    <t>2024-01-12 22:14:16</t>
  </si>
  <si>
    <t>मंत्रा MFS 110 rd सर्विस एक्टीवेट करें</t>
  </si>
  <si>
    <t>2024-01-12 21:40:00</t>
  </si>
  <si>
    <t>@SpiceMoneyIndia 
Dear spice money I am using spice money from long time but from few years my id Sdl805331 is suspended. But I tried to contact customer support to resolve my issue. I am never did a single rupee fraud. But you people suspended my id please resume my services</t>
  </si>
  <si>
    <t>2024-01-12 21:15:50</t>
  </si>
  <si>
    <t>Sushil Sharma milega bhi nahi</t>
  </si>
  <si>
    <t>2024-01-12 20:54:37</t>
  </si>
  <si>
    <t>DMT charge thoda kam kijiye 
Aadha se jyada aaplog hi le lete commision</t>
  </si>
  <si>
    <t>2024-01-12 20:52:32</t>
  </si>
  <si>
    <t>your_Favouritey</t>
  </si>
  <si>
    <t>Your_Favouritey</t>
  </si>
  <si>
    <t>@SpiceMoneyIndia Okay sir</t>
  </si>
  <si>
    <t>2024-01-12 20:33:48</t>
  </si>
  <si>
    <t xml:space="preserve">Patna </t>
  </si>
  <si>
    <t>Aaj se brkgb ki lenden nhi ho rahi hai</t>
  </si>
  <si>
    <t>2024-01-12 19:29:34</t>
  </si>
  <si>
    <t>2024-01-12 19:29:21</t>
  </si>
  <si>
    <t>@Tulsi4Nation Dear Sir, Greetings! Our customer care officer will get in touch with you shortly. Regards, Team Spice Money</t>
  </si>
  <si>
    <t>2024-01-12 18:40:57</t>
  </si>
  <si>
    <t>@lalitmohanvar Dear Sir, Greetings! Our customer care officer will get in touch with you shortly. Regards, Team Spice Money</t>
  </si>
  <si>
    <t>2024-01-12 18:31:47</t>
  </si>
  <si>
    <t>2024-01-12 18:31:01</t>
  </si>
  <si>
    <t>@Warmbirds12 Dear Sir, Greetings! Our customer care officer will get in touch with you shortly. Regards, Team Spice Money</t>
  </si>
  <si>
    <t>2024-01-12 18:29:51</t>
  </si>
  <si>
    <t>2024-01-12 18:27:09</t>
  </si>
  <si>
    <t>2024-01-12 18:27:02</t>
  </si>
  <si>
    <t>2024-01-12 18:26:11</t>
  </si>
  <si>
    <t>@SailenduKhuntia Dear Sir, Greetings!  We would like to inform you that your concern regarding distributor Employee Add issue,your concern forwarded to relevant team, our team working on it,we'll update you. Regards, Team Spice Money</t>
  </si>
  <si>
    <t>2024-01-12 18:24:32</t>
  </si>
  <si>
    <t>2024-01-12 18:20:41</t>
  </si>
  <si>
    <t>@SpiceMoneyIndia I don't have prime membership by the way I already mailed on your customer care mail id and my CaseId-1000115827750: Emergency Help</t>
  </si>
  <si>
    <t>2024-01-12 18:20:27</t>
  </si>
  <si>
    <t>2024-01-12 18:20:14</t>
  </si>
  <si>
    <t>2024-01-12 18:19:30</t>
  </si>
  <si>
    <t>@Warmbirds12 Dear Sir, Greetings! Please share your email id and mobile number in inbox .we'll reach out to you to resolve all your concerns.Regards, Team Spice Money</t>
  </si>
  <si>
    <t>2024-01-12 18:18:22</t>
  </si>
  <si>
    <t>2024-01-12 18:16:52</t>
  </si>
  <si>
    <t>2024-01-12 18:16:31</t>
  </si>
  <si>
    <t>@excelhinditips Dear Sir, Greetings! Please share your email id and mobile number in inbox .we'll reach out to you to resolve all your concerns.Regards, Team Spice Money</t>
  </si>
  <si>
    <t>2024-01-12 18:16:05</t>
  </si>
  <si>
    <t>2024-01-12 18:15:12</t>
  </si>
  <si>
    <t>@MdHelaludd55272 Dear Sir, Greetings! Our customer care officer will get in touch with you shortly. Regards, Team Spice Money</t>
  </si>
  <si>
    <t>2024-01-12 18:14:50</t>
  </si>
  <si>
    <t>@KrishanKum62314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</si>
  <si>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2024-01-12 18:14:13</t>
  </si>
  <si>
    <t>@your_Favouritey प्रिय महोदय, नमस्कार! आपसे अनुरोध है कि कृपया अपना मोबाइल नंबर और ईमेल आईडी हमें साझा करें, हमारी ग्राहक सेवा टीम आपसे जल्द ही संपर्क करेगी। सादर, टीम स्पाइस मनी</t>
  </si>
  <si>
    <t>2024-01-12 18:13:44</t>
  </si>
  <si>
    <t>2024-01-12 18:12:32</t>
  </si>
  <si>
    <t>2024-01-12 18:11:20</t>
  </si>
  <si>
    <t>2024-01-12 18:10:03</t>
  </si>
  <si>
    <t>2024-01-12 18:08:20</t>
  </si>
  <si>
    <t>2024-01-12 18:06:20</t>
  </si>
  <si>
    <t>2024-01-12 18:03:00</t>
  </si>
  <si>
    <t>@@SpiceMoneyOfficial aapka daily yahi reply aata but not respons</t>
  </si>
  <si>
    <t>2024-01-12 18:02:30</t>
  </si>
  <si>
    <t>2024-01-12 18:00:40</t>
  </si>
  <si>
    <t>@vikkysingh07 Dear Sir, Greetings! Please share your email id and mobile number in inbox .we'll reach out to you to resolve all your concerns.Regards, Team Spice Money</t>
  </si>
  <si>
    <t>2024-01-12 18:00:15</t>
  </si>
  <si>
    <t>2024-01-12 17:59:16</t>
  </si>
  <si>
    <t>2024-01-12 17:58:57</t>
  </si>
  <si>
    <t>2024-01-12 17:58:07</t>
  </si>
  <si>
    <t>Priya Adhikari! Spice Money ki taraf se aapke paas verification ke liye ya fir id password share karne ke liye aisi koi bhi call nahi jati hai ,aapse requst hai ki kripya aisi kisi link par click na kare aur na hi apni details share kare ,otherwise aap fraud ke shikaar ho sakte hain, Regards, Team Spice Money</t>
  </si>
  <si>
    <t>2024-01-12 17:57:27</t>
  </si>
  <si>
    <t>2024-01-12 17:55:18</t>
  </si>
  <si>
    <t>जैसे Fino payments bank. airtel payments bank. Spice money. paynearby. India post payment bank. etc....
हम आपसे हाथ जोड़ कर आनुरोध करते है की कृपया कर के मेरे इस 5 समस्या को हल करने की कृपा करें ताकि हम पहले जैसी सुविधा ग्राहकों को दे पाए।</t>
  </si>
  <si>
    <t>2024-01-12 16:31:26</t>
  </si>
  <si>
    <t>@user-nj8qb1lh9d</t>
  </si>
  <si>
    <t>​@@SpiceMoneyOfficialकैसे पता करे की कस्टमर ने पैसा किस रिटेलर की शॉप से निकाला है और टाइम भी।</t>
  </si>
  <si>
    <t>2024-01-12 15:56:21</t>
  </si>
  <si>
    <t>@spicemoneyofficial ... डियर मैडम अगर कोई व्यक्ति शॉप पे आया और बोला की पैसा निकाल दीजिए सर्वर प्रॉब्लम की वजह से नही निकाला और फिर कस्टमर कही और जाके  दूसरी शॉप से पैसा निकलवा ले और दूसरे दिन आके बोले की भाई आपने पैसा निकला था वो कट गया था अकाउंट से जबकि पैसा कटा नही था वो कही और से निकाल लिया था ।।।
तो मैं स्टेटमेंट चेक करूंगा की निकला है या नही।  उसमे तो निकला दिखाई देगा और हमे लगेगा  हा इसका पैसा कट गया था तो कैसे पता करे की कस्टमर ने कहा पैसे निकाले है</t>
  </si>
  <si>
    <t>2024-01-12 15:51:58</t>
  </si>
  <si>
    <t>@SpiceMoneyIndia मैं खुद मर्चेंट बात कर रहा हु , आपके spice money service बहुत ही खराब है, मेने एक कस्टमर का money withdraw किया failed हो गया जब कि 2 महीने से ज्यादा हो रहा है अभी तक ग्राहक के खाते में पैसा वापस नहीं आया है मेने आपके employee or distributor को बहुत बार सूचना दी लेकिन कोई हल नहीं</t>
  </si>
  <si>
    <t>2024-01-12 13:50:14</t>
  </si>
  <si>
    <t>@SpiceMoneyIndia Spice money service very poor 😕 not solution axact time</t>
  </si>
  <si>
    <t>2024-01-12 13:43:58</t>
  </si>
  <si>
    <t>@SpiceMoneyIndia Hi,
    I have applied for spice money adhikari I'd request but still not approved by distributor and spoke with him still no response from them. Kindly suggest and look into it
Request number - 2022_12_26/spicemoney/2517461
Regards
Md Helaluddin
9742205762</t>
  </si>
  <si>
    <t>2024-01-12 13:33:19</t>
  </si>
  <si>
    <t>@SpiceMoneyIndia Hi,
    I have applied for spice money adhikari I'd request but still not approved by distributor and spoke with him still no response from them. Kindly suggest and look into it
Request number - 2022_12_26/spicemoney/2517461
Regards
Md Helaluddin
9742205762</t>
  </si>
  <si>
    <t>2024-01-12 13:32:59</t>
  </si>
  <si>
    <t>Spice Money is Best platform for Aeps services best</t>
  </si>
  <si>
    <t>2024-01-12 13:23:39</t>
  </si>
  <si>
    <t>@SpiceMoneyIndia  see your 24/7 customer support guaranty. Hope all the agent not happy with this. I don't know why your doing fake publicity . You team connected with me after 15 minutes.after all they don't know why SBI transaction going on fail. https://t.co/4bnbA6nJNb</t>
  </si>
  <si>
    <t>2024-01-12 10:47:37</t>
  </si>
  <si>
    <t>NSDL account opening charge kam Kijiye Sar please</t>
  </si>
  <si>
    <t>2024-01-12 09:50:06</t>
  </si>
  <si>
    <t>Spice Money Rekyc option not working</t>
  </si>
  <si>
    <t>2024-01-12 08:01:13</t>
  </si>
  <si>
    <t>स्पाइस मनी परिवार की ओर से राष्ट्रीय युवा दिवस की ढेरों शुभकामनाएं। युवाओं को सशक्त बनाना ही भारत के कल को आज बदलने का सबसे मजबूत तरीका है!
#SpiceMoney #SpiceMoneyGuarantee #BharatKeKalKoBadlengeAaj 
#NationalYouthDay
स्पाइस मनी परिवार की ओर से राष्ट्रीय युवा दिवस की ढेरों शुभकामनाएं। युवाओं को सशक्त बनाना ही भारत के कल को आज बदलने का सबसे मजबूत तरीका है!
#SpiceMoney #SpiceMoneyGuarantee #BharatKeKalKoBadlengeAaj 
#NationalYouthDay</t>
  </si>
  <si>
    <t>2024-01-12 08:00:10</t>
  </si>
  <si>
    <t>स्पाइस मनी परिवार की ओर से राष्ट्रीय युवा दिवस की ढेरों शुभकामनाएं। युवाओं को सशक्त बनाना ही भारत के कल को आज बदलने का सबसे मजबूत तरीका है!
#SpiceMoney #SpiceMoneyGuarantee #BharatKeKalKoBadlengeAaj 
#NationalYouthDay https://t.co/s6NrvzwcUG</t>
  </si>
  <si>
    <t>2024-01-12 08:00:00</t>
  </si>
  <si>
    <t>@amanshaikh6821</t>
  </si>
  <si>
    <t>Abhi sabse zyada froud ho rahe he uska kuch kar sakte ho to kijie spice money k names se call aa rahe he link open karke aadhar pan bank passbook update karne k name pe spice money account 0 kar de rahe he</t>
  </si>
  <si>
    <t>2024-01-12 07:56:11</t>
  </si>
  <si>
    <t>vikkysingh07</t>
  </si>
  <si>
    <t>Singh</t>
  </si>
  <si>
    <t>@Tulsi4Nation @SpiceMoneyIndia @RBI @Cyberdost @mpcyberpolice @collectorapr @RBI please take this case very seriously and help the needy person.</t>
  </si>
  <si>
    <t>2024-01-12 03:54:56</t>
  </si>
  <si>
    <t>It is a great pleasure to invest with Mrs Emily. Your service are amazingly  good with so many withdrawal gateways. I get good profit, Fast withdrawals. They require just normal documents for verification. The process is smooth and fast, try it and thank me later. You can reach out to https://www.facebook.com/EmilyJack89</t>
  </si>
  <si>
    <t>2024-01-12 02:53:18</t>
  </si>
  <si>
    <t>2024-01-12 02:53:01</t>
  </si>
  <si>
    <t>2024-01-12 02:51:54</t>
  </si>
  <si>
    <t>Mera I'd lekar kisi ne dhoke se number update kar liya hai mujhe pata bhi nahi ab tum koi reply nhi de Raho ho chutiya banate hai sabko spice Money bale</t>
  </si>
  <si>
    <t>2024-01-12 02:22:15</t>
  </si>
  <si>
    <t>Pahle ye batao Mera chalu karoge ya nahi 4 month se bol bol ke thak Gaya hu me</t>
  </si>
  <si>
    <t>2024-01-12 02:20:26</t>
  </si>
  <si>
    <t>@sktinku9698</t>
  </si>
  <si>
    <t>Please update retailer aadhar numbar auto fill</t>
  </si>
  <si>
    <t>2024-01-12 00:50:13</t>
  </si>
  <si>
    <t>2024-01-12 00:49:18</t>
  </si>
  <si>
    <t>2024-01-12 00:49:07</t>
  </si>
  <si>
    <t>2024-01-12 00:48:59</t>
  </si>
  <si>
    <t>2024-01-12 00:48:49</t>
  </si>
  <si>
    <t>2024-01-11</t>
  </si>
  <si>
    <t>Tulsi4Nation</t>
  </si>
  <si>
    <t>Tulsi Ram Sahu</t>
  </si>
  <si>
    <t>To address the security breach issue, please contact the victim at 9399428585 and discuss it @SpiceMoneyIndia.</t>
  </si>
  <si>
    <t>2024-01-11 23:59:00</t>
  </si>
  <si>
    <t>2024-01-11 23:39:34</t>
  </si>
  <si>
    <t>@SpiceMoneyIndia still didn't receive reply from you.</t>
  </si>
  <si>
    <t>2024-01-11 23:32:24</t>
  </si>
  <si>
    <t>2024-01-11 23:23:01</t>
  </si>
  <si>
    <t>@khuanthaipourongmei5891</t>
  </si>
  <si>
    <t>I couldn't login again id lock and whenever I try to complete the re-KYC it appears "opps something went wrong"</t>
  </si>
  <si>
    <t>2024-01-11 22:51:36</t>
  </si>
  <si>
    <t>@mahendrakumarkewat4732</t>
  </si>
  <si>
    <t>2024-01-11 21:25:47</t>
  </si>
  <si>
    <t>Good</t>
  </si>
  <si>
    <t>2024-01-11 20:38:43</t>
  </si>
  <si>
    <t>Or service add Kiya jaye</t>
  </si>
  <si>
    <t>2024-01-11 20:18:55</t>
  </si>
  <si>
    <t>@KHUSHISHARMA-jc6ry</t>
  </si>
  <si>
    <t>Jab tak aap khud apni information kisi ko share nahi karenge tab tak aapke sath froud nahi ho sakta hai  .</t>
  </si>
  <si>
    <t>2024-01-11 20:12:48</t>
  </si>
  <si>
    <t>2024-01-11 19:50:38</t>
  </si>
  <si>
    <t>Is mein fraud bhi chal Raha hai to bhaiyo thoda sambhalkar</t>
  </si>
  <si>
    <t>2024-01-11 19:21:26</t>
  </si>
  <si>
    <t>इलेक्ट्रिसिटी के हर बिल पर कमीशन की सुविधा प्रदान करें</t>
  </si>
  <si>
    <t>2024-01-11 19:06:00</t>
  </si>
  <si>
    <t>SailenduKhuntia</t>
  </si>
  <si>
    <t>Sailendu Sekhar Khuntia</t>
  </si>
  <si>
    <t>@SpiceMoneyIndia Sir still my issue is pending please help me.</t>
  </si>
  <si>
    <t>2024-01-11 18:17:25</t>
  </si>
  <si>
    <t xml:space="preserve">Dhenkanal, odisha </t>
  </si>
  <si>
    <t>Petrol</t>
  </si>
  <si>
    <t>2024-01-11 17:59:27</t>
  </si>
  <si>
    <t>Customer care support nhi mil pa raha hai.</t>
  </si>
  <si>
    <t>2024-01-11 17:39:31</t>
  </si>
  <si>
    <t>स्पाइस मनी BBPS के साथ ग्राहकों को मिले सुविधाओं की गारंटी और अधिकारियों को मुनाफे की गारंटी! 
#SpiceMoney #SpiceMoneyGuarantee
#RuralFintech #BBPS #bharatbillpaymentsystem #NationalPaymentsCorporationofIndia #BillPayments #MainAdhikariKhudHoonGuarantee https://t.co/8r4k54zfWx</t>
  </si>
  <si>
    <t>2024-01-11 16:45:18</t>
  </si>
  <si>
    <t>स्पाइस मनी BBPS के साथ ग्राहकों को मिले सुविधाओं की गारंटी और अधिकारियों को मुनाफे की गारंटी! 
#SpiceMoney #SpiceMoneyGuarantee
#RuralFintech #BBPS #bharatbillpaymentsystem #NationalPaymentsCorporationofIndia #BillPayments #MainAdhikariKhudHoonGuarantee
स्पाइस मनी BBPS के साथ ग्राहकों को मिले सुविधाओं की गारंटी और अधिकारियों को मुनाफे की गारंटी! 
#SpiceMoney #SpiceMoneyGuarantee
#RuralFintech #BBPS #bharatbillpaymentsystem #NationalPaymentsCorporationofIndia #BillPayments #MainAdhikariKhudHoonGuarantee</t>
  </si>
  <si>
    <t>2024-01-11 16:44:34</t>
  </si>
  <si>
    <t>@ganabhopale2163</t>
  </si>
  <si>
    <t>Bob transaction kab chalu hoga</t>
  </si>
  <si>
    <t>2024-01-11 16:37:56</t>
  </si>
  <si>
    <t>@SpiceMoneyIndia Very problem today https://t.co/NJDH1JpnpR</t>
  </si>
  <si>
    <t>2024-01-11 14:34:14</t>
  </si>
  <si>
    <t>Ab isme kaam karne ka mja nahi aa rha hai</t>
  </si>
  <si>
    <t>2024-01-11 13:10:14</t>
  </si>
  <si>
    <t>SPICE MONEY  PLZ PHONE KIJEYE8009688006</t>
  </si>
  <si>
    <t>2024-01-11 13:06:58</t>
  </si>
  <si>
    <t>But ham kya sun rahe h k spice money me froud ho raha h hala k me khud 2019 se juda hua hu</t>
  </si>
  <si>
    <t>2024-01-11 11:19:27</t>
  </si>
  <si>
    <t>@user-gx3vz3qc4k</t>
  </si>
  <si>
    <t>​@@singleboy456aSpice money me aeps deposit hota he relipay me ghanta hota he</t>
  </si>
  <si>
    <t>2024-01-11 11:19:24</t>
  </si>
  <si>
    <t>@ashokraikwar2938</t>
  </si>
  <si>
    <t>Sagar ji mobile number dijiye</t>
  </si>
  <si>
    <t>2024-01-11 10:58:31</t>
  </si>
  <si>
    <t>Bhogjraj ji Rajsthan se, jude hai unko Spice Money Adhikari APP bahut pasand aayi hai!</t>
  </si>
  <si>
    <t>2024-01-11 10:40:01</t>
  </si>
  <si>
    <t>Jitendra ji, Youtube ke madhyam se ek Adhikari bane or Spice Money team ke sahyog paakar aage badhe!</t>
  </si>
  <si>
    <t>2024-01-11 10:37:55</t>
  </si>
  <si>
    <t>Ramesh ji Bihar se, bina kisi pareshani ka saamna kiye Spice Money ke saath kaam kar rahein hain!</t>
  </si>
  <si>
    <t>2024-01-11 10:35:59</t>
  </si>
  <si>
    <t>@user-ti1pv4yy6b</t>
  </si>
  <si>
    <t>मैं भी  Spice money में काम कर रहा हूं बहुत ही अच्छा कम्पनी है</t>
  </si>
  <si>
    <t>2024-01-11 10:32:58</t>
  </si>
  <si>
    <t>सागर जी ने अपने खुद के व्यापार की शुरुआत स्पाइस मनी से करी, आइये जानते हैं उनकी कहानी!</t>
  </si>
  <si>
    <t>2024-01-11 10:32:40</t>
  </si>
  <si>
    <t>2024-01-11 10:32:11</t>
  </si>
  <si>
    <t>@abulleschannel1868</t>
  </si>
  <si>
    <t>Kamena capny he 🆔 dekar band kar diya bola tha life time 🆓</t>
  </si>
  <si>
    <t>2024-01-11 10:31:52</t>
  </si>
  <si>
    <t>2024-01-11 10:31:13</t>
  </si>
  <si>
    <t>@sarwarislamicvideos786</t>
  </si>
  <si>
    <t>My Bhi karta ho kam</t>
  </si>
  <si>
    <t>2024-01-11 10:28:43</t>
  </si>
  <si>
    <t>Bihar ke rehne wale Vipin ji, Uttrakhand main Spice Money services apne grahkon ko den rahein hain!</t>
  </si>
  <si>
    <t>2024-01-11 10:27:52</t>
  </si>
  <si>
    <t>2024-01-11 10:27:43</t>
  </si>
  <si>
    <t>Yadvendra ji, apne gramin kshetra main Spice Money ki sabhi services de rahen!</t>
  </si>
  <si>
    <t>2024-01-11 10:23:34</t>
  </si>
  <si>
    <t>Rk Digi Info</t>
  </si>
  <si>
    <t>NPCI New Update 2024 । Spice Money update । Aeps Banking New Update। fino payment bank new update</t>
  </si>
  <si>
    <t>2024-01-11 10:06:08</t>
  </si>
  <si>
    <t>Rapipay Customer Care Number 8961210528</t>
  </si>
  <si>
    <t>https://www.facebook.com/profile.php?id=61555204873454&amp;mibextid=ZbWKwL</t>
  </si>
  <si>
    <t>2024-01-11 01:38:16</t>
  </si>
  <si>
    <t>2024-01-11 01:38:14</t>
  </si>
  <si>
    <t>2024-01-11 01:37:55</t>
  </si>
  <si>
    <t>https://www.facebook.com/profile.php?id=61555204873454&amp;mibextid=9R9pXO</t>
  </si>
  <si>
    <t>2024-01-11 01:30:52</t>
  </si>
  <si>
    <t>2024-01-11 01:30:44</t>
  </si>
  <si>
    <t>.https://www.facebook.com/profile.php?id=61555204873454&amp;mibextid=9R9pXO</t>
  </si>
  <si>
    <t>2024-01-11 01:30:36</t>
  </si>
  <si>
    <t>2024-01-11 01:30:22</t>
  </si>
  <si>
    <t>2024-01-10</t>
  </si>
  <si>
    <t>@UncategorisedTopic</t>
  </si>
  <si>
    <t>Unable to login... I'd suspend bata raha hai... kiske sath eisa hua hai aur I'd kaise open hua hai help kare please</t>
  </si>
  <si>
    <t>2024-01-10 23:52:49</t>
  </si>
  <si>
    <t>@Dharmendra8793 @SpiceMoneyIndia Bhai I'd open hua kya!</t>
  </si>
  <si>
    <t>2024-01-10 23:39:04</t>
  </si>
  <si>
    <t>Koi bhi sunvai nahi ho Raha</t>
  </si>
  <si>
    <t>2024-01-10 23:26:50</t>
  </si>
  <si>
    <t>Mujhe lagta froad company hai</t>
  </si>
  <si>
    <t>2024-01-10 23:26:26</t>
  </si>
  <si>
    <t>4 month se massage aur call kar Rahe hai lekin abhi tak sahi koi bat nahi bata Rahe</t>
  </si>
  <si>
    <t>2024-01-10 23:25:52</t>
  </si>
  <si>
    <t>@NPCI_NPCI please help ASAP 
  Quoted Tweet : @Warmbirds12 : @SpiceMoneyIndia I have recently joined spice money on 8th January. Done my YBL KYC and also CPV done by distributor. Till today 10 Am I made approximate 20 transactions and now I'm unable to login my spice money retailer I'd. Not only on Web browser also in mobile application.</t>
  </si>
  <si>
    <t>2024-01-10 23:12:02</t>
  </si>
  <si>
    <t>@SpiceMoneyIndia I have recently joined spice money on 8th January. Done my YBL KYC and also CPV done by distributor. Till today 10 Am I made approximate 20 transactions and now I'm unable to login my spice money retailer I'd. Not only on Web browser also in mobile application.</t>
  </si>
  <si>
    <t>2024-01-10 23:08:28</t>
  </si>
  <si>
    <t>2024-01-10 23:07:41</t>
  </si>
  <si>
    <t>MdShamsad7860</t>
  </si>
  <si>
    <t>Md Shamsad Ansari</t>
  </si>
  <si>
    <t>@NPCI_NPCI @RBI 
जो ये 5 समस्या पहले नहीं था। और हम ग्राहक को अच्छे से सुविधा दे पाते थे।
Dear NPCI.
इस समस्या को कृपया कर के ठीक किया जाए। क्यूँ की हम आपके ही issue किये गये Portal के माध्यम से निकासी करते है। जैसे Fino payments bank. airtel payments bank. Spice money. paynearby</t>
  </si>
  <si>
    <t>2024-01-10 22:30:22</t>
  </si>
  <si>
    <t>@NPCI_NPCI जो ये 5 समस्या पहले नहीं था। और हम ग्राहक को अच्छे से सुविधा दे पाते थे।
Dear NPCI.
इस समस्या को कृपया कर के ठीक किया जाए। क्यूँ की हम आपके ही issue किये गये Portal के माध्यम से निकासी करते है। जैसे Fino payments bank. airtel payments bank. Spice money. paynearby. India post</t>
  </si>
  <si>
    <t>2024-01-10 22:17:11</t>
  </si>
  <si>
    <t>Call me 7894363606</t>
  </si>
  <si>
    <t>2024-01-10 21:11:26</t>
  </si>
  <si>
    <t>@mdsalahuddin4421</t>
  </si>
  <si>
    <t>Sir mera id logen fail or 2fa logen nahin hota hai solve hoga kab hoga</t>
  </si>
  <si>
    <t>2024-01-10 21:01:06</t>
  </si>
  <si>
    <t>@bjpsamajseviyuvanetarajesh4741</t>
  </si>
  <si>
    <t>2024-01-10 19:58:07</t>
  </si>
  <si>
    <t>@rakesh5543</t>
  </si>
  <si>
    <t>Thank you spice money for ful fill my dream.....😊</t>
  </si>
  <si>
    <t>2024-01-10 19:28:13</t>
  </si>
  <si>
    <t>Pahle apne ritelar ko safe karlo fir cust er ko karna</t>
  </si>
  <si>
    <t>2024-01-10 19:25:49</t>
  </si>
  <si>
    <t>@Shammikumar94675</t>
  </si>
  <si>
    <t>Punjab  sa malout</t>
  </si>
  <si>
    <t>2024-01-10 17:37:56</t>
  </si>
  <si>
    <t>lalitmohanvar</t>
  </si>
  <si>
    <t>Lalit Mohan Varshney</t>
  </si>
  <si>
    <t>@SpiceMoneyIndia hello sir, 
I want to reactivate my spice money I'd but unable to do.... Plz help me.. Mybspice I'd is sdl635690
Thanks</t>
  </si>
  <si>
    <t>2024-01-10 17:37:17</t>
  </si>
  <si>
    <t>2024-01-10 17:34:20</t>
  </si>
  <si>
    <t>2024-01-10 17:32:18</t>
  </si>
  <si>
    <t>2024-01-10 17:31:54</t>
  </si>
  <si>
    <t>2024-01-10 17:31:22</t>
  </si>
  <si>
    <t>2024-01-10 17:11:41</t>
  </si>
  <si>
    <t>@vishwasur Dear Sir, Greetings! Please share your email id and mobile number in inbox .we'll reach out to you to resolve all your concerns.Regards, Team Spice Money</t>
  </si>
  <si>
    <t>2024-01-10 17:11:21</t>
  </si>
  <si>
    <t>Achcha service dijiye,customer ka Kami nahin hoga</t>
  </si>
  <si>
    <t>2024-01-10 16:12:18</t>
  </si>
  <si>
    <t>व्हाट्सएप पर किसी अनजान व्यक्ति द्वारा भेजे गए या अनजान ग्रुप पर आये मैसेज/लिंक के साथ क्या करना चाहिए। 
जानने के लिए लिंक https://youtu.be/w_spCvVW92w पर क्लिक करें और पूरा वीडियो देखें।
#SpiceSamachar</t>
  </si>
  <si>
    <t>2024-01-10 16:11:16</t>
  </si>
  <si>
    <t>व्हाट्सएप पर किसी अनजान व्यक्ति द्वारा भेजे गए या अनजान ग्रुप पर आये मैसेज/लिंक के साथ क्या करना चाहिए। 
जानने के लिए लिंक https://t.co/DfYuvXyBeg पर क्लिक करें और पूरा वीडियो देखें।
#SpiceSamachar https://t.co/JdSMYkzOVs</t>
  </si>
  <si>
    <t>2024-01-10 16:10:29</t>
  </si>
  <si>
    <t>vishwasur</t>
  </si>
  <si>
    <t>Drx. Surendra Vishwakarma</t>
  </si>
  <si>
    <t>Dear @SpiceMoneyIndia I am a spice money Adhikari.
I have amount in my wallet but not able to transfer in my bank account.
And No helpline no. Is response.
@RBI</t>
  </si>
  <si>
    <t>2024-01-10 16:03:00</t>
  </si>
  <si>
    <t>Lucknow, india</t>
  </si>
  <si>
    <t>Punjab ka distributor number</t>
  </si>
  <si>
    <t>2024-01-10 14:47:06</t>
  </si>
  <si>
    <t>@user-nx4mf4mt3q</t>
  </si>
  <si>
    <t>Be alart</t>
  </si>
  <si>
    <t>2024-01-10 14:22:18</t>
  </si>
  <si>
    <t>#SpiceSamachar par payein Whatsapp par hone wale Fraud se judi ye aham jankaari</t>
  </si>
  <si>
    <t>2024-01-10 14:21:35</t>
  </si>
  <si>
    <t>@jmcreation5164</t>
  </si>
  <si>
    <t>Airtel payment bank abhi sahi hay dosto</t>
  </si>
  <si>
    <t>2024-01-10 14:15:04</t>
  </si>
  <si>
    <t>SPICE MONEY mo.9720634948</t>
  </si>
  <si>
    <t>2024-01-10 12:34:31</t>
  </si>
  <si>
    <t>SPICE MONEY rveersingh449@gmail.com</t>
  </si>
  <si>
    <t>2024-01-10 12:34:11</t>
  </si>
  <si>
    <t>Call me 8009688006</t>
  </si>
  <si>
    <t>2024-01-10 10:00:46</t>
  </si>
  <si>
    <t>Vakkar Ahmad Savand Bkt bilkul koi sport nahi</t>
  </si>
  <si>
    <t>2024-01-10 08:32:54</t>
  </si>
  <si>
    <t>2024-01-10 08:27:18</t>
  </si>
  <si>
    <t>2024-01-10 08:24:33</t>
  </si>
  <si>
    <t>2024-01-09</t>
  </si>
  <si>
    <t>KAMALSH64944775</t>
  </si>
  <si>
    <t>KAMAL SHARMA</t>
  </si>
  <si>
    <t>payments bank. Spice money. paynearby. India post payment bank. etc...
 हम आपसे हाथ जोड़ कर आनुरोध करते है की कृपया कर के मेरे इस 5 समस्या को हल करने की कृपा करें ताकि हम पहले जैसी सुविधा ग्राहकों को दे पाए।</t>
  </si>
  <si>
    <t>2024-01-09 23:53:23</t>
  </si>
  <si>
    <t>@Paljiinfotech</t>
  </si>
  <si>
    <t>Id login karne ke liye finger lagna chahiye jisse humara walltet ka paisa safe rahe koi hack n kar sake 
Agar kisi ki user id password or otp bhi mil jaye tab bhi login n kar sake 
So har bar login karne par fingerprint. Retailer ka lagna chahiye</t>
  </si>
  <si>
    <t>2024-01-09 22:30:37</t>
  </si>
  <si>
    <t>2024-01-09 22:25:15</t>
  </si>
  <si>
    <t>jalam_inda__07</t>
  </si>
  <si>
    <t>Jalam singh Inda</t>
  </si>
  <si>
    <t>#Jodhpur : पुलिस थाने में मुकदमा दर्ज करने से इनकार 
मामला चामू पुलिस थाना जोधपुर ग्रामीण 
मेरे e-wallet से किसी अनजान व्यक्ति ने  पेमेंट डेबिट कर दिया उसके विरुद्ध शिकायत का प्रार्थना पत्र था 
@CP_Jodhpur
@PoliceRajasthan 
@SpiceMoneyIndia
#CyberSecurity https://t.co/pponkuGufM</t>
  </si>
  <si>
    <t>2024-01-09 21:35:10</t>
  </si>
  <si>
    <t>@MamadMine-kz8zo</t>
  </si>
  <si>
    <t>एसबीआई बैंक का पैसा निकालना चालू करो</t>
  </si>
  <si>
    <t>2024-01-09 21:19:57</t>
  </si>
  <si>
    <t>....   .......</t>
  </si>
  <si>
    <t>2024-01-09 20:59:45</t>
  </si>
  <si>
    <t>Service name ki koi cheez nahi</t>
  </si>
  <si>
    <t>2024-01-09 20:24:56</t>
  </si>
  <si>
    <t>SPICE MONEY sab ko ek hi comment</t>
  </si>
  <si>
    <t>2024-01-09 20:18:51</t>
  </si>
  <si>
    <t>Install app https://sizarpay.in/InviteApp/1450 and become Merchant of SizarPay and Start Recharge, Bill Payments, Money Transfer, Vehicle Insurance Services and Get attractive commission on Every trasaction.
365 Dyas Hassle free Services. with Round the clock Customer Support.</t>
  </si>
  <si>
    <t>2024-01-09 19:35:57</t>
  </si>
  <si>
    <t>SPICE MONEY vakkarahmad1995@gmail.com 9610592458</t>
  </si>
  <si>
    <t>2024-01-09 19:34:57</t>
  </si>
  <si>
    <t>Dear sir 
              Aapki ye spice money humare area me uplabdh nhi hai meri aapse gujaris hai ki humare area me bhi seva pradan kre....</t>
  </si>
  <si>
    <t>2024-01-09 19:26:35</t>
  </si>
  <si>
    <t>Tapasya teach</t>
  </si>
  <si>
    <t>NPCI New Guidelines for AEPS 2024 | Aeps new update | Fino Bank Paynearby Spice Money new update</t>
  </si>
  <si>
    <t>2024-01-09 18:35:00</t>
  </si>
  <si>
    <t>2024-01-09 18:01:33</t>
  </si>
  <si>
    <t>@Shahealam8756 Dear Sir, Greetings! Hamare grahak sewa adhikari aapse jald hi sampark karenge. Regards, Team Spice Money</t>
  </si>
  <si>
    <t>2024-01-09 18:01:16</t>
  </si>
  <si>
    <t>Bangla Tips Beginners</t>
  </si>
  <si>
    <t>AEPS New Rules 2024 || NPCI AEPS New Update 2024 || Airtel Payment Bank || Fino || Spice Money</t>
  </si>
  <si>
    <t>2024-01-09 17:59:24</t>
  </si>
  <si>
    <t>2024-01-09 17:58:19</t>
  </si>
  <si>
    <t>9005506418
Sm7567013@gmail.com</t>
  </si>
  <si>
    <t>2024-01-09 17:55:54</t>
  </si>
  <si>
    <t>@GovCsc8259 Dear Sir, Greetings! Hamare grahak sewa adhikari aapse jald hi sampark karenge. Regards, Team Spice Money</t>
  </si>
  <si>
    <t>2024-01-09 17:55:39</t>
  </si>
  <si>
    <t>2024-01-09 17:54:57</t>
  </si>
  <si>
    <t>@jalam_inda_07 प्रिय महोदय, नमस्कार! हमारे ग्राहक सेवा अधिकारी जल्द ही आपसे संपर्क करेंगे। सादर, टीम स्पाइस मनी</t>
  </si>
  <si>
    <t>2024-01-09 17:52:44</t>
  </si>
  <si>
    <t>2024-01-09 17:50:35</t>
  </si>
  <si>
    <t>2024-01-09 17:48:27</t>
  </si>
  <si>
    <t>@SpiceMoneyIndia 8756146160
Spice9914@gmail.com</t>
  </si>
  <si>
    <t>2024-01-09 17:47:54</t>
  </si>
  <si>
    <t>Dear Sir, Greetings! We would like to inform you that this is NPCI guidelines for all Fintech plateform.If you have any query,you can also contact us on our official customer care number 0120-3645645 Regards, Team Spice Money</t>
  </si>
  <si>
    <t>2024-01-09 17:46:44</t>
  </si>
  <si>
    <t>2024-01-09 17:45:52</t>
  </si>
  <si>
    <t>@mithilasales1 Dear Sir, Greetings! Hamare grahak sewa adhikari aapse jald hi sampark karenge. Regards, Team Spice Money</t>
  </si>
  <si>
    <t>2024-01-09 17:44:57</t>
  </si>
  <si>
    <t>2024-01-09 17:43:28</t>
  </si>
  <si>
    <t>2024-01-09 17:41:48</t>
  </si>
  <si>
    <t>2024-01-09 17:40:29</t>
  </si>
  <si>
    <t>@Shahealam8756 Dear Sir, Namaskar! Aapse request hai ki please apna Mobile number &amp;amp; email id hume share karein, hamari customer care team aapse jald hi sampark karegi. Regards, Team Spice Money</t>
  </si>
  <si>
    <t>2024-01-09 17:27:59</t>
  </si>
  <si>
    <t>@pandagaming8513</t>
  </si>
  <si>
    <t>Aps ERR INACTIVE TERMINAL, WHY??</t>
  </si>
  <si>
    <t>2024-01-09 17:02:12</t>
  </si>
  <si>
    <t>kshatriya_media</t>
  </si>
  <si>
    <t>क्षत्रिय न्यूज 🌐</t>
  </si>
  <si>
    <t>2024-01-09 16:41:00</t>
  </si>
  <si>
    <t>क्षत्रिय समाज</t>
  </si>
  <si>
    <t>@SpiceMoneyIndia 
Mobile number change krne k liye 
Kitni baar mail kar chuka hu lekin koi reply nhi na koi call 
@RBI</t>
  </si>
  <si>
    <t>2024-01-09 16:35:02</t>
  </si>
  <si>
    <t>PRGBishnoi</t>
  </si>
  <si>
    <t>PUKHRAJ BISHNOI</t>
  </si>
  <si>
    <t>2024-01-09 16:33:06</t>
  </si>
  <si>
    <t>Jodhpur rajasthan, india</t>
  </si>
  <si>
    <t>Hay</t>
  </si>
  <si>
    <t>2024-01-09 16:15:12</t>
  </si>
  <si>
    <t>Humko abhi Tak Customers care se koi response nhi Mila he</t>
  </si>
  <si>
    <t>2024-01-09 15:53:10</t>
  </si>
  <si>
    <t>Why fingerprint is required after withdrawing money</t>
  </si>
  <si>
    <t>2024-01-09 15:52:54</t>
  </si>
  <si>
    <t>Jo din ban din froud ho raha hai uski gauranti lijiye pahile</t>
  </si>
  <si>
    <t>2024-01-09 15:22:22</t>
  </si>
  <si>
    <t>NSDL account opening charge zero kijiye please other Bank ke Tarah nahi kolana Chahta Hai customer Khata</t>
  </si>
  <si>
    <t>2024-01-09 15:20:04</t>
  </si>
  <si>
    <t>Customer service</t>
  </si>
  <si>
    <t>2024-01-09 15:03:32</t>
  </si>
  <si>
    <t>Spice Mani se sir loan mil jayegi</t>
  </si>
  <si>
    <t>2024-01-09 14:58:00</t>
  </si>
  <si>
    <t>Right,
Mere I'd me account opening ka option nhi aa raha hai</t>
  </si>
  <si>
    <t>2024-01-09 14:57:38</t>
  </si>
  <si>
    <t>ट्रांसेक्शन के लिए हमारा अधिकारी नेटवर्क और गाँव की आबादी का एक बड़ा हिस्सा स्पाइस मनी mATM को चुनता है, क्योंकि स्पाइस मनी mATM आप अधिकारियों को सेफ्टी की गारंटी के साथ अपने ग्राहकों के ट्रांसेक्शन करने की सुविधा और आपको ज़्यादा कमाने का मौका देता है!
#SpiceMoney… https://t.co/Id7RPfSNVa</t>
  </si>
  <si>
    <t>2024-01-09 14:54:32</t>
  </si>
  <si>
    <t>ट्रांसेक्शन के लिए हमारा अधिकारी नेटवर्क और गाँव की आबादी का एक बड़ा हिस्सा स्पाइस मनी mATM को चुनता है, क्योंकि स्पाइस मनी mATM आप अधिकारियों को सेफ्टी की गारंटी के साथ अपने ग्राहकों के ट्रांसेक्शन करने की सुविधा और आपको ज़्यादा कमाने का मौका देता है!
#SpiceMoney #SpiceMoneyTohLifeBani #SpiceMoneyGuarantee
#RuralFintech #mATM #MainAdhikariKhudHoonGuarantee
ट्रांसेक्शन के लिए हमारा अधिकारी नेटवर्क और गाँव की आबादी का एक बड़ा हिस्सा स्पाइस मनी mATM को चुनता है, क्योंकि स्पाइस मनी mATM आप अधिकारियों को सेफ्टी की गारंटी के साथ अपने ग्राहकों के ट्रांसेक्शन करने की सुविधा और आपको ज़्यादा कमाने का मौका देता है!
#SpiceMoney #SpiceMoneyTohLifeBani #SpiceMoneyGuarantee
#RuralFintech #mATM #MainAdhikariKhudHoonGuarantee</t>
  </si>
  <si>
    <t>2024-01-09 14:50:06</t>
  </si>
  <si>
    <t>@AdcAsif</t>
  </si>
  <si>
    <t>Spice Money Se Ek Hajar Nikala Tha Aadhar Card Se Woh Paisa Apne Account Mein Add Kiya Par Nahi Aaya Or Waha Se Kat Bhi Gaya Please Help</t>
  </si>
  <si>
    <t>2024-01-09 13:39:39</t>
  </si>
  <si>
    <t>blsdewatu</t>
  </si>
  <si>
    <t>Bhanwar M Suthar</t>
  </si>
  <si>
    <t>Dear @CP_Jodhpur @PoliceRajasthan @CMHelpdesk मामले का संज्ञान लें । 
  Quoted Tweet : @jalam_inda_07 : #Jodhpur : पुलिस थाने में मुकदमा दर्ज करने से इनकार 
मामला चामू पुलिस थाना जोधपुर ग्रामीण 
मेरे e-wallet से किसी अनजान व्यक्ति ने  पेमेंट डेबिट कर दिया उसके विरुद्ध शिकायत का प्रार्थना पत्र था 
@CP_Jodhpur
@PoliceRajasthan 
@SpiceMoneyIndia
#CyberSecurity https://t.co/pponkuGufM</t>
  </si>
  <si>
    <t>2024-01-09 13:29:31</t>
  </si>
  <si>
    <t>Jodhpur, rajasthan, in</t>
  </si>
  <si>
    <t>2024-01-09 13:26:11</t>
  </si>
  <si>
    <t>@SailenduKhuntia Dear Sir, Greetings! Our customer care officer will get in touch with you shortly. Regards, Team Spice Money</t>
  </si>
  <si>
    <t>2024-01-09 13:17:03</t>
  </si>
  <si>
    <t>@farooqueshaikh3330</t>
  </si>
  <si>
    <t>mismatch error aane pr paise refund hote hai aap ka spicemoney portal kyu refund nhi denga</t>
  </si>
  <si>
    <t>2024-01-09 12:58:45</t>
  </si>
  <si>
    <t>Aise Spice Money ki inoperative I'd ko banayen operative instantly!</t>
  </si>
  <si>
    <t>2024-01-09 12:36:21</t>
  </si>
  <si>
    <t>@SpiceMoneyIndia 
Sir please resolve my issue it is very urgent for me. https://t.co/HH4S2hWc5D</t>
  </si>
  <si>
    <t>2024-01-09 10:06:45</t>
  </si>
  <si>
    <t>@@SpiceMoneyOfficial kuch karoge ya nahi only yahi reply dete rahoge</t>
  </si>
  <si>
    <t>2024-01-09 09:42:25</t>
  </si>
  <si>
    <t>@@SpiceMoneyOfficial bar bar yahi reply de Rahe ho</t>
  </si>
  <si>
    <t>2024-01-09 09:41:53</t>
  </si>
  <si>
    <t>2024-01-09 09:41:52</t>
  </si>
  <si>
    <t>2024-01-09 09:41:48</t>
  </si>
  <si>
    <t>Dear Sir, Greetings! We thank you for the appreciation. Regards, Team Spice Money</t>
  </si>
  <si>
    <t>2024-01-09 09:41:41</t>
  </si>
  <si>
    <t>2024-01-09 09:41:30</t>
  </si>
  <si>
    <t>mithilasales1</t>
  </si>
  <si>
    <t>mithilasales</t>
  </si>
  <si>
    <t>@SpiceMoneyIndia Mo no - 7738402204
Email - hariomenterprises2204@gmail.com</t>
  </si>
  <si>
    <t>2024-01-09 09:41:00</t>
  </si>
  <si>
    <t>@mithilasales1 Dear Sir, Namaskar! Aapse request hai ki please apna Mobile number &amp;amp; email id hume share karein, hamari customer care team aapse jald hi sampark karegi. Regards, Team Spice Money</t>
  </si>
  <si>
    <t>2024-01-09 09:39:32</t>
  </si>
  <si>
    <t>2024-01-09 09:38:21</t>
  </si>
  <si>
    <t>2024-01-09 09:38:12</t>
  </si>
  <si>
    <t>2024-01-09 09:32:30</t>
  </si>
  <si>
    <t>2024-01-09 09:31:46</t>
  </si>
  <si>
    <t>2024-01-09 09:26:14</t>
  </si>
  <si>
    <t>@shahrojhasan9073</t>
  </si>
  <si>
    <t>@@SpiceMoneyOfficial jaise bijli bill par ots registration csc se ho raha tha par spice se nahin dar ye tha agar Google se ots registration Kiya jaye tab bill uljhan me na fas jaye</t>
  </si>
  <si>
    <t>2024-01-09 09:16:06</t>
  </si>
  <si>
    <t>Dear Sir, Greetings! You can also contact us on our official customer care number 0120-3645645 Regards, Team Spice Money</t>
  </si>
  <si>
    <t>2024-01-09 09:12:54</t>
  </si>
  <si>
    <t>@Anand87891</t>
  </si>
  <si>
    <t>Hum mail Kiya he mail ka koi response nhi aya</t>
  </si>
  <si>
    <t>2024-01-09 09:03:39</t>
  </si>
  <si>
    <t>I want white label</t>
  </si>
  <si>
    <t>2024-01-09 08:58:40</t>
  </si>
  <si>
    <t>AdvIshulodhi</t>
  </si>
  <si>
    <t>ISHU LODHI</t>
  </si>
  <si>
    <t>@SpiceMoneyIndia आपके ग्राहक सेवा अधिकारी ने आज तक कोई सम्पर्क नहीं किया</t>
  </si>
  <si>
    <t>2024-01-09 08:36:10</t>
  </si>
  <si>
    <t>2024-01-09 08:29:52</t>
  </si>
  <si>
    <t>2024-01-09 08:28:50</t>
  </si>
  <si>
    <t>@vinayakpanchalsailana4811</t>
  </si>
  <si>
    <t>Contact nambar plz</t>
  </si>
  <si>
    <t>2024-01-09 07:56:49</t>
  </si>
  <si>
    <t>Mera kyc clear nahi hota hai 6 month ago</t>
  </si>
  <si>
    <t>2024-01-09 05:36:35</t>
  </si>
  <si>
    <t>स्पाइस मनी टीम जब आपने विड्रोल के लिए टू स्टेप वेरीफिकेशन कर ही दिया है, तो आप मनी ट्रांसफर के लिए भी एजेंट का फिंगर लगाना अनिवार्य कर दीजिए।  100% फ्रॉड स्पाइस मनी पोर्टल पर रुक जाएगा।।  और अपने कर्मचारियों से बोल दीजिए।।  कि अधिकारियों का डिटेल देना फ्रॉड़ों को बंद कर दें।।।</t>
  </si>
  <si>
    <t>2024-01-09 00:01:24</t>
  </si>
  <si>
    <t>2024-01-09 00:01:06</t>
  </si>
  <si>
    <t>2024-01-09 00:00:28</t>
  </si>
  <si>
    <t>2024-01-08</t>
  </si>
  <si>
    <t>YOGENDRA266481</t>
  </si>
  <si>
    <t>YOGENDRA MANDAL</t>
  </si>
  <si>
    <t>Dear NPCI.
इस समस्या को कृपया कर के ठीक किया जाए।
क्यूँ की हम आपके ही issue किये गये Portal के माध्यम से
निकासी करते है। जैसे Fino payments bank. airtel
payments bank. Spice money. paynearby. India
post payment bank. etc..</t>
  </si>
  <si>
    <t>2024-01-08 23:15:25</t>
  </si>
  <si>
    <t xml:space="preserve"> matrukha, giridih, jharkhand</t>
  </si>
  <si>
    <t>thenadeemsarwar</t>
  </si>
  <si>
    <t>Muhammad Nadeem</t>
  </si>
  <si>
    <t>@SpiceMoneyIndia https://t.co/gwlDeenHdZ</t>
  </si>
  <si>
    <t>2024-01-08 22:30:57</t>
  </si>
  <si>
    <t>🇮🇳</t>
  </si>
  <si>
    <t>Spice money company ko ek chij Dhyan Dena chahie ki jo NSDL payment Bank ka system Jo Diye Hain usko charge Kuchh kam Kijiye ya to Fir zero charge kijiye bahut jyada hai 449</t>
  </si>
  <si>
    <t>2024-01-08 22:27:24</t>
  </si>
  <si>
    <t>Bijli bill par csc k barabar kam se kan commission dena chahiye csc 1% commission  deta hau</t>
  </si>
  <si>
    <t>2024-01-08 22:04:57</t>
  </si>
  <si>
    <t>अभी तक मेरे से संपर्क नही किया</t>
  </si>
  <si>
    <t>2024-01-08 21:24:51</t>
  </si>
  <si>
    <t>@chandershekhar4716</t>
  </si>
  <si>
    <t>Deposited problem</t>
  </si>
  <si>
    <t>2024-01-08 21:17:11</t>
  </si>
  <si>
    <t>@utkarshrai4044</t>
  </si>
  <si>
    <t>Please help</t>
  </si>
  <si>
    <t>2024-01-08 20:23:46</t>
  </si>
  <si>
    <t>Mere number pe spice money ka billing ka Message aaya but maine kabhi esme login bhi nhi kiya hu aur mujhe koi bataye ye spice money kya hai</t>
  </si>
  <si>
    <t>2024-01-08 20:23:26</t>
  </si>
  <si>
    <t>Hariom Parmar लेकिन हर ट्रांजेक्शन पर बायोमेट्रिक लगाना एजेंट का नियम ठीक नही</t>
  </si>
  <si>
    <t>2024-01-08 20:02:17</t>
  </si>
  <si>
    <t>@SpiceMoneyIndia 
@_DigitalIndia
Dear team 
 distrbuter is using bad language 
Kya adhakri distrbuter ka noker hai ya company ka nokar hai
Jo is tarika se baat kiya jata hai
Distrubter name @
aanand kumar thakur 
id  SS746644</t>
  </si>
  <si>
    <t>2024-01-08 19:31:38</t>
  </si>
  <si>
    <t>अब स्पाइस पहले की तरह नही रही</t>
  </si>
  <si>
    <t>2024-01-08 19:18:32</t>
  </si>
  <si>
    <t>Amit Silora wah bhai soch to acchi h per ye niyam to sabhi me h</t>
  </si>
  <si>
    <t>2024-01-08 18:59:31</t>
  </si>
  <si>
    <t>GovCsc8259</t>
  </si>
  <si>
    <t>csc gov</t>
  </si>
  <si>
    <t>@SpiceMoneyIndia id deactivate</t>
  </si>
  <si>
    <t>2024-01-08 18:37:28</t>
  </si>
  <si>
    <t>@SpiceMoneyIndia ccount close</t>
  </si>
  <si>
    <t>2024-01-08 18:36:53</t>
  </si>
  <si>
    <t>@SpiceMoneyIndia ravindravarma05@gmail.com</t>
  </si>
  <si>
    <t>2024-01-08 18:36:45</t>
  </si>
  <si>
    <t>@SpiceMoneyIndia 9005060024</t>
  </si>
  <si>
    <t>2024-01-08 18:36:42</t>
  </si>
  <si>
    <t>@MrVishnuPatel39</t>
  </si>
  <si>
    <t>Kyu ki kal esa humare sath bhi ho sakta hai me khud spice money adhikari hoon</t>
  </si>
  <si>
    <t>2024-01-08 18:23:31</t>
  </si>
  <si>
    <t>Spice money adhikari ke wallet 350000 se debit kyu hue is par video bnao ye news dekhi mene me Aap ye btaye ki us adhikari kya galti thi ya fir company scam kar rahi hai plz video upload kare</t>
  </si>
  <si>
    <t>2024-01-08 18:21:39</t>
  </si>
  <si>
    <t>Mobile no 9006535600
jpram3003@gmail.com</t>
  </si>
  <si>
    <t>2024-01-08 18:11:24</t>
  </si>
  <si>
    <t>Sir mai r kyc kar Raha hu baar baar shop ki photo ko leke reject kar dete hai
Please approve my id</t>
  </si>
  <si>
    <t>2024-01-08 18:10:08</t>
  </si>
  <si>
    <t>Meri agent I'd block ho gayi hai please help me</t>
  </si>
  <si>
    <t>2024-01-08 18:09:51</t>
  </si>
  <si>
    <t>SPICE MONEY sdl229215</t>
  </si>
  <si>
    <t>2024-01-08 18:08:51</t>
  </si>
  <si>
    <t>2024-01-08 18:03:15</t>
  </si>
  <si>
    <t>Dear Sir, Namaskar!Aapko batana chahenge ki ye NPCI ki taraf se sabhi Fintech plateform ke liye  guidlines hai.Adhik jankari ke liye aap hamare official customer care number 0120-3645645 par bhi sampark kar sakte hain. Regards, Team Spice Money</t>
  </si>
  <si>
    <t>2024-01-08 18:02:11</t>
  </si>
  <si>
    <t>2024-01-08 18:02:10</t>
  </si>
  <si>
    <t>2024-01-08 18:01:32</t>
  </si>
  <si>
    <t>2024-01-08 18:01:31</t>
  </si>
  <si>
    <t>यह कंपनी एजेंट की परेशानियों को दूर करने में पूरी तरह नाकाम है।</t>
  </si>
  <si>
    <t>2024-01-08 17:59:13</t>
  </si>
  <si>
    <t>@GovCsc8259 Dear Sir, Greetings! Please share your email id and mobile number in inbox .we'll reach out to you to resolve all your concerns.Regards, Team Spice Money</t>
  </si>
  <si>
    <t>2024-01-08 17:58:31</t>
  </si>
  <si>
    <t>Har bar finger lagane se accha hai kisi any company ki id laao mast chalao</t>
  </si>
  <si>
    <t>2024-01-08 17:58:22</t>
  </si>
  <si>
    <t>DMTU option Amar I'd te nai .</t>
  </si>
  <si>
    <t>2024-01-08 17:48:08</t>
  </si>
  <si>
    <t>PremYogi566</t>
  </si>
  <si>
    <t>PREM NATH YOGI</t>
  </si>
  <si>
    <t>हम आपसे हाथ जोड़ कर आनुरोध करते है की कृपया कर के मेरे इस 5 समस्या को हल करने की कृपा करें ताकि हम पहले जैसी सुविधा ग्राहकों को दे पाए। 🙏 @NPCI_NPCI  #npci #npci @RBI @SpiceMoneyIndia @bankofbaroda @TheOfficialSBI @BankofIndia_IN @YESBANK @UIDAI</t>
  </si>
  <si>
    <t>2024-01-08 17:44:48</t>
  </si>
  <si>
    <t>2024-01-08 17:43:20</t>
  </si>
  <si>
    <t>जो ये 5 समस्या पहले नहीं था। 
और हम ग्राहक को अच्छे से सुविधा दे पाते थे। 
Dear NPCI. 
इस समस्या को कृपया कर के ठीक किया जाए। 
क्यूँ की हम आपके ही issue किये गये Portal के माध्यम से निकासी करते है। जैसे Fino payments bank. Spice money. paynearby. India post payment bank. etc. .</t>
  </si>
  <si>
    <t>2024-01-08 17:41:20</t>
  </si>
  <si>
    <t>2024-01-08 17:41:02</t>
  </si>
  <si>
    <t>Sir ek spice money ki t shart chahiye call kare 8302556144</t>
  </si>
  <si>
    <t>2024-01-08 17:31:33</t>
  </si>
  <si>
    <t>Dear sir, Greetings! Aapke sujhaav ke liye dhanyavaad, humne ise note kar liya hai.Regards, Team Spice money</t>
  </si>
  <si>
    <t>2024-01-08 17:25:24</t>
  </si>
  <si>
    <t>ShivamK96412892</t>
  </si>
  <si>
    <t>Shivam Kumar jha</t>
  </si>
  <si>
    <t>Dear spice money
Sir
      I have been trying for four days but it is not happening due to location, even after having the right location, it is not happening. Not getting help even from customer care. please help
spice money @SpiceMoneyIndia @Spicemoney_ https://t.co/q60HVzxwmf</t>
  </si>
  <si>
    <t>2024-01-08 17:19:21</t>
  </si>
  <si>
    <t>Dear sir not Working Morpho New Dvice  MSO 1300 E3 RD .RDL1
Sdl 1658236 Please Call back to me and Install my laptop Spice Money portal  me New Morpho Working nahi kar Raha hai latest Version Morpho L1 please help and call me</t>
  </si>
  <si>
    <t>2024-01-08 17:09:40</t>
  </si>
  <si>
    <t>2024-01-08 17:09:32</t>
  </si>
  <si>
    <t>MdSameer792736</t>
  </si>
  <si>
    <t>Md Sameer</t>
  </si>
  <si>
    <t>2024-01-08 16:34:00</t>
  </si>
  <si>
    <t>इस समय यह कंपनी चोर हो गई है</t>
  </si>
  <si>
    <t>2024-01-08 16:31:41</t>
  </si>
  <si>
    <t>@rohitpresents</t>
  </si>
  <si>
    <t>upi qr payment option rakhna chahiye non stop amount</t>
  </si>
  <si>
    <t>2024-01-08 15:32:08</t>
  </si>
  <si>
    <t>reteler ad agent karna chahiye reteler ke anupasthiti ke liye</t>
  </si>
  <si>
    <t>2024-01-08 15:30:24</t>
  </si>
  <si>
    <t>Spice money me Morpho L1 Not Working</t>
  </si>
  <si>
    <t>2024-01-08 15:26:31</t>
  </si>
  <si>
    <t>2024-01-08 15:20:06</t>
  </si>
  <si>
    <t>2024-01-08 15:19:53</t>
  </si>
  <si>
    <t>2024-01-08 15:19:28</t>
  </si>
  <si>
    <t>ghanta mile ga.me distributor hu 5 years se hu mujhe aaj tak nahi mila or tum ko mile gi keise</t>
  </si>
  <si>
    <t>2024-01-08 14:26:11</t>
  </si>
  <si>
    <t>Sir bannaer ya pumplet available karwa dete</t>
  </si>
  <si>
    <t>2024-01-08 14:07:24</t>
  </si>
  <si>
    <t>स्पाइस मनी अकेडमी पर हर वो जानकारी दी जाती है, जिसकी मदद से आप एक काबिल और कामयाब अधिकारी बन सकते हैं। 
अभी सब्सक्राइब करें स्पाइस मनी का ऑफिशियल यूट्यूब चैनल - https://t.co/NrZnWHI5ve
#SpiceMoney #SpiceMoneyAdhikari #SpiceMoneyTohLifeBani #SubscribeNow #BestCommissionNetwork https://t.co/r9u5VDsiLA</t>
  </si>
  <si>
    <t>2024-01-08 13:22:58</t>
  </si>
  <si>
    <t>स्पाइस मनी अकेडमी पर हर वो जानकारी दी जाती है, जिसकी मदद से आप एक काबिल और कामयाब अधिकारी बन सकते हैं। 
अभी सब्सक्राइब करें स्पाइस मनी का ऑफिशियल यूट्यूब चैनल - https://youtube.com/@SpiceMoneyOfficial?feature=shared
#SpiceMoney #SpiceMoneyAdhikari #SpiceMoneyTohLifeBani #SubscribeNow #BestCommissionNetwork
स्पाइस मनी अकेडमी पर हर वो जानकारी दी जाती है, जिसकी मदद से आप एक काबिल और कामयाब अधिकारी बन सकते हैं। 
अभी सब्सक्राइब करें स्पाइस मनी का ऑफिशियल यूट्यूब चैनल - https://youtube.com/@SpiceMoneyOfficial?feature=shared
#SpiceMoney #SpiceMoneyAdhikari #SpiceMoneyTohLifeBani #SubscribeNow #BestCommissionNetwork</t>
  </si>
  <si>
    <t>2024-01-08 13:08:10</t>
  </si>
  <si>
    <t>@mukulsahu2014</t>
  </si>
  <si>
    <t>Didi online naveen chhawani pathar .raisen road .bhopal</t>
  </si>
  <si>
    <t>2024-01-08 12:11:29</t>
  </si>
  <si>
    <t>Sir please kisi ko bheje hum 15 din se pareshan ho rhe apka regional officer phone nhi utha rha hai koi bhi proper response nhi de rha hai ...</t>
  </si>
  <si>
    <t>2024-01-08 12:09:56</t>
  </si>
  <si>
    <t>CSCegov_</t>
  </si>
  <si>
    <t>CSCeGov</t>
  </si>
  <si>
    <t>@SRDJ35 @SpiceMoneyIndia Dear Sir, NPCI is not allow to do BOB AePS transactions. Thank you.</t>
  </si>
  <si>
    <t>2024-01-08 10:48:05</t>
  </si>
  <si>
    <t>New delhi, india</t>
  </si>
  <si>
    <t>@user-vw3xr3te7p</t>
  </si>
  <si>
    <t>THANK YOU SPICEMONEY</t>
  </si>
  <si>
    <t>2024-01-08 10:23:57</t>
  </si>
  <si>
    <t>@SpiceMoneyIndia https://t.co/hJ8KIwEy4m</t>
  </si>
  <si>
    <t>2024-01-08 09:36:36</t>
  </si>
  <si>
    <t>2024-01-08 09:35:20</t>
  </si>
  <si>
    <t>2024-01-08 09:34:06</t>
  </si>
  <si>
    <t>2024-01-08 09:33:21</t>
  </si>
  <si>
    <t>2024-01-08 09:33:09</t>
  </si>
  <si>
    <t>@kalahandiapila2882</t>
  </si>
  <si>
    <t>No guarantee your company because i am axis zero account open tha spice money through customer after transaction account was freeze 
and reason was zero account base after home branch visit discussion Branch manager can't unfreeze account
  &amp; Your support team  distributor can't help me</t>
  </si>
  <si>
    <t>2024-01-08 08:21:18</t>
  </si>
  <si>
    <t>2024-01-07</t>
  </si>
  <si>
    <t>@singleboy456a</t>
  </si>
  <si>
    <t>@@barunmajhi3539 who direct bank se contact karke csp leta hai isliye minor account open hota hai,  or spice money &amp; axis bank dono milke kam kar rahi hai axis bank ka account opening service spice money app diye hai ,  spice money me 18+ age ka account opening hoga,  minor ka a/c open nahi hoga, feature me kabhi aa sakti  hai minor account opening service</t>
  </si>
  <si>
    <t>2024-01-07 23:31:02</t>
  </si>
  <si>
    <t>@barunmajhi3539</t>
  </si>
  <si>
    <t>CSP main v to e- kyc se hi hota hai</t>
  </si>
  <si>
    <t>2024-01-07 23:17:27</t>
  </si>
  <si>
    <t>e-KYC me 18+ age ka account opening hota hai</t>
  </si>
  <si>
    <t>2024-01-07 22:44:07</t>
  </si>
  <si>
    <t>Spice money me axis bank account opening hota hai ❤, relipay me nahi hota😂😂,  Spice money best ❤</t>
  </si>
  <si>
    <t>2024-01-07 22:42:57</t>
  </si>
  <si>
    <t>@mbsrazavines4459</t>
  </si>
  <si>
    <t>Voice alert charges</t>
  </si>
  <si>
    <t>2024-01-07 21:31:15</t>
  </si>
  <si>
    <t>आजकल इस पोटल पर पैसे गायब हो रहे हैं</t>
  </si>
  <si>
    <t>2024-01-07 21:30:21</t>
  </si>
  <si>
    <t>@rameshburudi8839</t>
  </si>
  <si>
    <t>Sbi ka suspect froud Kiya bhaata ra kyu</t>
  </si>
  <si>
    <t>2024-01-07 20:41:20</t>
  </si>
  <si>
    <t>@kuljindersinghhabuana355</t>
  </si>
  <si>
    <t>Dhbvn electricity bill nhi bhra ja rha</t>
  </si>
  <si>
    <t>2024-01-07 20:33:21</t>
  </si>
  <si>
    <t>Sir minor account opening hoga to bahat badhia hoga</t>
  </si>
  <si>
    <t>2024-01-07 20:00:38</t>
  </si>
  <si>
    <t>SPICE MONEY 7352809016</t>
  </si>
  <si>
    <t>2024-01-07 19:40:16</t>
  </si>
  <si>
    <t>Koi help support nahi bakvas karte ye Sab</t>
  </si>
  <si>
    <t>2024-01-07 17:27:37</t>
  </si>
  <si>
    <t>Mene mail bhi Kiya 
Mene mail kisi aur ke liye Kiya udhar se reply kuch aur aata hai</t>
  </si>
  <si>
    <t>2024-01-07 17:26:31</t>
  </si>
  <si>
    <t>Dosto aaj bhi mene 2 bar call Kiya spice Money ke helping number parlekin sahi se bat nahi nahi batate hai bolo kya kare</t>
  </si>
  <si>
    <t>2024-01-07 17:24:59</t>
  </si>
  <si>
    <t>Digital Process</t>
  </si>
  <si>
    <t>NPCI new update. fino bank update. spice money update. airtel bank update. paynearby Cash Withdrawal</t>
  </si>
  <si>
    <t>2024-01-07 17:15:03</t>
  </si>
  <si>
    <t>2024-01-07 16:05:00</t>
  </si>
  <si>
    <t>2024-01-07 15:04:21</t>
  </si>
  <si>
    <t>2024-01-07 15:01:18</t>
  </si>
  <si>
    <t>Id suspend ho Gaya hai please help Karo sir</t>
  </si>
  <si>
    <t>2024-01-07 14:57:56</t>
  </si>
  <si>
    <t>2024-01-07 14:56:32</t>
  </si>
  <si>
    <t>2024-01-07 14:55:40</t>
  </si>
  <si>
    <t>@DineshChoudhary-fr2xo</t>
  </si>
  <si>
    <t>Spice mani में एक और सुविधा दिया जाए e-mandate करने का जैसे की मेरा Mobile Shop है किस्त पर समान नही दे पाते है। e-mandate का सुविधा रहेगा तो कस्टमर का account से पेमेंट काट सकते है। 
Spice mani team से निवेदन है ये सुविधा दे। धन्यवाद 🙏</t>
  </si>
  <si>
    <t>2024-01-07 14:13:20</t>
  </si>
  <si>
    <t>@MunnaKumar-nx6kq</t>
  </si>
  <si>
    <t>mera nahi ho rha hai</t>
  </si>
  <si>
    <t>2024-01-07 13:46:43</t>
  </si>
  <si>
    <t>@mrgadgets31</t>
  </si>
  <si>
    <t>Main Bhi Adhikari hu Spice Money ❤ka</t>
  </si>
  <si>
    <t>2024-01-07 12:51:06</t>
  </si>
  <si>
    <t>NPCI new update. fino bank update. spice money update. airtel bank update. paynearby. Dk cyberzone</t>
  </si>
  <si>
    <t>2024-01-07 12:02:48</t>
  </si>
  <si>
    <t>@SpiceMoneyIndia @SonuSood @narendramodi @PMOIndia @myogiadityanath @myogioffice @AmitShah @PiyushGoyal @PiyushGoyalOffc @jagograhakjago https://t.co/ouZYGng3hK. 7466000068, 9639930399
इन नंबरों पर आज आप किसी भी समय संपर्क कर सकते हैं।</t>
  </si>
  <si>
    <t>2024-01-07 11:17:20</t>
  </si>
  <si>
    <t>2024-01-07 10:46:08</t>
  </si>
  <si>
    <t>Narad Nigam</t>
  </si>
  <si>
    <t>npci new update,fino bank update,spice money update,paynearby update,airtel bank update,airtel payme</t>
  </si>
  <si>
    <t>2024-01-07 10:41:49</t>
  </si>
  <si>
    <t>@Ram_Ji_Actor</t>
  </si>
  <si>
    <t>Mobile Chrome par kaise work kare video chahiye</t>
  </si>
  <si>
    <t>2024-01-07 09:59:58</t>
  </si>
  <si>
    <t>very nice spice money ❤️ very good spice money 
thank you so much 💕 spice money</t>
  </si>
  <si>
    <t>2024-01-07 09:22:02</t>
  </si>
  <si>
    <t>@user-yd4ln6gx7c</t>
  </si>
  <si>
    <t>Aeps problem spice money band hoga jaldi</t>
  </si>
  <si>
    <t>2024-01-07 09:14:50</t>
  </si>
  <si>
    <t>2024-01-07 08:40:47</t>
  </si>
  <si>
    <t>@AdvIshulodhi प्रिय महोदय, नमस्कार! हमारे ग्राहक सेवा अधिकारी जल्द ही आपसे संपर्क करेंगे। सादर, टीम स्पाइस मनी</t>
  </si>
  <si>
    <t>2024-01-07 08:17:19</t>
  </si>
  <si>
    <t>2024-01-07 08:15:06</t>
  </si>
  <si>
    <t>2024-01-07 08:14:14</t>
  </si>
  <si>
    <t>2024-01-07 08:13:12</t>
  </si>
  <si>
    <t>2024-01-07 08:12:54</t>
  </si>
  <si>
    <t>@reenavalmiki8369</t>
  </si>
  <si>
    <t>सर में 2022 से 10 डेज कर रही हूं मगर एसबीआई में सर्वर डाउन क्यों हो रहे हैं फेल का ऑप्शन स्पाई मनी बहुत अच्छा</t>
  </si>
  <si>
    <t>2024-01-07 08:11:53</t>
  </si>
  <si>
    <t>@stareducation0217</t>
  </si>
  <si>
    <t>Sorry sir, aise video me kam nahi aane wala he relipay aapse aage nikal gya aapka service jaha ka wahi he</t>
  </si>
  <si>
    <t>2024-01-07 08:00:54</t>
  </si>
  <si>
    <t>@Arunkumar-yr4du</t>
  </si>
  <si>
    <t>Cash withdrawal  10000 se 20000 hona chahiye</t>
  </si>
  <si>
    <t>2024-01-07 07:17:17</t>
  </si>
  <si>
    <t>Face authentication layiye</t>
  </si>
  <si>
    <t>2024-01-07 03:45:56</t>
  </si>
  <si>
    <t>2024-01-06</t>
  </si>
  <si>
    <t>@MrRahulSen</t>
  </si>
  <si>
    <t>I can join spice money Distributor but not supports my area manager</t>
  </si>
  <si>
    <t>2024-01-06 22:36:10</t>
  </si>
  <si>
    <t>2024-01-06 22:15:36</t>
  </si>
  <si>
    <t>2024-01-06 22:09:55</t>
  </si>
  <si>
    <t>@SpiceMoneyIndia आपकी कंपनी बिलकुल डिस्ट्रीब्यूटर का सपोर्ट नहीं करती चाह डिस्ट्रीब्यूटर को कितनी भी गालियां खाना पढ़े लेकिन आप समस्या का समाधान नहीं करते
धन्यवाद
ईशू लोधी
7999293354
स्पाइस मनी डिस्ट्रीब्यूटर</t>
  </si>
  <si>
    <t>2024-01-06 21:56:13</t>
  </si>
  <si>
    <t>Mera id chalu karege aaplog yahi sirf youtube par bolte rahete ho</t>
  </si>
  <si>
    <t>2024-01-06 21:14:40</t>
  </si>
  <si>
    <t>Hindi Advice</t>
  </si>
  <si>
    <t>2024-01-06 21:01:42</t>
  </si>
  <si>
    <t>Spice money m fraud b bhut hota h</t>
  </si>
  <si>
    <t>2024-01-06 20:50:43</t>
  </si>
  <si>
    <t>@alexrahul3699</t>
  </si>
  <si>
    <t>Jab se yah service lagu hua tab se customer 70% down ho gaya hai</t>
  </si>
  <si>
    <t>2024-01-06 20:50:35</t>
  </si>
  <si>
    <t>Ekdum bekar niyam hai har customer ke pass itna time nahin hota hai Naa koi itna time Dena chahata hai</t>
  </si>
  <si>
    <t>2024-01-06 20:49:39</t>
  </si>
  <si>
    <t>SPICE MONEY महोदय ये मेरी व्यक्तिगत समस्या नहीं है जो  मैं अपना मोबाइल नंबर और E-mail आपके साथ साझा करूं ये Spice Money के सारे एजेंट्स की समस्या का सवाल है तो क्यों न  मेरे सवाल का जवाब व्यक्तिगत न देकर सभी एजेंट्स के साथ साझा किया जाय ताकि बाकी को भी इसका समाधान खोजने में मदद मिल सके ...आशा करता हूं आपको मेरी बात समझ आ गई होगी अगर बात समझ आ गई तो मेरी समस्या का जवाब Comments Reply के माध्यम से हल करने की कृपा करें जिससे सारे एजेंट्स एक साथ देख सकें</t>
  </si>
  <si>
    <t>2024-01-06 20:47:06</t>
  </si>
  <si>
    <t>2024-01-06 20:11:10</t>
  </si>
  <si>
    <t>2024-01-06 20:10:09</t>
  </si>
  <si>
    <t>Haa</t>
  </si>
  <si>
    <t>2024-01-06 18:56:50</t>
  </si>
  <si>
    <t>@Mubarikkha51039 Dear Sir, Greetings! We are trying to contact you but your number is busy. Please share your contact details and suitable times. Regards, Team Spice Money</t>
  </si>
  <si>
    <t>2024-01-06 17:54:22</t>
  </si>
  <si>
    <t>@Guddukumar50957 Dear Sir, Greetings! We are trying to contact you but your number is busy . Please share your contact details and suitable times. Regards, Team Spice Money</t>
  </si>
  <si>
    <t>2024-01-06 17:37:39</t>
  </si>
  <si>
    <t>@Shobhitvar97831 @SonuSood @narendramodi @PMOIndia @myogiadityanath @myogioffice @AmitShah @PiyushGoyal @PiyushGoyalOffc @jagograhakjago प्रिय महोदय, नमस्कार! हम आपसे संपर्क करने का प्रयास कर रहे हैं लेकिन आप उत्तर नहीं दे रहे हैं। कृपया अपना संपर्क विवरण और उपयुक्त समय साझा करें। सादर, टीम स्पाइस मनी</t>
  </si>
  <si>
    <t>2024-01-06 17:33:47</t>
  </si>
  <si>
    <t>2024-01-06 17:29:45</t>
  </si>
  <si>
    <t>2024-01-06 17:29:21</t>
  </si>
  <si>
    <t>@Vicky_00802 प्रिय महोदय, नमस्कार! हमारे ग्राहक सेवा अधिकारी जल्द ही आपसे संपर्क करेंगे। सादर, टीम स्पाइस मनी</t>
  </si>
  <si>
    <t>2024-01-06 17:28:50</t>
  </si>
  <si>
    <t>@PayNearby_Team Dear Sir, Greetings! We would like to inform you that your concern regarding new id request , you can contact us on our official customer care number 0120-3645622 Regards, Team Spice Money</t>
  </si>
  <si>
    <t>2024-01-06 17:24:49</t>
  </si>
  <si>
    <t>@nk447090 Dear Sir, Namaskar! Aapse request hai ki please apna Mobile number &amp;amp; email id hume share karein, hamari customer care team aapse jald hi sampark karegi. Regards, Team Spice Money</t>
  </si>
  <si>
    <t>2024-01-06 17:23:21</t>
  </si>
  <si>
    <t>@enayatofficial1319</t>
  </si>
  <si>
    <t>Bakwas apps hai</t>
  </si>
  <si>
    <t>2024-01-06 17:21:49</t>
  </si>
  <si>
    <t>@YOGENDRA266481 प्रिय महोदय, नमस्कार! आपके सुझाव के लिए धन्यवाद, हमने इसे नोट कर लिया है। सादर, टीम स्पाइस मनी</t>
  </si>
  <si>
    <t>2024-01-06 17:20:56</t>
  </si>
  <si>
    <t>2024-01-06 17:15:41</t>
  </si>
  <si>
    <t>@desiboypriyansh3809</t>
  </si>
  <si>
    <t>Nice information ❤</t>
  </si>
  <si>
    <t>2024-01-06 16:20:27</t>
  </si>
  <si>
    <t>2024-01-06 15:49:46</t>
  </si>
  <si>
    <t>2024-01-06 15:45:06</t>
  </si>
  <si>
    <t>@smartgovind001</t>
  </si>
  <si>
    <t>मुझे idi चाहिय</t>
  </si>
  <si>
    <t>2024-01-06 13:21:46</t>
  </si>
  <si>
    <t>Idi milega kya</t>
  </si>
  <si>
    <t>2024-01-06 13:21:11</t>
  </si>
  <si>
    <t>2024-01-06 13:19:54</t>
  </si>
  <si>
    <t>जानिये स्पाइस मनी नारी शक्ति की मिसाल, मिताली साहू ने, कैसे तय किया अपनी मंजिल तक पहुंचने का सफर। इस उत्साह से भरी कहानी को जानने के लिए https://t.co/NGoHzGAHwN इस लिंक पर क्लिक करें।
#Inspiration #NariShakti #SuccessStory #SpiceMoneyTohLifeBani #SpiceMoney https://t.co/7nf56gBGJh</t>
  </si>
  <si>
    <t>2024-01-06 12:13:51</t>
  </si>
  <si>
    <t>जानिये स्पाइस मनी नारी शक्ति की मिसाल, मिताली साहू ने, कैसे तय किया अपनी मंजिल तक पहुंचने का सफर। इस उत्साह से भरी कहानी को जानने के लिए https://youtu.be/vryirakqo_4 इस लिंक पर क्लिक करें।
#Inspiration #NariShakti #SuccessStory #SpiceMoneyTohLifeBani #SpiceMoney
When this happens, it's usually because the owner only shared it with a small group of people, changed who can see it or it's been deleted.</t>
  </si>
  <si>
    <t>2024-01-06 12:11:34</t>
  </si>
  <si>
    <t>@harshitasahu9691</t>
  </si>
  <si>
    <t>Story hardwork u are 💪</t>
  </si>
  <si>
    <t>2024-01-06 11:41:42</t>
  </si>
  <si>
    <t>4 ghanta ho gya</t>
  </si>
  <si>
    <t>2024-01-06 11:38:35</t>
  </si>
  <si>
    <t>Abhi tak nahi koi call aaya</t>
  </si>
  <si>
    <t>2024-01-06 11:38:19</t>
  </si>
  <si>
    <t>nk447090</t>
  </si>
  <si>
    <t>Nitish kumar</t>
  </si>
  <si>
    <t>@SpiceMoneyIndia spice money fraud ka transfer karta hai hamar account me move to bank kiya o paisa cyber crime camplent bata raha hai spice money ke sath kya karna hoga</t>
  </si>
  <si>
    <t>2024-01-06 11:13:04</t>
  </si>
  <si>
    <t>@user-ol9cx3qq4u</t>
  </si>
  <si>
    <t>Tum To hamen bhi emotional Kar diya Mahadev Ki Kripa Se Tum aur aage jao mitali ji</t>
  </si>
  <si>
    <t>2024-01-06 10:49:27</t>
  </si>
  <si>
    <t>@kamleshmalah</t>
  </si>
  <si>
    <t>Nice 🎉🎉🎉🎉</t>
  </si>
  <si>
    <t>2024-01-06 10:48:31</t>
  </si>
  <si>
    <t>@salonikeer6407</t>
  </si>
  <si>
    <t>Wow nice😊</t>
  </si>
  <si>
    <t>2024-01-06 10:30:03</t>
  </si>
  <si>
    <t>2024-01-06 09:34:05</t>
  </si>
  <si>
    <t>2024-01-06 09:33:52</t>
  </si>
  <si>
    <t>2024-01-06 09:33:20</t>
  </si>
  <si>
    <t>बड़ी खबर: अब अधिकारी UPI कैश विड्रॉल का अमाउंट सेटलमेंट अपने वॉलेट में कर सकते हैं।
तरीका जानने के लिए इस लिंक https://t.co/vnZW05l5yT पर क्लिक करें और पूरा वीडियो देखें।
#SpiceMoney #SpiceMoneyTohLifeBani
#RuralFintech #SpiceMoneyAdhikari #UPICashWithdrawal
#BestCommisonService https://t.co/XDbcfVX7Mi</t>
  </si>
  <si>
    <t>2024-01-06 09:28:49</t>
  </si>
  <si>
    <t>2024-01-06 08:41:01</t>
  </si>
  <si>
    <t>Dear Sir, Greetings! As per discussed with you your concern related 2FA issue, issue forwarded to concern team, our team working on it. Regards, Team Spice Money</t>
  </si>
  <si>
    <t>2024-01-06 08:39:33</t>
  </si>
  <si>
    <t>@viralvideoupdate</t>
  </si>
  <si>
    <t>Mera image nhi le rha</t>
  </si>
  <si>
    <t>2024-01-06 08:38:06</t>
  </si>
  <si>
    <t>@@SpiceMoneyOfficial send to kar diya hai</t>
  </si>
  <si>
    <t>2024-01-06 08:30:49</t>
  </si>
  <si>
    <t>2024-01-06 08:27:58</t>
  </si>
  <si>
    <t>ShyamjeeJha</t>
  </si>
  <si>
    <t>Shyamjee Jha</t>
  </si>
  <si>
    <t>स्पाइस मनी अधिकारियों के पास बड़ी तादाद में ग्राहक इंस्टेंट PAN कार्ड सर्विस के लिए आते हैं, इसलिए सभी को ऐसे सवालों के जवाब पता होने चाहिए!
अपना जवाब देने के लिए कृपया कमेन्ट बॉक्स का इस्तेमाल करें।
#SpiceMoney #SpiceMoneyTohLifeBani #RuralFintech #PanCard #GovernamentService… https://t.co/tgFSwWSm0y</t>
  </si>
  <si>
    <t>2024-01-06 08:16:36</t>
  </si>
  <si>
    <t>NPCI Aeps Bad Update Spice Money Roinet Fino Bank Paynearby AEPS Authentication 2024</t>
  </si>
  <si>
    <t>2024-01-06 08:00:13</t>
  </si>
  <si>
    <t>4 month se spice Money ke costumer care call kar rahe hai
Lekin koi sahi se bat nahi karta hai</t>
  </si>
  <si>
    <t>2024-01-06 07:25:03</t>
  </si>
  <si>
    <t>Bahut bar massage Kiya hai male par costumer care 50 bar call Kiya but koi help support nahi spice Money me</t>
  </si>
  <si>
    <t>2024-01-06 07:23:00</t>
  </si>
  <si>
    <t>@unheardanonymousvoice3853</t>
  </si>
  <si>
    <t>Wow mitali well-done...... So proud of you God bless you❤️</t>
  </si>
  <si>
    <t>2024-01-06 06:53:03</t>
  </si>
  <si>
    <t>2024-01-05</t>
  </si>
  <si>
    <t>@Gabbarguruji2.0</t>
  </si>
  <si>
    <t>🎉🎉🎉🎉🎉🎉🎉</t>
  </si>
  <si>
    <t>2024-01-05 22:57:21</t>
  </si>
  <si>
    <t>@johnsingnar6244</t>
  </si>
  <si>
    <t>Nice pic 🎉🎉🎉</t>
  </si>
  <si>
    <t>2024-01-05 21:34:41</t>
  </si>
  <si>
    <t>PayNearby_Team</t>
  </si>
  <si>
    <t>PayNearby Team</t>
  </si>
  <si>
    <t>@SpiceMoneyIndia i want to become Distributor of your Company, i have already a Big Team with another Company but now i want Swich My Retailer With @SpiceMoneyIndia Can u Help But Fast.</t>
  </si>
  <si>
    <t>2024-01-05 21:12:31</t>
  </si>
  <si>
    <t>NPCI NEW RULES FOR AEPS ! NPCI new update. fino bank update. spice money update. airtel bank update.</t>
  </si>
  <si>
    <t>2024-01-05 21:08:52</t>
  </si>
  <si>
    <t>@babulalsolanki6705</t>
  </si>
  <si>
    <t>Spice money Babulal Solanki</t>
  </si>
  <si>
    <t>2024-01-05 21:03:23</t>
  </si>
  <si>
    <t>Vicky_00802</t>
  </si>
  <si>
    <t>Vicky Choudhary</t>
  </si>
  <si>
    <t>Bank Froud complaint
हमारे Spice money bank wallet से एक अज्ञात froud हुआ है mere Mo 9413077921 subhashbijarniya0921@gmail.com
Money-6441₹
जिस अकाउंट में पैसे गए bane Ac. 309023656875 और 23200000043663
 Mo 9016632463
@BhajanlalBjp 
@CYBTRAFFIC 
@RajasthanP6832
@SpiceMoneyIndia https://t.co/WNSVs2m9WX</t>
  </si>
  <si>
    <t>2024-01-05 20:51:25</t>
  </si>
  <si>
    <t>I am elder brother of mitali sahu ..</t>
  </si>
  <si>
    <t>2024-01-05 20:28:46</t>
  </si>
  <si>
    <t>Hello spice money team please any buddy contact with my no ...please ..your area officer is not pick up my call ...please</t>
  </si>
  <si>
    <t>2024-01-05 20:26:42</t>
  </si>
  <si>
    <t>Automatic instant credit hoga ya karna padega.🎉</t>
  </si>
  <si>
    <t>2024-01-05 19:18:15</t>
  </si>
  <si>
    <t>@SpiceMoneyIndia @SonuSood कब करेंगे?</t>
  </si>
  <si>
    <t>2024-01-05 19:15:46</t>
  </si>
  <si>
    <t>@Shobhitvar97831 @SonuSood प्रिय महोदय, नमस्कार! हमारे ग्राहक सेवा अधिकारी जल्द ही आपसे संपर्क करेंगे। सादर, टीम स्पाइस मनी</t>
  </si>
  <si>
    <t>2024-01-05 18:19:43</t>
  </si>
  <si>
    <t>@pappukumaryadavmoravlogs2064</t>
  </si>
  <si>
    <t>CPV nahi ho raha hai sir 618526</t>
  </si>
  <si>
    <t>2024-01-05 18:19:37</t>
  </si>
  <si>
    <t>@KAILASH3763 प्रिय महोदय, नमस्कार! हमारे ग्राहक सेवा अधिकारी जल्द ही आपसे संपर्क करेंगे। सादर, टीम स्पाइस मनी</t>
  </si>
  <si>
    <t>2024-01-05 18:07:43</t>
  </si>
  <si>
    <t>@Abhisheksa44246 Dear Sir, Greetings! We regret the inconvenience caused to you. Our customer care officer will get in touch with you shortly. Regards, Team Spice Money</t>
  </si>
  <si>
    <t>2024-01-05 17:55:27</t>
  </si>
  <si>
    <t>@Teekamaram2004 Dear Sir, Namaskar! Aapse request hai ki please apna Mobile number &amp;amp; email id hume share karein, hamari customer care team aapse jald hi sampark karegi. Regards, Team Spice Money</t>
  </si>
  <si>
    <t>2024-01-05 17:53:09</t>
  </si>
  <si>
    <t>@Vicky35802 Dear Sir, Namaskar! Aapse request hai ki please apna Mobile number &amp;amp; email id hume share karein, hamari customer care team aapse jald hi sampark karegi. Regards, Team Spice Money</t>
  </si>
  <si>
    <t>2024-01-05 17:46:02</t>
  </si>
  <si>
    <t>@kl_suthar प्रिय महोदय, नमस्कार! हमारे ग्राहक सेवा अधिकारी जल्द ही आपसे संपर्क करेंगे। सादर, टीम स्पाइस मनी</t>
  </si>
  <si>
    <t>2024-01-05 17:42:29</t>
  </si>
  <si>
    <t>2024-01-05 17:28:36</t>
  </si>
  <si>
    <t>@nextdaytrading6292</t>
  </si>
  <si>
    <t>Uplifting the rural is the task ...
Real growth is there in rural  ..They are deprived of atm and banking services ..kudos to the spice</t>
  </si>
  <si>
    <t>2024-01-05 16:11:47</t>
  </si>
  <si>
    <t>2024-01-05 15:53:35</t>
  </si>
  <si>
    <t>2024-01-05 15:53:09</t>
  </si>
  <si>
    <t>2024-01-05 15:47:13</t>
  </si>
  <si>
    <t>2024-01-05 15:40:50</t>
  </si>
  <si>
    <t>Dear sir, Greetings! Aapke sujhaav ke liye dhanyavaad, humne ise note kar liya hai.Regards,</t>
  </si>
  <si>
    <t>2024-01-05 15:35:56</t>
  </si>
  <si>
    <t>2024-01-05 15:34:56</t>
  </si>
  <si>
    <t>2024-01-05 15:34:10</t>
  </si>
  <si>
    <t>2024-01-05 15:33:37</t>
  </si>
  <si>
    <t>2024-01-05 15:32:00</t>
  </si>
  <si>
    <t>2024-01-05 15:31:29</t>
  </si>
  <si>
    <t>2024-01-05 15:29:27</t>
  </si>
  <si>
    <t>2024-01-05 15:27:19</t>
  </si>
  <si>
    <t>2024-01-05 15:24:49</t>
  </si>
  <si>
    <t>2024-01-05 15:24:23</t>
  </si>
  <si>
    <t>2024-01-05 15:24:10</t>
  </si>
  <si>
    <t>2024-01-05 15:23:45</t>
  </si>
  <si>
    <t>Mera register mobile number kho gya he kya kru</t>
  </si>
  <si>
    <t>2024-01-05 15:06:06</t>
  </si>
  <si>
    <t>Maine ek video dekha tha jisme adhikari ke sath fraod ho gaya hai 3 lakh 50 hazar ka</t>
  </si>
  <si>
    <t>2024-01-05 14:42:08</t>
  </si>
  <si>
    <t>@surajnalandaofficial3276</t>
  </si>
  <si>
    <t>Sir Mera account freeze kar diya 😢</t>
  </si>
  <si>
    <t>2024-01-05 14:40:03</t>
  </si>
  <si>
    <t>@vipinpandey1288</t>
  </si>
  <si>
    <t>Sir pahle me bank off Baroda ke pese nikal tha to nikl jate the lekin ab na nikal rhe h our balens check ho rha he</t>
  </si>
  <si>
    <t>2024-01-05 14:04:53</t>
  </si>
  <si>
    <t>Absolutely right 👍</t>
  </si>
  <si>
    <t>2024-01-05 13:21:33</t>
  </si>
  <si>
    <t>।। # स्पाइस मनी चला रहे है तो हो जाओ सावधान # ।।          कल मेरी आईडी sdl686920 को सुबह हैक करके पासवर्ड बदल कर मेरी आईडी से 35 हजार रूपये कंपनी ने फ्रॉड के साथ मिल कर निकाल लिए और जब मेरी आईडी के पासवर्ड बदलने का मेरे पास मैरी मेल आईडी पर मेल आई तो मैंने मेरी आईडी लॉग इन करने की तो लॉगिन नहीं हुई और ना ही पासवर्ड बदले जा रहे थे तो कंपनी को कॉल किया की मेरी आईडी मे पैसा है और आईडी लॉगिन नही हो रही है और पासवोर्ड किसी ने बदल लिया है तो आईडी ब्लॉक कर दो तो कंपनी की ओर से बोला आपका पेमेट कही नहीं जाएगा आपको आईडी ब्लॉक करने की कोइं जरूत नहीं बहुत बोलने पर भी ब्लॉक नहीं की गई और जब 1बजे लोग इन हुई तो पेमेंट मेरी आईडी से निकाल लिया गया था डीएमटी लगा के   कम्पनी खुद फर्जी है इसलिए सभी को कहना चाहता हु की जो मेरे साथ हुआ किसी और के साथ नहीं हो इसलिए स्पाइस मनी ( spice money)को बंद कर दे आज ही</t>
  </si>
  <si>
    <t>2024-01-05 13:14:29</t>
  </si>
  <si>
    <t>2024-01-05 13:14:08</t>
  </si>
  <si>
    <t>मैं अधिकारी ख़ुद हूँ स्पाइस मनी की गारंटी!
 स्पाइस मनी ऐसा क्यों कहता है जानने के लिए https://t.co/KnztUOUFVC इस वीडियो लिंक  पर क्लिक करें।
#SpiceMoney #SpiceMoneyGuarantee #MainAdhikariKhudHoonGuarantee https://t.co/4x59TZh1Tz</t>
  </si>
  <si>
    <t>2024-01-05 13:06:37</t>
  </si>
  <si>
    <t>Spice Money is the best platform</t>
  </si>
  <si>
    <t>2024-01-05 13:06:33</t>
  </si>
  <si>
    <t>मैं अधिकारी ख़ुद हूँ स्पाइस मनी की गारंटी!
स्पाइस मनी ऐसा क्यों कहता है जानने के लिए https://youtu.be/Un06w8WhYRg इस वीडियो लिंक  पर क्लिक करें।
#SpiceMoney #SpiceMoneyGuarantee #MainAdhikariKhudHoonGuarantee</t>
  </si>
  <si>
    <t>2024-01-05 13:05:39</t>
  </si>
  <si>
    <t>Modi Infotech</t>
  </si>
  <si>
    <t>NPCI का एक और बड़ा अपडेट | अब AePS बिज़नेस आपके हाथ में है आपने प्रयास नहीं किया तो सब खत्म हो जायेगा</t>
  </si>
  <si>
    <t>2024-01-05 12:57:33</t>
  </si>
  <si>
    <t>@alltutorialvideo7894</t>
  </si>
  <si>
    <t>Bahut hi shandar video</t>
  </si>
  <si>
    <t>2024-01-05 12:47:15</t>
  </si>
  <si>
    <t>Mujhe bhi rula Diya</t>
  </si>
  <si>
    <t>2024-01-05 12:46:56</t>
  </si>
  <si>
    <t>Good🎉🎉🎉best of luck..</t>
  </si>
  <si>
    <t>2024-01-05 12:42:16</t>
  </si>
  <si>
    <t>@PocketFM650</t>
  </si>
  <si>
    <t>Spice Money is Best platform in world 🌎🌎</t>
  </si>
  <si>
    <t>2024-01-05 12:41:58</t>
  </si>
  <si>
    <t>BOB के Transaction अब तो शुरू करवा दीजिए अब तो एजेंट Split Transaction भी नही कर सकता 2FA भी Active हो चुका प्रति Withdrwal पर एजेंट का ऑथेंटिकेशन भी शुरू हो गया है NPCI द्वारा... अब एजेंट कैसे फ्रॉड करेगा अभी और कितनी Security चाहिए बैंक ऑफ बड़ौदा के Transaction के लिए</t>
  </si>
  <si>
    <t>2024-01-05 12:39:07</t>
  </si>
  <si>
    <t>Spice Money ke Service sabse best hai best platform in world 🌎🌍🌎🌎🌎🌎🌎🌎🌎🌎</t>
  </si>
  <si>
    <t>2024-01-05 12:38:11</t>
  </si>
  <si>
    <t>Thank you so much Spice Money</t>
  </si>
  <si>
    <t>2024-01-05 12:37:15</t>
  </si>
  <si>
    <t>Nice🎉🎉🎉</t>
  </si>
  <si>
    <t>2024-01-05 12:36:59</t>
  </si>
  <si>
    <t>@gaganram1297</t>
  </si>
  <si>
    <t>Mera happy loan se abhi tak NOC nahi Mila</t>
  </si>
  <si>
    <t>2024-01-05 12:36:44</t>
  </si>
  <si>
    <t>Very Good Service 👍👍👍</t>
  </si>
  <si>
    <t>2024-01-05 12:36:31</t>
  </si>
  <si>
    <t>Main Adhikari Khud Hoon Spice Money Ki Guarantee!</t>
  </si>
  <si>
    <t>2024-01-05 12:35:57</t>
  </si>
  <si>
    <t>Nari Adhikari Mitali Sahu se janein kis tarah Spice Money hai sabse alag aur khas!</t>
  </si>
  <si>
    <t>2024-01-05 12:35:50</t>
  </si>
  <si>
    <t>Safe India</t>
  </si>
  <si>
    <t>NPCI new update. fino bank update. spice money update. airtel bank update. paynearby. safe india.</t>
  </si>
  <si>
    <t>2024-01-05 10:20:47</t>
  </si>
  <si>
    <t>kl_suthar</t>
  </si>
  <si>
    <t>Kanhaiya Lal Suthar</t>
  </si>
  <si>
    <t>@SpiceMoneyIndia अपना पेन कार्ड अपडेट करने के बाद मैं 4/5 दिनो से स्पाइस पर केवाईसी अपडेट के लिए लिख रहा हूं, कॉल कर रहा हूं..सुनवाई नहीं हो रही है...429164</t>
  </si>
  <si>
    <t>2024-01-05 10:05:56</t>
  </si>
  <si>
    <t>@balaramsanbighna4324</t>
  </si>
  <si>
    <t>sdl745578
problem not solved 
kyc not reset 
i not used my account 
please help</t>
  </si>
  <si>
    <t>2024-01-05 08:27:12</t>
  </si>
  <si>
    <t>2024-01-05 08:27:03</t>
  </si>
  <si>
    <t>2024-01-05 08:26:54</t>
  </si>
  <si>
    <t>2024-01-05 08:26:46</t>
  </si>
  <si>
    <t>pleasse help</t>
  </si>
  <si>
    <t>2024-01-05 08:26:27</t>
  </si>
  <si>
    <t>sdl745578
problem not solved 
kyc not reset 
i not used my account</t>
  </si>
  <si>
    <t>2024-01-05 08:26:18</t>
  </si>
  <si>
    <t>2024-01-05 08:26:06</t>
  </si>
  <si>
    <t>2024-01-05 08:25:32</t>
  </si>
  <si>
    <t>2024-01-05 08:25:15</t>
  </si>
  <si>
    <t>@brijeshkumarmaury1641</t>
  </si>
  <si>
    <t>2020 se kam karten he</t>
  </si>
  <si>
    <t>2024-01-05 02:03:49</t>
  </si>
  <si>
    <t>2024-01-04</t>
  </si>
  <si>
    <t>Vicky35802</t>
  </si>
  <si>
    <t>Bank Froud related complaint
हमारे Spice money bank wallet से एक अज्ञात froud हुआ है
Money-6441₹
जिस अकाउंट में पैसे गए bane acc nu309023656875 और 23200000043663
तथा mo No 9016632463
@BhajanlalBjp 
@CYBTRAFFIC 
@Didwanapolice 
@RajasthanP6832 
@jaipur_police 
@SpiceMoneyIndia https://t.co/oYQenlgNNv</t>
  </si>
  <si>
    <t>2024-01-04 22:46:38</t>
  </si>
  <si>
    <t>2024-01-04 22:27:28</t>
  </si>
  <si>
    <t>2024-01-04 21:58:57</t>
  </si>
  <si>
    <t>Cash problem</t>
  </si>
  <si>
    <t>2024-01-04 21:56:27</t>
  </si>
  <si>
    <t>@OLDIslamicstudio</t>
  </si>
  <si>
    <t>Medam mujhe id leni he g 
Kese aur kya kya karna hoga 
Ya mere district ke distributor ka number do 
Mera district Muzaffarnagar he</t>
  </si>
  <si>
    <t>2024-01-04 21:32:30</t>
  </si>
  <si>
    <t>Central bank bada khata ke pese nikala na chalu karo or bank of baroda ka pesa niklna chalu hona cahiye costumer  pareshan ho rahe</t>
  </si>
  <si>
    <t>2024-01-04 21:21:40</t>
  </si>
  <si>
    <t>@bibek_blog1639</t>
  </si>
  <si>
    <t>There were 600 plus retailers under my distributor, where did all the retailers cut? Never thought that spice money company would treat us this way Please help Spice Money Team my distributor ID- ss531838</t>
  </si>
  <si>
    <t>2024-01-04 21:16:36</t>
  </si>
  <si>
    <t>@subhashchoudhary5175</t>
  </si>
  <si>
    <t>अमाउंट क्या राउंड फिगर में ही होना चाहिए</t>
  </si>
  <si>
    <t>2024-01-04 21:13:04</t>
  </si>
  <si>
    <t>@nsworldtravel</t>
  </si>
  <si>
    <t>Grahak ku NSDL ke saving account kaise open karna hai a mere Id pe option nahi aaraha hai</t>
  </si>
  <si>
    <t>2024-01-04 21:09:21</t>
  </si>
  <si>
    <t>ERROR: login failed or no 2fa login
A error aaraha hai bhai 2 din se solution hoo to batau koi😢</t>
  </si>
  <si>
    <t>2024-01-04 21:06:15</t>
  </si>
  <si>
    <t>@gopinathjana7036</t>
  </si>
  <si>
    <t>Thank you spice money aeps service very strong hoga... thanks once again</t>
  </si>
  <si>
    <t>2024-01-04 20:24:00</t>
  </si>
  <si>
    <t>@SpiceMoneyIndia ये कह रहे हैं की हमारी अधिकारिक टीम से बात करें इसके regarding. आप हमे contact क्यूं नहीं कर रहे हैं इसका मतलब आपकी कंपनी ने ही fraud किया है</t>
  </si>
  <si>
    <t>2024-01-04 19:51:40</t>
  </si>
  <si>
    <t>@adiloddinansari4919</t>
  </si>
  <si>
    <t>hi</t>
  </si>
  <si>
    <t>2024-01-04 19:51:37</t>
  </si>
  <si>
    <t>2024-01-04 19:40:10</t>
  </si>
  <si>
    <t>@harindrakumar5959</t>
  </si>
  <si>
    <t>स्पाइस मनी में 2018 से कम कर रहे हैं लेकिन बड़े दुख के साथ कहना पड़ रहा है कि स्पाइस मनी कंपनी ग्राहक और रिटेलर के साथ लोन के नाम पर फ्रॉड कर रही है यह मेरे साथ हो रहा है क्योंकि मैंने पूरा पैसा चुकता कर दिया फिर भी मेरे वॉलेट से बैलेंस बार बार काटा जा रहा है</t>
  </si>
  <si>
    <t>2024-01-04 16:55:42</t>
  </si>
  <si>
    <t>स्पाइस मनी में 2018 से कार्य कर रहे हैं</t>
  </si>
  <si>
    <t>2024-01-04 16:53:19</t>
  </si>
  <si>
    <t>@manishverma819</t>
  </si>
  <si>
    <t>Meri I'd me show nahi ho rha hai</t>
  </si>
  <si>
    <t>2024-01-04 16:04:57</t>
  </si>
  <si>
    <t>2024-01-04 16:02:48</t>
  </si>
  <si>
    <t>2024-01-04 15:58:51</t>
  </si>
  <si>
    <t>@pavankumar14300</t>
  </si>
  <si>
    <t>And electricity bill par comicon hona chahiye</t>
  </si>
  <si>
    <t>2024-01-04 15:32:22</t>
  </si>
  <si>
    <t>Sir addhar update active hona chahiye</t>
  </si>
  <si>
    <t>2024-01-04 15:29:33</t>
  </si>
  <si>
    <t>2024-01-04 15:28:59</t>
  </si>
  <si>
    <t>@shamshadasdaque971</t>
  </si>
  <si>
    <t>loan center not work please help</t>
  </si>
  <si>
    <t>2024-01-04 15:23:43</t>
  </si>
  <si>
    <t>Good decision</t>
  </si>
  <si>
    <t>2024-01-04 15:22:53</t>
  </si>
  <si>
    <t>।। #SpiceMoney चला रहे है तो हो जाओ सावधान # ।।          कल मेरी आईडी sdl686920 को सुबह हैक करके पासवर्ड बदल कर मेरी आईडी से 35 हजार रूपये कंपनी ने फ्रॉड के साथ मिल कर निकाल लिए और जब मेरी आईडी के पासवर्ड बदलने का मेरे पास मैरी मेल आईडी पर मेल आई तो मैंने मेरी आईडी लॉग इन करने की तो लॉगिन नहीं हुई और ना ही पासवर्ड बदले जा रहे थे तो कंपनी को कॉल किया की मेरी आईडी मे पैसा है और आईडी लॉगिन नही हो रही है और पासवोर्ड किसी ने बदल लिया है तो आईडी ब्लॉक कर दो तो कंपनी की ओर से बोला आपका पेमेट कही नहीं जाएगा आपको आईडी ब्लॉक करने की कोइं जरूत नहीं बहुत बोलने पर भी ब्लॉक नहीं की गई और जब 1बजे लोग इन हुई तो पेमेंट मेरी आईडी से निकाल लिया गया था डीएमटी लगा के   कम्पनी खुद फर्जी है इसलिए सभी को कहना चाहता हु की जो मेरे साथ हुआ किसी और के साथ नहीं हो इसलिए स्पाइस मनी ( spice money)को बंद कर दे आज ही</t>
  </si>
  <si>
    <t>2024-01-04 14:53:50</t>
  </si>
  <si>
    <t>2024-01-04 14:53:37</t>
  </si>
  <si>
    <t>2024-01-04 14:53:06</t>
  </si>
  <si>
    <t>2024-01-04 14:52:54</t>
  </si>
  <si>
    <t>Paynearby New Update | Change in Aeps Withdrawal | NPCI New Guidelines For Aeps 2024  |</t>
  </si>
  <si>
    <t>2024-01-04 14:36:16</t>
  </si>
  <si>
    <t>Haan</t>
  </si>
  <si>
    <t>2024-01-04 14:08:10</t>
  </si>
  <si>
    <t>Spice Money New Update | Change in Aeps Withdrawal | NPCI New Guidelines For Aeps 2024  |</t>
  </si>
  <si>
    <t>2024-01-04 13:26:46</t>
  </si>
  <si>
    <t>@GET_YOUTUBE_VIEWS_m045</t>
  </si>
  <si>
    <t>Your channel is such a great place to escape and unwind, thank you for that.</t>
  </si>
  <si>
    <t>2024-01-04 13:25:39</t>
  </si>
  <si>
    <t>@SpiceMoneyIndia No response received yet form your side</t>
  </si>
  <si>
    <t>2024-01-04 11:14:17</t>
  </si>
  <si>
    <t>tech with bittu</t>
  </si>
  <si>
    <t>NPCI new rules for aeps 2024 | AEPS New Update | fINO PAYMENT BANK, RAPIPAY MERCHANT, SPICE MONEY</t>
  </si>
  <si>
    <t>2024-01-04 11:10:00</t>
  </si>
  <si>
    <t>SARKARI FAST</t>
  </si>
  <si>
    <t>Bank Of Baroda AePS Update - बैंक ऑफ़ बरोदा का पैसा कैसे निकले 2024 में -Spice Money ,Fino ,Paynearby</t>
  </si>
  <si>
    <t>2024-01-04 08:52:43</t>
  </si>
  <si>
    <t>Mera register mobile number kho gya he kya</t>
  </si>
  <si>
    <t>2024-01-04 08:46:31</t>
  </si>
  <si>
    <t>2024-01-04 08:46:07</t>
  </si>
  <si>
    <t>Spice Money Partner's Meet 2024 mein janein aapke liye kitna kuchh hai khaas!</t>
  </si>
  <si>
    <t>2024-01-04 06:45:07</t>
  </si>
  <si>
    <t>2024-01-03</t>
  </si>
  <si>
    <t>2024-01-03 22:33:35</t>
  </si>
  <si>
    <t>@ramkumaryadav6830</t>
  </si>
  <si>
    <t>ये सब तो ठीक है लेकिन सेंट्रल बैंक ऑफ इंडिया के कुछ aps होते है और कुछ अकाउंट में invalid transaction batata hai vah to theek chalu karva do</t>
  </si>
  <si>
    <t>2024-01-03 21:00:45</t>
  </si>
  <si>
    <t>@pravindhoke2380</t>
  </si>
  <si>
    <t>Free 🆓🆓</t>
  </si>
  <si>
    <t>2024-01-03 20:51:57</t>
  </si>
  <si>
    <t>mere name se id hai
lekin mere femily wale shope chalate hai
me har time Shop pe nahi rakhta hu
ab problem ho gaya hai</t>
  </si>
  <si>
    <t>2024-01-03 20:30:57</t>
  </si>
  <si>
    <t>@shabbirkhan-ps2xf</t>
  </si>
  <si>
    <t>Ek hi morpho rd services ki activation kare  jo ki Aeps or instant pan dono me work kare ,,</t>
  </si>
  <si>
    <t>2024-01-03 20:30:34</t>
  </si>
  <si>
    <t>Spice money Aeps me jo  morpho rd services work karta hai  Bo Instant epan me work nhi karta</t>
  </si>
  <si>
    <t>2024-01-03 20:28:55</t>
  </si>
  <si>
    <t>@shridinanathsah</t>
  </si>
  <si>
    <t>Jiska finger sahi se kaam nhi karta 2-3 baar me karte the ab uska time badega 
Sirf time waste hoga or kuch nhi</t>
  </si>
  <si>
    <t>2024-01-03 20:26:30</t>
  </si>
  <si>
    <t>@bablumalahitola1602</t>
  </si>
  <si>
    <t>Aaj mera kaam nahi kar raha hai id</t>
  </si>
  <si>
    <t>2024-01-03 20:23:28</t>
  </si>
  <si>
    <t>@bablumev</t>
  </si>
  <si>
    <t>Sub agent ka option hona chahiye</t>
  </si>
  <si>
    <t>2024-01-03 20:10:47</t>
  </si>
  <si>
    <t>Rohit Saini Rohit Saini 367584</t>
  </si>
  <si>
    <t>2024-01-03 19:56:09</t>
  </si>
  <si>
    <t>@HiHi-tu7rx</t>
  </si>
  <si>
    <t>Mai distributor hu</t>
  </si>
  <si>
    <t>2024-01-03 19:54:57</t>
  </si>
  <si>
    <t>@anujkumar47361............</t>
  </si>
  <si>
    <t>2024-01-03 19:52:32</t>
  </si>
  <si>
    <t>BBPS me electricity par koi commission nahi hai sabse badi dikkat ki baat tto ye hai agar company thoda samay nikal kar iske bare me soche aur kuch commission Dene Lage to spice money india ka sabse bada BBPS platform Ban jayega</t>
  </si>
  <si>
    <t>2024-01-03 19:36:09</t>
  </si>
  <si>
    <t>sonudil143</t>
  </si>
  <si>
    <t>शिकायतकर्ता</t>
  </si>
  <si>
    <t>@SpiceMoneyIndia dilshad0266@gmail.com</t>
  </si>
  <si>
    <t>2024-01-03 19:32:01</t>
  </si>
  <si>
    <t>@shubhamvishwakarma6999</t>
  </si>
  <si>
    <t>Kya ham apne spice money I'd me  1,2 agent bana sakte hai</t>
  </si>
  <si>
    <t>2024-01-03 19:16:05</t>
  </si>
  <si>
    <t>@debasishbehera6449</t>
  </si>
  <si>
    <t>Id price</t>
  </si>
  <si>
    <t>2024-01-03 18:52:03</t>
  </si>
  <si>
    <t>geetakar_devidayal</t>
  </si>
  <si>
    <t>SPICE MONEY  6392733664</t>
  </si>
  <si>
    <t>2024-01-03 18:38:35</t>
  </si>
  <si>
    <t>2024-01-03 18:37:57</t>
  </si>
  <si>
    <t>2024-01-03 18:36:38</t>
  </si>
  <si>
    <t>Mera to band h transaction isi karad</t>
  </si>
  <si>
    <t>2024-01-03 18:15:07</t>
  </si>
  <si>
    <t>Ye sahi nhi agar adhikari na rahe jiska aadhar verify h to koi aur shop kam karne wala Banda paisa transaction kar hi nhi paayega</t>
  </si>
  <si>
    <t>2024-01-03 18:14:12</t>
  </si>
  <si>
    <t>@technicalbrbcreate4177</t>
  </si>
  <si>
    <t>Madam mera transaction failed dekharahe.withdral nahin haraye</t>
  </si>
  <si>
    <t>2024-01-03 16:43:58</t>
  </si>
  <si>
    <t>@SpiceMoneyIndia Good update 💯</t>
  </si>
  <si>
    <t>2024-01-03 16:22:35</t>
  </si>
  <si>
    <t>Hana</t>
  </si>
  <si>
    <t>2024-01-03 15:31:19</t>
  </si>
  <si>
    <t>2024-01-03 14:52:16</t>
  </si>
  <si>
    <t>2024-01-03 14:15:13</t>
  </si>
  <si>
    <t>2024-01-03 14:14:03</t>
  </si>
  <si>
    <t>@Shobhitvar97831 प्रिय महोदय,नमस्कार! आप हमारे आधिकारिक ग्राहक सेवा नंबर 0120-3645645 पर भी संपर्क कर सकते हैं। सादर, टीम स्पाइस मनी</t>
  </si>
  <si>
    <t>2024-01-03 14:13:44</t>
  </si>
  <si>
    <t>2024-01-03 14:11:24</t>
  </si>
  <si>
    <t>2024-01-03 14:10:34</t>
  </si>
  <si>
    <t>Dear Sir, Greetings! Correct answer is A .Regards, Team Spice Money</t>
  </si>
  <si>
    <t>2024-01-03 14:06:02</t>
  </si>
  <si>
    <t>@excelhinditips Dear sir, Greetings! Thank you for your suggestion, we have taken a note of it. Regards, Team Spice Money</t>
  </si>
  <si>
    <t>2024-01-03 14:05:24</t>
  </si>
  <si>
    <t>2024-01-03 14:02:58</t>
  </si>
  <si>
    <t>2024-01-03 14:01:03</t>
  </si>
  <si>
    <t>2024-01-03 13:59:32</t>
  </si>
  <si>
    <t>2024-01-03 13:55:57</t>
  </si>
  <si>
    <t>2024-01-03 13:55:43</t>
  </si>
  <si>
    <t>2024-01-03 13:54:36</t>
  </si>
  <si>
    <t>2024-01-03 13:52:37</t>
  </si>
  <si>
    <t>2024-01-03 13:50:32</t>
  </si>
  <si>
    <t>2024-01-03 13:49:44</t>
  </si>
  <si>
    <t>2024-01-03 13:49:05</t>
  </si>
  <si>
    <t>2024-01-03 13:47:43</t>
  </si>
  <si>
    <t>2024-01-03 13:47:13</t>
  </si>
  <si>
    <t>2024-01-03 13:45:40</t>
  </si>
  <si>
    <t>प्रिय महोदय, नमस्कार!आपको बताना चाहेंगे कि ये NPCI की तरफ से सभी Fintech platform के लिए Guidelines हैं, अधिक जानकारी के लिए आप हमारे आधिकारिक ग्राहक सेवा नंबर 0120-3645645 पर भी संपर्क कर सकते हैं। सादर, टीम स्पाइस मनी</t>
  </si>
  <si>
    <t>2024-01-03 13:45:12</t>
  </si>
  <si>
    <t>2024-01-03 13:44:33</t>
  </si>
  <si>
    <t>2024-01-03 13:44:11</t>
  </si>
  <si>
    <t>2024-01-03 13:42:09</t>
  </si>
  <si>
    <t>2024-01-03 13:41:45</t>
  </si>
  <si>
    <t>2024-01-03 13:34:00</t>
  </si>
  <si>
    <t>2024-01-03 13:32:41</t>
  </si>
  <si>
    <t>2024-01-03 13:32:16</t>
  </si>
  <si>
    <t>2024-01-03 13:30:37</t>
  </si>
  <si>
    <t>@Dilshadthegreat Dear Sir, Greetings! Please share your email id and mobile number in inbox .we'll reach out to you to resolve all your concerns.Regards, Team Spice Money</t>
  </si>
  <si>
    <t>2024-01-03 13:28:22</t>
  </si>
  <si>
    <t>2024-01-03 13:27:41</t>
  </si>
  <si>
    <t>2024-01-03 13:26:26</t>
  </si>
  <si>
    <t>@dilshankushawaha186</t>
  </si>
  <si>
    <t>Bhai sabhi company ka niyam ho gya hai</t>
  </si>
  <si>
    <t>2024-01-03 13:23:35</t>
  </si>
  <si>
    <t>2024-01-03 13:23:02</t>
  </si>
  <si>
    <t>2024-01-03 13:22:31</t>
  </si>
  <si>
    <t>2024-01-03 13:21:18</t>
  </si>
  <si>
    <t>2024-01-03 13:07:49</t>
  </si>
  <si>
    <t>2024-01-03 13:06:26</t>
  </si>
  <si>
    <t>@nsrajpurohit108 Dear Sir, Namaskar! Aapse request hai ki please apna Mobile number &amp;amp; email id hume share karein, hamari customer care team aapse jald hi sampark karegi. Regards, Team Spice Money</t>
  </si>
  <si>
    <t>2024-01-03 13:05:37</t>
  </si>
  <si>
    <t>2024-01-03 13:04:38</t>
  </si>
  <si>
    <t>Open Concept Bangla</t>
  </si>
  <si>
    <t>AEPS New Rules 2024 || NPCI AEPS New Update 2024 || Spice Money || Fino || Airtel Payments Bank</t>
  </si>
  <si>
    <t>2024-01-03 12:58:36</t>
  </si>
  <si>
    <t>2024-01-03 12:19:29</t>
  </si>
  <si>
    <t>Not working intant pan card</t>
  </si>
  <si>
    <t>2024-01-03 12:18:54</t>
  </si>
  <si>
    <t>Security ke liye please Aadarsh option</t>
  </si>
  <si>
    <t>2024-01-03 11:51:12</t>
  </si>
  <si>
    <t>Not good system</t>
  </si>
  <si>
    <t>2024-01-03 11:49:48</t>
  </si>
  <si>
    <t>The dream of an economically and socially empowered India rests on the pillar of #financialinclusion. Bringing the unbanked and underserved into the formal financial system is essential for generating opportunities and enabling livelihoods.
At @SpiceMoneyIndia, we are proud to… https://t.co/NfsPz0obC3</t>
  </si>
  <si>
    <t>2024-01-03 11:11:47</t>
  </si>
  <si>
    <t>Dilshadthegreat</t>
  </si>
  <si>
    <t>Dilshad</t>
  </si>
  <si>
    <t>@SpiceMoneyIndia Will you please reply on any platform? I have sent an email as well to the customer service. Thanks! 
  Quoted Tweet : @Dilshadthegreat : @SpiceMoneyIndia I am receiving text messages from you without even availing any kind of loan. Infact I have never heard about you before I got those messages of loan payment. Kindly DM me to send you the screenshot and my number. #Urgent</t>
  </si>
  <si>
    <t>2024-01-03 11:04:14</t>
  </si>
  <si>
    <t>भारत का सबसे भरोसेमंद पैन कार्ड फ्री पोर्टल लेने के लिए संपर्क करें 9411066100</t>
  </si>
  <si>
    <t>2024-01-03 10:57:26</t>
  </si>
  <si>
    <t>@SpiceMoneyIndia https://t.co/Fhbmip9xFo</t>
  </si>
  <si>
    <t>2024-01-03 10:46:24</t>
  </si>
  <si>
    <t>@Actiongame-TheBestofGaming</t>
  </si>
  <si>
    <t>Ye niyam sahi nahi hai
Isse to bahut problem ho Rahi hai</t>
  </si>
  <si>
    <t>2024-01-03 10:41:20</t>
  </si>
  <si>
    <t>Chaudhari Associates</t>
  </si>
  <si>
    <t>Fino Bank 2024 New Merchant Commission List | Fino Bank 2024 New Update | Fino Bank Good News 2024</t>
  </si>
  <si>
    <t>2024-01-03 10:35:24</t>
  </si>
  <si>
    <t>@SpiceMoneyIndia Meri I'd band hai or re kyc ke liye pichle 10din se preshan ho raha hu</t>
  </si>
  <si>
    <t>2024-01-03 10:07:47</t>
  </si>
  <si>
    <t>2024-01-03 09:19:35</t>
  </si>
  <si>
    <t>@shahidrana1411</t>
  </si>
  <si>
    <t>Wrong decision</t>
  </si>
  <si>
    <t>2024-01-03 08:19:22</t>
  </si>
  <si>
    <t>Contact me
9783272521</t>
  </si>
  <si>
    <t>2024-01-03 07:16:34</t>
  </si>
  <si>
    <t>NPCI guidelines ka letter parkashit kijiye antha yah adhikari ke sath dhokha hai</t>
  </si>
  <si>
    <t>2024-01-03 04:59:50</t>
  </si>
  <si>
    <t>SPICE MONEY aapki team ne koi bhi call nahin kiya</t>
  </si>
  <si>
    <t>2024-01-03 00:53:42</t>
  </si>
  <si>
    <t>2024-01-02</t>
  </si>
  <si>
    <t>Beautiful</t>
  </si>
  <si>
    <t>2024-01-02 23:47:19</t>
  </si>
  <si>
    <t>Ye sab bakchodi kr raha
Surksha ke naam par ham log ko torture Kiya ja Raha hai</t>
  </si>
  <si>
    <t>2024-01-02 23:23:02</t>
  </si>
  <si>
    <t>@roshankumarsahoo4927</t>
  </si>
  <si>
    <t>2024-01-02 22:56:35</t>
  </si>
  <si>
    <t>Bouht  dhikat ho rehi he</t>
  </si>
  <si>
    <t>2024-01-02 22:55:26</t>
  </si>
  <si>
    <t>@aman79506</t>
  </si>
  <si>
    <t>हर बार आधार नंबर डालने वाला option बंद कर दे तो Retailer का time waste नहीं होगा! Finger print हर बार लगाने में कोई Problem नहीं है!</t>
  </si>
  <si>
    <t>2024-01-02 22:45:57</t>
  </si>
  <si>
    <t>Ye Galat Hain.....Koi Jarurat nahi tha... ye sab Krne ka</t>
  </si>
  <si>
    <t>2024-01-02 22:26:29</t>
  </si>
  <si>
    <t>A</t>
  </si>
  <si>
    <t>2024-01-02 22:24:26</t>
  </si>
  <si>
    <t>@prabhuram9795</t>
  </si>
  <si>
    <t>स्पाइस मनी की बकवास सुरक्षा है , इससे कस्टमर और रिटेलर दोनो का समय बर्बाद हो रहा है, फिंगर डिवाइस की लाइफ कम होगी l कस्टमर परेशान एक छोटी सी राशी के लिए ज्यादा समय लेना l 
स्पाइस मनी को हर transactions पर रिटेलर ऑथेंटिकेशन को हटाना चाइए नही तो सारी दुकानें से स्पाइस मनी गायब हो जाएगा l रिटेलर दूसरे एप्लीकेशन उपयोग करने पर मजबूर होंगे l</t>
  </si>
  <si>
    <t>2024-01-02 22:03:23</t>
  </si>
  <si>
    <t>Every transaction retailer authentication is totally lose time , finger device, many more customers valuable time for cash withdrawal for little money.</t>
  </si>
  <si>
    <t>2024-01-02 21:55:57</t>
  </si>
  <si>
    <t>2024-01-02 21:50:40</t>
  </si>
  <si>
    <t>@ravichandran6669</t>
  </si>
  <si>
    <t>Yes same to you</t>
  </si>
  <si>
    <t>2024-01-02 21:50:35</t>
  </si>
  <si>
    <t>फर्जी app है लोगों के पैसे निकाल लेता है यह app</t>
  </si>
  <si>
    <t>2024-01-02 21:43:01</t>
  </si>
  <si>
    <t>instant pan service 😥 hta di kya</t>
  </si>
  <si>
    <t>2024-01-02 21:42:47</t>
  </si>
  <si>
    <t>इससे कोई फायदा नहीं है इससे हमारी फिंगर स्कैनर डिवाइस की लाइफ कम होगी बस इतना ही फायदा है। मैंने दूसरा  AEPS एप्लीकेशन यूज़ किया लेकिन उसमें तो नहीं करना पड़ रहा है केवल स्पाइस मनी के पास ये नियम आया है क्या ? अगर ऐसा है तो हम दूसरा एप्लीकेशन ही यूज़ करेंगे</t>
  </si>
  <si>
    <t>2024-01-02 21:42:46</t>
  </si>
  <si>
    <t>Galt h</t>
  </si>
  <si>
    <t>2024-01-02 21:38:22</t>
  </si>
  <si>
    <t>Capital me yes</t>
  </si>
  <si>
    <t>2024-01-02 21:33:08</t>
  </si>
  <si>
    <t>Apil Prajapati id</t>
  </si>
  <si>
    <t>2024-01-02 21:30:19</t>
  </si>
  <si>
    <t>@MRBIKASHSTORE</t>
  </si>
  <si>
    <t>Ek karne mein bahut 😢</t>
  </si>
  <si>
    <t>2024-01-02 21:29:50</t>
  </si>
  <si>
    <t>Mam bohut dikkat ho rahe Hain 😢</t>
  </si>
  <si>
    <t>2024-01-02 21:29:09</t>
  </si>
  <si>
    <t>@homegadgets735</t>
  </si>
  <si>
    <t>Mere isme me wollet me nhi ho rha hai</t>
  </si>
  <si>
    <t>2024-01-02 21:22:51</t>
  </si>
  <si>
    <t>Spice ATM LENE KI LIYE CALL KRE 8340453058
Rs.2150
Oll India me kahi bhi</t>
  </si>
  <si>
    <t>2024-01-02 21:22:23</t>
  </si>
  <si>
    <t>2024-01-02 21:21:04</t>
  </si>
  <si>
    <t>@sarfarajnawaz764</t>
  </si>
  <si>
    <t>2024-01-02 21:19:00</t>
  </si>
  <si>
    <t>@ShyamjeeJha @SpiceMoneyIndia आज से ही</t>
  </si>
  <si>
    <t>2024-01-02 21:17:04</t>
  </si>
  <si>
    <t>@SpiceMoneyIndia कब से इंप्लीमेंट है ?</t>
  </si>
  <si>
    <t>2024-01-02 21:15:27</t>
  </si>
  <si>
    <t>स्पाइस मनी अधिकारी AePS कैश विड्राल के लिए NPCI की इस गाइडलाइन के बारे में जाने लें!
वीडियो देखने के लिए लिंक https://t.co/fUyr9SKTyu पर क्लिक करें।
#SpiceSamachar https://t.co/By4AVSkMmM</t>
  </si>
  <si>
    <t>2024-01-02 21:11:22</t>
  </si>
  <si>
    <t>@mrutyunjayajoshi8506</t>
  </si>
  <si>
    <t>Mere Naam se ek he par usko chalane ki bahot try Kiya par hua nehi</t>
  </si>
  <si>
    <t>2024-01-02 21:11:05</t>
  </si>
  <si>
    <t>स्पाइस मनी अधिकारी AePS कैश विड्राल के लिए NPCI की इस गाइडलाइन के बारे में जाने लें!
वीडियो देखने के लिए लिंक https://youtu.be/pJw8yRpVZew पर क्लिक करें।
#SpiceSamachar</t>
  </si>
  <si>
    <t>2024-01-02 21:10:45</t>
  </si>
  <si>
    <t>@magicmasti2224</t>
  </si>
  <si>
    <t>Ab spice mony chodna pdega paynerby me switch krna hoga</t>
  </si>
  <si>
    <t>2024-01-02 21:10:00</t>
  </si>
  <si>
    <t>Mobile application senahihotahii</t>
  </si>
  <si>
    <t>2024-01-02 21:03:44</t>
  </si>
  <si>
    <t>@laxmikumar8332</t>
  </si>
  <si>
    <t>Apne Name se id lijiye Bhai</t>
  </si>
  <si>
    <t>2024-01-02 21:00:11</t>
  </si>
  <si>
    <t>@amitkarmakar479</t>
  </si>
  <si>
    <t>Very wrong decision by spice money, at first share the NPCI guidelines with details to retailers and then apply the rules. It's only hassle the retailers, because none of bank csc point don't use this process.</t>
  </si>
  <si>
    <t>2024-01-02 20:54:57</t>
  </si>
  <si>
    <t>Pan bn hi nhi rhe hai</t>
  </si>
  <si>
    <t>2024-01-02 20:53:08</t>
  </si>
  <si>
    <t>2024-01-02 20:44:26</t>
  </si>
  <si>
    <t>B. Nahin</t>
  </si>
  <si>
    <t>2024-01-02 20:40:36</t>
  </si>
  <si>
    <t>AbhayRai1143054</t>
  </si>
  <si>
    <t>Abhay Rai</t>
  </si>
  <si>
    <t>@SpiceMoneyIndia Kiye to hai</t>
  </si>
  <si>
    <t>2024-01-02 20:40:22</t>
  </si>
  <si>
    <t>@VipinSingh-rm3gt</t>
  </si>
  <si>
    <t>Bakbaas hai ye har baar angutha lgana 
Ab agr aap jaruri kaam se kahi baahar jaao to dukaan bnd hi krke jana hoga pahle koi member baitha sakte the to kaam hota rahta tha ye niyam ghtiya hai</t>
  </si>
  <si>
    <t>2024-01-02 20:38:28</t>
  </si>
  <si>
    <t>@shekhnazish15m54</t>
  </si>
  <si>
    <t>coustomer ko dekhe ya fir bar bar apna finger lgaye bahut dikkat hai aise me kam karna din me 1 bar hi thik hai isko band karna chaiye.</t>
  </si>
  <si>
    <t>2024-01-02 20:29:54</t>
  </si>
  <si>
    <t>@csc00</t>
  </si>
  <si>
    <t>Koi dikkat nhi</t>
  </si>
  <si>
    <t>2024-01-02 20:29:53</t>
  </si>
  <si>
    <t>Sahi baat khi aapne coustomer ko dekhe ya fir bar bar apna finger lgaye bahut dikkat hai aise me kam karna din me 1 bar hi thik hai isko band karna chaiye</t>
  </si>
  <si>
    <t>2024-01-02 20:29:26</t>
  </si>
  <si>
    <t>@mangalkuma1</t>
  </si>
  <si>
    <t>Mera violet mein settlement nahin ho</t>
  </si>
  <si>
    <t>2024-01-02 20:16:44</t>
  </si>
  <si>
    <t>@SpiceMoneyIndia @NPCI_NPCI 
This is my suggestion to you please automatic show the agent adhar card no for the every new aeps transaction for the below options. Because it will save more time to put the agent adhar card for the new NPCI aeps transaction. Hope you understand. https://t.co/8O8ZVw07bY</t>
  </si>
  <si>
    <t>2024-01-02 20:04:55</t>
  </si>
  <si>
    <t>@SpiceMoneyIndia महोदय कृपया आप अपना नंबर दे  दे हम आपसे contact कर लेंगे आपसे पता नहीं नंबर क्यूं नही लग रहा है</t>
  </si>
  <si>
    <t>2024-01-02 19:30:10</t>
  </si>
  <si>
    <t>2024-01-02 19:28:48</t>
  </si>
  <si>
    <t>@cyberdigitalseva5</t>
  </si>
  <si>
    <t>😡😡😡😡😡😡😡😡😡</t>
  </si>
  <si>
    <t>2024-01-02 19:10:58</t>
  </si>
  <si>
    <t>@SpiceMoneyIndia I am receiving text messages from you without even availing any kind of loan. Infact I have never heard about you before I got those messages of loan payment. Kindly DM me to send you the screenshot and my number. #Urgent</t>
  </si>
  <si>
    <t>2024-01-02 19:09:22</t>
  </si>
  <si>
    <t>2024-01-02 18:58:40</t>
  </si>
  <si>
    <t>2024-01-02 18:57:37</t>
  </si>
  <si>
    <t>B</t>
  </si>
  <si>
    <t>2024-01-02 18:52:08</t>
  </si>
  <si>
    <t>Har bar Aadhar number nahin dal skte hai auto feed pahle se Aadhar number dala rahega to koi dikkat nhi hai  kuchh thoda samay lag jata hai Aadhar number dalne mein jiski vajah se transaction fail hone ke chances jyada ban jata hai 
Aadhar pahle se auto feed hai aur retailer apna verify kar ske</t>
  </si>
  <si>
    <t>2024-01-02 18:46:59</t>
  </si>
  <si>
    <t>2024-01-02 18:46:44</t>
  </si>
  <si>
    <t>@pineshghritlahre2590</t>
  </si>
  <si>
    <t>डबल सुरक्षा दिया गया है यहां तक तो ठीक है लेकिन रिटेलर को कितना दिक्कत हो रहा है बार बार आधार नंबर डालना और फिंगर कैप्चर करना समय की बर्बादी है इतने समय में तो दो लोगों का कैश विड्रोल कर चुके होते । 
मैं भी एक रिटेलर हूं मुझे आज बहुत परेशानी हुआ कस्टमर भी परेशान हो गया था । 
यह डबल सुरक्षा वाला सर्विस को बंद कर देना चाहिए । 
मेरे बात से कोई संतुष्ट है तो आवाज़ उठाएं</t>
  </si>
  <si>
    <t>2024-01-02 18:46:27</t>
  </si>
  <si>
    <t>2024-01-02 18:44:04</t>
  </si>
  <si>
    <t>Spice money I'd mere Biwi k Naam se he sir or mujhe har baar mere Biwi ko bula k tranx karna pad raha he..
Kyun ki usme uska hi finger print lag raha he...
Matlab pareshan hun bahot main... 😡😡😡😡😡</t>
  </si>
  <si>
    <t>2024-01-02 18:39:21</t>
  </si>
  <si>
    <t>@munnasingh555</t>
  </si>
  <si>
    <t>Bahut si dukane bnd hone wali hai</t>
  </si>
  <si>
    <t>2024-01-02 18:32:14</t>
  </si>
  <si>
    <t>@hinduwarrior8467</t>
  </si>
  <si>
    <t>Es niyam se bahut dikkat ho raha hain</t>
  </si>
  <si>
    <t>2024-01-02 18:30:05</t>
  </si>
  <si>
    <t>Bilkul sahi kaha apne paresan ho jate hai baar baar dalke</t>
  </si>
  <si>
    <t>2024-01-02 18:29:39</t>
  </si>
  <si>
    <t>2024-01-02 18:27:14</t>
  </si>
  <si>
    <t>Ye process sahi hai. But isme Retailer ka aadhar Number Bar bar Enter Karna Parta  ye .. isme thoda problem lagta hai ..
Already agar retailer ka Aadhar Number fill reheta to accha hota ..</t>
  </si>
  <si>
    <t>2024-01-02 18:25:44</t>
  </si>
  <si>
    <t>Best aeps service company ❤</t>
  </si>
  <si>
    <t>2024-01-02 18:22:54</t>
  </si>
  <si>
    <t>@onlineworld8906</t>
  </si>
  <si>
    <t>2024-01-02 18:22:07</t>
  </si>
  <si>
    <t>#SpiceSamachar mein janein AePS Cash Withdrawal transaction ke liye Adhikari ko NPCI ki guideline!</t>
  </si>
  <si>
    <t>2024-01-02 18:21:26</t>
  </si>
  <si>
    <t>2024-01-02 18:19:12</t>
  </si>
  <si>
    <t>Spice money ki I'd me mere 3000 Rs. Fas gaye the ..Abhi tak mujhe Return nahi mila Hai ..Aaj 2 saal ho gaya hai ......Par Abhi tak mere paise nahi mile hai .... Isliye maine I'd chalana band kar diya hu</t>
  </si>
  <si>
    <t>2024-01-02 18:15:53</t>
  </si>
  <si>
    <t>Not working instant pan service 😥</t>
  </si>
  <si>
    <t>2024-01-02 18:05:05</t>
  </si>
  <si>
    <t>2024-01-02 18:04:09</t>
  </si>
  <si>
    <t>SPICE MONEY A</t>
  </si>
  <si>
    <t>2024-01-02 18:03:56</t>
  </si>
  <si>
    <t>2024-01-02 17:37:21</t>
  </si>
  <si>
    <t>2024-01-02 17:36:53</t>
  </si>
  <si>
    <t>2024-01-02 17:35:06</t>
  </si>
  <si>
    <t>@Shobhitvar97831 प्रिय महोदय, नमस्कार! हम आपसे संपर्क करने का प्रयास कर रहे हैं लेकिन आपका नंबर busy है। कृपया अपना Contact details और suitable times साझा करें। सादर, टीम स्पाइस मनी</t>
  </si>
  <si>
    <t>2024-01-02 17:33:16</t>
  </si>
  <si>
    <t>No</t>
  </si>
  <si>
    <t>2024-01-02 17:06:58</t>
  </si>
  <si>
    <t>Nahi hota he</t>
  </si>
  <si>
    <t>2024-01-02 16:54:13</t>
  </si>
  <si>
    <t>2024-01-02 16:53:24</t>
  </si>
  <si>
    <t>2024-01-02 16:52:15</t>
  </si>
  <si>
    <t>2024-01-02 16:50:13</t>
  </si>
  <si>
    <t>2024-01-02 16:44:29</t>
  </si>
  <si>
    <t>2024-01-02 16:44:19</t>
  </si>
  <si>
    <t>Sir mobile application  nhin hota hai bhai</t>
  </si>
  <si>
    <t>2024-01-02 16:42:59</t>
  </si>
  <si>
    <t>2024-01-02 16:32:07</t>
  </si>
  <si>
    <t>2024-01-02 16:29:57</t>
  </si>
  <si>
    <t>2024-01-02 16:24:37</t>
  </si>
  <si>
    <t>2024-01-02 16:23:11</t>
  </si>
  <si>
    <t>स्पाइस मनी अधिकारियों के पास बड़ी तादाद में ग्राहक इंस्टेंट PAN कार्ड सर्विस के लिए आते हैं, इसलिए सभी को ऐसे सवालों के जवाब पता होने चाहिए!
अपना जवाब देने के लिए कृपया कमेन्ट बॉक्स का इस्तेमाल करें।
#SpiceMoney #SpiceMoneyTohLifeBani #RuralFintech #PanCard #GovernamentService #BestCommissionService
स्पाइस मनी अधिकारियों के पास बड़ी तादाद में ग्राहक इंस्टेंट PAN कार्ड सर्विस के लिए आते हैं, इसलिए सभी को ऐसे सवालों के जवाब पता होने चाहिए!
अपना जवाब देने के लिए कृपया कमेन्ट बॉक्स का इस्तेमाल करें।
#SpiceMoney #SpiceMoneyTohLifeBani #RuralFintech #PanCard #GovernamentService #BestCommissionService</t>
  </si>
  <si>
    <t>2024-01-02 16:22:39</t>
  </si>
  <si>
    <t>लंदन में एक। ध्यान
ऋ</t>
  </si>
  <si>
    <t>2024-01-02 09:05:08</t>
  </si>
  <si>
    <t>2024-01-02 08:31:50</t>
  </si>
  <si>
    <t>2024-01-02 08:31:07</t>
  </si>
  <si>
    <t>@kuldeepchhaparwal</t>
  </si>
  <si>
    <t>Sir upi pe send krne ka option bhi hona chahiye</t>
  </si>
  <si>
    <t>2024-01-02 07:11:17</t>
  </si>
  <si>
    <t>@surengond981</t>
  </si>
  <si>
    <t>Lekin mera I'd me instant pan card apply karene par age nahi ja Raha hai</t>
  </si>
  <si>
    <t>2024-01-02 01:51:58</t>
  </si>
  <si>
    <t>2024-01-01</t>
  </si>
  <si>
    <t>Happy new year</t>
  </si>
  <si>
    <t>2024-01-01 21:14:40</t>
  </si>
  <si>
    <t>@SpiceMoneyIndia @SonuSood @narendramodi @PMOIndia @myogiadityanath @myogioffice @AmitShah https://t.co/ouZYGng3hK. 7466000069,9997916822
Any time</t>
  </si>
  <si>
    <t>2024-01-01 20:31:38</t>
  </si>
  <si>
    <t>@ibcsantoshsonibadabusiness</t>
  </si>
  <si>
    <t>नये साल कि बहुत बहुत शुभ कामना 🎉</t>
  </si>
  <si>
    <t>2024-01-01 16:47:00</t>
  </si>
  <si>
    <t>@Mubarikkha51039 Dear Sir, Greetings! We regret the inconvenience caused to you. Our customer care officer will get in touch with you shortly. Regards, Team Spice Money</t>
  </si>
  <si>
    <t>2024-01-01 16:40:09</t>
  </si>
  <si>
    <t>Mubarikkha51039</t>
  </si>
  <si>
    <t>Mubarik khan</t>
  </si>
  <si>
    <t>Mubarik khan
@Mubarikkha51039
·
1m
@SpiceMoneyIndia
Dear sir I have  try many time change my distributor but team not reply I have try from 2 years for change my distributor 
Please help or closed my id 481457
#Spicemoneyindia 
  Quoted Tweet : @SpiceMoneyIndia : नववर्ष 2024 की शुभकामनाएं!
संकल्प है, मज़बूत इरादों और नए जोश के साथ मिलकर हम इस साल को बनाएंगे खास और भारत के कल को बदलेंगे आज।
#HappyNewYear
#SpiceMoney #SpiceMoneyTohLifeBani https://t.co/aNOABMfTQ7</t>
  </si>
  <si>
    <t>2024-01-01 16:29:38</t>
  </si>
  <si>
    <t>@SpiceMoneyIndia 
Dear sir I have  try many time change my distributor but team not reply I have try from 2 years for change my distributor 
Please help or closed my id 481457
#Spicemoneyindia</t>
  </si>
  <si>
    <t>2024-01-01 16:27:49</t>
  </si>
  <si>
    <t>Happy new year🎉🎊🎊🎊🎊🎊🎊🎊🎊🎊🎊🎊🎊🎊🎊🎊🎊🎉🎉🎉🎉🎉🎉🎉🎉🎉🎉</t>
  </si>
  <si>
    <t>2024-01-01 15:08:55</t>
  </si>
  <si>
    <t>2024-01-01 14:59:55</t>
  </si>
  <si>
    <t>2024-01-01 14:56:06</t>
  </si>
  <si>
    <t>2024-01-01 13:08:26</t>
  </si>
  <si>
    <t>2024-01-01 12:12:16</t>
  </si>
  <si>
    <t>नववर्ष 2024 की शुभकामनाएं!
संकल्प है, मज़बूत इरादों और नए जोश के साथ मिलकर हम इस साल को बनाएंगे खास और भारत के कल को बदलेंगे आज।
#HappyNewYear
#SpiceMoney #SpiceMoneyTohLifeBani https://t.co/aNOABMfTQ7</t>
  </si>
  <si>
    <t>2024-01-01 12:01:20</t>
  </si>
  <si>
    <t>@achchekhyal</t>
  </si>
  <si>
    <t>Mujhe id lena h kya process karna hoga please help me</t>
  </si>
  <si>
    <t>2024-01-01 12:01:02</t>
  </si>
  <si>
    <t>2024-01-01 11:42:11</t>
  </si>
  <si>
    <t>Me spice money se Kam se Kam 3 se 4 saal se juda hun magar hume aaj tak spice money se koi bhi स्कीम और अन्य फायदे नही मिला है किर्पया करके आप कुछ ऐसा करे की hume bhi kuch subhidha mil sake</t>
  </si>
  <si>
    <t>2024-01-01 11:23:55</t>
  </si>
  <si>
    <t>@@SpiceMoneyOfficial siyar kiya tha koi reply nahin aaya hai problem bhi solve nahin hua</t>
  </si>
  <si>
    <t>2024-01-01 11:18:48</t>
  </si>
  <si>
    <t>2024-01-01 11:16:02</t>
  </si>
  <si>
    <t>2024-01-01 11:14:21</t>
  </si>
  <si>
    <t>2024-01-01 11:13:52</t>
  </si>
  <si>
    <t>I hope this year turns out to be the best year of your life and your family too. HNY 2024!</t>
  </si>
  <si>
    <t>2024-01-01 11:01:17</t>
  </si>
  <si>
    <t>@Shobhitvar97831 @SonuSood @narendramodi @PMOIndia @myogiadityanath @myogioffice @AmitShah प्रिय महोदय, नमस्कार! हम आपसे संपर्क करने का प्रयास कर रहे हैं  लेकिन आपका नंबर Not contactable है। कृपया अपना Contact details और suitable times साझा करें। सादर, टीम स्पाइस मनी</t>
  </si>
  <si>
    <t>2024-01-01 10:51:30</t>
  </si>
  <si>
    <t>Contact number send me</t>
  </si>
  <si>
    <t>2024-01-01 10:51:18</t>
  </si>
  <si>
    <t>OTP nahin aata hai dikhata hai ki ybl KYC jabki Mera complete hai ybl KYC</t>
  </si>
  <si>
    <t>2024-01-01 10:46:43</t>
  </si>
  <si>
    <t>happy new year dear my ID is block please restart my ID</t>
  </si>
  <si>
    <t>2024-01-01 10:24:48</t>
  </si>
  <si>
    <t>2024-01-01 09:40:24</t>
  </si>
  <si>
    <t>2024-01-01 09:35:08</t>
  </si>
  <si>
    <t>नया साल किसी किताब के नए पन्ने की तरह होता है। इसलिए कलम को थामकर अपने लिए एक अद्भुत कहानी बनाएं। नया साल मुबारक हो 2024</t>
  </si>
  <si>
    <t>2024-01-01 09:32:06</t>
  </si>
  <si>
    <t>2024-01-01 09:29:15</t>
  </si>
  <si>
    <t>Happy New Year Wishes
नया साल नई उम्मीदें लेकर आया है,
जीवन में नया प्रकाश लाए,
हर कदम पर सफलता का साथ दे,
नव वर्ष की हार्दिक शुभकामनाएं!
Happy New Year Wishes</t>
  </si>
  <si>
    <t>2024-01-01 09:20:50</t>
  </si>
  <si>
    <t>2024-01-01 09:17:50</t>
  </si>
  <si>
    <t>@Shaikhjavedms Dear Sir, Greetings! Hamare grahak sewa adhikari aapse jald hi sampark karenge. Regards, Team Spice Money</t>
  </si>
  <si>
    <t>2024-01-01 09:13:25</t>
  </si>
  <si>
    <t>@djbesskingazamgarh8519</t>
  </si>
  <si>
    <t>2024-01-01 08:55:38</t>
  </si>
  <si>
    <t>2024-01-01 08:32:51</t>
  </si>
  <si>
    <t>2024-01-01 08:28:13</t>
  </si>
  <si>
    <t>@saddamkarma Dear Sir, Greetings! Hamare grahak sewa adhikari aapse jald hi sampark karenge. Regards, Team Spice Money</t>
  </si>
  <si>
    <t>2024-01-01 08:25:27</t>
  </si>
  <si>
    <t>2024-01-01 08:21:54</t>
  </si>
  <si>
    <t>@rajkumarrawatarmylover7109</t>
  </si>
  <si>
    <t>Spice money bale aproval nahi de rhe hai</t>
  </si>
  <si>
    <t>2024-01-01 08:16:29</t>
  </si>
  <si>
    <t>@SukhdevKumar-wo7lq</t>
  </si>
  <si>
    <t>Happy New YEAR 🎊🎊</t>
  </si>
  <si>
    <t>2024-01-01 07:45:54</t>
  </si>
  <si>
    <t>Sir aapke adhikari to bhag rahe he relipay me service activate kijiye ( pan + umang) kam nahi kar raha he</t>
  </si>
  <si>
    <t>2024-01-01 07:18:18</t>
  </si>
  <si>
    <t>Happy new year 01,01,2024</t>
  </si>
  <si>
    <t>2024-01-01 06:56:31</t>
  </si>
  <si>
    <t>Happy new year 1.1.2024</t>
  </si>
  <si>
    <t>2024-01-01 05:31:07</t>
  </si>
  <si>
    <t>T shirt kaise milenge sir</t>
  </si>
  <si>
    <t>2024-01-01 04:51:54</t>
  </si>
  <si>
    <t>Spice many app se paesa nahi Nikal raha hae fail likh raha hae sbi,Baroda up gramid unian</t>
  </si>
  <si>
    <t>2024-01-01 03:56:05</t>
  </si>
  <si>
    <t>2024-01-01 02:29:34</t>
  </si>
  <si>
    <t>MANY many happy returns of the day</t>
  </si>
  <si>
    <t>2024-01-01 00:41:48</t>
  </si>
  <si>
    <t>Happy NEW year ❤️</t>
  </si>
  <si>
    <t>2024-01-01 00:22:18</t>
  </si>
  <si>
    <t>2024-01-01 00:04:34</t>
  </si>
  <si>
    <t>News</t>
  </si>
  <si>
    <t>Spice Money (a subsidiary of DiGiSPICE Technologies), India&amp;#39;s ... financial services platform for Emerging India. Mr. Harsh Mittal, Chief Product&amp;nbsp;...Spice Money Bolsters Leadership for Driving Innovation and Growth in Emerging India</t>
  </si>
  <si>
    <t>2024-02-07 15:57:53</t>
  </si>
  <si>
    <t>https://cxotoday.com/press-release/spice-money-bolsters-leadership-for-driving-innovation-and-growth-in-emerging-india/</t>
  </si>
  <si>
    <t>cxotoday</t>
  </si>
  <si>
    <t>Spice Money is expanding its services from assisted payment ... digital financial services here underscore the region&amp;#39;s readiness to embrace the digital&amp;nbsp;...Spice Money&amp;#39;s Adhikari Network Surges 35.8% in Karnataka - Business News This Week</t>
  </si>
  <si>
    <t>2024-01-21 01:27:00</t>
  </si>
  <si>
    <t>https://businessnewsthisweek.com/business/spice-moneys-adhikari-network-surges-35-8-in-karnataka/</t>
  </si>
  <si>
    <t>businessnewsthisweek</t>
  </si>
  <si>
    <t>RBI Levies Rs 1 Cr Fine Each On Mobikwik and Spice Money; Know Why&amp;nbsp;&amp;nbsp;The420.inRBI Levies Rs 1 Cr Fine Each On Mobikwik and Spice Money; Know Why - The420.in</t>
  </si>
  <si>
    <t>2024-01-18 13:11:15</t>
  </si>
  <si>
    <t>https://news.google.com/rss/articles/CBMiWGh0dHBzOi8vd3d3LnRoZTQyMC5pbi9yYmktbGV2aWVzLXJzLTEtY3ItZmluZS1lYWNoLW9uLW1vYmlrd2lrLWFuZC1zcGljZS1tb25leS1rbm93LXdoeS_SAQA?oc=5</t>
  </si>
  <si>
    <t>google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</si>
</sst>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profile.php?id=61555204873454&amp;mibextid=9R9pXO" TargetMode="External"/><Relationship Id="rId3" Type="http://schemas.openxmlformats.org/officeDocument/2006/relationships/hyperlink" Target="https://t.co/q0q7iM467s%20%0a%20%20Quoted%20Tweet%20:%20@Tulsi4Nation%20:%20@SpiceMoneyIndia%20Alert!%20Retailer%20Prdeep%20Kumar%20Sahu%20faced%20security%20breach%20with%20three%20lakh%20rupees%20automatically%20deducted%20and%20transferred%20to%20various%20accounts,%20each%20with%20different%20sender%20name.%20Urgent%20action%20needed" TargetMode="External"/><Relationship Id="rId7" Type="http://schemas.openxmlformats.org/officeDocument/2006/relationships/hyperlink" Target="https://www.facebook.com/profile.php?id=61555204873454&amp;mibextid=9R9pXO" TargetMode="External"/><Relationship Id="rId12" Type="http://schemas.openxmlformats.org/officeDocument/2006/relationships/hyperlink" Target="https://news.google.com/rss/articles/CBMiWGh0dHBzOi8vd3d3LnRoZTQyMC5pbi9yYmktbGV2aWVzLXJzLTEtY3ItZmluZS1lYWNoLW9uLW1vYmlrd2lrLWFuZC1zcGljZS1tb25leS1rbm93LXdoeS_SAQA?oc=5" TargetMode="External"/><Relationship Id="rId2" Type="http://schemas.openxmlformats.org/officeDocument/2006/relationships/hyperlink" Target="https://t.me/+ULELZ8dPM4h4K2N6" TargetMode="External"/><Relationship Id="rId1" Type="http://schemas.openxmlformats.org/officeDocument/2006/relationships/hyperlink" Target="https://t.co/En4uRs5ru7%20%0a%20%20Quoted%20Tweet%20:%20@yogendra_raturi%20:%20@ICICIBank%20@ICICIBank_Care%20@narendramodi%20@RBI%0a@nsitharamanoffc%20@nsitharaman%20@SpiceMoneyIndia%20@jagograhakjago%20@consumerforum_%20&#2350;&#2375;&#2352;&#2368;%2010k%20&#2325;&#2368;%20&#2335;&#2381;&#2352;&#2366;&#2306;&#2360;&#2375;&#2325;&#2381;&#2358;&#2344;%20&#2325;&#2366;%20&#2309;&#2349;&#2368;%20&#2340;&#2325;%20&#2352;&#2367;&#2347;&#2306;&#2337;%20&#2344;&#2361;&#2368;%20&#2361;&#2369;&#2310;%20&#2361;&#2376;&#2306;%20&#2325;&#2371;&#2346;&#2351;&#2366;%20&#2360;&#2306;&#2332;&#2381;&#2334;&#2366;&#2344;%20&#2354;&#2375;%20,&#2360;&#2349;&#2368;%20&#2332;&#2366;&#2344;&#2325;&#2366;&#2352;&#2367;&#2351;&#2366;&#2306;%20&#2360;&#2381;&#2325;&#2381;&#2352;&#2368;&#2344;%20&#2360;&#2377;&#2352;&#2381;&#2335;%20&#2325;&#2375;%20&#2350;&#2366;&#2343;&#2381;&#2351;&#2350;%20&#2360;&#2375;%20&#2360;&#2354;&#2327;&#2381;&#2344;%20&#2361;&#2376;&#2306;%20https:/t.co/Hlyj42wbzo" TargetMode="External"/><Relationship Id="rId6" Type="http://schemas.openxmlformats.org/officeDocument/2006/relationships/hyperlink" Target="https://www.facebook.com/profile.php?id=61555204873454&amp;mibextid=ZbWKwL" TargetMode="External"/><Relationship Id="rId11" Type="http://schemas.openxmlformats.org/officeDocument/2006/relationships/hyperlink" Target="https://businessnewsthisweek.com/business/spice-moneys-adhikari-network-surges-35-8-in-karnataka/" TargetMode="External"/><Relationship Id="rId5" Type="http://schemas.openxmlformats.org/officeDocument/2006/relationships/hyperlink" Target="https://www.facebook.com/profile.php?id=61555204873454&amp;mibextid=ZbWKwL" TargetMode="External"/><Relationship Id="rId10" Type="http://schemas.openxmlformats.org/officeDocument/2006/relationships/hyperlink" Target="https://cxotoday.com/press-release/spice-money-bolsters-leadership-for-driving-innovation-and-growth-in-emerging-india/" TargetMode="External"/><Relationship Id="rId4" Type="http://schemas.openxmlformats.org/officeDocument/2006/relationships/hyperlink" Target="https://www.facebook.com/profile.php?id=61555204873454&amp;mibextid=ZbWKwL" TargetMode="External"/><Relationship Id="rId9" Type="http://schemas.openxmlformats.org/officeDocument/2006/relationships/hyperlink" Target="https://www.facebook.com/profile.php?id=61555204873454&amp;mibextid=9R9pX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658"/>
  <sheetViews>
    <sheetView tabSelected="1" workbookViewId="0"/>
  </sheetViews>
  <sheetFormatPr defaultRowHeight="14.5" x14ac:dyDescent="0.35"/>
  <sheetData>
    <row r="1" spans="1:4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35">
      <c r="A2" t="s">
        <v>45</v>
      </c>
      <c r="B2" t="s">
        <v>46</v>
      </c>
      <c r="C2" t="s">
        <v>47</v>
      </c>
      <c r="D2" t="s">
        <v>48</v>
      </c>
      <c r="E2" t="s">
        <v>48</v>
      </c>
      <c r="F2" t="s">
        <v>49</v>
      </c>
      <c r="G2" t="s">
        <v>50</v>
      </c>
      <c r="H2" t="s">
        <v>51</v>
      </c>
      <c r="J2" t="str">
        <f>HYPERLINK("https://www.youtube.com/watch?v=7pMfSyYFp5U&amp;lc=Ugy-GttHERH3jFBOrnl4AaABAg","https://www.youtube.com/watch?v=7pMfSyYFp5U&amp;lc=Ugy-GttHERH3jFBOrnl4AaABAg")</f>
        <v>https://www.youtube.com/watch?v=7pMfSyYFp5U&amp;lc=Ugy-GttHERH3jFBOrnl4AaABAg</v>
      </c>
      <c r="O2">
        <v>0</v>
      </c>
      <c r="P2">
        <v>0</v>
      </c>
      <c r="Q2">
        <v>0</v>
      </c>
      <c r="S2">
        <v>0</v>
      </c>
      <c r="T2">
        <v>0</v>
      </c>
      <c r="U2">
        <v>0</v>
      </c>
      <c r="W2" t="s">
        <v>52</v>
      </c>
    </row>
    <row r="3" spans="1:45" x14ac:dyDescent="0.35">
      <c r="A3" t="s">
        <v>45</v>
      </c>
      <c r="B3" t="s">
        <v>46</v>
      </c>
      <c r="C3" t="s">
        <v>47</v>
      </c>
      <c r="D3" t="s">
        <v>53</v>
      </c>
      <c r="E3" t="s">
        <v>53</v>
      </c>
      <c r="F3" t="s">
        <v>54</v>
      </c>
      <c r="G3" t="s">
        <v>55</v>
      </c>
      <c r="H3" t="s">
        <v>56</v>
      </c>
      <c r="J3" t="str">
        <f>HYPERLINK("https://www.youtube.com/watch?v=ThXQf6FaaYw&amp;lc=Ugy9UxN623_d4lmaKIh4AaABAg","https://www.youtube.com/watch?v=ThXQf6FaaYw&amp;lc=Ugy9UxN623_d4lmaKIh4AaABAg")</f>
        <v>https://www.youtube.com/watch?v=ThXQf6FaaYw&amp;lc=Ugy9UxN623_d4lmaKIh4AaABAg</v>
      </c>
      <c r="O3">
        <v>0</v>
      </c>
      <c r="P3">
        <v>0</v>
      </c>
      <c r="Q3">
        <v>0</v>
      </c>
      <c r="S3">
        <v>0</v>
      </c>
      <c r="T3">
        <v>0</v>
      </c>
      <c r="U3">
        <v>0</v>
      </c>
      <c r="W3" t="s">
        <v>52</v>
      </c>
    </row>
    <row r="4" spans="1:45" x14ac:dyDescent="0.35">
      <c r="A4" t="s">
        <v>45</v>
      </c>
      <c r="B4" t="s">
        <v>46</v>
      </c>
      <c r="C4" t="s">
        <v>47</v>
      </c>
      <c r="D4" t="s">
        <v>57</v>
      </c>
      <c r="E4" t="s">
        <v>57</v>
      </c>
      <c r="F4" t="s">
        <v>49</v>
      </c>
      <c r="G4" t="s">
        <v>58</v>
      </c>
      <c r="H4" t="s">
        <v>59</v>
      </c>
      <c r="J4" t="str">
        <f>HYPERLINK("https://www.youtube.com/watch?v=7pMfSyYFp5U&amp;lc=UgypuAFXU8OXxMoSZ1F4AaABAg","https://www.youtube.com/watch?v=7pMfSyYFp5U&amp;lc=UgypuAFXU8OXxMoSZ1F4AaABAg")</f>
        <v>https://www.youtube.com/watch?v=7pMfSyYFp5U&amp;lc=UgypuAFXU8OXxMoSZ1F4AaABAg</v>
      </c>
      <c r="O4">
        <v>0</v>
      </c>
      <c r="P4">
        <v>0</v>
      </c>
      <c r="Q4">
        <v>0</v>
      </c>
      <c r="S4">
        <v>0</v>
      </c>
      <c r="T4">
        <v>0</v>
      </c>
      <c r="U4">
        <v>0</v>
      </c>
      <c r="W4" t="s">
        <v>52</v>
      </c>
    </row>
    <row r="5" spans="1:45" x14ac:dyDescent="0.35">
      <c r="A5" t="s">
        <v>45</v>
      </c>
      <c r="B5" t="s">
        <v>46</v>
      </c>
      <c r="C5" t="s">
        <v>60</v>
      </c>
      <c r="D5" t="s">
        <v>61</v>
      </c>
      <c r="E5" t="s">
        <v>61</v>
      </c>
      <c r="F5" t="s">
        <v>49</v>
      </c>
      <c r="G5" t="s">
        <v>62</v>
      </c>
      <c r="H5" t="s">
        <v>63</v>
      </c>
      <c r="J5" t="str">
        <f>HYPERLINK("https://www.facebook.com/634639855377280/posts/818154200359177?comment_id=1123075782374619","https://www.facebook.com/634639855377280/posts/818154200359177?comment_id=1123075782374619")</f>
        <v>https://www.facebook.com/634639855377280/posts/818154200359177?comment_id=1123075782374619</v>
      </c>
      <c r="O5">
        <v>0</v>
      </c>
      <c r="P5">
        <v>0</v>
      </c>
      <c r="Q5">
        <v>0</v>
      </c>
      <c r="S5">
        <v>0</v>
      </c>
      <c r="T5">
        <v>0</v>
      </c>
      <c r="U5">
        <v>0</v>
      </c>
      <c r="W5" t="s">
        <v>52</v>
      </c>
    </row>
    <row r="6" spans="1:45" x14ac:dyDescent="0.35">
      <c r="A6" t="s">
        <v>45</v>
      </c>
      <c r="B6" t="s">
        <v>46</v>
      </c>
      <c r="C6" t="s">
        <v>60</v>
      </c>
      <c r="D6" t="s">
        <v>64</v>
      </c>
      <c r="E6" t="s">
        <v>64</v>
      </c>
      <c r="F6" t="s">
        <v>49</v>
      </c>
      <c r="G6" t="s">
        <v>65</v>
      </c>
      <c r="H6" t="s">
        <v>66</v>
      </c>
      <c r="J6" t="str">
        <f>HYPERLINK("https://www.facebook.com/634639855377280/posts/818154200359177?comment_id=803191058376669&amp;reply_comment_id=1532542400650452","https://www.facebook.com/634639855377280/posts/818154200359177?comment_id=803191058376669&amp;reply_comment_id=1532542400650452")</f>
        <v>https://www.facebook.com/634639855377280/posts/818154200359177?comment_id=803191058376669&amp;reply_comment_id=1532542400650452</v>
      </c>
      <c r="K6" t="s">
        <v>67</v>
      </c>
      <c r="O6">
        <v>0</v>
      </c>
      <c r="P6">
        <v>0</v>
      </c>
      <c r="Q6">
        <v>0</v>
      </c>
      <c r="S6">
        <v>0</v>
      </c>
      <c r="T6">
        <v>0</v>
      </c>
      <c r="U6">
        <v>0</v>
      </c>
      <c r="W6" t="s">
        <v>52</v>
      </c>
    </row>
    <row r="7" spans="1:45" x14ac:dyDescent="0.35">
      <c r="A7" t="s">
        <v>45</v>
      </c>
      <c r="B7" t="s">
        <v>46</v>
      </c>
      <c r="C7" t="s">
        <v>47</v>
      </c>
      <c r="D7" t="s">
        <v>68</v>
      </c>
      <c r="E7" t="s">
        <v>68</v>
      </c>
      <c r="F7" t="s">
        <v>49</v>
      </c>
      <c r="G7" t="s">
        <v>69</v>
      </c>
      <c r="H7" t="s">
        <v>70</v>
      </c>
      <c r="J7" t="str">
        <f>HYPERLINK("https://www.youtube.com/watch?v=7pMfSyYFp5U&amp;lc=Ugxu49Y7HIqMkMDXpJd4AaABAg.A1dgXef2tzwA1dr1kvEuNf","https://www.youtube.com/watch?v=7pMfSyYFp5U&amp;lc=Ugxu49Y7HIqMkMDXpJd4AaABAg.A1dgXef2tzwA1dr1kvEuNf")</f>
        <v>https://www.youtube.com/watch?v=7pMfSyYFp5U&amp;lc=Ugxu49Y7HIqMkMDXpJd4AaABAg.A1dgXef2tzwA1dr1kvEuNf</v>
      </c>
      <c r="O7">
        <v>0</v>
      </c>
      <c r="P7">
        <v>0</v>
      </c>
      <c r="Q7">
        <v>0</v>
      </c>
      <c r="S7">
        <v>0</v>
      </c>
      <c r="T7">
        <v>0</v>
      </c>
      <c r="U7">
        <v>0</v>
      </c>
      <c r="W7" t="s">
        <v>52</v>
      </c>
    </row>
    <row r="8" spans="1:45" x14ac:dyDescent="0.35">
      <c r="A8" t="s">
        <v>45</v>
      </c>
      <c r="B8" t="s">
        <v>46</v>
      </c>
      <c r="C8" t="s">
        <v>60</v>
      </c>
      <c r="D8" t="s">
        <v>64</v>
      </c>
      <c r="E8" t="s">
        <v>64</v>
      </c>
      <c r="F8" t="s">
        <v>49</v>
      </c>
      <c r="G8" t="s">
        <v>71</v>
      </c>
      <c r="H8" t="s">
        <v>72</v>
      </c>
      <c r="J8" t="str">
        <f>HYPERLINK("https://www.facebook.com/634639855377280/posts/818154200359177?comment_id=725862016284707&amp;reply_comment_id=381956111426221","https://www.facebook.com/634639855377280/posts/818154200359177?comment_id=725862016284707&amp;reply_comment_id=381956111426221")</f>
        <v>https://www.facebook.com/634639855377280/posts/818154200359177?comment_id=725862016284707&amp;reply_comment_id=381956111426221</v>
      </c>
      <c r="K8" t="s">
        <v>67</v>
      </c>
      <c r="O8">
        <v>0</v>
      </c>
      <c r="P8">
        <v>0</v>
      </c>
      <c r="Q8">
        <v>0</v>
      </c>
      <c r="S8">
        <v>0</v>
      </c>
      <c r="T8">
        <v>0</v>
      </c>
      <c r="U8">
        <v>0</v>
      </c>
      <c r="W8" t="s">
        <v>52</v>
      </c>
    </row>
    <row r="9" spans="1:45" x14ac:dyDescent="0.35">
      <c r="A9" t="s">
        <v>45</v>
      </c>
      <c r="B9" t="s">
        <v>46</v>
      </c>
      <c r="C9" t="s">
        <v>60</v>
      </c>
      <c r="D9" t="s">
        <v>61</v>
      </c>
      <c r="E9" t="s">
        <v>61</v>
      </c>
      <c r="F9" t="s">
        <v>49</v>
      </c>
      <c r="G9" t="s">
        <v>73</v>
      </c>
      <c r="H9" t="s">
        <v>74</v>
      </c>
      <c r="J9" t="str">
        <f>HYPERLINK("https://www.facebook.com/634639855377280/posts/818154200359177?comment_id=803191058376669","https://www.facebook.com/634639855377280/posts/818154200359177?comment_id=803191058376669")</f>
        <v>https://www.facebook.com/634639855377280/posts/818154200359177?comment_id=803191058376669</v>
      </c>
      <c r="O9">
        <v>0</v>
      </c>
      <c r="P9">
        <v>0</v>
      </c>
      <c r="Q9">
        <v>0</v>
      </c>
      <c r="S9">
        <v>0</v>
      </c>
      <c r="T9">
        <v>0</v>
      </c>
      <c r="U9">
        <v>0</v>
      </c>
      <c r="W9" t="s">
        <v>52</v>
      </c>
    </row>
    <row r="10" spans="1:45" x14ac:dyDescent="0.35">
      <c r="A10" t="s">
        <v>45</v>
      </c>
      <c r="B10" t="s">
        <v>46</v>
      </c>
      <c r="C10" t="s">
        <v>60</v>
      </c>
      <c r="D10" t="s">
        <v>61</v>
      </c>
      <c r="E10" t="s">
        <v>61</v>
      </c>
      <c r="F10" t="s">
        <v>49</v>
      </c>
      <c r="G10" t="s">
        <v>75</v>
      </c>
      <c r="H10" t="s">
        <v>76</v>
      </c>
      <c r="J10" t="str">
        <f>HYPERLINK("https://www.facebook.com/634639855377280/posts/818154200359177?comment_id=725862016284707&amp;reply_comment_id=1617162995766743","https://www.facebook.com/634639855377280/posts/818154200359177?comment_id=725862016284707&amp;reply_comment_id=1617162995766743")</f>
        <v>https://www.facebook.com/634639855377280/posts/818154200359177?comment_id=725862016284707&amp;reply_comment_id=1617162995766743</v>
      </c>
      <c r="O10">
        <v>0</v>
      </c>
      <c r="P10">
        <v>0</v>
      </c>
      <c r="Q10">
        <v>0</v>
      </c>
      <c r="S10">
        <v>0</v>
      </c>
      <c r="T10">
        <v>0</v>
      </c>
      <c r="U10">
        <v>0</v>
      </c>
      <c r="W10" t="s">
        <v>52</v>
      </c>
    </row>
    <row r="11" spans="1:45" x14ac:dyDescent="0.35">
      <c r="A11" t="s">
        <v>45</v>
      </c>
      <c r="B11" t="s">
        <v>46</v>
      </c>
      <c r="C11" t="s">
        <v>60</v>
      </c>
      <c r="D11" t="s">
        <v>61</v>
      </c>
      <c r="E11" t="s">
        <v>61</v>
      </c>
      <c r="F11" t="s">
        <v>49</v>
      </c>
      <c r="G11" t="s">
        <v>77</v>
      </c>
      <c r="H11" t="s">
        <v>78</v>
      </c>
      <c r="J11" t="str">
        <f>HYPERLINK("https://www.facebook.com/634639855377280/posts/818154200359177?comment_id=725862016284707&amp;reply_comment_id=1532422063986319","https://www.facebook.com/634639855377280/posts/818154200359177?comment_id=725862016284707&amp;reply_comment_id=1532422063986319")</f>
        <v>https://www.facebook.com/634639855377280/posts/818154200359177?comment_id=725862016284707&amp;reply_comment_id=1532422063986319</v>
      </c>
      <c r="O11">
        <v>0</v>
      </c>
      <c r="P11">
        <v>0</v>
      </c>
      <c r="Q11">
        <v>0</v>
      </c>
      <c r="S11">
        <v>0</v>
      </c>
      <c r="T11">
        <v>0</v>
      </c>
      <c r="U11">
        <v>0</v>
      </c>
      <c r="W11" t="s">
        <v>52</v>
      </c>
    </row>
    <row r="12" spans="1:45" x14ac:dyDescent="0.35">
      <c r="A12" t="s">
        <v>45</v>
      </c>
      <c r="B12" t="s">
        <v>46</v>
      </c>
      <c r="C12" t="s">
        <v>47</v>
      </c>
      <c r="D12" t="s">
        <v>68</v>
      </c>
      <c r="E12" t="s">
        <v>68</v>
      </c>
      <c r="F12" t="s">
        <v>49</v>
      </c>
      <c r="G12" t="s">
        <v>79</v>
      </c>
      <c r="H12" t="s">
        <v>80</v>
      </c>
      <c r="J12" t="str">
        <f>HYPERLINK("https://www.youtube.com/watch?v=Cz4v5w1J8dE&amp;lc=UgxEBuCM8LTGUawCPm14AaABAg.A1bchWzD9Q8A1dnp25JyS6","https://www.youtube.com/watch?v=Cz4v5w1J8dE&amp;lc=UgxEBuCM8LTGUawCPm14AaABAg.A1bchWzD9Q8A1dnp25JyS6")</f>
        <v>https://www.youtube.com/watch?v=Cz4v5w1J8dE&amp;lc=UgxEBuCM8LTGUawCPm14AaABAg.A1bchWzD9Q8A1dnp25JyS6</v>
      </c>
      <c r="O12">
        <v>0</v>
      </c>
      <c r="P12">
        <v>0</v>
      </c>
      <c r="Q12">
        <v>0</v>
      </c>
      <c r="S12">
        <v>0</v>
      </c>
      <c r="T12">
        <v>0</v>
      </c>
      <c r="U12">
        <v>0</v>
      </c>
      <c r="W12" t="s">
        <v>52</v>
      </c>
    </row>
    <row r="13" spans="1:45" x14ac:dyDescent="0.35">
      <c r="A13" t="s">
        <v>45</v>
      </c>
      <c r="B13" t="s">
        <v>46</v>
      </c>
      <c r="C13" t="s">
        <v>47</v>
      </c>
      <c r="D13" t="s">
        <v>68</v>
      </c>
      <c r="E13" t="s">
        <v>68</v>
      </c>
      <c r="F13" t="s">
        <v>49</v>
      </c>
      <c r="G13" t="s">
        <v>81</v>
      </c>
      <c r="H13" t="s">
        <v>82</v>
      </c>
      <c r="J13" t="str">
        <f>HYPERLINK("https://www.youtube.com/watch?v=Cz4v5w1J8dE&amp;lc=Ugw9FDOsSp2RtZuYDZx4AaABAg.A1dFzRy_sE9A1dngN0A5xH","https://www.youtube.com/watch?v=Cz4v5w1J8dE&amp;lc=Ugw9FDOsSp2RtZuYDZx4AaABAg.A1dFzRy_sE9A1dngN0A5xH")</f>
        <v>https://www.youtube.com/watch?v=Cz4v5w1J8dE&amp;lc=Ugw9FDOsSp2RtZuYDZx4AaABAg.A1dFzRy_sE9A1dngN0A5xH</v>
      </c>
      <c r="O13">
        <v>0</v>
      </c>
      <c r="P13">
        <v>0</v>
      </c>
      <c r="Q13">
        <v>0</v>
      </c>
      <c r="S13">
        <v>0</v>
      </c>
      <c r="T13">
        <v>0</v>
      </c>
      <c r="U13">
        <v>0</v>
      </c>
      <c r="W13" t="s">
        <v>52</v>
      </c>
    </row>
    <row r="14" spans="1:45" x14ac:dyDescent="0.35">
      <c r="A14" t="s">
        <v>45</v>
      </c>
      <c r="B14" t="s">
        <v>46</v>
      </c>
      <c r="C14" t="s">
        <v>60</v>
      </c>
      <c r="D14" t="s">
        <v>64</v>
      </c>
      <c r="E14" t="s">
        <v>64</v>
      </c>
      <c r="F14" t="s">
        <v>49</v>
      </c>
      <c r="G14" t="s">
        <v>83</v>
      </c>
      <c r="H14" t="s">
        <v>84</v>
      </c>
      <c r="J14" t="str">
        <f>HYPERLINK("https://www.facebook.com/634639855377280/posts/817402500434347?comment_id=928412799060281&amp;reply_comment_id=1190198859024479","https://www.facebook.com/634639855377280/posts/817402500434347?comment_id=928412799060281&amp;reply_comment_id=1190198859024479")</f>
        <v>https://www.facebook.com/634639855377280/posts/817402500434347?comment_id=928412799060281&amp;reply_comment_id=1190198859024479</v>
      </c>
      <c r="K14" t="s">
        <v>67</v>
      </c>
      <c r="O14">
        <v>0</v>
      </c>
      <c r="P14">
        <v>0</v>
      </c>
      <c r="Q14">
        <v>0</v>
      </c>
      <c r="S14">
        <v>0</v>
      </c>
      <c r="T14">
        <v>0</v>
      </c>
      <c r="U14">
        <v>0</v>
      </c>
      <c r="W14" t="s">
        <v>52</v>
      </c>
    </row>
    <row r="15" spans="1:45" x14ac:dyDescent="0.35">
      <c r="A15" t="s">
        <v>45</v>
      </c>
      <c r="B15" t="s">
        <v>46</v>
      </c>
      <c r="C15" t="s">
        <v>60</v>
      </c>
      <c r="D15" t="s">
        <v>64</v>
      </c>
      <c r="E15" t="s">
        <v>64</v>
      </c>
      <c r="F15" t="s">
        <v>49</v>
      </c>
      <c r="G15" t="s">
        <v>85</v>
      </c>
      <c r="H15" t="s">
        <v>86</v>
      </c>
      <c r="J15" t="str">
        <f>HYPERLINK("https://www.facebook.com/634639855377280/posts/818033483704582?comment_id=450262467430866&amp;reply_comment_id=772463077926322","https://www.facebook.com/634639855377280/posts/818033483704582?comment_id=450262467430866&amp;reply_comment_id=772463077926322")</f>
        <v>https://www.facebook.com/634639855377280/posts/818033483704582?comment_id=450262467430866&amp;reply_comment_id=772463077926322</v>
      </c>
      <c r="K15" t="s">
        <v>67</v>
      </c>
      <c r="O15">
        <v>0</v>
      </c>
      <c r="P15">
        <v>0</v>
      </c>
      <c r="Q15">
        <v>0</v>
      </c>
      <c r="S15">
        <v>0</v>
      </c>
      <c r="T15">
        <v>0</v>
      </c>
      <c r="U15">
        <v>0</v>
      </c>
      <c r="W15" t="s">
        <v>52</v>
      </c>
    </row>
    <row r="16" spans="1:45" x14ac:dyDescent="0.35">
      <c r="A16" t="s">
        <v>45</v>
      </c>
      <c r="B16" t="s">
        <v>46</v>
      </c>
      <c r="C16" t="s">
        <v>60</v>
      </c>
      <c r="D16" t="s">
        <v>64</v>
      </c>
      <c r="E16" t="s">
        <v>64</v>
      </c>
      <c r="F16" t="s">
        <v>49</v>
      </c>
      <c r="G16" t="s">
        <v>83</v>
      </c>
      <c r="H16" t="s">
        <v>87</v>
      </c>
      <c r="J16" t="str">
        <f>HYPERLINK("https://www.facebook.com/634639855377280/posts/818154200359177?comment_id=2183172568691263&amp;reply_comment_id=7951862334841367","https://www.facebook.com/634639855377280/posts/818154200359177?comment_id=2183172568691263&amp;reply_comment_id=7951862334841367")</f>
        <v>https://www.facebook.com/634639855377280/posts/818154200359177?comment_id=2183172568691263&amp;reply_comment_id=7951862334841367</v>
      </c>
      <c r="K16" t="s">
        <v>67</v>
      </c>
      <c r="O16">
        <v>0</v>
      </c>
      <c r="P16">
        <v>0</v>
      </c>
      <c r="Q16">
        <v>0</v>
      </c>
      <c r="S16">
        <v>0</v>
      </c>
      <c r="T16">
        <v>0</v>
      </c>
      <c r="U16">
        <v>0</v>
      </c>
      <c r="W16" t="s">
        <v>52</v>
      </c>
    </row>
    <row r="17" spans="1:23" x14ac:dyDescent="0.35">
      <c r="A17" t="s">
        <v>45</v>
      </c>
      <c r="B17" t="s">
        <v>46</v>
      </c>
      <c r="C17" t="s">
        <v>60</v>
      </c>
      <c r="D17" t="s">
        <v>61</v>
      </c>
      <c r="E17" t="s">
        <v>61</v>
      </c>
      <c r="F17" t="s">
        <v>49</v>
      </c>
      <c r="G17" t="s">
        <v>88</v>
      </c>
      <c r="H17" t="s">
        <v>89</v>
      </c>
      <c r="J17" t="str">
        <f>HYPERLINK("https://www.facebook.com/634639855377280/posts/817402500434347?comment_id=928412799060281","https://www.facebook.com/634639855377280/posts/817402500434347?comment_id=928412799060281")</f>
        <v>https://www.facebook.com/634639855377280/posts/817402500434347?comment_id=928412799060281</v>
      </c>
      <c r="O17">
        <v>0</v>
      </c>
      <c r="P17">
        <v>0</v>
      </c>
      <c r="Q17">
        <v>0</v>
      </c>
      <c r="S17">
        <v>0</v>
      </c>
      <c r="T17">
        <v>0</v>
      </c>
      <c r="U17">
        <v>0</v>
      </c>
      <c r="W17" t="s">
        <v>52</v>
      </c>
    </row>
    <row r="18" spans="1:23" x14ac:dyDescent="0.35">
      <c r="A18" t="s">
        <v>45</v>
      </c>
      <c r="B18" t="s">
        <v>46</v>
      </c>
      <c r="C18" t="s">
        <v>47</v>
      </c>
      <c r="D18" t="s">
        <v>90</v>
      </c>
      <c r="E18" t="s">
        <v>90</v>
      </c>
      <c r="F18" t="s">
        <v>49</v>
      </c>
      <c r="G18" t="s">
        <v>91</v>
      </c>
      <c r="H18" t="s">
        <v>92</v>
      </c>
      <c r="J18" t="str">
        <f>HYPERLINK("https://www.youtube.com/watch?v=7pMfSyYFp5U&amp;lc=Ugxu49Y7HIqMkMDXpJd4AaABAg","https://www.youtube.com/watch?v=7pMfSyYFp5U&amp;lc=Ugxu49Y7HIqMkMDXpJd4AaABAg")</f>
        <v>https://www.youtube.com/watch?v=7pMfSyYFp5U&amp;lc=Ugxu49Y7HIqMkMDXpJd4AaABAg</v>
      </c>
      <c r="O18">
        <v>0</v>
      </c>
      <c r="P18">
        <v>0</v>
      </c>
      <c r="Q18">
        <v>0</v>
      </c>
      <c r="S18">
        <v>0</v>
      </c>
      <c r="T18">
        <v>0</v>
      </c>
      <c r="U18">
        <v>0</v>
      </c>
      <c r="W18" t="s">
        <v>52</v>
      </c>
    </row>
    <row r="19" spans="1:23" x14ac:dyDescent="0.35">
      <c r="A19" t="s">
        <v>45</v>
      </c>
      <c r="B19" t="s">
        <v>46</v>
      </c>
      <c r="C19" t="s">
        <v>93</v>
      </c>
      <c r="D19" t="s">
        <v>94</v>
      </c>
      <c r="E19" t="s">
        <v>45</v>
      </c>
      <c r="F19" t="s">
        <v>49</v>
      </c>
      <c r="G19" t="s">
        <v>95</v>
      </c>
      <c r="H19" t="s">
        <v>96</v>
      </c>
      <c r="J19" t="str">
        <f>HYPERLINK("https://twitter.com/SpiceMoneyIndia/status/1774377500363080128","https://twitter.com/SpiceMoneyIndia/status/1774377500363080128")</f>
        <v>https://twitter.com/SpiceMoneyIndia/status/1774377500363080128</v>
      </c>
      <c r="K19" t="s">
        <v>67</v>
      </c>
      <c r="O19">
        <v>0</v>
      </c>
      <c r="P19">
        <v>0</v>
      </c>
      <c r="Q19">
        <v>6099</v>
      </c>
      <c r="R19" t="s">
        <v>97</v>
      </c>
      <c r="S19">
        <v>0</v>
      </c>
      <c r="T19">
        <v>0</v>
      </c>
      <c r="U19">
        <v>0</v>
      </c>
      <c r="V19" t="s">
        <v>98</v>
      </c>
      <c r="W19" t="s">
        <v>99</v>
      </c>
    </row>
    <row r="20" spans="1:23" x14ac:dyDescent="0.35">
      <c r="A20" t="s">
        <v>45</v>
      </c>
      <c r="B20" t="s">
        <v>46</v>
      </c>
      <c r="C20" t="s">
        <v>60</v>
      </c>
      <c r="D20" t="s">
        <v>64</v>
      </c>
      <c r="E20" t="s">
        <v>64</v>
      </c>
      <c r="F20" t="s">
        <v>49</v>
      </c>
      <c r="G20" t="s">
        <v>100</v>
      </c>
      <c r="H20" t="s">
        <v>101</v>
      </c>
      <c r="J20" t="str">
        <f>HYPERLINK("https://www.facebook.com/634639855377280/posts/818154200359177?comment_id=725862016284707&amp;reply_comment_id=1067200781015019","https://www.facebook.com/634639855377280/posts/818154200359177?comment_id=725862016284707&amp;reply_comment_id=1067200781015019")</f>
        <v>https://www.facebook.com/634639855377280/posts/818154200359177?comment_id=725862016284707&amp;reply_comment_id=1067200781015019</v>
      </c>
      <c r="K20" t="s">
        <v>67</v>
      </c>
      <c r="O20">
        <v>0</v>
      </c>
      <c r="P20">
        <v>0</v>
      </c>
      <c r="Q20">
        <v>0</v>
      </c>
      <c r="S20">
        <v>0</v>
      </c>
      <c r="T20">
        <v>0</v>
      </c>
      <c r="U20">
        <v>0</v>
      </c>
      <c r="W20" t="s">
        <v>52</v>
      </c>
    </row>
    <row r="21" spans="1:23" x14ac:dyDescent="0.35">
      <c r="A21" t="s">
        <v>45</v>
      </c>
      <c r="B21" t="s">
        <v>46</v>
      </c>
      <c r="C21" t="s">
        <v>47</v>
      </c>
      <c r="D21" t="s">
        <v>68</v>
      </c>
      <c r="E21" t="s">
        <v>68</v>
      </c>
      <c r="F21" t="s">
        <v>49</v>
      </c>
      <c r="G21" t="s">
        <v>102</v>
      </c>
      <c r="H21" t="s">
        <v>103</v>
      </c>
      <c r="J21" t="str">
        <f>HYPERLINK("https://www.youtube.com/watch?v=7pMfSyYFp5U&amp;lc=UgzQmt6Z-guu2BRBp9t4AaABAg.A1dcmq9hTdfA1dfSNZVa1L","https://www.youtube.com/watch?v=7pMfSyYFp5U&amp;lc=UgzQmt6Z-guu2BRBp9t4AaABAg.A1dcmq9hTdfA1dfSNZVa1L")</f>
        <v>https://www.youtube.com/watch?v=7pMfSyYFp5U&amp;lc=UgzQmt6Z-guu2BRBp9t4AaABAg.A1dcmq9hTdfA1dfSNZVa1L</v>
      </c>
      <c r="O21">
        <v>0</v>
      </c>
      <c r="P21">
        <v>0</v>
      </c>
      <c r="Q21">
        <v>0</v>
      </c>
      <c r="S21">
        <v>0</v>
      </c>
      <c r="T21">
        <v>0</v>
      </c>
      <c r="U21">
        <v>0</v>
      </c>
      <c r="W21" t="s">
        <v>52</v>
      </c>
    </row>
    <row r="22" spans="1:23" x14ac:dyDescent="0.35">
      <c r="A22" t="s">
        <v>45</v>
      </c>
      <c r="B22" t="s">
        <v>46</v>
      </c>
      <c r="C22" t="s">
        <v>60</v>
      </c>
      <c r="D22" t="s">
        <v>61</v>
      </c>
      <c r="E22" t="s">
        <v>61</v>
      </c>
      <c r="F22" t="s">
        <v>49</v>
      </c>
      <c r="G22" t="s">
        <v>75</v>
      </c>
      <c r="H22" t="s">
        <v>104</v>
      </c>
      <c r="J22" t="str">
        <f>HYPERLINK("https://www.facebook.com/634639855377280/posts/818154200359177?comment_id=725862016284707","https://www.facebook.com/634639855377280/posts/818154200359177?comment_id=725862016284707")</f>
        <v>https://www.facebook.com/634639855377280/posts/818154200359177?comment_id=725862016284707</v>
      </c>
      <c r="O22">
        <v>0</v>
      </c>
      <c r="P22">
        <v>0</v>
      </c>
      <c r="Q22">
        <v>0</v>
      </c>
      <c r="S22">
        <v>0</v>
      </c>
      <c r="T22">
        <v>0</v>
      </c>
      <c r="U22">
        <v>0</v>
      </c>
      <c r="W22" t="s">
        <v>52</v>
      </c>
    </row>
    <row r="23" spans="1:23" x14ac:dyDescent="0.35">
      <c r="A23" t="s">
        <v>45</v>
      </c>
      <c r="B23" t="s">
        <v>46</v>
      </c>
      <c r="C23" t="s">
        <v>60</v>
      </c>
      <c r="D23" t="s">
        <v>64</v>
      </c>
      <c r="E23" t="s">
        <v>64</v>
      </c>
      <c r="F23" t="s">
        <v>49</v>
      </c>
      <c r="G23" t="s">
        <v>105</v>
      </c>
      <c r="H23" t="s">
        <v>106</v>
      </c>
      <c r="J23" t="str">
        <f>HYPERLINK("https://www.facebook.com/634639855377280/posts/818154200359177?comment_id=3630825063899725&amp;reply_comment_id=7423294571094213","https://www.facebook.com/634639855377280/posts/818154200359177?comment_id=3630825063899725&amp;reply_comment_id=7423294571094213")</f>
        <v>https://www.facebook.com/634639855377280/posts/818154200359177?comment_id=3630825063899725&amp;reply_comment_id=7423294571094213</v>
      </c>
      <c r="K23" t="s">
        <v>67</v>
      </c>
      <c r="O23">
        <v>0</v>
      </c>
      <c r="P23">
        <v>0</v>
      </c>
      <c r="Q23">
        <v>0</v>
      </c>
      <c r="S23">
        <v>0</v>
      </c>
      <c r="T23">
        <v>0</v>
      </c>
      <c r="U23">
        <v>0</v>
      </c>
      <c r="W23" t="s">
        <v>52</v>
      </c>
    </row>
    <row r="24" spans="1:23" x14ac:dyDescent="0.35">
      <c r="A24" t="s">
        <v>45</v>
      </c>
      <c r="B24" t="s">
        <v>46</v>
      </c>
      <c r="C24" t="s">
        <v>47</v>
      </c>
      <c r="D24" t="s">
        <v>107</v>
      </c>
      <c r="E24" t="s">
        <v>107</v>
      </c>
      <c r="F24" t="s">
        <v>49</v>
      </c>
      <c r="G24" t="s">
        <v>108</v>
      </c>
      <c r="H24" t="s">
        <v>109</v>
      </c>
      <c r="J24" t="str">
        <f>HYPERLINK("https://www.youtube.com/watch?v=7pMfSyYFp5U&amp;lc=UgzQmt6Z-guu2BRBp9t4AaABAg","https://www.youtube.com/watch?v=7pMfSyYFp5U&amp;lc=UgzQmt6Z-guu2BRBp9t4AaABAg")</f>
        <v>https://www.youtube.com/watch?v=7pMfSyYFp5U&amp;lc=UgzQmt6Z-guu2BRBp9t4AaABAg</v>
      </c>
      <c r="O24">
        <v>0</v>
      </c>
      <c r="P24">
        <v>0</v>
      </c>
      <c r="Q24">
        <v>0</v>
      </c>
      <c r="S24">
        <v>0</v>
      </c>
      <c r="T24">
        <v>0</v>
      </c>
      <c r="U24">
        <v>0</v>
      </c>
      <c r="W24" t="s">
        <v>52</v>
      </c>
    </row>
    <row r="25" spans="1:23" x14ac:dyDescent="0.35">
      <c r="A25" t="s">
        <v>45</v>
      </c>
      <c r="B25" t="s">
        <v>46</v>
      </c>
      <c r="C25" t="s">
        <v>47</v>
      </c>
      <c r="D25" t="s">
        <v>68</v>
      </c>
      <c r="E25" t="s">
        <v>68</v>
      </c>
      <c r="F25" t="s">
        <v>49</v>
      </c>
      <c r="G25" t="s">
        <v>105</v>
      </c>
      <c r="H25" t="s">
        <v>110</v>
      </c>
      <c r="J25" t="str">
        <f>HYPERLINK("https://www.youtube.com/watch?v=Cz4v5w1J8dE&amp;lc=UgzTnjXcNqZBD4pWb3F4AaABAg.A1badcOCjPPA1dcZBfd8HL","https://www.youtube.com/watch?v=Cz4v5w1J8dE&amp;lc=UgzTnjXcNqZBD4pWb3F4AaABAg.A1badcOCjPPA1dcZBfd8HL")</f>
        <v>https://www.youtube.com/watch?v=Cz4v5w1J8dE&amp;lc=UgzTnjXcNqZBD4pWb3F4AaABAg.A1badcOCjPPA1dcZBfd8HL</v>
      </c>
      <c r="O25">
        <v>0</v>
      </c>
      <c r="P25">
        <v>0</v>
      </c>
      <c r="Q25">
        <v>0</v>
      </c>
      <c r="S25">
        <v>0</v>
      </c>
      <c r="T25">
        <v>0</v>
      </c>
      <c r="U25">
        <v>0</v>
      </c>
      <c r="W25" t="s">
        <v>52</v>
      </c>
    </row>
    <row r="26" spans="1:23" x14ac:dyDescent="0.35">
      <c r="A26" t="s">
        <v>45</v>
      </c>
      <c r="B26" t="s">
        <v>46</v>
      </c>
      <c r="C26" t="s">
        <v>60</v>
      </c>
      <c r="D26" t="s">
        <v>61</v>
      </c>
      <c r="E26" t="s">
        <v>61</v>
      </c>
      <c r="F26" t="s">
        <v>49</v>
      </c>
      <c r="G26" t="s">
        <v>111</v>
      </c>
      <c r="H26" t="s">
        <v>112</v>
      </c>
      <c r="J26" t="str">
        <f>HYPERLINK("https://www.facebook.com/634639855377280/posts/817402500434347?comment_id=1130759234783473","https://www.facebook.com/634639855377280/posts/817402500434347?comment_id=1130759234783473")</f>
        <v>https://www.facebook.com/634639855377280/posts/817402500434347?comment_id=1130759234783473</v>
      </c>
      <c r="O26">
        <v>0</v>
      </c>
      <c r="P26">
        <v>0</v>
      </c>
      <c r="Q26">
        <v>0</v>
      </c>
      <c r="S26">
        <v>0</v>
      </c>
      <c r="T26">
        <v>0</v>
      </c>
      <c r="U26">
        <v>0</v>
      </c>
      <c r="W26" t="s">
        <v>52</v>
      </c>
    </row>
    <row r="27" spans="1:23" x14ac:dyDescent="0.35">
      <c r="A27" t="s">
        <v>45</v>
      </c>
      <c r="B27" t="s">
        <v>46</v>
      </c>
      <c r="C27" t="s">
        <v>60</v>
      </c>
      <c r="D27" t="s">
        <v>61</v>
      </c>
      <c r="E27" t="s">
        <v>61</v>
      </c>
      <c r="F27" t="s">
        <v>49</v>
      </c>
      <c r="G27" t="s">
        <v>113</v>
      </c>
      <c r="H27" t="s">
        <v>114</v>
      </c>
      <c r="J27" t="str">
        <f>HYPERLINK("https://www.facebook.com/634639855377280/posts/818154200359177?comment_id=3630825063899725","https://www.facebook.com/634639855377280/posts/818154200359177?comment_id=3630825063899725")</f>
        <v>https://www.facebook.com/634639855377280/posts/818154200359177?comment_id=3630825063899725</v>
      </c>
      <c r="O27">
        <v>0</v>
      </c>
      <c r="P27">
        <v>0</v>
      </c>
      <c r="Q27">
        <v>0</v>
      </c>
      <c r="S27">
        <v>0</v>
      </c>
      <c r="T27">
        <v>0</v>
      </c>
      <c r="U27">
        <v>0</v>
      </c>
      <c r="W27" t="s">
        <v>52</v>
      </c>
    </row>
    <row r="28" spans="1:23" x14ac:dyDescent="0.35">
      <c r="A28" t="s">
        <v>45</v>
      </c>
      <c r="B28" t="s">
        <v>46</v>
      </c>
      <c r="C28" t="s">
        <v>60</v>
      </c>
      <c r="D28" t="s">
        <v>61</v>
      </c>
      <c r="E28" t="s">
        <v>61</v>
      </c>
      <c r="F28" t="s">
        <v>49</v>
      </c>
      <c r="G28" t="s">
        <v>115</v>
      </c>
      <c r="H28" t="s">
        <v>116</v>
      </c>
      <c r="J28" t="str">
        <f>HYPERLINK("https://www.facebook.com/634639855377280/posts/818033483704582?comment_id=450262467430866","https://www.facebook.com/634639855377280/posts/818033483704582?comment_id=450262467430866")</f>
        <v>https://www.facebook.com/634639855377280/posts/818033483704582?comment_id=450262467430866</v>
      </c>
      <c r="O28">
        <v>0</v>
      </c>
      <c r="P28">
        <v>0</v>
      </c>
      <c r="Q28">
        <v>0</v>
      </c>
      <c r="S28">
        <v>0</v>
      </c>
      <c r="T28">
        <v>0</v>
      </c>
      <c r="U28">
        <v>0</v>
      </c>
      <c r="W28" t="s">
        <v>52</v>
      </c>
    </row>
    <row r="29" spans="1:23" x14ac:dyDescent="0.35">
      <c r="A29" t="s">
        <v>45</v>
      </c>
      <c r="B29" t="s">
        <v>46</v>
      </c>
      <c r="C29" t="s">
        <v>60</v>
      </c>
      <c r="D29" t="s">
        <v>64</v>
      </c>
      <c r="E29" t="s">
        <v>64</v>
      </c>
      <c r="F29" t="s">
        <v>49</v>
      </c>
      <c r="G29" t="s">
        <v>117</v>
      </c>
      <c r="H29" t="s">
        <v>118</v>
      </c>
      <c r="J29" t="str">
        <f>HYPERLINK("https://www.facebook.com/634639855377280/posts/817402500434347?comment_id=425219806856032&amp;reply_comment_id=383899467863640","https://www.facebook.com/634639855377280/posts/817402500434347?comment_id=425219806856032&amp;reply_comment_id=383899467863640")</f>
        <v>https://www.facebook.com/634639855377280/posts/817402500434347?comment_id=425219806856032&amp;reply_comment_id=383899467863640</v>
      </c>
      <c r="K29" t="s">
        <v>67</v>
      </c>
      <c r="O29">
        <v>0</v>
      </c>
      <c r="P29">
        <v>0</v>
      </c>
      <c r="Q29">
        <v>0</v>
      </c>
      <c r="S29">
        <v>0</v>
      </c>
      <c r="T29">
        <v>0</v>
      </c>
      <c r="U29">
        <v>0</v>
      </c>
      <c r="W29" t="s">
        <v>52</v>
      </c>
    </row>
    <row r="30" spans="1:23" x14ac:dyDescent="0.35">
      <c r="A30" t="s">
        <v>45</v>
      </c>
      <c r="B30" t="s">
        <v>46</v>
      </c>
      <c r="C30" t="s">
        <v>60</v>
      </c>
      <c r="D30" t="s">
        <v>61</v>
      </c>
      <c r="E30" t="s">
        <v>61</v>
      </c>
      <c r="F30" t="s">
        <v>49</v>
      </c>
      <c r="G30" t="s">
        <v>119</v>
      </c>
      <c r="H30" t="s">
        <v>120</v>
      </c>
      <c r="J30" t="str">
        <f>HYPERLINK("https://www.facebook.com/634639855377280/posts/818033483704582?comment_id=919278326557351","https://www.facebook.com/634639855377280/posts/818033483704582?comment_id=919278326557351")</f>
        <v>https://www.facebook.com/634639855377280/posts/818033483704582?comment_id=919278326557351</v>
      </c>
      <c r="O30">
        <v>0</v>
      </c>
      <c r="P30">
        <v>0</v>
      </c>
      <c r="Q30">
        <v>0</v>
      </c>
      <c r="S30">
        <v>0</v>
      </c>
      <c r="T30">
        <v>0</v>
      </c>
      <c r="U30">
        <v>0</v>
      </c>
      <c r="W30" t="s">
        <v>52</v>
      </c>
    </row>
    <row r="31" spans="1:23" x14ac:dyDescent="0.35">
      <c r="A31" t="s">
        <v>45</v>
      </c>
      <c r="B31" t="s">
        <v>46</v>
      </c>
      <c r="C31" t="s">
        <v>60</v>
      </c>
      <c r="D31" t="s">
        <v>64</v>
      </c>
      <c r="E31" t="s">
        <v>64</v>
      </c>
      <c r="F31" t="s">
        <v>49</v>
      </c>
      <c r="G31" t="s">
        <v>121</v>
      </c>
      <c r="H31" t="s">
        <v>122</v>
      </c>
      <c r="J31" t="str">
        <f>HYPERLINK("https://www.facebook.com/634639855377280/posts/817402500434347?comment_id=1577015719785354&amp;reply_comment_id=406392985456977","https://www.facebook.com/634639855377280/posts/817402500434347?comment_id=1577015719785354&amp;reply_comment_id=406392985456977")</f>
        <v>https://www.facebook.com/634639855377280/posts/817402500434347?comment_id=1577015719785354&amp;reply_comment_id=406392985456977</v>
      </c>
      <c r="K31" t="s">
        <v>67</v>
      </c>
      <c r="O31">
        <v>0</v>
      </c>
      <c r="P31">
        <v>0</v>
      </c>
      <c r="Q31">
        <v>0</v>
      </c>
      <c r="S31">
        <v>0</v>
      </c>
      <c r="T31">
        <v>0</v>
      </c>
      <c r="U31">
        <v>0</v>
      </c>
      <c r="W31" t="s">
        <v>52</v>
      </c>
    </row>
    <row r="32" spans="1:23" x14ac:dyDescent="0.35">
      <c r="A32" t="s">
        <v>45</v>
      </c>
      <c r="B32" t="s">
        <v>46</v>
      </c>
      <c r="C32" t="s">
        <v>93</v>
      </c>
      <c r="D32" t="s">
        <v>94</v>
      </c>
      <c r="E32" t="s">
        <v>45</v>
      </c>
      <c r="F32" t="s">
        <v>49</v>
      </c>
      <c r="G32" t="s">
        <v>123</v>
      </c>
      <c r="H32" t="s">
        <v>124</v>
      </c>
      <c r="J32" t="str">
        <f>HYPERLINK("https://twitter.com/SpiceMoneyIndia/status/1774333527191949671","https://twitter.com/SpiceMoneyIndia/status/1774333527191949671")</f>
        <v>https://twitter.com/SpiceMoneyIndia/status/1774333527191949671</v>
      </c>
      <c r="K32" t="s">
        <v>67</v>
      </c>
      <c r="O32">
        <v>0</v>
      </c>
      <c r="P32">
        <v>0</v>
      </c>
      <c r="Q32">
        <v>6096</v>
      </c>
      <c r="R32" t="s">
        <v>97</v>
      </c>
      <c r="S32">
        <v>0</v>
      </c>
      <c r="T32">
        <v>0</v>
      </c>
      <c r="U32">
        <v>0</v>
      </c>
      <c r="V32" t="s">
        <v>98</v>
      </c>
      <c r="W32" t="s">
        <v>99</v>
      </c>
    </row>
    <row r="33" spans="1:23" x14ac:dyDescent="0.35">
      <c r="A33" t="s">
        <v>45</v>
      </c>
      <c r="B33" t="s">
        <v>46</v>
      </c>
      <c r="C33" t="s">
        <v>60</v>
      </c>
      <c r="D33" t="s">
        <v>64</v>
      </c>
      <c r="E33" t="s">
        <v>64</v>
      </c>
      <c r="F33" t="s">
        <v>49</v>
      </c>
      <c r="G33" t="s">
        <v>125</v>
      </c>
      <c r="H33" t="s">
        <v>126</v>
      </c>
      <c r="J33" t="str">
        <f>HYPERLINK("https://www.facebook.com/634639855377280/posts/816150883892842?comment_id=708274464853101&amp;reply_comment_id=400549342688431","https://www.facebook.com/634639855377280/posts/816150883892842?comment_id=708274464853101&amp;reply_comment_id=400549342688431")</f>
        <v>https://www.facebook.com/634639855377280/posts/816150883892842?comment_id=708274464853101&amp;reply_comment_id=400549342688431</v>
      </c>
      <c r="K33" t="s">
        <v>67</v>
      </c>
      <c r="O33">
        <v>0</v>
      </c>
      <c r="P33">
        <v>0</v>
      </c>
      <c r="Q33">
        <v>0</v>
      </c>
      <c r="S33">
        <v>0</v>
      </c>
      <c r="T33">
        <v>0</v>
      </c>
      <c r="U33">
        <v>0</v>
      </c>
      <c r="W33" t="s">
        <v>52</v>
      </c>
    </row>
    <row r="34" spans="1:23" x14ac:dyDescent="0.35">
      <c r="A34" t="s">
        <v>45</v>
      </c>
      <c r="B34" t="s">
        <v>46</v>
      </c>
      <c r="C34" t="s">
        <v>60</v>
      </c>
      <c r="D34" t="s">
        <v>61</v>
      </c>
      <c r="E34" t="s">
        <v>61</v>
      </c>
      <c r="F34" t="s">
        <v>49</v>
      </c>
      <c r="G34" t="s">
        <v>127</v>
      </c>
      <c r="H34" t="s">
        <v>128</v>
      </c>
      <c r="J34" t="str">
        <f>HYPERLINK("https://www.facebook.com/634639855377280/posts/818154200359177?comment_id=2183172568691263","https://www.facebook.com/634639855377280/posts/818154200359177?comment_id=2183172568691263")</f>
        <v>https://www.facebook.com/634639855377280/posts/818154200359177?comment_id=2183172568691263</v>
      </c>
      <c r="O34">
        <v>0</v>
      </c>
      <c r="P34">
        <v>0</v>
      </c>
      <c r="Q34">
        <v>0</v>
      </c>
      <c r="S34">
        <v>0</v>
      </c>
      <c r="T34">
        <v>0</v>
      </c>
      <c r="U34">
        <v>0</v>
      </c>
      <c r="W34" t="s">
        <v>52</v>
      </c>
    </row>
    <row r="35" spans="1:23" x14ac:dyDescent="0.35">
      <c r="A35" t="s">
        <v>45</v>
      </c>
      <c r="B35" t="s">
        <v>46</v>
      </c>
      <c r="C35" t="s">
        <v>47</v>
      </c>
      <c r="D35" t="s">
        <v>68</v>
      </c>
      <c r="E35" t="s">
        <v>68</v>
      </c>
      <c r="F35" t="s">
        <v>49</v>
      </c>
      <c r="G35" t="s">
        <v>129</v>
      </c>
      <c r="H35" t="s">
        <v>130</v>
      </c>
      <c r="J35" t="str">
        <f>HYPERLINK("https://www.youtube.com/watch?v=Cz4v5w1J8dE&amp;lc=UgwdZ0psbpc9LzpYmY94AaABAg.A1bLGqWvLtDA1dGosgRO7t","https://www.youtube.com/watch?v=Cz4v5w1J8dE&amp;lc=UgwdZ0psbpc9LzpYmY94AaABAg.A1bLGqWvLtDA1dGosgRO7t")</f>
        <v>https://www.youtube.com/watch?v=Cz4v5w1J8dE&amp;lc=UgwdZ0psbpc9LzpYmY94AaABAg.A1bLGqWvLtDA1dGosgRO7t</v>
      </c>
      <c r="O35">
        <v>0</v>
      </c>
      <c r="P35">
        <v>0</v>
      </c>
      <c r="Q35">
        <v>0</v>
      </c>
      <c r="S35">
        <v>0</v>
      </c>
      <c r="T35">
        <v>0</v>
      </c>
      <c r="U35">
        <v>0</v>
      </c>
      <c r="W35" t="s">
        <v>52</v>
      </c>
    </row>
    <row r="36" spans="1:23" x14ac:dyDescent="0.35">
      <c r="A36" t="s">
        <v>45</v>
      </c>
      <c r="B36" t="s">
        <v>46</v>
      </c>
      <c r="C36" t="s">
        <v>47</v>
      </c>
      <c r="D36" t="s">
        <v>131</v>
      </c>
      <c r="E36" t="s">
        <v>131</v>
      </c>
      <c r="F36" t="s">
        <v>49</v>
      </c>
      <c r="G36" t="s">
        <v>132</v>
      </c>
      <c r="H36" t="s">
        <v>133</v>
      </c>
      <c r="J36" t="str">
        <f>HYPERLINK("https://www.youtube.com/watch?v=Cz4v5w1J8dE&amp;lc=Ugw9FDOsSp2RtZuYDZx4AaABAg","https://www.youtube.com/watch?v=Cz4v5w1J8dE&amp;lc=Ugw9FDOsSp2RtZuYDZx4AaABAg")</f>
        <v>https://www.youtube.com/watch?v=Cz4v5w1J8dE&amp;lc=Ugw9FDOsSp2RtZuYDZx4AaABAg</v>
      </c>
      <c r="O36">
        <v>0</v>
      </c>
      <c r="P36">
        <v>0</v>
      </c>
      <c r="Q36">
        <v>0</v>
      </c>
      <c r="S36">
        <v>0</v>
      </c>
      <c r="T36">
        <v>0</v>
      </c>
      <c r="U36">
        <v>0</v>
      </c>
      <c r="W36" t="s">
        <v>52</v>
      </c>
    </row>
    <row r="37" spans="1:23" x14ac:dyDescent="0.35">
      <c r="A37" t="s">
        <v>45</v>
      </c>
      <c r="B37" t="s">
        <v>46</v>
      </c>
      <c r="C37" t="s">
        <v>47</v>
      </c>
      <c r="D37" t="s">
        <v>68</v>
      </c>
      <c r="E37" t="s">
        <v>68</v>
      </c>
      <c r="F37" t="s">
        <v>49</v>
      </c>
      <c r="G37" t="s">
        <v>134</v>
      </c>
      <c r="H37" t="s">
        <v>135</v>
      </c>
      <c r="J37" t="str">
        <f>HYPERLINK("https://www.youtube.com/watch?v=Cz4v5w1J8dE&amp;lc=UgwgutSVXujXu0mA4G54AaABAg.A1b0qfzuKPkA1dDNf2p9nt","https://www.youtube.com/watch?v=Cz4v5w1J8dE&amp;lc=UgwgutSVXujXu0mA4G54AaABAg.A1b0qfzuKPkA1dDNf2p9nt")</f>
        <v>https://www.youtube.com/watch?v=Cz4v5w1J8dE&amp;lc=UgwgutSVXujXu0mA4G54AaABAg.A1b0qfzuKPkA1dDNf2p9nt</v>
      </c>
      <c r="O37">
        <v>0</v>
      </c>
      <c r="P37">
        <v>0</v>
      </c>
      <c r="Q37">
        <v>0</v>
      </c>
      <c r="S37">
        <v>0</v>
      </c>
      <c r="T37">
        <v>0</v>
      </c>
      <c r="U37">
        <v>0</v>
      </c>
      <c r="W37" t="s">
        <v>52</v>
      </c>
    </row>
    <row r="38" spans="1:23" x14ac:dyDescent="0.35">
      <c r="A38" t="s">
        <v>45</v>
      </c>
      <c r="B38" t="s">
        <v>46</v>
      </c>
      <c r="C38" t="s">
        <v>47</v>
      </c>
      <c r="D38" t="s">
        <v>68</v>
      </c>
      <c r="E38" t="s">
        <v>68</v>
      </c>
      <c r="F38" t="s">
        <v>49</v>
      </c>
      <c r="G38" t="s">
        <v>136</v>
      </c>
      <c r="H38" t="s">
        <v>137</v>
      </c>
      <c r="J38" t="str">
        <f>HYPERLINK("https://www.youtube.com/watch?v=Cz4v5w1J8dE&amp;lc=Ugz-AbnYb5z5uQ4AyPt4AaABAg.A1ayC65L_1BA1dD2sqEAi_","https://www.youtube.com/watch?v=Cz4v5w1J8dE&amp;lc=Ugz-AbnYb5z5uQ4AyPt4AaABAg.A1ayC65L_1BA1dD2sqEAi_")</f>
        <v>https://www.youtube.com/watch?v=Cz4v5w1J8dE&amp;lc=Ugz-AbnYb5z5uQ4AyPt4AaABAg.A1ayC65L_1BA1dD2sqEAi_</v>
      </c>
      <c r="O38">
        <v>0</v>
      </c>
      <c r="P38">
        <v>0</v>
      </c>
      <c r="Q38">
        <v>0</v>
      </c>
      <c r="S38">
        <v>0</v>
      </c>
      <c r="T38">
        <v>0</v>
      </c>
      <c r="U38">
        <v>0</v>
      </c>
      <c r="W38" t="s">
        <v>52</v>
      </c>
    </row>
    <row r="39" spans="1:23" x14ac:dyDescent="0.35">
      <c r="A39" t="s">
        <v>45</v>
      </c>
      <c r="B39" t="s">
        <v>46</v>
      </c>
      <c r="C39" t="s">
        <v>60</v>
      </c>
      <c r="D39" t="s">
        <v>61</v>
      </c>
      <c r="E39" t="s">
        <v>61</v>
      </c>
      <c r="F39" t="s">
        <v>49</v>
      </c>
      <c r="G39" t="s">
        <v>138</v>
      </c>
      <c r="H39" t="s">
        <v>139</v>
      </c>
      <c r="J39" t="str">
        <f>HYPERLINK("https://www.facebook.com/634639855377280/posts/818154200359177?comment_id=728479685821992&amp;reply_comment_id=1358448048176325","https://www.facebook.com/634639855377280/posts/818154200359177?comment_id=728479685821992&amp;reply_comment_id=1358448048176325")</f>
        <v>https://www.facebook.com/634639855377280/posts/818154200359177?comment_id=728479685821992&amp;reply_comment_id=1358448048176325</v>
      </c>
      <c r="O39">
        <v>0</v>
      </c>
      <c r="P39">
        <v>0</v>
      </c>
      <c r="Q39">
        <v>0</v>
      </c>
      <c r="S39">
        <v>0</v>
      </c>
      <c r="T39">
        <v>0</v>
      </c>
      <c r="U39">
        <v>0</v>
      </c>
      <c r="W39" t="s">
        <v>52</v>
      </c>
    </row>
    <row r="40" spans="1:23" x14ac:dyDescent="0.35">
      <c r="A40" t="s">
        <v>45</v>
      </c>
      <c r="B40" t="s">
        <v>46</v>
      </c>
      <c r="C40" t="s">
        <v>47</v>
      </c>
      <c r="D40" t="s">
        <v>140</v>
      </c>
      <c r="E40" t="s">
        <v>140</v>
      </c>
      <c r="F40" t="s">
        <v>49</v>
      </c>
      <c r="G40" t="s">
        <v>141</v>
      </c>
      <c r="H40" t="s">
        <v>142</v>
      </c>
      <c r="J40" t="str">
        <f>HYPERLINK("https://www.youtube.com/watch?v=0jM8DQER-qY&amp;lc=Ugx27m9rdOox9PZcsSB4AaABAg","https://www.youtube.com/watch?v=0jM8DQER-qY&amp;lc=Ugx27m9rdOox9PZcsSB4AaABAg")</f>
        <v>https://www.youtube.com/watch?v=0jM8DQER-qY&amp;lc=Ugx27m9rdOox9PZcsSB4AaABAg</v>
      </c>
      <c r="O40">
        <v>0</v>
      </c>
      <c r="P40">
        <v>0</v>
      </c>
      <c r="Q40">
        <v>0</v>
      </c>
      <c r="S40">
        <v>0</v>
      </c>
      <c r="T40">
        <v>0</v>
      </c>
      <c r="U40">
        <v>0</v>
      </c>
      <c r="W40" t="s">
        <v>52</v>
      </c>
    </row>
    <row r="41" spans="1:23" x14ac:dyDescent="0.35">
      <c r="A41" t="s">
        <v>45</v>
      </c>
      <c r="B41" t="s">
        <v>46</v>
      </c>
      <c r="C41" t="s">
        <v>60</v>
      </c>
      <c r="D41" t="s">
        <v>64</v>
      </c>
      <c r="E41" t="s">
        <v>64</v>
      </c>
      <c r="F41" t="s">
        <v>49</v>
      </c>
      <c r="G41" t="s">
        <v>83</v>
      </c>
      <c r="H41" t="s">
        <v>143</v>
      </c>
      <c r="J41" t="str">
        <f>HYPERLINK("https://www.facebook.com/634639855377280/posts/818033483704582?comment_id=794147712619980&amp;reply_comment_id=399239359523861","https://www.facebook.com/634639855377280/posts/818033483704582?comment_id=794147712619980&amp;reply_comment_id=399239359523861")</f>
        <v>https://www.facebook.com/634639855377280/posts/818033483704582?comment_id=794147712619980&amp;reply_comment_id=399239359523861</v>
      </c>
      <c r="K41" t="s">
        <v>67</v>
      </c>
      <c r="O41">
        <v>0</v>
      </c>
      <c r="P41">
        <v>0</v>
      </c>
      <c r="Q41">
        <v>0</v>
      </c>
      <c r="S41">
        <v>0</v>
      </c>
      <c r="T41">
        <v>0</v>
      </c>
      <c r="U41">
        <v>0</v>
      </c>
      <c r="W41" t="s">
        <v>52</v>
      </c>
    </row>
    <row r="42" spans="1:23" x14ac:dyDescent="0.35">
      <c r="A42" t="s">
        <v>45</v>
      </c>
      <c r="B42" t="s">
        <v>46</v>
      </c>
      <c r="C42" t="s">
        <v>60</v>
      </c>
      <c r="D42" t="s">
        <v>64</v>
      </c>
      <c r="E42" t="s">
        <v>64</v>
      </c>
      <c r="F42" t="s">
        <v>49</v>
      </c>
      <c r="G42" t="s">
        <v>144</v>
      </c>
      <c r="H42" t="s">
        <v>145</v>
      </c>
      <c r="J42" t="str">
        <f>HYPERLINK("https://www.facebook.com/634639855377280/posts/818033483704582?comment_id=2177952912550742&amp;reply_comment_id=912633500643842","https://www.facebook.com/634639855377280/posts/818033483704582?comment_id=2177952912550742&amp;reply_comment_id=912633500643842")</f>
        <v>https://www.facebook.com/634639855377280/posts/818033483704582?comment_id=2177952912550742&amp;reply_comment_id=912633500643842</v>
      </c>
      <c r="K42" t="s">
        <v>67</v>
      </c>
      <c r="O42">
        <v>0</v>
      </c>
      <c r="P42">
        <v>0</v>
      </c>
      <c r="Q42">
        <v>0</v>
      </c>
      <c r="S42">
        <v>0</v>
      </c>
      <c r="T42">
        <v>0</v>
      </c>
      <c r="U42">
        <v>0</v>
      </c>
      <c r="W42" t="s">
        <v>52</v>
      </c>
    </row>
    <row r="43" spans="1:23" x14ac:dyDescent="0.35">
      <c r="A43" t="s">
        <v>45</v>
      </c>
      <c r="B43" t="s">
        <v>46</v>
      </c>
      <c r="C43" t="s">
        <v>60</v>
      </c>
      <c r="D43" t="s">
        <v>64</v>
      </c>
      <c r="E43" t="s">
        <v>64</v>
      </c>
      <c r="F43" t="s">
        <v>49</v>
      </c>
      <c r="G43" t="s">
        <v>146</v>
      </c>
      <c r="H43" t="s">
        <v>147</v>
      </c>
      <c r="J43" t="str">
        <f>HYPERLINK("https://www.facebook.com/634639855377280/posts/818154200359177?comment_id=728479685821992&amp;reply_comment_id=723447329906050","https://www.facebook.com/634639855377280/posts/818154200359177?comment_id=728479685821992&amp;reply_comment_id=723447329906050")</f>
        <v>https://www.facebook.com/634639855377280/posts/818154200359177?comment_id=728479685821992&amp;reply_comment_id=723447329906050</v>
      </c>
      <c r="K43" t="s">
        <v>67</v>
      </c>
      <c r="O43">
        <v>0</v>
      </c>
      <c r="P43">
        <v>0</v>
      </c>
      <c r="Q43">
        <v>0</v>
      </c>
      <c r="S43">
        <v>0</v>
      </c>
      <c r="T43">
        <v>0</v>
      </c>
      <c r="U43">
        <v>0</v>
      </c>
      <c r="W43" t="s">
        <v>52</v>
      </c>
    </row>
    <row r="44" spans="1:23" x14ac:dyDescent="0.35">
      <c r="A44" t="s">
        <v>45</v>
      </c>
      <c r="B44" t="s">
        <v>46</v>
      </c>
      <c r="C44" t="s">
        <v>47</v>
      </c>
      <c r="D44" t="s">
        <v>68</v>
      </c>
      <c r="E44" t="s">
        <v>68</v>
      </c>
      <c r="F44" t="s">
        <v>49</v>
      </c>
      <c r="G44" t="s">
        <v>102</v>
      </c>
      <c r="H44" t="s">
        <v>148</v>
      </c>
      <c r="J44" t="str">
        <f>HYPERLINK("https://www.youtube.com/watch?v=7pMfSyYFp5U&amp;lc=UgxL_fROg4e3fMhHszR4AaABAg.A1boYL1CtNQA1d5ZR-Lz59","https://www.youtube.com/watch?v=7pMfSyYFp5U&amp;lc=UgxL_fROg4e3fMhHszR4AaABAg.A1boYL1CtNQA1d5ZR-Lz59")</f>
        <v>https://www.youtube.com/watch?v=7pMfSyYFp5U&amp;lc=UgxL_fROg4e3fMhHszR4AaABAg.A1boYL1CtNQA1d5ZR-Lz59</v>
      </c>
      <c r="O44">
        <v>0</v>
      </c>
      <c r="P44">
        <v>0</v>
      </c>
      <c r="Q44">
        <v>0</v>
      </c>
      <c r="S44">
        <v>0</v>
      </c>
      <c r="T44">
        <v>0</v>
      </c>
      <c r="U44">
        <v>0</v>
      </c>
      <c r="W44" t="s">
        <v>52</v>
      </c>
    </row>
    <row r="45" spans="1:23" x14ac:dyDescent="0.35">
      <c r="A45" t="s">
        <v>45</v>
      </c>
      <c r="B45" t="s">
        <v>46</v>
      </c>
      <c r="C45" t="s">
        <v>47</v>
      </c>
      <c r="D45" t="s">
        <v>68</v>
      </c>
      <c r="E45" t="s">
        <v>68</v>
      </c>
      <c r="F45" t="s">
        <v>49</v>
      </c>
      <c r="G45" t="s">
        <v>149</v>
      </c>
      <c r="H45" t="s">
        <v>150</v>
      </c>
      <c r="J45" t="str">
        <f>HYPERLINK("https://www.youtube.com/watch?v=7pMfSyYFp5U&amp;lc=Ugxnu1zTxAdoxStX7Sx4AaABAg.A1bKFb5U83fA1d5BV4JQMt","https://www.youtube.com/watch?v=7pMfSyYFp5U&amp;lc=Ugxnu1zTxAdoxStX7Sx4AaABAg.A1bKFb5U83fA1d5BV4JQMt")</f>
        <v>https://www.youtube.com/watch?v=7pMfSyYFp5U&amp;lc=Ugxnu1zTxAdoxStX7Sx4AaABAg.A1bKFb5U83fA1d5BV4JQMt</v>
      </c>
      <c r="O45">
        <v>0</v>
      </c>
      <c r="P45">
        <v>0</v>
      </c>
      <c r="Q45">
        <v>0</v>
      </c>
      <c r="S45">
        <v>0</v>
      </c>
      <c r="T45">
        <v>0</v>
      </c>
      <c r="U45">
        <v>0</v>
      </c>
      <c r="W45" t="s">
        <v>52</v>
      </c>
    </row>
    <row r="46" spans="1:23" x14ac:dyDescent="0.35">
      <c r="A46" t="s">
        <v>45</v>
      </c>
      <c r="B46" t="s">
        <v>46</v>
      </c>
      <c r="C46" t="s">
        <v>47</v>
      </c>
      <c r="D46" t="s">
        <v>68</v>
      </c>
      <c r="E46" t="s">
        <v>68</v>
      </c>
      <c r="F46" t="s">
        <v>49</v>
      </c>
      <c r="G46" t="s">
        <v>146</v>
      </c>
      <c r="H46" t="s">
        <v>151</v>
      </c>
      <c r="J46" t="str">
        <f>HYPERLINK("https://www.youtube.com/watch?v=Cz4v5w1J8dE&amp;lc=UgzrYvuNtnx1kNQ2dL14AaABAg.A1bGYeGbENLA1d4r15-bnJ","https://www.youtube.com/watch?v=Cz4v5w1J8dE&amp;lc=UgzrYvuNtnx1kNQ2dL14AaABAg.A1bGYeGbENLA1d4r15-bnJ")</f>
        <v>https://www.youtube.com/watch?v=Cz4v5w1J8dE&amp;lc=UgzrYvuNtnx1kNQ2dL14AaABAg.A1bGYeGbENLA1d4r15-bnJ</v>
      </c>
      <c r="O46">
        <v>0</v>
      </c>
      <c r="P46">
        <v>0</v>
      </c>
      <c r="Q46">
        <v>0</v>
      </c>
      <c r="S46">
        <v>0</v>
      </c>
      <c r="T46">
        <v>0</v>
      </c>
      <c r="U46">
        <v>0</v>
      </c>
      <c r="W46" t="s">
        <v>52</v>
      </c>
    </row>
    <row r="47" spans="1:23" x14ac:dyDescent="0.35">
      <c r="A47" t="s">
        <v>45</v>
      </c>
      <c r="B47" t="s">
        <v>46</v>
      </c>
      <c r="C47" t="s">
        <v>47</v>
      </c>
      <c r="D47" t="s">
        <v>68</v>
      </c>
      <c r="E47" t="s">
        <v>68</v>
      </c>
      <c r="F47" t="s">
        <v>49</v>
      </c>
      <c r="G47" t="s">
        <v>152</v>
      </c>
      <c r="H47" t="s">
        <v>153</v>
      </c>
      <c r="J47" t="str">
        <f>HYPERLINK("https://www.youtube.com/watch?v=Cz4v5w1J8dE&amp;lc=UgwZz_R1eSK_lBSOtsV4AaABAg.A1awbfk5UNsA1d3wtHtwt7","https://www.youtube.com/watch?v=Cz4v5w1J8dE&amp;lc=UgwZz_R1eSK_lBSOtsV4AaABAg.A1awbfk5UNsA1d3wtHtwt7")</f>
        <v>https://www.youtube.com/watch?v=Cz4v5w1J8dE&amp;lc=UgwZz_R1eSK_lBSOtsV4AaABAg.A1awbfk5UNsA1d3wtHtwt7</v>
      </c>
      <c r="O47">
        <v>0</v>
      </c>
      <c r="P47">
        <v>0</v>
      </c>
      <c r="Q47">
        <v>0</v>
      </c>
      <c r="S47">
        <v>0</v>
      </c>
      <c r="T47">
        <v>0</v>
      </c>
      <c r="U47">
        <v>0</v>
      </c>
      <c r="W47" t="s">
        <v>52</v>
      </c>
    </row>
    <row r="48" spans="1:23" x14ac:dyDescent="0.35">
      <c r="A48" t="s">
        <v>45</v>
      </c>
      <c r="B48" t="s">
        <v>46</v>
      </c>
      <c r="C48" t="s">
        <v>93</v>
      </c>
      <c r="D48" t="s">
        <v>94</v>
      </c>
      <c r="E48" t="s">
        <v>45</v>
      </c>
      <c r="F48" t="s">
        <v>49</v>
      </c>
      <c r="G48" t="s">
        <v>154</v>
      </c>
      <c r="H48" t="s">
        <v>155</v>
      </c>
      <c r="J48" t="str">
        <f>HYPERLINK("https://twitter.com/SpiceMoneyIndia/status/1774289212776284191","https://twitter.com/SpiceMoneyIndia/status/1774289212776284191")</f>
        <v>https://twitter.com/SpiceMoneyIndia/status/1774289212776284191</v>
      </c>
      <c r="K48" t="s">
        <v>67</v>
      </c>
      <c r="O48">
        <v>0</v>
      </c>
      <c r="P48">
        <v>0</v>
      </c>
      <c r="Q48">
        <v>6097</v>
      </c>
      <c r="R48" t="s">
        <v>97</v>
      </c>
      <c r="S48">
        <v>0</v>
      </c>
      <c r="T48">
        <v>0</v>
      </c>
      <c r="U48">
        <v>0</v>
      </c>
      <c r="V48" t="s">
        <v>98</v>
      </c>
      <c r="W48" t="s">
        <v>99</v>
      </c>
    </row>
    <row r="49" spans="1:23" x14ac:dyDescent="0.35">
      <c r="A49" t="s">
        <v>45</v>
      </c>
      <c r="B49" t="s">
        <v>46</v>
      </c>
      <c r="C49" t="s">
        <v>47</v>
      </c>
      <c r="D49" t="s">
        <v>156</v>
      </c>
      <c r="E49" t="s">
        <v>156</v>
      </c>
      <c r="F49" t="s">
        <v>49</v>
      </c>
      <c r="G49" t="s">
        <v>157</v>
      </c>
      <c r="H49" t="s">
        <v>158</v>
      </c>
      <c r="J49" t="str">
        <f>HYPERLINK("https://www.youtube.com/watch?v=Cz4v5w1J8dE&amp;lc=UgxFGCYsaGSjYmOfdOd4AaABAg.A1b9yi33L9JA1d07x5xAJL","https://www.youtube.com/watch?v=Cz4v5w1J8dE&amp;lc=UgxFGCYsaGSjYmOfdOd4AaABAg.A1b9yi33L9JA1d07x5xAJL")</f>
        <v>https://www.youtube.com/watch?v=Cz4v5w1J8dE&amp;lc=UgxFGCYsaGSjYmOfdOd4AaABAg.A1b9yi33L9JA1d07x5xAJL</v>
      </c>
      <c r="O49">
        <v>0</v>
      </c>
      <c r="P49">
        <v>0</v>
      </c>
      <c r="Q49">
        <v>0</v>
      </c>
      <c r="S49">
        <v>0</v>
      </c>
      <c r="T49">
        <v>0</v>
      </c>
      <c r="U49">
        <v>0</v>
      </c>
      <c r="W49" t="s">
        <v>52</v>
      </c>
    </row>
    <row r="50" spans="1:23" x14ac:dyDescent="0.35">
      <c r="A50" t="s">
        <v>45</v>
      </c>
      <c r="B50" t="s">
        <v>46</v>
      </c>
      <c r="C50" t="s">
        <v>47</v>
      </c>
      <c r="D50" t="s">
        <v>68</v>
      </c>
      <c r="E50" t="s">
        <v>68</v>
      </c>
      <c r="F50" t="s">
        <v>49</v>
      </c>
      <c r="G50" t="s">
        <v>100</v>
      </c>
      <c r="H50" t="s">
        <v>159</v>
      </c>
      <c r="J50" t="str">
        <f>HYPERLINK("https://www.youtube.com/watch?v=Cz4v5w1J8dE&amp;lc=Ugy9NI8X6kHHyxcwV0B4AaABAg.A1ajB7uzTiVA1cySJUvdwy","https://www.youtube.com/watch?v=Cz4v5w1J8dE&amp;lc=Ugy9NI8X6kHHyxcwV0B4AaABAg.A1ajB7uzTiVA1cySJUvdwy")</f>
        <v>https://www.youtube.com/watch?v=Cz4v5w1J8dE&amp;lc=Ugy9NI8X6kHHyxcwV0B4AaABAg.A1ajB7uzTiVA1cySJUvdwy</v>
      </c>
      <c r="O50">
        <v>0</v>
      </c>
      <c r="P50">
        <v>0</v>
      </c>
      <c r="Q50">
        <v>0</v>
      </c>
      <c r="S50">
        <v>0</v>
      </c>
      <c r="T50">
        <v>0</v>
      </c>
      <c r="U50">
        <v>0</v>
      </c>
      <c r="W50" t="s">
        <v>52</v>
      </c>
    </row>
    <row r="51" spans="1:23" x14ac:dyDescent="0.35">
      <c r="A51" t="s">
        <v>45</v>
      </c>
      <c r="B51" t="s">
        <v>46</v>
      </c>
      <c r="C51" t="s">
        <v>47</v>
      </c>
      <c r="D51" t="s">
        <v>68</v>
      </c>
      <c r="E51" t="s">
        <v>68</v>
      </c>
      <c r="F51" t="s">
        <v>49</v>
      </c>
      <c r="G51" t="s">
        <v>102</v>
      </c>
      <c r="H51" t="s">
        <v>160</v>
      </c>
      <c r="J51" t="str">
        <f>HYPERLINK("https://www.youtube.com/watch?v=Cz4v5w1J8dE&amp;lc=UgxkTUK8r8n68p_LyRR4AaABAg.A1bSxxkmrFKA1cyGT_ppW8","https://www.youtube.com/watch?v=Cz4v5w1J8dE&amp;lc=UgxkTUK8r8n68p_LyRR4AaABAg.A1bSxxkmrFKA1cyGT_ppW8")</f>
        <v>https://www.youtube.com/watch?v=Cz4v5w1J8dE&amp;lc=UgxkTUK8r8n68p_LyRR4AaABAg.A1bSxxkmrFKA1cyGT_ppW8</v>
      </c>
      <c r="O51">
        <v>0</v>
      </c>
      <c r="P51">
        <v>0</v>
      </c>
      <c r="Q51">
        <v>0</v>
      </c>
      <c r="S51">
        <v>0</v>
      </c>
      <c r="T51">
        <v>0</v>
      </c>
      <c r="U51">
        <v>0</v>
      </c>
      <c r="W51" t="s">
        <v>52</v>
      </c>
    </row>
    <row r="52" spans="1:23" x14ac:dyDescent="0.35">
      <c r="A52" t="s">
        <v>45</v>
      </c>
      <c r="B52" t="s">
        <v>46</v>
      </c>
      <c r="C52" t="s">
        <v>47</v>
      </c>
      <c r="D52" t="s">
        <v>68</v>
      </c>
      <c r="E52" t="s">
        <v>68</v>
      </c>
      <c r="F52" t="s">
        <v>49</v>
      </c>
      <c r="G52" t="s">
        <v>102</v>
      </c>
      <c r="H52" t="s">
        <v>161</v>
      </c>
      <c r="J52" t="str">
        <f>HYPERLINK("https://www.youtube.com/watch?v=Cz4v5w1J8dE&amp;lc=Ugw3ElvGt4MHTHE6Hd14AaABAg.A1bf7vudQoxA1cy6RJ4Yhq","https://www.youtube.com/watch?v=Cz4v5w1J8dE&amp;lc=Ugw3ElvGt4MHTHE6Hd14AaABAg.A1bf7vudQoxA1cy6RJ4Yhq")</f>
        <v>https://www.youtube.com/watch?v=Cz4v5w1J8dE&amp;lc=Ugw3ElvGt4MHTHE6Hd14AaABAg.A1bf7vudQoxA1cy6RJ4Yhq</v>
      </c>
      <c r="O52">
        <v>0</v>
      </c>
      <c r="P52">
        <v>0</v>
      </c>
      <c r="Q52">
        <v>0</v>
      </c>
      <c r="S52">
        <v>0</v>
      </c>
      <c r="T52">
        <v>0</v>
      </c>
      <c r="U52">
        <v>0</v>
      </c>
      <c r="W52" t="s">
        <v>52</v>
      </c>
    </row>
    <row r="53" spans="1:23" x14ac:dyDescent="0.35">
      <c r="A53" t="s">
        <v>45</v>
      </c>
      <c r="B53" t="s">
        <v>46</v>
      </c>
      <c r="C53" t="s">
        <v>47</v>
      </c>
      <c r="D53" t="s">
        <v>68</v>
      </c>
      <c r="E53" t="s">
        <v>68</v>
      </c>
      <c r="F53" t="s">
        <v>49</v>
      </c>
      <c r="G53" t="s">
        <v>162</v>
      </c>
      <c r="H53" t="s">
        <v>163</v>
      </c>
      <c r="J53" t="str">
        <f>HYPERLINK("https://www.youtube.com/watch?v=7pMfSyYFp5U&amp;lc=UgwnUpMuwJfsyRib_4B4AaABAg.A1ccZSMKfMQA1cxlB1Vrvp","https://www.youtube.com/watch?v=7pMfSyYFp5U&amp;lc=UgwnUpMuwJfsyRib_4B4AaABAg.A1ccZSMKfMQA1cxlB1Vrvp")</f>
        <v>https://www.youtube.com/watch?v=7pMfSyYFp5U&amp;lc=UgwnUpMuwJfsyRib_4B4AaABAg.A1ccZSMKfMQA1cxlB1Vrvp</v>
      </c>
      <c r="O53">
        <v>0</v>
      </c>
      <c r="P53">
        <v>0</v>
      </c>
      <c r="Q53">
        <v>0</v>
      </c>
      <c r="S53">
        <v>0</v>
      </c>
      <c r="T53">
        <v>0</v>
      </c>
      <c r="U53">
        <v>0</v>
      </c>
      <c r="W53" t="s">
        <v>52</v>
      </c>
    </row>
    <row r="54" spans="1:23" x14ac:dyDescent="0.35">
      <c r="A54" t="s">
        <v>45</v>
      </c>
      <c r="B54" t="s">
        <v>46</v>
      </c>
      <c r="C54" t="s">
        <v>60</v>
      </c>
      <c r="D54" t="s">
        <v>64</v>
      </c>
      <c r="E54" t="s">
        <v>64</v>
      </c>
      <c r="F54" t="s">
        <v>49</v>
      </c>
      <c r="G54" t="s">
        <v>164</v>
      </c>
      <c r="H54" t="s">
        <v>165</v>
      </c>
      <c r="J54" t="str">
        <f>HYPERLINK("https://www.facebook.com/634639855377280/posts/817402500434347?comment_id=402403132688680&amp;reply_comment_id=7426264044086761","https://www.facebook.com/634639855377280/posts/817402500434347?comment_id=402403132688680&amp;reply_comment_id=7426264044086761")</f>
        <v>https://www.facebook.com/634639855377280/posts/817402500434347?comment_id=402403132688680&amp;reply_comment_id=7426264044086761</v>
      </c>
      <c r="K54" t="s">
        <v>67</v>
      </c>
      <c r="O54">
        <v>0</v>
      </c>
      <c r="P54">
        <v>0</v>
      </c>
      <c r="Q54">
        <v>0</v>
      </c>
      <c r="S54">
        <v>0</v>
      </c>
      <c r="T54">
        <v>0</v>
      </c>
      <c r="U54">
        <v>0</v>
      </c>
      <c r="W54" t="s">
        <v>52</v>
      </c>
    </row>
    <row r="55" spans="1:23" x14ac:dyDescent="0.35">
      <c r="A55" t="s">
        <v>45</v>
      </c>
      <c r="B55" t="s">
        <v>46</v>
      </c>
      <c r="C55" t="s">
        <v>47</v>
      </c>
      <c r="D55" t="s">
        <v>166</v>
      </c>
      <c r="E55" t="s">
        <v>166</v>
      </c>
      <c r="F55" t="s">
        <v>54</v>
      </c>
      <c r="G55" t="s">
        <v>167</v>
      </c>
      <c r="H55" t="s">
        <v>168</v>
      </c>
      <c r="J55" t="str">
        <f>HYPERLINK("https://www.youtube.com/watch?v=7pMfSyYFp5U&amp;lc=UgwnUpMuwJfsyRib_4B4AaABAg","https://www.youtube.com/watch?v=7pMfSyYFp5U&amp;lc=UgwnUpMuwJfsyRib_4B4AaABAg")</f>
        <v>https://www.youtube.com/watch?v=7pMfSyYFp5U&amp;lc=UgwnUpMuwJfsyRib_4B4AaABAg</v>
      </c>
      <c r="O55">
        <v>0</v>
      </c>
      <c r="P55">
        <v>0</v>
      </c>
      <c r="Q55">
        <v>0</v>
      </c>
      <c r="S55">
        <v>0</v>
      </c>
      <c r="T55">
        <v>0</v>
      </c>
      <c r="U55">
        <v>0</v>
      </c>
      <c r="W55" t="s">
        <v>52</v>
      </c>
    </row>
    <row r="56" spans="1:23" x14ac:dyDescent="0.35">
      <c r="A56" t="s">
        <v>45</v>
      </c>
      <c r="B56" t="s">
        <v>169</v>
      </c>
      <c r="C56" t="s">
        <v>47</v>
      </c>
      <c r="D56" t="s">
        <v>170</v>
      </c>
      <c r="E56" t="s">
        <v>170</v>
      </c>
      <c r="F56" t="s">
        <v>49</v>
      </c>
      <c r="G56" t="s">
        <v>171</v>
      </c>
      <c r="H56" t="s">
        <v>172</v>
      </c>
      <c r="J56" t="str">
        <f>HYPERLINK("https://www.youtube.com/watch?v=Cz4v5w1J8dE&amp;lc=Ugy6hXXGkOcU7-dIO9l4AaABAg","https://www.youtube.com/watch?v=Cz4v5w1J8dE&amp;lc=Ugy6hXXGkOcU7-dIO9l4AaABAg")</f>
        <v>https://www.youtube.com/watch?v=Cz4v5w1J8dE&amp;lc=Ugy6hXXGkOcU7-dIO9l4AaABAg</v>
      </c>
      <c r="O56">
        <v>0</v>
      </c>
      <c r="P56">
        <v>0</v>
      </c>
      <c r="Q56">
        <v>0</v>
      </c>
      <c r="S56">
        <v>0</v>
      </c>
      <c r="T56">
        <v>0</v>
      </c>
      <c r="U56">
        <v>0</v>
      </c>
      <c r="W56" t="s">
        <v>52</v>
      </c>
    </row>
    <row r="57" spans="1:23" x14ac:dyDescent="0.35">
      <c r="A57" t="s">
        <v>45</v>
      </c>
      <c r="B57" t="s">
        <v>169</v>
      </c>
      <c r="C57" t="s">
        <v>47</v>
      </c>
      <c r="D57" t="s">
        <v>173</v>
      </c>
      <c r="E57" t="s">
        <v>173</v>
      </c>
      <c r="F57" t="s">
        <v>49</v>
      </c>
      <c r="G57" t="s">
        <v>174</v>
      </c>
      <c r="H57" t="s">
        <v>175</v>
      </c>
      <c r="J57" t="str">
        <f>HYPERLINK("https://www.youtube.com/watch?v=XnF5-uLfaHg&amp;lc=Ugxa8QqLJD0KAeWVGzd4AaABAg.A1ZQ3mSbyIVA1bwguXe5Ga","https://www.youtube.com/watch?v=XnF5-uLfaHg&amp;lc=Ugxa8QqLJD0KAeWVGzd4AaABAg.A1ZQ3mSbyIVA1bwguXe5Ga")</f>
        <v>https://www.youtube.com/watch?v=XnF5-uLfaHg&amp;lc=Ugxa8QqLJD0KAeWVGzd4AaABAg.A1ZQ3mSbyIVA1bwguXe5Ga</v>
      </c>
      <c r="O57">
        <v>0</v>
      </c>
      <c r="P57">
        <v>0</v>
      </c>
      <c r="Q57">
        <v>0</v>
      </c>
      <c r="S57">
        <v>0</v>
      </c>
      <c r="T57">
        <v>0</v>
      </c>
      <c r="U57">
        <v>0</v>
      </c>
      <c r="W57" t="s">
        <v>52</v>
      </c>
    </row>
    <row r="58" spans="1:23" x14ac:dyDescent="0.35">
      <c r="A58" t="s">
        <v>45</v>
      </c>
      <c r="B58" t="s">
        <v>169</v>
      </c>
      <c r="C58" t="s">
        <v>60</v>
      </c>
      <c r="D58" t="s">
        <v>61</v>
      </c>
      <c r="E58" t="s">
        <v>61</v>
      </c>
      <c r="F58" t="s">
        <v>49</v>
      </c>
      <c r="G58" t="s">
        <v>176</v>
      </c>
      <c r="H58" t="s">
        <v>177</v>
      </c>
      <c r="J58" t="str">
        <f>HYPERLINK("https://www.facebook.com/634639855377280/posts/817402500434347?comment_id=294562176867552","https://www.facebook.com/634639855377280/posts/817402500434347?comment_id=294562176867552")</f>
        <v>https://www.facebook.com/634639855377280/posts/817402500434347?comment_id=294562176867552</v>
      </c>
      <c r="O58">
        <v>0</v>
      </c>
      <c r="P58">
        <v>0</v>
      </c>
      <c r="Q58">
        <v>0</v>
      </c>
      <c r="S58">
        <v>0</v>
      </c>
      <c r="T58">
        <v>0</v>
      </c>
      <c r="U58">
        <v>0</v>
      </c>
      <c r="W58" t="s">
        <v>52</v>
      </c>
    </row>
    <row r="59" spans="1:23" x14ac:dyDescent="0.35">
      <c r="A59" t="s">
        <v>45</v>
      </c>
      <c r="B59" t="s">
        <v>169</v>
      </c>
      <c r="C59" t="s">
        <v>47</v>
      </c>
      <c r="D59" t="s">
        <v>178</v>
      </c>
      <c r="E59" t="s">
        <v>178</v>
      </c>
      <c r="F59" t="s">
        <v>49</v>
      </c>
      <c r="G59" t="s">
        <v>179</v>
      </c>
      <c r="H59" t="s">
        <v>180</v>
      </c>
      <c r="J59" t="str">
        <f>HYPERLINK("https://www.youtube.com/watch?v=7pMfSyYFp5U&amp;lc=Ugxnu1zTxAdoxStX7Sx4AaABAg.A1bKFb5U83fA1bq-zfJ150","https://www.youtube.com/watch?v=7pMfSyYFp5U&amp;lc=Ugxnu1zTxAdoxStX7Sx4AaABAg.A1bKFb5U83fA1bq-zfJ150")</f>
        <v>https://www.youtube.com/watch?v=7pMfSyYFp5U&amp;lc=Ugxnu1zTxAdoxStX7Sx4AaABAg.A1bKFb5U83fA1bq-zfJ150</v>
      </c>
      <c r="O59">
        <v>0</v>
      </c>
      <c r="P59">
        <v>0</v>
      </c>
      <c r="Q59">
        <v>0</v>
      </c>
      <c r="S59">
        <v>0</v>
      </c>
      <c r="T59">
        <v>0</v>
      </c>
      <c r="U59">
        <v>0</v>
      </c>
      <c r="W59" t="s">
        <v>52</v>
      </c>
    </row>
    <row r="60" spans="1:23" x14ac:dyDescent="0.35">
      <c r="A60" t="s">
        <v>45</v>
      </c>
      <c r="B60" t="s">
        <v>169</v>
      </c>
      <c r="C60" t="s">
        <v>47</v>
      </c>
      <c r="D60" t="s">
        <v>178</v>
      </c>
      <c r="E60" t="s">
        <v>178</v>
      </c>
      <c r="F60" t="s">
        <v>49</v>
      </c>
      <c r="G60" t="s">
        <v>181</v>
      </c>
      <c r="H60" t="s">
        <v>182</v>
      </c>
      <c r="J60" t="str">
        <f>HYPERLINK("https://www.youtube.com/watch?v=7pMfSyYFp5U&amp;lc=Ugxnu1zTxAdoxStX7Sx4AaABAg.A1bKFb5U83fA1bpwOwMrFX","https://www.youtube.com/watch?v=7pMfSyYFp5U&amp;lc=Ugxnu1zTxAdoxStX7Sx4AaABAg.A1bKFb5U83fA1bpwOwMrFX")</f>
        <v>https://www.youtube.com/watch?v=7pMfSyYFp5U&amp;lc=Ugxnu1zTxAdoxStX7Sx4AaABAg.A1bKFb5U83fA1bpwOwMrFX</v>
      </c>
      <c r="O60">
        <v>0</v>
      </c>
      <c r="P60">
        <v>0</v>
      </c>
      <c r="Q60">
        <v>0</v>
      </c>
      <c r="S60">
        <v>0</v>
      </c>
      <c r="T60">
        <v>0</v>
      </c>
      <c r="U60">
        <v>0</v>
      </c>
      <c r="W60" t="s">
        <v>52</v>
      </c>
    </row>
    <row r="61" spans="1:23" x14ac:dyDescent="0.35">
      <c r="A61" t="s">
        <v>45</v>
      </c>
      <c r="B61" t="s">
        <v>169</v>
      </c>
      <c r="C61" t="s">
        <v>60</v>
      </c>
      <c r="D61" t="s">
        <v>61</v>
      </c>
      <c r="E61" t="s">
        <v>61</v>
      </c>
      <c r="F61" t="s">
        <v>49</v>
      </c>
      <c r="G61" t="s">
        <v>183</v>
      </c>
      <c r="H61" t="s">
        <v>184</v>
      </c>
      <c r="J61" t="str">
        <f>HYPERLINK("https://www.facebook.com/634639855377280/posts/818154200359177?comment_id=1852879921853953","https://www.facebook.com/634639855377280/posts/818154200359177?comment_id=1852879921853953")</f>
        <v>https://www.facebook.com/634639855377280/posts/818154200359177?comment_id=1852879921853953</v>
      </c>
      <c r="O61">
        <v>0</v>
      </c>
      <c r="P61">
        <v>0</v>
      </c>
      <c r="Q61">
        <v>0</v>
      </c>
      <c r="S61">
        <v>0</v>
      </c>
      <c r="T61">
        <v>0</v>
      </c>
      <c r="U61">
        <v>0</v>
      </c>
      <c r="W61" t="s">
        <v>52</v>
      </c>
    </row>
    <row r="62" spans="1:23" x14ac:dyDescent="0.35">
      <c r="A62" t="s">
        <v>45</v>
      </c>
      <c r="B62" t="s">
        <v>169</v>
      </c>
      <c r="C62" t="s">
        <v>47</v>
      </c>
      <c r="D62" t="s">
        <v>131</v>
      </c>
      <c r="E62" t="s">
        <v>131</v>
      </c>
      <c r="F62" t="s">
        <v>49</v>
      </c>
      <c r="G62" t="s">
        <v>185</v>
      </c>
      <c r="H62" t="s">
        <v>186</v>
      </c>
      <c r="J62" t="str">
        <f>HYPERLINK("https://www.youtube.com/watch?v=7pMfSyYFp5U&amp;lc=Ugxnu1zTxAdoxStX7Sx4AaABAg.A1bKFb5U83fA1bp31opfuK","https://www.youtube.com/watch?v=7pMfSyYFp5U&amp;lc=Ugxnu1zTxAdoxStX7Sx4AaABAg.A1bKFb5U83fA1bp31opfuK")</f>
        <v>https://www.youtube.com/watch?v=7pMfSyYFp5U&amp;lc=Ugxnu1zTxAdoxStX7Sx4AaABAg.A1bKFb5U83fA1bp31opfuK</v>
      </c>
      <c r="O62">
        <v>0</v>
      </c>
      <c r="P62">
        <v>0</v>
      </c>
      <c r="Q62">
        <v>0</v>
      </c>
      <c r="S62">
        <v>0</v>
      </c>
      <c r="T62">
        <v>0</v>
      </c>
      <c r="U62">
        <v>0</v>
      </c>
      <c r="W62" t="s">
        <v>52</v>
      </c>
    </row>
    <row r="63" spans="1:23" x14ac:dyDescent="0.35">
      <c r="A63" t="s">
        <v>45</v>
      </c>
      <c r="B63" t="s">
        <v>169</v>
      </c>
      <c r="C63" t="s">
        <v>47</v>
      </c>
      <c r="D63" t="s">
        <v>178</v>
      </c>
      <c r="E63" t="s">
        <v>178</v>
      </c>
      <c r="F63" t="s">
        <v>49</v>
      </c>
      <c r="G63" t="s">
        <v>187</v>
      </c>
      <c r="H63" t="s">
        <v>188</v>
      </c>
      <c r="J63" t="str">
        <f>HYPERLINK("https://www.youtube.com/watch?v=7pMfSyYFp5U&amp;lc=UgxL_fROg4e3fMhHszR4AaABAg","https://www.youtube.com/watch?v=7pMfSyYFp5U&amp;lc=UgxL_fROg4e3fMhHszR4AaABAg")</f>
        <v>https://www.youtube.com/watch?v=7pMfSyYFp5U&amp;lc=UgxL_fROg4e3fMhHszR4AaABAg</v>
      </c>
      <c r="O63">
        <v>0</v>
      </c>
      <c r="P63">
        <v>0</v>
      </c>
      <c r="Q63">
        <v>0</v>
      </c>
      <c r="S63">
        <v>0</v>
      </c>
      <c r="T63">
        <v>0</v>
      </c>
      <c r="U63">
        <v>0</v>
      </c>
      <c r="W63" t="s">
        <v>52</v>
      </c>
    </row>
    <row r="64" spans="1:23" x14ac:dyDescent="0.35">
      <c r="A64" t="s">
        <v>45</v>
      </c>
      <c r="B64" t="s">
        <v>169</v>
      </c>
      <c r="C64" t="s">
        <v>47</v>
      </c>
      <c r="D64" t="s">
        <v>178</v>
      </c>
      <c r="E64" t="s">
        <v>178</v>
      </c>
      <c r="F64" t="s">
        <v>54</v>
      </c>
      <c r="G64" t="s">
        <v>189</v>
      </c>
      <c r="H64" t="s">
        <v>190</v>
      </c>
      <c r="J64" t="str">
        <f>HYPERLINK("https://www.youtube.com/watch?v=7pMfSyYFp5U&amp;lc=UgzsTkxheVN6iehPJXJ4AaABAg","https://www.youtube.com/watch?v=7pMfSyYFp5U&amp;lc=UgzsTkxheVN6iehPJXJ4AaABAg")</f>
        <v>https://www.youtube.com/watch?v=7pMfSyYFp5U&amp;lc=UgzsTkxheVN6iehPJXJ4AaABAg</v>
      </c>
      <c r="O64">
        <v>0</v>
      </c>
      <c r="P64">
        <v>0</v>
      </c>
      <c r="Q64">
        <v>0</v>
      </c>
      <c r="S64">
        <v>0</v>
      </c>
      <c r="T64">
        <v>0</v>
      </c>
      <c r="U64">
        <v>0</v>
      </c>
      <c r="W64" t="s">
        <v>52</v>
      </c>
    </row>
    <row r="65" spans="1:23" x14ac:dyDescent="0.35">
      <c r="A65" t="s">
        <v>45</v>
      </c>
      <c r="B65" t="s">
        <v>169</v>
      </c>
      <c r="C65" t="s">
        <v>47</v>
      </c>
      <c r="D65" t="s">
        <v>178</v>
      </c>
      <c r="E65" t="s">
        <v>178</v>
      </c>
      <c r="F65" t="s">
        <v>49</v>
      </c>
      <c r="G65" t="s">
        <v>191</v>
      </c>
      <c r="H65" t="s">
        <v>192</v>
      </c>
      <c r="J65" t="str">
        <f>HYPERLINK("https://www.youtube.com/watch?v=7pMfSyYFp5U&amp;lc=Ugxnu1zTxAdoxStX7Sx4AaABAg.A1bKFb5U83fA1bo4lcX4x2","https://www.youtube.com/watch?v=7pMfSyYFp5U&amp;lc=Ugxnu1zTxAdoxStX7Sx4AaABAg.A1bKFb5U83fA1bo4lcX4x2")</f>
        <v>https://www.youtube.com/watch?v=7pMfSyYFp5U&amp;lc=Ugxnu1zTxAdoxStX7Sx4AaABAg.A1bKFb5U83fA1bo4lcX4x2</v>
      </c>
      <c r="O65">
        <v>0</v>
      </c>
      <c r="P65">
        <v>0</v>
      </c>
      <c r="Q65">
        <v>0</v>
      </c>
      <c r="S65">
        <v>0</v>
      </c>
      <c r="T65">
        <v>0</v>
      </c>
      <c r="U65">
        <v>0</v>
      </c>
      <c r="W65" t="s">
        <v>52</v>
      </c>
    </row>
    <row r="66" spans="1:23" x14ac:dyDescent="0.35">
      <c r="A66" t="s">
        <v>45</v>
      </c>
      <c r="B66" t="s">
        <v>169</v>
      </c>
      <c r="C66" t="s">
        <v>60</v>
      </c>
      <c r="D66" t="s">
        <v>61</v>
      </c>
      <c r="E66" t="s">
        <v>61</v>
      </c>
      <c r="F66" t="s">
        <v>193</v>
      </c>
      <c r="G66" t="s">
        <v>194</v>
      </c>
      <c r="H66" t="s">
        <v>195</v>
      </c>
      <c r="J66" t="str">
        <f>HYPERLINK("https://www.facebook.com/634639855377280/posts/818154200359177?comment_id=1789091298255615","https://www.facebook.com/634639855377280/posts/818154200359177?comment_id=1789091298255615")</f>
        <v>https://www.facebook.com/634639855377280/posts/818154200359177?comment_id=1789091298255615</v>
      </c>
      <c r="O66">
        <v>0</v>
      </c>
      <c r="P66">
        <v>0</v>
      </c>
      <c r="Q66">
        <v>0</v>
      </c>
      <c r="S66">
        <v>0</v>
      </c>
      <c r="T66">
        <v>0</v>
      </c>
      <c r="U66">
        <v>0</v>
      </c>
      <c r="W66" t="s">
        <v>52</v>
      </c>
    </row>
    <row r="67" spans="1:23" x14ac:dyDescent="0.35">
      <c r="A67" t="s">
        <v>45</v>
      </c>
      <c r="B67" t="s">
        <v>169</v>
      </c>
      <c r="C67" t="s">
        <v>60</v>
      </c>
      <c r="D67" t="s">
        <v>61</v>
      </c>
      <c r="E67" t="s">
        <v>61</v>
      </c>
      <c r="F67" t="s">
        <v>49</v>
      </c>
      <c r="G67" t="s">
        <v>196</v>
      </c>
      <c r="H67" t="s">
        <v>197</v>
      </c>
      <c r="J67" t="str">
        <f>HYPERLINK("https://www.facebook.com/634639855377280/posts/817402500434347?comment_id=352406500525509&amp;reply_comment_id=434054429155190","https://www.facebook.com/634639855377280/posts/817402500434347?comment_id=352406500525509&amp;reply_comment_id=434054429155190")</f>
        <v>https://www.facebook.com/634639855377280/posts/817402500434347?comment_id=352406500525509&amp;reply_comment_id=434054429155190</v>
      </c>
      <c r="O67">
        <v>0</v>
      </c>
      <c r="P67">
        <v>0</v>
      </c>
      <c r="Q67">
        <v>0</v>
      </c>
      <c r="S67">
        <v>0</v>
      </c>
      <c r="T67">
        <v>0</v>
      </c>
      <c r="U67">
        <v>0</v>
      </c>
      <c r="W67" t="s">
        <v>52</v>
      </c>
    </row>
    <row r="68" spans="1:23" x14ac:dyDescent="0.35">
      <c r="A68" t="s">
        <v>45</v>
      </c>
      <c r="B68" t="s">
        <v>169</v>
      </c>
      <c r="C68" t="s">
        <v>60</v>
      </c>
      <c r="D68" t="s">
        <v>61</v>
      </c>
      <c r="E68" t="s">
        <v>61</v>
      </c>
      <c r="F68" t="s">
        <v>49</v>
      </c>
      <c r="G68" t="s">
        <v>198</v>
      </c>
      <c r="H68" t="s">
        <v>199</v>
      </c>
      <c r="J68" t="str">
        <f>HYPERLINK("https://www.facebook.com/634639855377280/posts/818033483704582?comment_id=794147712619980","https://www.facebook.com/634639855377280/posts/818033483704582?comment_id=794147712619980")</f>
        <v>https://www.facebook.com/634639855377280/posts/818033483704582?comment_id=794147712619980</v>
      </c>
      <c r="O68">
        <v>0</v>
      </c>
      <c r="P68">
        <v>0</v>
      </c>
      <c r="Q68">
        <v>0</v>
      </c>
      <c r="S68">
        <v>0</v>
      </c>
      <c r="T68">
        <v>0</v>
      </c>
      <c r="U68">
        <v>0</v>
      </c>
      <c r="W68" t="s">
        <v>52</v>
      </c>
    </row>
    <row r="69" spans="1:23" x14ac:dyDescent="0.35">
      <c r="A69" t="s">
        <v>45</v>
      </c>
      <c r="B69" t="s">
        <v>169</v>
      </c>
      <c r="C69" t="s">
        <v>60</v>
      </c>
      <c r="D69" t="s">
        <v>61</v>
      </c>
      <c r="E69" t="s">
        <v>61</v>
      </c>
      <c r="F69" t="s">
        <v>49</v>
      </c>
      <c r="G69">
        <v>8981906084</v>
      </c>
      <c r="H69" t="s">
        <v>200</v>
      </c>
      <c r="J69" t="str">
        <f>HYPERLINK("https://www.facebook.com/634639855377280/posts/818154200359177?comment_id=1434640507159968&amp;reply_comment_id=1156582591947165","https://www.facebook.com/634639855377280/posts/818154200359177?comment_id=1434640507159968&amp;reply_comment_id=1156582591947165")</f>
        <v>https://www.facebook.com/634639855377280/posts/818154200359177?comment_id=1434640507159968&amp;reply_comment_id=1156582591947165</v>
      </c>
      <c r="O69">
        <v>0</v>
      </c>
      <c r="P69">
        <v>0</v>
      </c>
      <c r="Q69">
        <v>0</v>
      </c>
      <c r="S69">
        <v>0</v>
      </c>
      <c r="T69">
        <v>0</v>
      </c>
      <c r="U69">
        <v>0</v>
      </c>
      <c r="W69" t="s">
        <v>52</v>
      </c>
    </row>
    <row r="70" spans="1:23" x14ac:dyDescent="0.35">
      <c r="A70" t="s">
        <v>45</v>
      </c>
      <c r="B70" t="s">
        <v>169</v>
      </c>
      <c r="C70" t="s">
        <v>60</v>
      </c>
      <c r="D70" t="s">
        <v>61</v>
      </c>
      <c r="E70" t="s">
        <v>61</v>
      </c>
      <c r="F70" t="s">
        <v>49</v>
      </c>
      <c r="G70" t="s">
        <v>201</v>
      </c>
      <c r="H70" t="s">
        <v>202</v>
      </c>
      <c r="J70" t="str">
        <f>HYPERLINK("https://www.facebook.com/634639855377280/posts/818154200359177?comment_id=1434640507159968&amp;reply_comment_id=951077313194267","https://www.facebook.com/634639855377280/posts/818154200359177?comment_id=1434640507159968&amp;reply_comment_id=951077313194267")</f>
        <v>https://www.facebook.com/634639855377280/posts/818154200359177?comment_id=1434640507159968&amp;reply_comment_id=951077313194267</v>
      </c>
      <c r="O70">
        <v>0</v>
      </c>
      <c r="P70">
        <v>0</v>
      </c>
      <c r="Q70">
        <v>0</v>
      </c>
      <c r="S70">
        <v>0</v>
      </c>
      <c r="T70">
        <v>0</v>
      </c>
      <c r="U70">
        <v>0</v>
      </c>
      <c r="W70" t="s">
        <v>52</v>
      </c>
    </row>
    <row r="71" spans="1:23" x14ac:dyDescent="0.35">
      <c r="A71" t="s">
        <v>45</v>
      </c>
      <c r="B71" t="s">
        <v>169</v>
      </c>
      <c r="C71" t="s">
        <v>60</v>
      </c>
      <c r="D71" t="s">
        <v>61</v>
      </c>
      <c r="E71" t="s">
        <v>61</v>
      </c>
      <c r="F71" t="s">
        <v>49</v>
      </c>
      <c r="G71" t="s">
        <v>203</v>
      </c>
      <c r="H71" t="s">
        <v>204</v>
      </c>
      <c r="J71" t="str">
        <f>HYPERLINK("https://www.facebook.com/634639855377280/posts/818154200359177?comment_id=1627662614721962&amp;reply_comment_id=1090533945386333","https://www.facebook.com/634639855377280/posts/818154200359177?comment_id=1627662614721962&amp;reply_comment_id=1090533945386333")</f>
        <v>https://www.facebook.com/634639855377280/posts/818154200359177?comment_id=1627662614721962&amp;reply_comment_id=1090533945386333</v>
      </c>
      <c r="O71">
        <v>0</v>
      </c>
      <c r="P71">
        <v>0</v>
      </c>
      <c r="Q71">
        <v>0</v>
      </c>
      <c r="S71">
        <v>0</v>
      </c>
      <c r="T71">
        <v>0</v>
      </c>
      <c r="U71">
        <v>0</v>
      </c>
      <c r="W71" t="s">
        <v>52</v>
      </c>
    </row>
    <row r="72" spans="1:23" x14ac:dyDescent="0.35">
      <c r="A72" t="s">
        <v>45</v>
      </c>
      <c r="B72" t="s">
        <v>169</v>
      </c>
      <c r="C72" t="s">
        <v>47</v>
      </c>
      <c r="D72" t="s">
        <v>205</v>
      </c>
      <c r="E72" t="s">
        <v>205</v>
      </c>
      <c r="F72" t="s">
        <v>193</v>
      </c>
      <c r="G72" t="s">
        <v>206</v>
      </c>
      <c r="H72" t="s">
        <v>207</v>
      </c>
      <c r="J72" t="str">
        <f>HYPERLINK("https://www.youtube.com/watch?v=Cz4v5w1J8dE&amp;lc=Ugw3ElvGt4MHTHE6Hd14AaABAg","https://www.youtube.com/watch?v=Cz4v5w1J8dE&amp;lc=Ugw3ElvGt4MHTHE6Hd14AaABAg")</f>
        <v>https://www.youtube.com/watch?v=Cz4v5w1J8dE&amp;lc=Ugw3ElvGt4MHTHE6Hd14AaABAg</v>
      </c>
      <c r="O72">
        <v>0</v>
      </c>
      <c r="P72">
        <v>0</v>
      </c>
      <c r="Q72">
        <v>0</v>
      </c>
      <c r="S72">
        <v>0</v>
      </c>
      <c r="T72">
        <v>0</v>
      </c>
      <c r="U72">
        <v>0</v>
      </c>
      <c r="W72" t="s">
        <v>52</v>
      </c>
    </row>
    <row r="73" spans="1:23" x14ac:dyDescent="0.35">
      <c r="A73" t="s">
        <v>45</v>
      </c>
      <c r="B73" t="s">
        <v>169</v>
      </c>
      <c r="C73" t="s">
        <v>60</v>
      </c>
      <c r="D73" t="s">
        <v>61</v>
      </c>
      <c r="E73" t="s">
        <v>61</v>
      </c>
      <c r="F73" t="s">
        <v>49</v>
      </c>
      <c r="G73" t="s">
        <v>208</v>
      </c>
      <c r="H73" t="s">
        <v>209</v>
      </c>
      <c r="J73" t="str">
        <f>HYPERLINK("https://www.facebook.com/634639855377280/posts/818154200359177?comment_id=943040240782251","https://www.facebook.com/634639855377280/posts/818154200359177?comment_id=943040240782251")</f>
        <v>https://www.facebook.com/634639855377280/posts/818154200359177?comment_id=943040240782251</v>
      </c>
      <c r="O73">
        <v>0</v>
      </c>
      <c r="P73">
        <v>0</v>
      </c>
      <c r="Q73">
        <v>0</v>
      </c>
      <c r="S73">
        <v>0</v>
      </c>
      <c r="T73">
        <v>0</v>
      </c>
      <c r="U73">
        <v>0</v>
      </c>
      <c r="W73" t="s">
        <v>52</v>
      </c>
    </row>
    <row r="74" spans="1:23" x14ac:dyDescent="0.35">
      <c r="A74" t="s">
        <v>45</v>
      </c>
      <c r="B74" t="s">
        <v>169</v>
      </c>
      <c r="C74" t="s">
        <v>47</v>
      </c>
      <c r="D74" t="s">
        <v>210</v>
      </c>
      <c r="E74" t="s">
        <v>210</v>
      </c>
      <c r="F74" t="s">
        <v>49</v>
      </c>
      <c r="G74" t="s">
        <v>211</v>
      </c>
      <c r="H74" t="s">
        <v>212</v>
      </c>
      <c r="J74" t="str">
        <f>HYPERLINK("https://www.youtube.com/watch?v=Cz4v5w1J8dE&amp;lc=UgxEBuCM8LTGUawCPm14AaABAg","https://www.youtube.com/watch?v=Cz4v5w1J8dE&amp;lc=UgxEBuCM8LTGUawCPm14AaABAg")</f>
        <v>https://www.youtube.com/watch?v=Cz4v5w1J8dE&amp;lc=UgxEBuCM8LTGUawCPm14AaABAg</v>
      </c>
      <c r="O74">
        <v>0</v>
      </c>
      <c r="P74">
        <v>0</v>
      </c>
      <c r="Q74">
        <v>0</v>
      </c>
      <c r="S74">
        <v>0</v>
      </c>
      <c r="T74">
        <v>0</v>
      </c>
      <c r="U74">
        <v>0</v>
      </c>
      <c r="W74" t="s">
        <v>52</v>
      </c>
    </row>
    <row r="75" spans="1:23" x14ac:dyDescent="0.35">
      <c r="A75" t="s">
        <v>45</v>
      </c>
      <c r="B75" t="s">
        <v>169</v>
      </c>
      <c r="C75" t="s">
        <v>93</v>
      </c>
      <c r="D75" t="s">
        <v>213</v>
      </c>
      <c r="E75" t="s">
        <v>214</v>
      </c>
      <c r="F75" t="s">
        <v>49</v>
      </c>
      <c r="G75" t="s">
        <v>215</v>
      </c>
      <c r="H75" t="s">
        <v>216</v>
      </c>
      <c r="J75" t="str">
        <f>HYPERLINK("https://twitter.com/skygupta007/status/1774086662538355023","https://twitter.com/skygupta007/status/1774086662538355023")</f>
        <v>https://twitter.com/skygupta007/status/1774086662538355023</v>
      </c>
      <c r="K75" t="s">
        <v>67</v>
      </c>
      <c r="O75">
        <v>0</v>
      </c>
      <c r="P75">
        <v>0</v>
      </c>
      <c r="Q75">
        <v>167</v>
      </c>
      <c r="R75" t="s">
        <v>217</v>
      </c>
      <c r="S75">
        <v>0</v>
      </c>
      <c r="T75">
        <v>0</v>
      </c>
      <c r="U75">
        <v>0</v>
      </c>
      <c r="W75" t="s">
        <v>99</v>
      </c>
    </row>
    <row r="76" spans="1:23" x14ac:dyDescent="0.35">
      <c r="A76" t="s">
        <v>45</v>
      </c>
      <c r="B76" t="s">
        <v>169</v>
      </c>
      <c r="C76" t="s">
        <v>60</v>
      </c>
      <c r="D76" t="s">
        <v>61</v>
      </c>
      <c r="E76" t="s">
        <v>61</v>
      </c>
      <c r="F76" t="s">
        <v>49</v>
      </c>
      <c r="G76" t="s">
        <v>218</v>
      </c>
      <c r="H76" t="s">
        <v>219</v>
      </c>
      <c r="J76" t="str">
        <f>HYPERLINK("https://www.facebook.com/634639855377280/posts/817402500434347?comment_id=973687491022794","https://www.facebook.com/634639855377280/posts/817402500434347?comment_id=973687491022794")</f>
        <v>https://www.facebook.com/634639855377280/posts/817402500434347?comment_id=973687491022794</v>
      </c>
      <c r="O76">
        <v>0</v>
      </c>
      <c r="P76">
        <v>0</v>
      </c>
      <c r="Q76">
        <v>0</v>
      </c>
      <c r="S76">
        <v>0</v>
      </c>
      <c r="T76">
        <v>0</v>
      </c>
      <c r="U76">
        <v>0</v>
      </c>
      <c r="W76" t="s">
        <v>52</v>
      </c>
    </row>
    <row r="77" spans="1:23" x14ac:dyDescent="0.35">
      <c r="A77" t="s">
        <v>45</v>
      </c>
      <c r="B77" t="s">
        <v>169</v>
      </c>
      <c r="C77" t="s">
        <v>47</v>
      </c>
      <c r="D77" t="s">
        <v>220</v>
      </c>
      <c r="E77" t="s">
        <v>220</v>
      </c>
      <c r="F77" t="s">
        <v>49</v>
      </c>
      <c r="G77" t="s">
        <v>221</v>
      </c>
      <c r="H77" t="s">
        <v>222</v>
      </c>
      <c r="J77" t="str">
        <f>HYPERLINK("https://www.youtube.com/watch?v=Cz4v5w1J8dE&amp;lc=UgzTnjXcNqZBD4pWb3F4AaABAg","https://www.youtube.com/watch?v=Cz4v5w1J8dE&amp;lc=UgzTnjXcNqZBD4pWb3F4AaABAg")</f>
        <v>https://www.youtube.com/watch?v=Cz4v5w1J8dE&amp;lc=UgzTnjXcNqZBD4pWb3F4AaABAg</v>
      </c>
      <c r="O77">
        <v>0</v>
      </c>
      <c r="P77">
        <v>0</v>
      </c>
      <c r="Q77">
        <v>0</v>
      </c>
      <c r="S77">
        <v>0</v>
      </c>
      <c r="T77">
        <v>0</v>
      </c>
      <c r="U77">
        <v>0</v>
      </c>
      <c r="W77" t="s">
        <v>52</v>
      </c>
    </row>
    <row r="78" spans="1:23" x14ac:dyDescent="0.35">
      <c r="A78" t="s">
        <v>45</v>
      </c>
      <c r="B78" t="s">
        <v>169</v>
      </c>
      <c r="C78" t="s">
        <v>93</v>
      </c>
      <c r="D78" t="s">
        <v>223</v>
      </c>
      <c r="E78" t="s">
        <v>224</v>
      </c>
      <c r="F78" t="s">
        <v>49</v>
      </c>
      <c r="G78" t="s">
        <v>225</v>
      </c>
      <c r="H78" t="s">
        <v>226</v>
      </c>
      <c r="J78" t="str">
        <f>HYPERLINK("https://twitter.com/MdSec63/status/1774068334545526913","https://twitter.com/MdSec63/status/1774068334545526913")</f>
        <v>https://twitter.com/MdSec63/status/1774068334545526913</v>
      </c>
      <c r="O78">
        <v>0</v>
      </c>
      <c r="P78">
        <v>0</v>
      </c>
      <c r="Q78">
        <v>0</v>
      </c>
      <c r="S78">
        <v>0</v>
      </c>
      <c r="T78">
        <v>0</v>
      </c>
      <c r="U78">
        <v>0</v>
      </c>
      <c r="W78" t="s">
        <v>99</v>
      </c>
    </row>
    <row r="79" spans="1:23" x14ac:dyDescent="0.35">
      <c r="A79" t="s">
        <v>45</v>
      </c>
      <c r="B79" t="s">
        <v>169</v>
      </c>
      <c r="C79" t="s">
        <v>47</v>
      </c>
      <c r="D79" t="s">
        <v>227</v>
      </c>
      <c r="E79" t="s">
        <v>227</v>
      </c>
      <c r="F79" t="s">
        <v>49</v>
      </c>
      <c r="G79" t="s">
        <v>228</v>
      </c>
      <c r="H79" t="s">
        <v>229</v>
      </c>
      <c r="J79" t="str">
        <f>HYPERLINK("https://www.youtube.com/watch?v=Cz4v5w1J8dE&amp;lc=Ugy5ZRxv2S4y5sdaeFZ4AaABAg","https://www.youtube.com/watch?v=Cz4v5w1J8dE&amp;lc=Ugy5ZRxv2S4y5sdaeFZ4AaABAg")</f>
        <v>https://www.youtube.com/watch?v=Cz4v5w1J8dE&amp;lc=Ugy5ZRxv2S4y5sdaeFZ4AaABAg</v>
      </c>
      <c r="O79">
        <v>0</v>
      </c>
      <c r="P79">
        <v>0</v>
      </c>
      <c r="Q79">
        <v>0</v>
      </c>
      <c r="S79">
        <v>0</v>
      </c>
      <c r="T79">
        <v>0</v>
      </c>
      <c r="U79">
        <v>0</v>
      </c>
      <c r="W79" t="s">
        <v>52</v>
      </c>
    </row>
    <row r="80" spans="1:23" x14ac:dyDescent="0.35">
      <c r="A80" t="s">
        <v>45</v>
      </c>
      <c r="B80" t="s">
        <v>169</v>
      </c>
      <c r="C80" t="s">
        <v>47</v>
      </c>
      <c r="D80" t="s">
        <v>227</v>
      </c>
      <c r="E80" t="s">
        <v>227</v>
      </c>
      <c r="F80" t="s">
        <v>49</v>
      </c>
      <c r="G80" t="s">
        <v>230</v>
      </c>
      <c r="H80" t="s">
        <v>231</v>
      </c>
      <c r="J80" t="str">
        <f>HYPERLINK("https://www.youtube.com/watch?v=Cz4v5w1J8dE&amp;lc=UgxkTUK8r8n68p_LyRR4AaABAg","https://www.youtube.com/watch?v=Cz4v5w1J8dE&amp;lc=UgxkTUK8r8n68p_LyRR4AaABAg")</f>
        <v>https://www.youtube.com/watch?v=Cz4v5w1J8dE&amp;lc=UgxkTUK8r8n68p_LyRR4AaABAg</v>
      </c>
      <c r="O80">
        <v>0</v>
      </c>
      <c r="P80">
        <v>0</v>
      </c>
      <c r="Q80">
        <v>0</v>
      </c>
      <c r="S80">
        <v>0</v>
      </c>
      <c r="T80">
        <v>0</v>
      </c>
      <c r="U80">
        <v>0</v>
      </c>
      <c r="W80" t="s">
        <v>52</v>
      </c>
    </row>
    <row r="81" spans="1:23" x14ac:dyDescent="0.35">
      <c r="A81" t="s">
        <v>45</v>
      </c>
      <c r="B81" t="s">
        <v>169</v>
      </c>
      <c r="C81" t="s">
        <v>60</v>
      </c>
      <c r="D81" t="s">
        <v>61</v>
      </c>
      <c r="E81" t="s">
        <v>61</v>
      </c>
      <c r="F81" t="s">
        <v>49</v>
      </c>
      <c r="G81" t="s">
        <v>232</v>
      </c>
      <c r="H81" t="s">
        <v>233</v>
      </c>
      <c r="J81" t="str">
        <f>HYPERLINK("https://www.facebook.com/634639855377280/posts/818154200359177?comment_id=1627662614721962","https://www.facebook.com/634639855377280/posts/818154200359177?comment_id=1627662614721962")</f>
        <v>https://www.facebook.com/634639855377280/posts/818154200359177?comment_id=1627662614721962</v>
      </c>
      <c r="O81">
        <v>0</v>
      </c>
      <c r="P81">
        <v>0</v>
      </c>
      <c r="Q81">
        <v>0</v>
      </c>
      <c r="S81">
        <v>0</v>
      </c>
      <c r="T81">
        <v>0</v>
      </c>
      <c r="U81">
        <v>0</v>
      </c>
      <c r="W81" t="s">
        <v>52</v>
      </c>
    </row>
    <row r="82" spans="1:23" x14ac:dyDescent="0.35">
      <c r="A82" t="s">
        <v>45</v>
      </c>
      <c r="B82" t="s">
        <v>169</v>
      </c>
      <c r="C82" t="s">
        <v>60</v>
      </c>
      <c r="D82" t="s">
        <v>61</v>
      </c>
      <c r="E82" t="s">
        <v>61</v>
      </c>
      <c r="F82" t="s">
        <v>49</v>
      </c>
      <c r="G82" t="s">
        <v>234</v>
      </c>
      <c r="H82" t="s">
        <v>235</v>
      </c>
      <c r="J82" t="str">
        <f>HYPERLINK("https://www.facebook.com/634639855377280/posts/818033483704582?comment_id=2177952912550742","https://www.facebook.com/634639855377280/posts/818033483704582?comment_id=2177952912550742")</f>
        <v>https://www.facebook.com/634639855377280/posts/818033483704582?comment_id=2177952912550742</v>
      </c>
      <c r="O82">
        <v>0</v>
      </c>
      <c r="P82">
        <v>0</v>
      </c>
      <c r="Q82">
        <v>0</v>
      </c>
      <c r="S82">
        <v>0</v>
      </c>
      <c r="T82">
        <v>0</v>
      </c>
      <c r="U82">
        <v>0</v>
      </c>
      <c r="W82" t="s">
        <v>52</v>
      </c>
    </row>
    <row r="83" spans="1:23" x14ac:dyDescent="0.35">
      <c r="A83" t="s">
        <v>45</v>
      </c>
      <c r="B83" t="s">
        <v>169</v>
      </c>
      <c r="C83" t="s">
        <v>60</v>
      </c>
      <c r="D83" t="s">
        <v>61</v>
      </c>
      <c r="E83" t="s">
        <v>61</v>
      </c>
      <c r="F83" t="s">
        <v>49</v>
      </c>
      <c r="G83" t="s">
        <v>236</v>
      </c>
      <c r="H83" t="s">
        <v>237</v>
      </c>
      <c r="J83" t="str">
        <f>HYPERLINK("https://www.facebook.com/634639855377280/posts/817402500434347?comment_id=402403132688680&amp;reply_comment_id=437092798893985","https://www.facebook.com/634639855377280/posts/817402500434347?comment_id=402403132688680&amp;reply_comment_id=437092798893985")</f>
        <v>https://www.facebook.com/634639855377280/posts/817402500434347?comment_id=402403132688680&amp;reply_comment_id=437092798893985</v>
      </c>
      <c r="O83">
        <v>0</v>
      </c>
      <c r="P83">
        <v>0</v>
      </c>
      <c r="Q83">
        <v>0</v>
      </c>
      <c r="S83">
        <v>0</v>
      </c>
      <c r="T83">
        <v>0</v>
      </c>
      <c r="U83">
        <v>0</v>
      </c>
      <c r="W83" t="s">
        <v>52</v>
      </c>
    </row>
    <row r="84" spans="1:23" x14ac:dyDescent="0.35">
      <c r="A84" t="s">
        <v>45</v>
      </c>
      <c r="B84" t="s">
        <v>169</v>
      </c>
      <c r="C84" t="s">
        <v>47</v>
      </c>
      <c r="D84" t="s">
        <v>238</v>
      </c>
      <c r="E84" t="s">
        <v>238</v>
      </c>
      <c r="F84" t="s">
        <v>54</v>
      </c>
      <c r="G84" t="s">
        <v>239</v>
      </c>
      <c r="H84" t="s">
        <v>240</v>
      </c>
      <c r="J84" t="str">
        <f>HYPERLINK("https://www.youtube.com/watch?v=Cz4v5w1J8dE&amp;lc=UgwdZ0psbpc9LzpYmY94AaABAg","https://www.youtube.com/watch?v=Cz4v5w1J8dE&amp;lc=UgwdZ0psbpc9LzpYmY94AaABAg")</f>
        <v>https://www.youtube.com/watch?v=Cz4v5w1J8dE&amp;lc=UgwdZ0psbpc9LzpYmY94AaABAg</v>
      </c>
      <c r="O84">
        <v>0</v>
      </c>
      <c r="P84">
        <v>0</v>
      </c>
      <c r="Q84">
        <v>0</v>
      </c>
      <c r="S84">
        <v>0</v>
      </c>
      <c r="T84">
        <v>0</v>
      </c>
      <c r="U84">
        <v>0</v>
      </c>
      <c r="W84" t="s">
        <v>52</v>
      </c>
    </row>
    <row r="85" spans="1:23" x14ac:dyDescent="0.35">
      <c r="A85" t="s">
        <v>45</v>
      </c>
      <c r="B85" t="s">
        <v>169</v>
      </c>
      <c r="C85" t="s">
        <v>60</v>
      </c>
      <c r="D85" t="s">
        <v>64</v>
      </c>
      <c r="E85" t="s">
        <v>64</v>
      </c>
      <c r="F85" t="s">
        <v>49</v>
      </c>
      <c r="G85" t="s">
        <v>83</v>
      </c>
      <c r="H85" t="s">
        <v>241</v>
      </c>
      <c r="J85" t="str">
        <f>HYPERLINK("https://www.facebook.com/634639855377280/posts/818033483704582?comment_id=1451473642415311&amp;reply_comment_id=3705817892989900","https://www.facebook.com/634639855377280/posts/818033483704582?comment_id=1451473642415311&amp;reply_comment_id=3705817892989900")</f>
        <v>https://www.facebook.com/634639855377280/posts/818033483704582?comment_id=1451473642415311&amp;reply_comment_id=3705817892989900</v>
      </c>
      <c r="K85" t="s">
        <v>67</v>
      </c>
      <c r="O85">
        <v>0</v>
      </c>
      <c r="P85">
        <v>0</v>
      </c>
      <c r="Q85">
        <v>0</v>
      </c>
      <c r="S85">
        <v>0</v>
      </c>
      <c r="T85">
        <v>0</v>
      </c>
      <c r="U85">
        <v>0</v>
      </c>
      <c r="W85" t="s">
        <v>52</v>
      </c>
    </row>
    <row r="86" spans="1:23" x14ac:dyDescent="0.35">
      <c r="A86" t="s">
        <v>45</v>
      </c>
      <c r="B86" t="s">
        <v>169</v>
      </c>
      <c r="C86" t="s">
        <v>60</v>
      </c>
      <c r="D86" t="s">
        <v>61</v>
      </c>
      <c r="E86" t="s">
        <v>61</v>
      </c>
      <c r="F86" t="s">
        <v>49</v>
      </c>
      <c r="G86" t="s">
        <v>242</v>
      </c>
      <c r="H86" t="s">
        <v>243</v>
      </c>
      <c r="J86" t="str">
        <f>HYPERLINK("https://www.facebook.com/634639855377280/posts/818033483704582?comment_id=1451473642415311","https://www.facebook.com/634639855377280/posts/818033483704582?comment_id=1451473642415311")</f>
        <v>https://www.facebook.com/634639855377280/posts/818033483704582?comment_id=1451473642415311</v>
      </c>
      <c r="O86">
        <v>0</v>
      </c>
      <c r="P86">
        <v>0</v>
      </c>
      <c r="Q86">
        <v>0</v>
      </c>
      <c r="S86">
        <v>0</v>
      </c>
      <c r="T86">
        <v>0</v>
      </c>
      <c r="U86">
        <v>0</v>
      </c>
      <c r="W86" t="s">
        <v>52</v>
      </c>
    </row>
    <row r="87" spans="1:23" x14ac:dyDescent="0.35">
      <c r="A87" t="s">
        <v>45</v>
      </c>
      <c r="B87" t="s">
        <v>169</v>
      </c>
      <c r="C87" t="s">
        <v>60</v>
      </c>
      <c r="D87" t="s">
        <v>64</v>
      </c>
      <c r="E87" t="s">
        <v>64</v>
      </c>
      <c r="F87" t="s">
        <v>49</v>
      </c>
      <c r="G87" t="s">
        <v>244</v>
      </c>
      <c r="H87" t="s">
        <v>245</v>
      </c>
      <c r="J87" t="str">
        <f>HYPERLINK("https://www.facebook.com/634639855377280/posts/817402500434347?comment_id=402403132688680&amp;reply_comment_id=1622968551869072","https://www.facebook.com/634639855377280/posts/817402500434347?comment_id=402403132688680&amp;reply_comment_id=1622968551869072")</f>
        <v>https://www.facebook.com/634639855377280/posts/817402500434347?comment_id=402403132688680&amp;reply_comment_id=1622968551869072</v>
      </c>
      <c r="K87" t="s">
        <v>67</v>
      </c>
      <c r="O87">
        <v>0</v>
      </c>
      <c r="P87">
        <v>0</v>
      </c>
      <c r="Q87">
        <v>0</v>
      </c>
      <c r="S87">
        <v>0</v>
      </c>
      <c r="T87">
        <v>0</v>
      </c>
      <c r="U87">
        <v>0</v>
      </c>
      <c r="W87" t="s">
        <v>52</v>
      </c>
    </row>
    <row r="88" spans="1:23" x14ac:dyDescent="0.35">
      <c r="A88" t="s">
        <v>45</v>
      </c>
      <c r="B88" t="s">
        <v>169</v>
      </c>
      <c r="C88" t="s">
        <v>47</v>
      </c>
      <c r="D88" t="s">
        <v>68</v>
      </c>
      <c r="E88" t="s">
        <v>68</v>
      </c>
      <c r="F88" t="s">
        <v>49</v>
      </c>
      <c r="G88" t="s">
        <v>246</v>
      </c>
      <c r="H88" t="s">
        <v>247</v>
      </c>
      <c r="J88" t="str">
        <f>HYPERLINK("https://www.youtube.com/watch?v=Cz4v5w1J8dE&amp;lc=UgxFGCYsaGSjYmOfdOd4AaABAg.A1b9yi33L9JA1bKW6ecbx3","https://www.youtube.com/watch?v=Cz4v5w1J8dE&amp;lc=UgxFGCYsaGSjYmOfdOd4AaABAg.A1b9yi33L9JA1bKW6ecbx3")</f>
        <v>https://www.youtube.com/watch?v=Cz4v5w1J8dE&amp;lc=UgxFGCYsaGSjYmOfdOd4AaABAg.A1b9yi33L9JA1bKW6ecbx3</v>
      </c>
      <c r="O88">
        <v>0</v>
      </c>
      <c r="P88">
        <v>0</v>
      </c>
      <c r="Q88">
        <v>0</v>
      </c>
      <c r="S88">
        <v>0</v>
      </c>
      <c r="T88">
        <v>0</v>
      </c>
      <c r="U88">
        <v>0</v>
      </c>
      <c r="W88" t="s">
        <v>52</v>
      </c>
    </row>
    <row r="89" spans="1:23" x14ac:dyDescent="0.35">
      <c r="A89" t="s">
        <v>45</v>
      </c>
      <c r="B89" t="s">
        <v>169</v>
      </c>
      <c r="C89" t="s">
        <v>47</v>
      </c>
      <c r="D89" t="s">
        <v>68</v>
      </c>
      <c r="E89" t="s">
        <v>68</v>
      </c>
      <c r="F89" t="s">
        <v>49</v>
      </c>
      <c r="G89" t="s">
        <v>246</v>
      </c>
      <c r="H89" t="s">
        <v>248</v>
      </c>
      <c r="J89" t="str">
        <f>HYPERLINK("https://www.youtube.com/watch?v=Cz4v5w1J8dE&amp;lc=UgyiBs0e84YNsRqn0Nd4AaABAg.A1ajJ34AscCA1bKUhGtQKS","https://www.youtube.com/watch?v=Cz4v5w1J8dE&amp;lc=UgyiBs0e84YNsRqn0Nd4AaABAg.A1ajJ34AscCA1bKUhGtQKS")</f>
        <v>https://www.youtube.com/watch?v=Cz4v5w1J8dE&amp;lc=UgyiBs0e84YNsRqn0Nd4AaABAg.A1ajJ34AscCA1bKUhGtQKS</v>
      </c>
      <c r="O89">
        <v>0</v>
      </c>
      <c r="P89">
        <v>0</v>
      </c>
      <c r="Q89">
        <v>0</v>
      </c>
      <c r="S89">
        <v>0</v>
      </c>
      <c r="T89">
        <v>0</v>
      </c>
      <c r="U89">
        <v>0</v>
      </c>
      <c r="W89" t="s">
        <v>52</v>
      </c>
    </row>
    <row r="90" spans="1:23" x14ac:dyDescent="0.35">
      <c r="A90" t="s">
        <v>45</v>
      </c>
      <c r="B90" t="s">
        <v>169</v>
      </c>
      <c r="C90" t="s">
        <v>47</v>
      </c>
      <c r="D90" t="s">
        <v>131</v>
      </c>
      <c r="E90" t="s">
        <v>131</v>
      </c>
      <c r="F90" t="s">
        <v>49</v>
      </c>
      <c r="G90" t="s">
        <v>249</v>
      </c>
      <c r="H90" t="s">
        <v>250</v>
      </c>
      <c r="J90" t="str">
        <f>HYPERLINK("https://www.youtube.com/watch?v=7pMfSyYFp5U&amp;lc=Ugxnu1zTxAdoxStX7Sx4AaABAg","https://www.youtube.com/watch?v=7pMfSyYFp5U&amp;lc=Ugxnu1zTxAdoxStX7Sx4AaABAg")</f>
        <v>https://www.youtube.com/watch?v=7pMfSyYFp5U&amp;lc=Ugxnu1zTxAdoxStX7Sx4AaABAg</v>
      </c>
      <c r="O90">
        <v>0</v>
      </c>
      <c r="P90">
        <v>0</v>
      </c>
      <c r="Q90">
        <v>0</v>
      </c>
      <c r="S90">
        <v>0</v>
      </c>
      <c r="T90">
        <v>0</v>
      </c>
      <c r="U90">
        <v>0</v>
      </c>
      <c r="W90" t="s">
        <v>52</v>
      </c>
    </row>
    <row r="91" spans="1:23" x14ac:dyDescent="0.35">
      <c r="A91" t="s">
        <v>45</v>
      </c>
      <c r="B91" t="s">
        <v>169</v>
      </c>
      <c r="C91" t="s">
        <v>47</v>
      </c>
      <c r="D91" t="s">
        <v>156</v>
      </c>
      <c r="E91" t="s">
        <v>156</v>
      </c>
      <c r="F91" t="s">
        <v>49</v>
      </c>
      <c r="G91" t="s">
        <v>251</v>
      </c>
      <c r="H91" t="s">
        <v>252</v>
      </c>
      <c r="J91" t="str">
        <f>HYPERLINK("https://www.youtube.com/watch?v=Cz4v5w1J8dE&amp;lc=Ugy9NI8X6kHHyxcwV0B4AaABAg.A1ajB7uzTiVA1bJTqKHojj","https://www.youtube.com/watch?v=Cz4v5w1J8dE&amp;lc=Ugy9NI8X6kHHyxcwV0B4AaABAg.A1ajB7uzTiVA1bJTqKHojj")</f>
        <v>https://www.youtube.com/watch?v=Cz4v5w1J8dE&amp;lc=Ugy9NI8X6kHHyxcwV0B4AaABAg.A1ajB7uzTiVA1bJTqKHojj</v>
      </c>
      <c r="O91">
        <v>0</v>
      </c>
      <c r="P91">
        <v>0</v>
      </c>
      <c r="Q91">
        <v>0</v>
      </c>
      <c r="S91">
        <v>0</v>
      </c>
      <c r="T91">
        <v>0</v>
      </c>
      <c r="U91">
        <v>0</v>
      </c>
      <c r="W91" t="s">
        <v>52</v>
      </c>
    </row>
    <row r="92" spans="1:23" x14ac:dyDescent="0.35">
      <c r="A92" t="s">
        <v>45</v>
      </c>
      <c r="B92" t="s">
        <v>169</v>
      </c>
      <c r="C92" t="s">
        <v>47</v>
      </c>
      <c r="D92" t="s">
        <v>68</v>
      </c>
      <c r="E92" t="s">
        <v>68</v>
      </c>
      <c r="F92" t="s">
        <v>49</v>
      </c>
      <c r="G92" t="s">
        <v>253</v>
      </c>
      <c r="H92" t="s">
        <v>254</v>
      </c>
      <c r="J92" t="str">
        <f>HYPERLINK("https://www.youtube.com/watch?v=Cz4v5w1J8dE&amp;lc=UgymBpzk--MWK4krOZN4AaABAg.A1ak4S0nwCiA1bJ-M7L-o0","https://www.youtube.com/watch?v=Cz4v5w1J8dE&amp;lc=UgymBpzk--MWK4krOZN4AaABAg.A1ak4S0nwCiA1bJ-M7L-o0")</f>
        <v>https://www.youtube.com/watch?v=Cz4v5w1J8dE&amp;lc=UgymBpzk--MWK4krOZN4AaABAg.A1ak4S0nwCiA1bJ-M7L-o0</v>
      </c>
      <c r="O92">
        <v>0</v>
      </c>
      <c r="P92">
        <v>0</v>
      </c>
      <c r="Q92">
        <v>0</v>
      </c>
      <c r="S92">
        <v>0</v>
      </c>
      <c r="T92">
        <v>0</v>
      </c>
      <c r="U92">
        <v>0</v>
      </c>
      <c r="W92" t="s">
        <v>52</v>
      </c>
    </row>
    <row r="93" spans="1:23" x14ac:dyDescent="0.35">
      <c r="A93" t="s">
        <v>45</v>
      </c>
      <c r="B93" t="s">
        <v>169</v>
      </c>
      <c r="C93" t="s">
        <v>47</v>
      </c>
      <c r="D93" t="s">
        <v>68</v>
      </c>
      <c r="E93" t="s">
        <v>68</v>
      </c>
      <c r="F93" t="s">
        <v>49</v>
      </c>
      <c r="G93" t="s">
        <v>253</v>
      </c>
      <c r="H93" t="s">
        <v>255</v>
      </c>
      <c r="J93" t="str">
        <f>HYPERLINK("https://www.youtube.com/watch?v=Cz4v5w1J8dE&amp;lc=UgwzVQSXPFX5-XB7Fu14AaABAg.A1b9Bucpz_wA1bIsQUpWEc","https://www.youtube.com/watch?v=Cz4v5w1J8dE&amp;lc=UgwzVQSXPFX5-XB7Fu14AaABAg.A1b9Bucpz_wA1bIsQUpWEc")</f>
        <v>https://www.youtube.com/watch?v=Cz4v5w1J8dE&amp;lc=UgwzVQSXPFX5-XB7Fu14AaABAg.A1b9Bucpz_wA1bIsQUpWEc</v>
      </c>
      <c r="O93">
        <v>0</v>
      </c>
      <c r="P93">
        <v>0</v>
      </c>
      <c r="Q93">
        <v>0</v>
      </c>
      <c r="S93">
        <v>0</v>
      </c>
      <c r="T93">
        <v>0</v>
      </c>
      <c r="U93">
        <v>0</v>
      </c>
      <c r="W93" t="s">
        <v>52</v>
      </c>
    </row>
    <row r="94" spans="1:23" x14ac:dyDescent="0.35">
      <c r="A94" t="s">
        <v>45</v>
      </c>
      <c r="B94" t="s">
        <v>169</v>
      </c>
      <c r="C94" t="s">
        <v>47</v>
      </c>
      <c r="D94" t="s">
        <v>68</v>
      </c>
      <c r="E94" t="s">
        <v>68</v>
      </c>
      <c r="F94" t="s">
        <v>49</v>
      </c>
      <c r="G94" t="s">
        <v>105</v>
      </c>
      <c r="H94" t="s">
        <v>256</v>
      </c>
      <c r="J94" t="str">
        <f>HYPERLINK("https://www.youtube.com/watch?v=Cz4v5w1J8dE&amp;lc=Ugw-etYOBGMp7R0eQuJ4AaABAg.A1atopUC7bvA1bIiOG1rJf","https://www.youtube.com/watch?v=Cz4v5w1J8dE&amp;lc=Ugw-etYOBGMp7R0eQuJ4AaABAg.A1atopUC7bvA1bIiOG1rJf")</f>
        <v>https://www.youtube.com/watch?v=Cz4v5w1J8dE&amp;lc=Ugw-etYOBGMp7R0eQuJ4AaABAg.A1atopUC7bvA1bIiOG1rJf</v>
      </c>
      <c r="O94">
        <v>0</v>
      </c>
      <c r="P94">
        <v>0</v>
      </c>
      <c r="Q94">
        <v>0</v>
      </c>
      <c r="S94">
        <v>0</v>
      </c>
      <c r="T94">
        <v>0</v>
      </c>
      <c r="U94">
        <v>0</v>
      </c>
      <c r="W94" t="s">
        <v>52</v>
      </c>
    </row>
    <row r="95" spans="1:23" x14ac:dyDescent="0.35">
      <c r="A95" t="s">
        <v>45</v>
      </c>
      <c r="B95" t="s">
        <v>169</v>
      </c>
      <c r="C95" t="s">
        <v>47</v>
      </c>
      <c r="D95" t="s">
        <v>68</v>
      </c>
      <c r="E95" t="s">
        <v>68</v>
      </c>
      <c r="F95" t="s">
        <v>49</v>
      </c>
      <c r="G95" t="s">
        <v>102</v>
      </c>
      <c r="H95" t="s">
        <v>257</v>
      </c>
      <c r="J95" t="str">
        <f>HYPERLINK("https://www.youtube.com/watch?v=Cz4v5w1J8dE&amp;lc=Ugwq9_FV0UOaQ4kGaPR4AaABAg.A1aq-9cvC_GA1bIZuxcoXp","https://www.youtube.com/watch?v=Cz4v5w1J8dE&amp;lc=Ugwq9_FV0UOaQ4kGaPR4AaABAg.A1aq-9cvC_GA1bIZuxcoXp")</f>
        <v>https://www.youtube.com/watch?v=Cz4v5w1J8dE&amp;lc=Ugwq9_FV0UOaQ4kGaPR4AaABAg.A1aq-9cvC_GA1bIZuxcoXp</v>
      </c>
      <c r="O95">
        <v>0</v>
      </c>
      <c r="P95">
        <v>0</v>
      </c>
      <c r="Q95">
        <v>0</v>
      </c>
      <c r="S95">
        <v>0</v>
      </c>
      <c r="T95">
        <v>0</v>
      </c>
      <c r="U95">
        <v>0</v>
      </c>
      <c r="W95" t="s">
        <v>52</v>
      </c>
    </row>
    <row r="96" spans="1:23" x14ac:dyDescent="0.35">
      <c r="A96" t="s">
        <v>45</v>
      </c>
      <c r="B96" t="s">
        <v>169</v>
      </c>
      <c r="C96" t="s">
        <v>47</v>
      </c>
      <c r="D96" t="s">
        <v>68</v>
      </c>
      <c r="E96" t="s">
        <v>68</v>
      </c>
      <c r="F96" t="s">
        <v>49</v>
      </c>
      <c r="G96" t="s">
        <v>258</v>
      </c>
      <c r="H96" t="s">
        <v>259</v>
      </c>
      <c r="J96" t="str">
        <f>HYPERLINK("https://www.youtube.com/watch?v=Cz4v5w1J8dE&amp;lc=Ugxp0baWN8r_GRfMJTV4AaABAg.A1aqgOhJyTZA1bIV9ovVk6","https://www.youtube.com/watch?v=Cz4v5w1J8dE&amp;lc=Ugxp0baWN8r_GRfMJTV4AaABAg.A1aqgOhJyTZA1bIV9ovVk6")</f>
        <v>https://www.youtube.com/watch?v=Cz4v5w1J8dE&amp;lc=Ugxp0baWN8r_GRfMJTV4AaABAg.A1aqgOhJyTZA1bIV9ovVk6</v>
      </c>
      <c r="O96">
        <v>0</v>
      </c>
      <c r="P96">
        <v>0</v>
      </c>
      <c r="Q96">
        <v>0</v>
      </c>
      <c r="S96">
        <v>0</v>
      </c>
      <c r="T96">
        <v>0</v>
      </c>
      <c r="U96">
        <v>0</v>
      </c>
      <c r="W96" t="s">
        <v>52</v>
      </c>
    </row>
    <row r="97" spans="1:23" x14ac:dyDescent="0.35">
      <c r="A97" t="s">
        <v>45</v>
      </c>
      <c r="B97" t="s">
        <v>169</v>
      </c>
      <c r="C97" t="s">
        <v>47</v>
      </c>
      <c r="D97" t="s">
        <v>68</v>
      </c>
      <c r="E97" t="s">
        <v>68</v>
      </c>
      <c r="F97" t="s">
        <v>49</v>
      </c>
      <c r="G97" t="s">
        <v>102</v>
      </c>
      <c r="H97" t="s">
        <v>260</v>
      </c>
      <c r="J97" t="str">
        <f>HYPERLINK("https://www.youtube.com/watch?v=Cz4v5w1J8dE&amp;lc=Ugy9NI8X6kHHyxcwV0B4AaABAg.A1ajB7uzTiVA1bI8MN4dS1","https://www.youtube.com/watch?v=Cz4v5w1J8dE&amp;lc=Ugy9NI8X6kHHyxcwV0B4AaABAg.A1ajB7uzTiVA1bI8MN4dS1")</f>
        <v>https://www.youtube.com/watch?v=Cz4v5w1J8dE&amp;lc=Ugy9NI8X6kHHyxcwV0B4AaABAg.A1ajB7uzTiVA1bI8MN4dS1</v>
      </c>
      <c r="O97">
        <v>0</v>
      </c>
      <c r="P97">
        <v>0</v>
      </c>
      <c r="Q97">
        <v>0</v>
      </c>
      <c r="S97">
        <v>0</v>
      </c>
      <c r="T97">
        <v>0</v>
      </c>
      <c r="U97">
        <v>0</v>
      </c>
      <c r="W97" t="s">
        <v>52</v>
      </c>
    </row>
    <row r="98" spans="1:23" x14ac:dyDescent="0.35">
      <c r="A98" t="s">
        <v>45</v>
      </c>
      <c r="B98" t="s">
        <v>169</v>
      </c>
      <c r="C98" t="s">
        <v>47</v>
      </c>
      <c r="D98" t="s">
        <v>68</v>
      </c>
      <c r="E98" t="s">
        <v>68</v>
      </c>
      <c r="F98" t="s">
        <v>49</v>
      </c>
      <c r="G98" t="s">
        <v>102</v>
      </c>
      <c r="H98" t="s">
        <v>261</v>
      </c>
      <c r="J98" t="str">
        <f>HYPERLINK("https://www.youtube.com/watch?v=7pMfSyYFp5U&amp;lc=UgyXQ9nRQenxAZFPlmB4AaABAg.A1akQAFxTXBA1bHxsK7qoU","https://www.youtube.com/watch?v=7pMfSyYFp5U&amp;lc=UgyXQ9nRQenxAZFPlmB4AaABAg.A1akQAFxTXBA1bHxsK7qoU")</f>
        <v>https://www.youtube.com/watch?v=7pMfSyYFp5U&amp;lc=UgyXQ9nRQenxAZFPlmB4AaABAg.A1akQAFxTXBA1bHxsK7qoU</v>
      </c>
      <c r="O98">
        <v>0</v>
      </c>
      <c r="P98">
        <v>0</v>
      </c>
      <c r="Q98">
        <v>0</v>
      </c>
      <c r="S98">
        <v>0</v>
      </c>
      <c r="T98">
        <v>0</v>
      </c>
      <c r="U98">
        <v>0</v>
      </c>
      <c r="W98" t="s">
        <v>52</v>
      </c>
    </row>
    <row r="99" spans="1:23" x14ac:dyDescent="0.35">
      <c r="A99" t="s">
        <v>45</v>
      </c>
      <c r="B99" t="s">
        <v>169</v>
      </c>
      <c r="C99" t="s">
        <v>60</v>
      </c>
      <c r="D99" t="s">
        <v>64</v>
      </c>
      <c r="E99" t="s">
        <v>64</v>
      </c>
      <c r="F99" t="s">
        <v>49</v>
      </c>
      <c r="G99" t="s">
        <v>262</v>
      </c>
      <c r="H99" t="s">
        <v>263</v>
      </c>
      <c r="J99" t="str">
        <f>HYPERLINK("https://www.facebook.com/634639855377280/posts/818033483704582?comment_id=2727425274092729&amp;reply_comment_id=1181999863208435","https://www.facebook.com/634639855377280/posts/818033483704582?comment_id=2727425274092729&amp;reply_comment_id=1181999863208435")</f>
        <v>https://www.facebook.com/634639855377280/posts/818033483704582?comment_id=2727425274092729&amp;reply_comment_id=1181999863208435</v>
      </c>
      <c r="K99" t="s">
        <v>67</v>
      </c>
      <c r="O99">
        <v>0</v>
      </c>
      <c r="P99">
        <v>0</v>
      </c>
      <c r="Q99">
        <v>0</v>
      </c>
      <c r="S99">
        <v>0</v>
      </c>
      <c r="T99">
        <v>0</v>
      </c>
      <c r="U99">
        <v>0</v>
      </c>
      <c r="W99" t="s">
        <v>52</v>
      </c>
    </row>
    <row r="100" spans="1:23" x14ac:dyDescent="0.35">
      <c r="A100" t="s">
        <v>45</v>
      </c>
      <c r="B100" t="s">
        <v>169</v>
      </c>
      <c r="C100" t="s">
        <v>60</v>
      </c>
      <c r="D100" t="s">
        <v>64</v>
      </c>
      <c r="E100" t="s">
        <v>64</v>
      </c>
      <c r="F100" t="s">
        <v>49</v>
      </c>
      <c r="G100" t="s">
        <v>264</v>
      </c>
      <c r="H100" t="s">
        <v>265</v>
      </c>
      <c r="J100" t="str">
        <f>HYPERLINK("https://www.facebook.com/634639855377280/posts/817402500434347?comment_id=973837867416774&amp;reply_comment_id=339879099060768","https://www.facebook.com/634639855377280/posts/817402500434347?comment_id=973837867416774&amp;reply_comment_id=339879099060768")</f>
        <v>https://www.facebook.com/634639855377280/posts/817402500434347?comment_id=973837867416774&amp;reply_comment_id=339879099060768</v>
      </c>
      <c r="K100" t="s">
        <v>67</v>
      </c>
      <c r="O100">
        <v>0</v>
      </c>
      <c r="P100">
        <v>0</v>
      </c>
      <c r="Q100">
        <v>0</v>
      </c>
      <c r="S100">
        <v>0</v>
      </c>
      <c r="T100">
        <v>0</v>
      </c>
      <c r="U100">
        <v>0</v>
      </c>
      <c r="W100" t="s">
        <v>52</v>
      </c>
    </row>
    <row r="101" spans="1:23" x14ac:dyDescent="0.35">
      <c r="A101" t="s">
        <v>45</v>
      </c>
      <c r="B101" t="s">
        <v>169</v>
      </c>
      <c r="C101" t="s">
        <v>60</v>
      </c>
      <c r="D101" t="s">
        <v>64</v>
      </c>
      <c r="E101" t="s">
        <v>64</v>
      </c>
      <c r="F101" t="s">
        <v>49</v>
      </c>
      <c r="G101" t="s">
        <v>266</v>
      </c>
      <c r="H101" t="s">
        <v>267</v>
      </c>
      <c r="J101" t="str">
        <f>HYPERLINK("https://www.facebook.com/634639855377280/posts/818154200359177?comment_id=2110310669331308&amp;reply_comment_id=949874703009476","https://www.facebook.com/634639855377280/posts/818154200359177?comment_id=2110310669331308&amp;reply_comment_id=949874703009476")</f>
        <v>https://www.facebook.com/634639855377280/posts/818154200359177?comment_id=2110310669331308&amp;reply_comment_id=949874703009476</v>
      </c>
      <c r="K101" t="s">
        <v>67</v>
      </c>
      <c r="O101">
        <v>0</v>
      </c>
      <c r="P101">
        <v>0</v>
      </c>
      <c r="Q101">
        <v>0</v>
      </c>
      <c r="S101">
        <v>0</v>
      </c>
      <c r="T101">
        <v>0</v>
      </c>
      <c r="U101">
        <v>0</v>
      </c>
      <c r="W101" t="s">
        <v>52</v>
      </c>
    </row>
    <row r="102" spans="1:23" x14ac:dyDescent="0.35">
      <c r="A102" t="s">
        <v>45</v>
      </c>
      <c r="B102" t="s">
        <v>169</v>
      </c>
      <c r="C102" t="s">
        <v>60</v>
      </c>
      <c r="D102" t="s">
        <v>64</v>
      </c>
      <c r="E102" t="s">
        <v>64</v>
      </c>
      <c r="F102" t="s">
        <v>49</v>
      </c>
      <c r="G102" t="s">
        <v>268</v>
      </c>
      <c r="H102" t="s">
        <v>269</v>
      </c>
      <c r="J102" t="str">
        <f>HYPERLINK("https://www.facebook.com/634639855377280/posts/817402500434347?comment_id=301141302819181&amp;reply_comment_id=381752518161338","https://www.facebook.com/634639855377280/posts/817402500434347?comment_id=301141302819181&amp;reply_comment_id=381752518161338")</f>
        <v>https://www.facebook.com/634639855377280/posts/817402500434347?comment_id=301141302819181&amp;reply_comment_id=381752518161338</v>
      </c>
      <c r="K102" t="s">
        <v>67</v>
      </c>
      <c r="O102">
        <v>0</v>
      </c>
      <c r="P102">
        <v>0</v>
      </c>
      <c r="Q102">
        <v>0</v>
      </c>
      <c r="S102">
        <v>0</v>
      </c>
      <c r="T102">
        <v>0</v>
      </c>
      <c r="U102">
        <v>0</v>
      </c>
      <c r="W102" t="s">
        <v>52</v>
      </c>
    </row>
    <row r="103" spans="1:23" x14ac:dyDescent="0.35">
      <c r="A103" t="s">
        <v>45</v>
      </c>
      <c r="B103" t="s">
        <v>169</v>
      </c>
      <c r="C103" t="s">
        <v>60</v>
      </c>
      <c r="D103" t="s">
        <v>64</v>
      </c>
      <c r="E103" t="s">
        <v>64</v>
      </c>
      <c r="F103" t="s">
        <v>49</v>
      </c>
      <c r="G103" t="s">
        <v>270</v>
      </c>
      <c r="H103" t="s">
        <v>271</v>
      </c>
      <c r="J103" t="str">
        <f>HYPERLINK("https://www.facebook.com/634639855377280/posts/818033483704582?comment_id=1174224440417259&amp;reply_comment_id=372955865578600","https://www.facebook.com/634639855377280/posts/818033483704582?comment_id=1174224440417259&amp;reply_comment_id=372955865578600")</f>
        <v>https://www.facebook.com/634639855377280/posts/818033483704582?comment_id=1174224440417259&amp;reply_comment_id=372955865578600</v>
      </c>
      <c r="K103" t="s">
        <v>67</v>
      </c>
      <c r="O103">
        <v>0</v>
      </c>
      <c r="P103">
        <v>0</v>
      </c>
      <c r="Q103">
        <v>0</v>
      </c>
      <c r="S103">
        <v>0</v>
      </c>
      <c r="T103">
        <v>0</v>
      </c>
      <c r="U103">
        <v>0</v>
      </c>
      <c r="W103" t="s">
        <v>52</v>
      </c>
    </row>
    <row r="104" spans="1:23" x14ac:dyDescent="0.35">
      <c r="A104" t="s">
        <v>45</v>
      </c>
      <c r="B104" t="s">
        <v>169</v>
      </c>
      <c r="C104" t="s">
        <v>60</v>
      </c>
      <c r="D104" t="s">
        <v>64</v>
      </c>
      <c r="E104" t="s">
        <v>64</v>
      </c>
      <c r="F104" t="s">
        <v>49</v>
      </c>
      <c r="G104" t="s">
        <v>83</v>
      </c>
      <c r="H104" t="s">
        <v>272</v>
      </c>
      <c r="J104" t="str">
        <f>HYPERLINK("https://www.facebook.com/634639855377280/posts/816150883892842?comment_id=809299861086109&amp;reply_comment_id=1367250867321435","https://www.facebook.com/634639855377280/posts/816150883892842?comment_id=809299861086109&amp;reply_comment_id=1367250867321435")</f>
        <v>https://www.facebook.com/634639855377280/posts/816150883892842?comment_id=809299861086109&amp;reply_comment_id=1367250867321435</v>
      </c>
      <c r="K104" t="s">
        <v>67</v>
      </c>
      <c r="O104">
        <v>0</v>
      </c>
      <c r="P104">
        <v>0</v>
      </c>
      <c r="Q104">
        <v>0</v>
      </c>
      <c r="S104">
        <v>0</v>
      </c>
      <c r="T104">
        <v>0</v>
      </c>
      <c r="U104">
        <v>0</v>
      </c>
      <c r="W104" t="s">
        <v>52</v>
      </c>
    </row>
    <row r="105" spans="1:23" x14ac:dyDescent="0.35">
      <c r="A105" t="s">
        <v>45</v>
      </c>
      <c r="B105" t="s">
        <v>169</v>
      </c>
      <c r="C105" t="s">
        <v>60</v>
      </c>
      <c r="D105" t="s">
        <v>64</v>
      </c>
      <c r="E105" t="s">
        <v>64</v>
      </c>
      <c r="F105" t="s">
        <v>49</v>
      </c>
      <c r="G105" t="s">
        <v>162</v>
      </c>
      <c r="H105" t="s">
        <v>273</v>
      </c>
      <c r="J105" t="str">
        <f>HYPERLINK("https://www.facebook.com/634639855377280/posts/817402500434347?comment_id=1118576059387730&amp;reply_comment_id=2701154930191222","https://www.facebook.com/634639855377280/posts/817402500434347?comment_id=1118576059387730&amp;reply_comment_id=2701154930191222")</f>
        <v>https://www.facebook.com/634639855377280/posts/817402500434347?comment_id=1118576059387730&amp;reply_comment_id=2701154930191222</v>
      </c>
      <c r="K105" t="s">
        <v>67</v>
      </c>
      <c r="O105">
        <v>0</v>
      </c>
      <c r="P105">
        <v>0</v>
      </c>
      <c r="Q105">
        <v>0</v>
      </c>
      <c r="S105">
        <v>0</v>
      </c>
      <c r="T105">
        <v>0</v>
      </c>
      <c r="U105">
        <v>0</v>
      </c>
      <c r="W105" t="s">
        <v>52</v>
      </c>
    </row>
    <row r="106" spans="1:23" x14ac:dyDescent="0.35">
      <c r="A106" t="s">
        <v>45</v>
      </c>
      <c r="B106" t="s">
        <v>169</v>
      </c>
      <c r="C106" t="s">
        <v>47</v>
      </c>
      <c r="D106" t="s">
        <v>274</v>
      </c>
      <c r="E106" t="s">
        <v>274</v>
      </c>
      <c r="F106" t="s">
        <v>49</v>
      </c>
      <c r="G106" t="s">
        <v>275</v>
      </c>
      <c r="H106" t="s">
        <v>276</v>
      </c>
      <c r="J106" t="str">
        <f>HYPERLINK("https://www.youtube.com/watch?v=Cz4v5w1J8dE&amp;lc=UgzrYvuNtnx1kNQ2dL14AaABAg","https://www.youtube.com/watch?v=Cz4v5w1J8dE&amp;lc=UgzrYvuNtnx1kNQ2dL14AaABAg")</f>
        <v>https://www.youtube.com/watch?v=Cz4v5w1J8dE&amp;lc=UgzrYvuNtnx1kNQ2dL14AaABAg</v>
      </c>
      <c r="O106">
        <v>0</v>
      </c>
      <c r="P106">
        <v>0</v>
      </c>
      <c r="Q106">
        <v>0</v>
      </c>
      <c r="S106">
        <v>0</v>
      </c>
      <c r="T106">
        <v>0</v>
      </c>
      <c r="U106">
        <v>0</v>
      </c>
      <c r="W106" t="s">
        <v>52</v>
      </c>
    </row>
    <row r="107" spans="1:23" x14ac:dyDescent="0.35">
      <c r="A107" t="s">
        <v>45</v>
      </c>
      <c r="B107" t="s">
        <v>169</v>
      </c>
      <c r="C107" t="s">
        <v>60</v>
      </c>
      <c r="D107" t="s">
        <v>64</v>
      </c>
      <c r="E107" t="s">
        <v>64</v>
      </c>
      <c r="F107" t="s">
        <v>49</v>
      </c>
      <c r="G107" t="s">
        <v>100</v>
      </c>
      <c r="H107" t="s">
        <v>277</v>
      </c>
      <c r="J107" t="str">
        <f>HYPERLINK("https://www.facebook.com/634639855377280/posts/817402500434347?comment_id=352406500525509&amp;reply_comment_id=785613910169716","https://www.facebook.com/634639855377280/posts/817402500434347?comment_id=352406500525509&amp;reply_comment_id=785613910169716")</f>
        <v>https://www.facebook.com/634639855377280/posts/817402500434347?comment_id=352406500525509&amp;reply_comment_id=785613910169716</v>
      </c>
      <c r="K107" t="s">
        <v>67</v>
      </c>
      <c r="O107">
        <v>0</v>
      </c>
      <c r="P107">
        <v>0</v>
      </c>
      <c r="Q107">
        <v>0</v>
      </c>
      <c r="S107">
        <v>0</v>
      </c>
      <c r="T107">
        <v>0</v>
      </c>
      <c r="U107">
        <v>0</v>
      </c>
      <c r="W107" t="s">
        <v>52</v>
      </c>
    </row>
    <row r="108" spans="1:23" x14ac:dyDescent="0.35">
      <c r="A108" t="s">
        <v>45</v>
      </c>
      <c r="B108" t="s">
        <v>169</v>
      </c>
      <c r="C108" t="s">
        <v>60</v>
      </c>
      <c r="D108" t="s">
        <v>64</v>
      </c>
      <c r="E108" t="s">
        <v>64</v>
      </c>
      <c r="F108" t="s">
        <v>49</v>
      </c>
      <c r="G108" t="s">
        <v>83</v>
      </c>
      <c r="H108" t="s">
        <v>278</v>
      </c>
      <c r="J108" t="str">
        <f>HYPERLINK("https://www.facebook.com/634639855377280/posts/817402500434347?comment_id=3794736320755159&amp;reply_comment_id=1466786647275986","https://www.facebook.com/634639855377280/posts/817402500434347?comment_id=3794736320755159&amp;reply_comment_id=1466786647275986")</f>
        <v>https://www.facebook.com/634639855377280/posts/817402500434347?comment_id=3794736320755159&amp;reply_comment_id=1466786647275986</v>
      </c>
      <c r="K108" t="s">
        <v>67</v>
      </c>
      <c r="O108">
        <v>0</v>
      </c>
      <c r="P108">
        <v>0</v>
      </c>
      <c r="Q108">
        <v>0</v>
      </c>
      <c r="S108">
        <v>0</v>
      </c>
      <c r="T108">
        <v>0</v>
      </c>
      <c r="U108">
        <v>0</v>
      </c>
      <c r="W108" t="s">
        <v>52</v>
      </c>
    </row>
    <row r="109" spans="1:23" x14ac:dyDescent="0.35">
      <c r="A109" t="s">
        <v>45</v>
      </c>
      <c r="B109" t="s">
        <v>169</v>
      </c>
      <c r="C109" t="s">
        <v>60</v>
      </c>
      <c r="D109" t="s">
        <v>64</v>
      </c>
      <c r="E109" t="s">
        <v>64</v>
      </c>
      <c r="F109" t="s">
        <v>49</v>
      </c>
      <c r="G109" t="s">
        <v>83</v>
      </c>
      <c r="H109" t="s">
        <v>279</v>
      </c>
      <c r="J109" t="str">
        <f>HYPERLINK("https://www.facebook.com/634639855377280/posts/817402500434347?comment_id=430929059426934&amp;reply_comment_id=1353220348641045","https://www.facebook.com/634639855377280/posts/817402500434347?comment_id=430929059426934&amp;reply_comment_id=1353220348641045")</f>
        <v>https://www.facebook.com/634639855377280/posts/817402500434347?comment_id=430929059426934&amp;reply_comment_id=1353220348641045</v>
      </c>
      <c r="K109" t="s">
        <v>67</v>
      </c>
      <c r="O109">
        <v>0</v>
      </c>
      <c r="P109">
        <v>0</v>
      </c>
      <c r="Q109">
        <v>0</v>
      </c>
      <c r="S109">
        <v>0</v>
      </c>
      <c r="T109">
        <v>0</v>
      </c>
      <c r="U109">
        <v>0</v>
      </c>
      <c r="W109" t="s">
        <v>52</v>
      </c>
    </row>
    <row r="110" spans="1:23" x14ac:dyDescent="0.35">
      <c r="A110" t="s">
        <v>45</v>
      </c>
      <c r="B110" t="s">
        <v>169</v>
      </c>
      <c r="C110" t="s">
        <v>60</v>
      </c>
      <c r="D110" t="s">
        <v>64</v>
      </c>
      <c r="E110" t="s">
        <v>64</v>
      </c>
      <c r="F110" t="s">
        <v>49</v>
      </c>
      <c r="G110" t="s">
        <v>280</v>
      </c>
      <c r="H110" t="s">
        <v>281</v>
      </c>
      <c r="J110" t="str">
        <f>HYPERLINK("https://www.facebook.com/634639855377280/posts/818033483704582?comment_id=3789024494752495&amp;reply_comment_id=747828183815571","https://www.facebook.com/634639855377280/posts/818033483704582?comment_id=3789024494752495&amp;reply_comment_id=747828183815571")</f>
        <v>https://www.facebook.com/634639855377280/posts/818033483704582?comment_id=3789024494752495&amp;reply_comment_id=747828183815571</v>
      </c>
      <c r="K110" t="s">
        <v>67</v>
      </c>
      <c r="O110">
        <v>0</v>
      </c>
      <c r="P110">
        <v>0</v>
      </c>
      <c r="Q110">
        <v>0</v>
      </c>
      <c r="S110">
        <v>0</v>
      </c>
      <c r="T110">
        <v>0</v>
      </c>
      <c r="U110">
        <v>0</v>
      </c>
      <c r="W110" t="s">
        <v>52</v>
      </c>
    </row>
    <row r="111" spans="1:23" x14ac:dyDescent="0.35">
      <c r="A111" t="s">
        <v>45</v>
      </c>
      <c r="B111" t="s">
        <v>169</v>
      </c>
      <c r="C111" t="s">
        <v>47</v>
      </c>
      <c r="D111" t="s">
        <v>68</v>
      </c>
      <c r="E111" t="s">
        <v>68</v>
      </c>
      <c r="F111" t="s">
        <v>49</v>
      </c>
      <c r="G111" t="s">
        <v>102</v>
      </c>
      <c r="H111" t="s">
        <v>282</v>
      </c>
      <c r="J111" t="str">
        <f>HYPERLINK("https://www.youtube.com/watch?v=Cz4v5w1J8dE&amp;lc=Ugz-ftqNVifiy-gSQwV4AaABAg.A1b2VaBXQ2fA1bFZD4UVBa","https://www.youtube.com/watch?v=Cz4v5w1J8dE&amp;lc=Ugz-ftqNVifiy-gSQwV4AaABAg.A1b2VaBXQ2fA1bFZD4UVBa")</f>
        <v>https://www.youtube.com/watch?v=Cz4v5w1J8dE&amp;lc=Ugz-ftqNVifiy-gSQwV4AaABAg.A1b2VaBXQ2fA1bFZD4UVBa</v>
      </c>
      <c r="O111">
        <v>0</v>
      </c>
      <c r="P111">
        <v>0</v>
      </c>
      <c r="Q111">
        <v>0</v>
      </c>
      <c r="S111">
        <v>0</v>
      </c>
      <c r="T111">
        <v>0</v>
      </c>
      <c r="U111">
        <v>0</v>
      </c>
      <c r="W111" t="s">
        <v>52</v>
      </c>
    </row>
    <row r="112" spans="1:23" x14ac:dyDescent="0.35">
      <c r="A112" t="s">
        <v>45</v>
      </c>
      <c r="B112" t="s">
        <v>169</v>
      </c>
      <c r="C112" t="s">
        <v>47</v>
      </c>
      <c r="D112" t="s">
        <v>68</v>
      </c>
      <c r="E112" t="s">
        <v>68</v>
      </c>
      <c r="F112" t="s">
        <v>49</v>
      </c>
      <c r="G112" t="s">
        <v>102</v>
      </c>
      <c r="H112" t="s">
        <v>283</v>
      </c>
      <c r="J112" t="str">
        <f>HYPERLINK("https://www.youtube.com/watch?v=7pMfSyYFp5U&amp;lc=UgwaxjrbP9MwTRl2iNN4AaABAg.A1b13grVb-PA1bFMPstbxI","https://www.youtube.com/watch?v=7pMfSyYFp5U&amp;lc=UgwaxjrbP9MwTRl2iNN4AaABAg.A1b13grVb-PA1bFMPstbxI")</f>
        <v>https://www.youtube.com/watch?v=7pMfSyYFp5U&amp;lc=UgwaxjrbP9MwTRl2iNN4AaABAg.A1b13grVb-PA1bFMPstbxI</v>
      </c>
      <c r="O112">
        <v>0</v>
      </c>
      <c r="P112">
        <v>0</v>
      </c>
      <c r="Q112">
        <v>0</v>
      </c>
      <c r="S112">
        <v>0</v>
      </c>
      <c r="T112">
        <v>0</v>
      </c>
      <c r="U112">
        <v>0</v>
      </c>
      <c r="W112" t="s">
        <v>52</v>
      </c>
    </row>
    <row r="113" spans="1:23" x14ac:dyDescent="0.35">
      <c r="A113" t="s">
        <v>45</v>
      </c>
      <c r="B113" t="s">
        <v>169</v>
      </c>
      <c r="C113" t="s">
        <v>47</v>
      </c>
      <c r="D113" t="s">
        <v>68</v>
      </c>
      <c r="E113" t="s">
        <v>68</v>
      </c>
      <c r="F113" t="s">
        <v>49</v>
      </c>
      <c r="G113" t="s">
        <v>102</v>
      </c>
      <c r="H113" t="s">
        <v>284</v>
      </c>
      <c r="J113" t="str">
        <f>HYPERLINK("https://www.youtube.com/watch?v=7pMfSyYFp5U&amp;lc=UgwaxjrbP9MwTRl2iNN4AaABAg.A1b13grVb-PA1bFKtuRWG9","https://www.youtube.com/watch?v=7pMfSyYFp5U&amp;lc=UgwaxjrbP9MwTRl2iNN4AaABAg.A1b13grVb-PA1bFKtuRWG9")</f>
        <v>https://www.youtube.com/watch?v=7pMfSyYFp5U&amp;lc=UgwaxjrbP9MwTRl2iNN4AaABAg.A1b13grVb-PA1bFKtuRWG9</v>
      </c>
      <c r="O113">
        <v>0</v>
      </c>
      <c r="P113">
        <v>0</v>
      </c>
      <c r="Q113">
        <v>0</v>
      </c>
      <c r="S113">
        <v>0</v>
      </c>
      <c r="T113">
        <v>0</v>
      </c>
      <c r="U113">
        <v>0</v>
      </c>
      <c r="W113" t="s">
        <v>52</v>
      </c>
    </row>
    <row r="114" spans="1:23" x14ac:dyDescent="0.35">
      <c r="A114" t="s">
        <v>45</v>
      </c>
      <c r="B114" t="s">
        <v>169</v>
      </c>
      <c r="C114" t="s">
        <v>60</v>
      </c>
      <c r="D114" t="s">
        <v>61</v>
      </c>
      <c r="E114" t="s">
        <v>61</v>
      </c>
      <c r="F114" t="s">
        <v>49</v>
      </c>
      <c r="G114" t="s">
        <v>285</v>
      </c>
      <c r="H114" t="s">
        <v>286</v>
      </c>
      <c r="J114" t="str">
        <f>HYPERLINK("https://www.facebook.com/634639855377280/posts/818033483704582?comment_id=2727425274092729","https://www.facebook.com/634639855377280/posts/818033483704582?comment_id=2727425274092729")</f>
        <v>https://www.facebook.com/634639855377280/posts/818033483704582?comment_id=2727425274092729</v>
      </c>
      <c r="O114">
        <v>0</v>
      </c>
      <c r="P114">
        <v>0</v>
      </c>
      <c r="Q114">
        <v>0</v>
      </c>
      <c r="S114">
        <v>0</v>
      </c>
      <c r="T114">
        <v>0</v>
      </c>
      <c r="U114">
        <v>0</v>
      </c>
      <c r="W114" t="s">
        <v>52</v>
      </c>
    </row>
    <row r="115" spans="1:23" x14ac:dyDescent="0.35">
      <c r="A115" t="s">
        <v>45</v>
      </c>
      <c r="B115" t="s">
        <v>169</v>
      </c>
      <c r="C115" t="s">
        <v>47</v>
      </c>
      <c r="D115" t="s">
        <v>287</v>
      </c>
      <c r="E115" t="s">
        <v>287</v>
      </c>
      <c r="F115" t="s">
        <v>49</v>
      </c>
      <c r="G115" t="s">
        <v>288</v>
      </c>
      <c r="H115" t="s">
        <v>289</v>
      </c>
      <c r="J115" t="str">
        <f>HYPERLINK("https://www.youtube.com/watch?v=Cz4v5w1J8dE&amp;lc=UgxFGCYsaGSjYmOfdOd4AaABAg","https://www.youtube.com/watch?v=Cz4v5w1J8dE&amp;lc=UgxFGCYsaGSjYmOfdOd4AaABAg")</f>
        <v>https://www.youtube.com/watch?v=Cz4v5w1J8dE&amp;lc=UgxFGCYsaGSjYmOfdOd4AaABAg</v>
      </c>
      <c r="O115">
        <v>0</v>
      </c>
      <c r="P115">
        <v>0</v>
      </c>
      <c r="Q115">
        <v>0</v>
      </c>
      <c r="S115">
        <v>0</v>
      </c>
      <c r="T115">
        <v>0</v>
      </c>
      <c r="U115">
        <v>0</v>
      </c>
      <c r="W115" t="s">
        <v>52</v>
      </c>
    </row>
    <row r="116" spans="1:23" x14ac:dyDescent="0.35">
      <c r="A116" t="s">
        <v>45</v>
      </c>
      <c r="B116" t="s">
        <v>169</v>
      </c>
      <c r="C116" t="s">
        <v>47</v>
      </c>
      <c r="D116" t="s">
        <v>290</v>
      </c>
      <c r="E116" t="s">
        <v>290</v>
      </c>
      <c r="F116" t="s">
        <v>49</v>
      </c>
      <c r="G116" t="s">
        <v>291</v>
      </c>
      <c r="H116" t="s">
        <v>292</v>
      </c>
      <c r="J116" t="str">
        <f>HYPERLINK("https://www.youtube.com/watch?v=Cz4v5w1J8dE&amp;lc=UgwzVQSXPFX5-XB7Fu14AaABAg","https://www.youtube.com/watch?v=Cz4v5w1J8dE&amp;lc=UgwzVQSXPFX5-XB7Fu14AaABAg")</f>
        <v>https://www.youtube.com/watch?v=Cz4v5w1J8dE&amp;lc=UgwzVQSXPFX5-XB7Fu14AaABAg</v>
      </c>
      <c r="O116">
        <v>0</v>
      </c>
      <c r="P116">
        <v>0</v>
      </c>
      <c r="Q116">
        <v>0</v>
      </c>
      <c r="S116">
        <v>0</v>
      </c>
      <c r="T116">
        <v>0</v>
      </c>
      <c r="U116">
        <v>0</v>
      </c>
      <c r="W116" t="s">
        <v>52</v>
      </c>
    </row>
    <row r="117" spans="1:23" x14ac:dyDescent="0.35">
      <c r="A117" t="s">
        <v>45</v>
      </c>
      <c r="B117" t="s">
        <v>169</v>
      </c>
      <c r="C117" t="s">
        <v>47</v>
      </c>
      <c r="D117" t="s">
        <v>68</v>
      </c>
      <c r="E117" t="s">
        <v>68</v>
      </c>
      <c r="F117" t="s">
        <v>49</v>
      </c>
      <c r="G117" t="s">
        <v>293</v>
      </c>
      <c r="H117" t="s">
        <v>294</v>
      </c>
      <c r="J117" t="str">
        <f>HYPERLINK("https://www.youtube.com/watch?v=7pMfSyYFp5U&amp;lc=UgxZhd9k3rgwaSp6TWZ4AaABAg.A1amRVu1-SfA1b76eYcnDs","https://www.youtube.com/watch?v=7pMfSyYFp5U&amp;lc=UgxZhd9k3rgwaSp6TWZ4AaABAg.A1amRVu1-SfA1b76eYcnDs")</f>
        <v>https://www.youtube.com/watch?v=7pMfSyYFp5U&amp;lc=UgxZhd9k3rgwaSp6TWZ4AaABAg.A1amRVu1-SfA1b76eYcnDs</v>
      </c>
      <c r="O117">
        <v>0</v>
      </c>
      <c r="P117">
        <v>0</v>
      </c>
      <c r="Q117">
        <v>0</v>
      </c>
      <c r="S117">
        <v>0</v>
      </c>
      <c r="T117">
        <v>0</v>
      </c>
      <c r="U117">
        <v>0</v>
      </c>
      <c r="W117" t="s">
        <v>52</v>
      </c>
    </row>
    <row r="118" spans="1:23" x14ac:dyDescent="0.35">
      <c r="A118" t="s">
        <v>45</v>
      </c>
      <c r="B118" t="s">
        <v>169</v>
      </c>
      <c r="C118" t="s">
        <v>47</v>
      </c>
      <c r="D118" t="s">
        <v>295</v>
      </c>
      <c r="E118" t="s">
        <v>295</v>
      </c>
      <c r="F118" t="s">
        <v>49</v>
      </c>
      <c r="G118" t="s">
        <v>296</v>
      </c>
      <c r="H118" t="s">
        <v>297</v>
      </c>
      <c r="J118" t="str">
        <f>HYPERLINK("https://www.youtube.com/watch?v=7pMfSyYFp5U&amp;lc=UgwaxjrbP9MwTRl2iNN4AaABAg.A1b13grVb-PA1b6ab2WwPM","https://www.youtube.com/watch?v=7pMfSyYFp5U&amp;lc=UgwaxjrbP9MwTRl2iNN4AaABAg.A1b13grVb-PA1b6ab2WwPM")</f>
        <v>https://www.youtube.com/watch?v=7pMfSyYFp5U&amp;lc=UgwaxjrbP9MwTRl2iNN4AaABAg.A1b13grVb-PA1b6ab2WwPM</v>
      </c>
      <c r="O118">
        <v>0</v>
      </c>
      <c r="P118">
        <v>0</v>
      </c>
      <c r="Q118">
        <v>0</v>
      </c>
      <c r="S118">
        <v>0</v>
      </c>
      <c r="T118">
        <v>0</v>
      </c>
      <c r="U118">
        <v>0</v>
      </c>
      <c r="W118" t="s">
        <v>52</v>
      </c>
    </row>
    <row r="119" spans="1:23" x14ac:dyDescent="0.35">
      <c r="A119" t="s">
        <v>45</v>
      </c>
      <c r="B119" t="s">
        <v>169</v>
      </c>
      <c r="C119" t="s">
        <v>60</v>
      </c>
      <c r="D119" t="s">
        <v>64</v>
      </c>
      <c r="E119" t="s">
        <v>64</v>
      </c>
      <c r="F119" t="s">
        <v>49</v>
      </c>
      <c r="G119" t="s">
        <v>298</v>
      </c>
      <c r="H119" t="s">
        <v>299</v>
      </c>
      <c r="J119" t="str">
        <f>HYPERLINK("https://www.facebook.com/634639855377280/posts/818033483704582?comment_id=1391576771526592&amp;reply_comment_id=1351436332924838","https://www.facebook.com/634639855377280/posts/818033483704582?comment_id=1391576771526592&amp;reply_comment_id=1351436332924838")</f>
        <v>https://www.facebook.com/634639855377280/posts/818033483704582?comment_id=1391576771526592&amp;reply_comment_id=1351436332924838</v>
      </c>
      <c r="K119" t="s">
        <v>67</v>
      </c>
      <c r="O119">
        <v>0</v>
      </c>
      <c r="P119">
        <v>0</v>
      </c>
      <c r="Q119">
        <v>0</v>
      </c>
      <c r="S119">
        <v>0</v>
      </c>
      <c r="T119">
        <v>0</v>
      </c>
      <c r="U119">
        <v>0</v>
      </c>
      <c r="W119" t="s">
        <v>52</v>
      </c>
    </row>
    <row r="120" spans="1:23" x14ac:dyDescent="0.35">
      <c r="A120" t="s">
        <v>45</v>
      </c>
      <c r="B120" t="s">
        <v>169</v>
      </c>
      <c r="C120" t="s">
        <v>47</v>
      </c>
      <c r="D120" t="s">
        <v>300</v>
      </c>
      <c r="E120" t="s">
        <v>300</v>
      </c>
      <c r="F120" t="s">
        <v>49</v>
      </c>
      <c r="G120" t="s">
        <v>301</v>
      </c>
      <c r="H120" t="s">
        <v>302</v>
      </c>
      <c r="J120" t="str">
        <f>HYPERLINK("https://www.youtube.com/watch?v=7pMfSyYFp5U&amp;lc=UgxE19v_ZOjkr6485tV4AaABAg.A1U-OBTkXxCA1b4ckU8rRQ","https://www.youtube.com/watch?v=7pMfSyYFp5U&amp;lc=UgxE19v_ZOjkr6485tV4AaABAg.A1U-OBTkXxCA1b4ckU8rRQ")</f>
        <v>https://www.youtube.com/watch?v=7pMfSyYFp5U&amp;lc=UgxE19v_ZOjkr6485tV4AaABAg.A1U-OBTkXxCA1b4ckU8rRQ</v>
      </c>
      <c r="O120">
        <v>0</v>
      </c>
      <c r="P120">
        <v>0</v>
      </c>
      <c r="Q120">
        <v>0</v>
      </c>
      <c r="S120">
        <v>0</v>
      </c>
      <c r="T120">
        <v>0</v>
      </c>
      <c r="U120">
        <v>0</v>
      </c>
      <c r="W120" t="s">
        <v>52</v>
      </c>
    </row>
    <row r="121" spans="1:23" x14ac:dyDescent="0.35">
      <c r="A121" t="s">
        <v>45</v>
      </c>
      <c r="B121" t="s">
        <v>169</v>
      </c>
      <c r="C121" t="s">
        <v>47</v>
      </c>
      <c r="D121" t="s">
        <v>300</v>
      </c>
      <c r="E121" t="s">
        <v>300</v>
      </c>
      <c r="F121" t="s">
        <v>49</v>
      </c>
      <c r="G121" t="s">
        <v>303</v>
      </c>
      <c r="H121" t="s">
        <v>304</v>
      </c>
      <c r="J121" t="str">
        <f>HYPERLINK("https://www.youtube.com/watch?v=7pMfSyYFp5U&amp;lc=UgwaxjrbP9MwTRl2iNN4AaABAg.A1b13grVb-PA1b4XiT9S48","https://www.youtube.com/watch?v=7pMfSyYFp5U&amp;lc=UgwaxjrbP9MwTRl2iNN4AaABAg.A1b13grVb-PA1b4XiT9S48")</f>
        <v>https://www.youtube.com/watch?v=7pMfSyYFp5U&amp;lc=UgwaxjrbP9MwTRl2iNN4AaABAg.A1b13grVb-PA1b4XiT9S48</v>
      </c>
      <c r="O121">
        <v>0</v>
      </c>
      <c r="P121">
        <v>0</v>
      </c>
      <c r="Q121">
        <v>0</v>
      </c>
      <c r="S121">
        <v>0</v>
      </c>
      <c r="T121">
        <v>0</v>
      </c>
      <c r="U121">
        <v>0</v>
      </c>
      <c r="W121" t="s">
        <v>52</v>
      </c>
    </row>
    <row r="122" spans="1:23" x14ac:dyDescent="0.35">
      <c r="A122" t="s">
        <v>45</v>
      </c>
      <c r="B122" t="s">
        <v>169</v>
      </c>
      <c r="C122" t="s">
        <v>47</v>
      </c>
      <c r="D122" t="s">
        <v>300</v>
      </c>
      <c r="E122" t="s">
        <v>300</v>
      </c>
      <c r="F122" t="s">
        <v>49</v>
      </c>
      <c r="G122" t="s">
        <v>305</v>
      </c>
      <c r="H122" t="s">
        <v>306</v>
      </c>
      <c r="J122" t="str">
        <f>HYPERLINK("https://www.youtube.com/watch?v=7pMfSyYFp5U&amp;lc=UgwaxjrbP9MwTRl2iNN4AaABAg.A1b13grVb-PA1b4T4czFTQ","https://www.youtube.com/watch?v=7pMfSyYFp5U&amp;lc=UgwaxjrbP9MwTRl2iNN4AaABAg.A1b13grVb-PA1b4T4czFTQ")</f>
        <v>https://www.youtube.com/watch?v=7pMfSyYFp5U&amp;lc=UgwaxjrbP9MwTRl2iNN4AaABAg.A1b13grVb-PA1b4T4czFTQ</v>
      </c>
      <c r="O122">
        <v>0</v>
      </c>
      <c r="P122">
        <v>0</v>
      </c>
      <c r="Q122">
        <v>0</v>
      </c>
      <c r="S122">
        <v>0</v>
      </c>
      <c r="T122">
        <v>0</v>
      </c>
      <c r="U122">
        <v>0</v>
      </c>
      <c r="W122" t="s">
        <v>52</v>
      </c>
    </row>
    <row r="123" spans="1:23" x14ac:dyDescent="0.35">
      <c r="A123" t="s">
        <v>45</v>
      </c>
      <c r="B123" t="s">
        <v>169</v>
      </c>
      <c r="C123" t="s">
        <v>47</v>
      </c>
      <c r="D123" t="s">
        <v>68</v>
      </c>
      <c r="E123" t="s">
        <v>68</v>
      </c>
      <c r="F123" t="s">
        <v>49</v>
      </c>
      <c r="G123" t="s">
        <v>307</v>
      </c>
      <c r="H123" t="s">
        <v>308</v>
      </c>
      <c r="J123" t="str">
        <f>HYPERLINK("https://www.youtube.com/watch?v=7pMfSyYFp5U&amp;lc=Ugy3SJAEVAAUm9TOu654AaABAg.A1aj_b8je0NA1b3oYehzJL","https://www.youtube.com/watch?v=7pMfSyYFp5U&amp;lc=Ugy3SJAEVAAUm9TOu654AaABAg.A1aj_b8je0NA1b3oYehzJL")</f>
        <v>https://www.youtube.com/watch?v=7pMfSyYFp5U&amp;lc=Ugy3SJAEVAAUm9TOu654AaABAg.A1aj_b8je0NA1b3oYehzJL</v>
      </c>
      <c r="O123">
        <v>0</v>
      </c>
      <c r="P123">
        <v>0</v>
      </c>
      <c r="Q123">
        <v>0</v>
      </c>
      <c r="S123">
        <v>0</v>
      </c>
      <c r="T123">
        <v>0</v>
      </c>
      <c r="U123">
        <v>0</v>
      </c>
      <c r="W123" t="s">
        <v>52</v>
      </c>
    </row>
    <row r="124" spans="1:23" x14ac:dyDescent="0.35">
      <c r="A124" t="s">
        <v>45</v>
      </c>
      <c r="B124" t="s">
        <v>169</v>
      </c>
      <c r="C124" t="s">
        <v>60</v>
      </c>
      <c r="D124" t="s">
        <v>61</v>
      </c>
      <c r="E124" t="s">
        <v>61</v>
      </c>
      <c r="F124" t="s">
        <v>49</v>
      </c>
      <c r="G124" t="s">
        <v>305</v>
      </c>
      <c r="H124" t="s">
        <v>309</v>
      </c>
      <c r="J124" t="str">
        <f>HYPERLINK("https://www.facebook.com/634639855377280/posts/818033483704582?comment_id=3789024494752495","https://www.facebook.com/634639855377280/posts/818033483704582?comment_id=3789024494752495")</f>
        <v>https://www.facebook.com/634639855377280/posts/818033483704582?comment_id=3789024494752495</v>
      </c>
      <c r="O124">
        <v>0</v>
      </c>
      <c r="P124">
        <v>0</v>
      </c>
      <c r="Q124">
        <v>0</v>
      </c>
      <c r="S124">
        <v>0</v>
      </c>
      <c r="T124">
        <v>0</v>
      </c>
      <c r="U124">
        <v>0</v>
      </c>
      <c r="W124" t="s">
        <v>52</v>
      </c>
    </row>
    <row r="125" spans="1:23" x14ac:dyDescent="0.35">
      <c r="A125" t="s">
        <v>45</v>
      </c>
      <c r="B125" t="s">
        <v>169</v>
      </c>
      <c r="C125" t="s">
        <v>47</v>
      </c>
      <c r="D125" t="s">
        <v>310</v>
      </c>
      <c r="E125" t="s">
        <v>310</v>
      </c>
      <c r="F125" t="s">
        <v>49</v>
      </c>
      <c r="G125" t="s">
        <v>311</v>
      </c>
      <c r="H125" t="s">
        <v>312</v>
      </c>
      <c r="J125" t="str">
        <f>HYPERLINK("https://www.youtube.com/watch?v=Cz4v5w1J8dE&amp;lc=UgwEuBjRtQZ2LWfPYyF4AaABAg.A1ar8wnoIkBA1b2h_RSZJE","https://www.youtube.com/watch?v=Cz4v5w1J8dE&amp;lc=UgwEuBjRtQZ2LWfPYyF4AaABAg.A1ar8wnoIkBA1b2h_RSZJE")</f>
        <v>https://www.youtube.com/watch?v=Cz4v5w1J8dE&amp;lc=UgwEuBjRtQZ2LWfPYyF4AaABAg.A1ar8wnoIkBA1b2h_RSZJE</v>
      </c>
      <c r="O125">
        <v>0</v>
      </c>
      <c r="P125">
        <v>0</v>
      </c>
      <c r="Q125">
        <v>0</v>
      </c>
      <c r="S125">
        <v>0</v>
      </c>
      <c r="T125">
        <v>0</v>
      </c>
      <c r="U125">
        <v>0</v>
      </c>
      <c r="W125" t="s">
        <v>52</v>
      </c>
    </row>
    <row r="126" spans="1:23" x14ac:dyDescent="0.35">
      <c r="A126" t="s">
        <v>45</v>
      </c>
      <c r="B126" t="s">
        <v>169</v>
      </c>
      <c r="C126" t="s">
        <v>47</v>
      </c>
      <c r="D126" t="s">
        <v>313</v>
      </c>
      <c r="E126" t="s">
        <v>313</v>
      </c>
      <c r="F126" t="s">
        <v>193</v>
      </c>
      <c r="G126" t="s">
        <v>314</v>
      </c>
      <c r="H126" t="s">
        <v>315</v>
      </c>
      <c r="J126" t="str">
        <f>HYPERLINK("https://www.youtube.com/watch?v=Cz4v5w1J8dE&amp;lc=Ugz-ftqNVifiy-gSQwV4AaABAg","https://www.youtube.com/watch?v=Cz4v5w1J8dE&amp;lc=Ugz-ftqNVifiy-gSQwV4AaABAg")</f>
        <v>https://www.youtube.com/watch?v=Cz4v5w1J8dE&amp;lc=Ugz-ftqNVifiy-gSQwV4AaABAg</v>
      </c>
      <c r="O126">
        <v>0</v>
      </c>
      <c r="P126">
        <v>0</v>
      </c>
      <c r="Q126">
        <v>0</v>
      </c>
      <c r="S126">
        <v>0</v>
      </c>
      <c r="T126">
        <v>0</v>
      </c>
      <c r="U126">
        <v>0</v>
      </c>
      <c r="W126" t="s">
        <v>52</v>
      </c>
    </row>
    <row r="127" spans="1:23" x14ac:dyDescent="0.35">
      <c r="A127" t="s">
        <v>45</v>
      </c>
      <c r="B127" t="s">
        <v>169</v>
      </c>
      <c r="C127" t="s">
        <v>60</v>
      </c>
      <c r="D127" t="s">
        <v>61</v>
      </c>
      <c r="E127" t="s">
        <v>61</v>
      </c>
      <c r="F127" t="s">
        <v>49</v>
      </c>
      <c r="G127" t="s">
        <v>316</v>
      </c>
      <c r="H127" t="s">
        <v>317</v>
      </c>
      <c r="J127" t="str">
        <f>HYPERLINK("https://www.facebook.com/634639855377280/posts/817402500434347?comment_id=973837867416774&amp;reply_comment_id=810166874463758","https://www.facebook.com/634639855377280/posts/817402500434347?comment_id=973837867416774&amp;reply_comment_id=810166874463758")</f>
        <v>https://www.facebook.com/634639855377280/posts/817402500434347?comment_id=973837867416774&amp;reply_comment_id=810166874463758</v>
      </c>
      <c r="O127">
        <v>0</v>
      </c>
      <c r="P127">
        <v>0</v>
      </c>
      <c r="Q127">
        <v>0</v>
      </c>
      <c r="S127">
        <v>0</v>
      </c>
      <c r="T127">
        <v>0</v>
      </c>
      <c r="U127">
        <v>0</v>
      </c>
      <c r="W127" t="s">
        <v>52</v>
      </c>
    </row>
    <row r="128" spans="1:23" x14ac:dyDescent="0.35">
      <c r="A128" t="s">
        <v>45</v>
      </c>
      <c r="B128" t="s">
        <v>169</v>
      </c>
      <c r="C128" t="s">
        <v>60</v>
      </c>
      <c r="D128" t="s">
        <v>61</v>
      </c>
      <c r="E128" t="s">
        <v>61</v>
      </c>
      <c r="F128" t="s">
        <v>49</v>
      </c>
      <c r="G128" t="s">
        <v>318</v>
      </c>
      <c r="H128" t="s">
        <v>319</v>
      </c>
      <c r="J128" t="str">
        <f>HYPERLINK("https://www.facebook.com/634639855377280/posts/817402500434347?comment_id=352406500525509&amp;reply_comment_id=1448250289106027","https://www.facebook.com/634639855377280/posts/817402500434347?comment_id=352406500525509&amp;reply_comment_id=1448250289106027")</f>
        <v>https://www.facebook.com/634639855377280/posts/817402500434347?comment_id=352406500525509&amp;reply_comment_id=1448250289106027</v>
      </c>
      <c r="O128">
        <v>0</v>
      </c>
      <c r="P128">
        <v>0</v>
      </c>
      <c r="Q128">
        <v>0</v>
      </c>
      <c r="S128">
        <v>0</v>
      </c>
      <c r="T128">
        <v>0</v>
      </c>
      <c r="U128">
        <v>0</v>
      </c>
      <c r="W128" t="s">
        <v>52</v>
      </c>
    </row>
    <row r="129" spans="1:23" x14ac:dyDescent="0.35">
      <c r="A129" t="s">
        <v>45</v>
      </c>
      <c r="B129" t="s">
        <v>169</v>
      </c>
      <c r="C129" t="s">
        <v>47</v>
      </c>
      <c r="D129" t="s">
        <v>295</v>
      </c>
      <c r="E129" t="s">
        <v>295</v>
      </c>
      <c r="F129" t="s">
        <v>49</v>
      </c>
      <c r="G129" t="s">
        <v>320</v>
      </c>
      <c r="H129" t="s">
        <v>321</v>
      </c>
      <c r="J129" t="str">
        <f>HYPERLINK("https://www.youtube.com/watch?v=7pMfSyYFp5U&amp;lc=UgwaxjrbP9MwTRl2iNN4AaABAg","https://www.youtube.com/watch?v=7pMfSyYFp5U&amp;lc=UgwaxjrbP9MwTRl2iNN4AaABAg")</f>
        <v>https://www.youtube.com/watch?v=7pMfSyYFp5U&amp;lc=UgwaxjrbP9MwTRl2iNN4AaABAg</v>
      </c>
      <c r="O129">
        <v>0</v>
      </c>
      <c r="P129">
        <v>0</v>
      </c>
      <c r="Q129">
        <v>0</v>
      </c>
      <c r="S129">
        <v>0</v>
      </c>
      <c r="T129">
        <v>0</v>
      </c>
      <c r="U129">
        <v>0</v>
      </c>
      <c r="W129" t="s">
        <v>52</v>
      </c>
    </row>
    <row r="130" spans="1:23" x14ac:dyDescent="0.35">
      <c r="A130" t="s">
        <v>45</v>
      </c>
      <c r="B130" t="s">
        <v>169</v>
      </c>
      <c r="C130" t="s">
        <v>47</v>
      </c>
      <c r="D130" t="s">
        <v>322</v>
      </c>
      <c r="E130" t="s">
        <v>322</v>
      </c>
      <c r="F130" t="s">
        <v>49</v>
      </c>
      <c r="G130" t="s">
        <v>323</v>
      </c>
      <c r="H130" t="s">
        <v>324</v>
      </c>
      <c r="J130" t="str">
        <f>HYPERLINK("https://www.youtube.com/watch?v=Cz4v5w1J8dE&amp;lc=UgwgutSVXujXu0mA4G54AaABAg","https://www.youtube.com/watch?v=Cz4v5w1J8dE&amp;lc=UgwgutSVXujXu0mA4G54AaABAg")</f>
        <v>https://www.youtube.com/watch?v=Cz4v5w1J8dE&amp;lc=UgwgutSVXujXu0mA4G54AaABAg</v>
      </c>
      <c r="O130">
        <v>0</v>
      </c>
      <c r="P130">
        <v>0</v>
      </c>
      <c r="Q130">
        <v>0</v>
      </c>
      <c r="S130">
        <v>0</v>
      </c>
      <c r="T130">
        <v>0</v>
      </c>
      <c r="U130">
        <v>0</v>
      </c>
      <c r="W130" t="s">
        <v>52</v>
      </c>
    </row>
    <row r="131" spans="1:23" x14ac:dyDescent="0.35">
      <c r="A131" t="s">
        <v>45</v>
      </c>
      <c r="B131" t="s">
        <v>169</v>
      </c>
      <c r="C131" t="s">
        <v>60</v>
      </c>
      <c r="D131" t="s">
        <v>61</v>
      </c>
      <c r="E131" t="s">
        <v>61</v>
      </c>
      <c r="F131" t="s">
        <v>54</v>
      </c>
      <c r="G131" t="s">
        <v>325</v>
      </c>
      <c r="H131" t="s">
        <v>326</v>
      </c>
      <c r="J131" t="str">
        <f>HYPERLINK("https://www.facebook.com/634639855377280/posts/818154200359177?comment_id=728479685821992","https://www.facebook.com/634639855377280/posts/818154200359177?comment_id=728479685821992")</f>
        <v>https://www.facebook.com/634639855377280/posts/818154200359177?comment_id=728479685821992</v>
      </c>
      <c r="O131">
        <v>0</v>
      </c>
      <c r="P131">
        <v>0</v>
      </c>
      <c r="Q131">
        <v>0</v>
      </c>
      <c r="S131">
        <v>0</v>
      </c>
      <c r="T131">
        <v>0</v>
      </c>
      <c r="U131">
        <v>0</v>
      </c>
      <c r="W131" t="s">
        <v>52</v>
      </c>
    </row>
    <row r="132" spans="1:23" x14ac:dyDescent="0.35">
      <c r="A132" t="s">
        <v>45</v>
      </c>
      <c r="B132" t="s">
        <v>169</v>
      </c>
      <c r="C132" t="s">
        <v>60</v>
      </c>
      <c r="D132" t="s">
        <v>61</v>
      </c>
      <c r="E132" t="s">
        <v>61</v>
      </c>
      <c r="F132" t="s">
        <v>193</v>
      </c>
      <c r="G132" t="s">
        <v>327</v>
      </c>
      <c r="H132" t="s">
        <v>328</v>
      </c>
      <c r="J132" t="str">
        <f>HYPERLINK("https://www.facebook.com/634639855377280/posts/818154200359177?comment_id=1434640507159968","https://www.facebook.com/634639855377280/posts/818154200359177?comment_id=1434640507159968")</f>
        <v>https://www.facebook.com/634639855377280/posts/818154200359177?comment_id=1434640507159968</v>
      </c>
      <c r="O132">
        <v>0</v>
      </c>
      <c r="P132">
        <v>0</v>
      </c>
      <c r="Q132">
        <v>0</v>
      </c>
      <c r="S132">
        <v>0</v>
      </c>
      <c r="T132">
        <v>0</v>
      </c>
      <c r="U132">
        <v>0</v>
      </c>
      <c r="W132" t="s">
        <v>52</v>
      </c>
    </row>
    <row r="133" spans="1:23" x14ac:dyDescent="0.35">
      <c r="A133" t="s">
        <v>45</v>
      </c>
      <c r="B133" t="s">
        <v>169</v>
      </c>
      <c r="C133" t="s">
        <v>60</v>
      </c>
      <c r="D133" t="s">
        <v>61</v>
      </c>
      <c r="E133" t="s">
        <v>61</v>
      </c>
      <c r="F133" t="s">
        <v>49</v>
      </c>
      <c r="G133" t="s">
        <v>329</v>
      </c>
      <c r="H133" t="s">
        <v>330</v>
      </c>
      <c r="J133" t="str">
        <f>HYPERLINK("https://www.facebook.com/634639855377280/posts/818154200359177?comment_id=2110310669331308","https://www.facebook.com/634639855377280/posts/818154200359177?comment_id=2110310669331308")</f>
        <v>https://www.facebook.com/634639855377280/posts/818154200359177?comment_id=2110310669331308</v>
      </c>
      <c r="O133">
        <v>0</v>
      </c>
      <c r="P133">
        <v>0</v>
      </c>
      <c r="Q133">
        <v>0</v>
      </c>
      <c r="S133">
        <v>0</v>
      </c>
      <c r="T133">
        <v>0</v>
      </c>
      <c r="U133">
        <v>0</v>
      </c>
      <c r="W133" t="s">
        <v>52</v>
      </c>
    </row>
    <row r="134" spans="1:23" x14ac:dyDescent="0.35">
      <c r="A134" t="s">
        <v>45</v>
      </c>
      <c r="B134" t="s">
        <v>169</v>
      </c>
      <c r="C134" t="s">
        <v>47</v>
      </c>
      <c r="D134" t="s">
        <v>331</v>
      </c>
      <c r="E134" t="s">
        <v>331</v>
      </c>
      <c r="F134" t="s">
        <v>193</v>
      </c>
      <c r="G134" t="s">
        <v>332</v>
      </c>
      <c r="H134" t="s">
        <v>333</v>
      </c>
      <c r="J134" t="str">
        <f>HYPERLINK("https://www.youtube.com/watch?v=Cz4v5w1J8dE&amp;lc=Ugz-AbnYb5z5uQ4AyPt4AaABAg","https://www.youtube.com/watch?v=Cz4v5w1J8dE&amp;lc=Ugz-AbnYb5z5uQ4AyPt4AaABAg")</f>
        <v>https://www.youtube.com/watch?v=Cz4v5w1J8dE&amp;lc=Ugz-AbnYb5z5uQ4AyPt4AaABAg</v>
      </c>
      <c r="O134">
        <v>0</v>
      </c>
      <c r="P134">
        <v>0</v>
      </c>
      <c r="Q134">
        <v>0</v>
      </c>
      <c r="S134">
        <v>0</v>
      </c>
      <c r="T134">
        <v>0</v>
      </c>
      <c r="U134">
        <v>0</v>
      </c>
      <c r="W134" t="s">
        <v>52</v>
      </c>
    </row>
    <row r="135" spans="1:23" x14ac:dyDescent="0.35">
      <c r="A135" t="s">
        <v>45</v>
      </c>
      <c r="B135" t="s">
        <v>169</v>
      </c>
      <c r="C135" t="s">
        <v>47</v>
      </c>
      <c r="D135" t="s">
        <v>334</v>
      </c>
      <c r="E135" t="s">
        <v>334</v>
      </c>
      <c r="F135" t="s">
        <v>193</v>
      </c>
      <c r="G135" t="s">
        <v>335</v>
      </c>
      <c r="H135" t="s">
        <v>336</v>
      </c>
      <c r="J135" t="str">
        <f>HYPERLINK("https://www.youtube.com/watch?v=Cz4v5w1J8dE&amp;lc=UgwEuBjRtQZ2LWfPYyF4AaABAg.A1ar8wnoIkBA1awpcDjIR6","https://www.youtube.com/watch?v=Cz4v5w1J8dE&amp;lc=UgwEuBjRtQZ2LWfPYyF4AaABAg.A1ar8wnoIkBA1awpcDjIR6")</f>
        <v>https://www.youtube.com/watch?v=Cz4v5w1J8dE&amp;lc=UgwEuBjRtQZ2LWfPYyF4AaABAg.A1ar8wnoIkBA1awpcDjIR6</v>
      </c>
      <c r="O135">
        <v>0</v>
      </c>
      <c r="P135">
        <v>0</v>
      </c>
      <c r="Q135">
        <v>0</v>
      </c>
      <c r="S135">
        <v>0</v>
      </c>
      <c r="T135">
        <v>0</v>
      </c>
      <c r="U135">
        <v>0</v>
      </c>
      <c r="W135" t="s">
        <v>52</v>
      </c>
    </row>
    <row r="136" spans="1:23" x14ac:dyDescent="0.35">
      <c r="A136" t="s">
        <v>45</v>
      </c>
      <c r="B136" t="s">
        <v>169</v>
      </c>
      <c r="C136" t="s">
        <v>47</v>
      </c>
      <c r="D136" t="s">
        <v>334</v>
      </c>
      <c r="E136" t="s">
        <v>334</v>
      </c>
      <c r="F136" t="s">
        <v>49</v>
      </c>
      <c r="G136" t="s">
        <v>337</v>
      </c>
      <c r="H136" t="s">
        <v>338</v>
      </c>
      <c r="J136" t="str">
        <f>HYPERLINK("https://www.youtube.com/watch?v=Cz4v5w1J8dE&amp;lc=UgwEuBjRtQZ2LWfPYyF4AaABAg.A1ar8wnoIkBA1awnKNEHoP","https://www.youtube.com/watch?v=Cz4v5w1J8dE&amp;lc=UgwEuBjRtQZ2LWfPYyF4AaABAg.A1ar8wnoIkBA1awnKNEHoP")</f>
        <v>https://www.youtube.com/watch?v=Cz4v5w1J8dE&amp;lc=UgwEuBjRtQZ2LWfPYyF4AaABAg.A1ar8wnoIkBA1awnKNEHoP</v>
      </c>
      <c r="O136">
        <v>0</v>
      </c>
      <c r="P136">
        <v>0</v>
      </c>
      <c r="Q136">
        <v>0</v>
      </c>
      <c r="S136">
        <v>0</v>
      </c>
      <c r="T136">
        <v>0</v>
      </c>
      <c r="U136">
        <v>0</v>
      </c>
      <c r="W136" t="s">
        <v>52</v>
      </c>
    </row>
    <row r="137" spans="1:23" x14ac:dyDescent="0.35">
      <c r="A137" t="s">
        <v>45</v>
      </c>
      <c r="B137" t="s">
        <v>169</v>
      </c>
      <c r="C137" t="s">
        <v>47</v>
      </c>
      <c r="D137" t="s">
        <v>339</v>
      </c>
      <c r="E137" t="s">
        <v>339</v>
      </c>
      <c r="F137" t="s">
        <v>49</v>
      </c>
      <c r="G137" t="s">
        <v>340</v>
      </c>
      <c r="H137" t="s">
        <v>341</v>
      </c>
      <c r="J137" t="str">
        <f>HYPERLINK("https://www.youtube.com/watch?v=Cz4v5w1J8dE&amp;lc=UgwZz_R1eSK_lBSOtsV4AaABAg","https://www.youtube.com/watch?v=Cz4v5w1J8dE&amp;lc=UgwZz_R1eSK_lBSOtsV4AaABAg")</f>
        <v>https://www.youtube.com/watch?v=Cz4v5w1J8dE&amp;lc=UgwZz_R1eSK_lBSOtsV4AaABAg</v>
      </c>
      <c r="O137">
        <v>0</v>
      </c>
      <c r="P137">
        <v>0</v>
      </c>
      <c r="Q137">
        <v>0</v>
      </c>
      <c r="S137">
        <v>0</v>
      </c>
      <c r="T137">
        <v>0</v>
      </c>
      <c r="U137">
        <v>0</v>
      </c>
      <c r="W137" t="s">
        <v>52</v>
      </c>
    </row>
    <row r="138" spans="1:23" x14ac:dyDescent="0.35">
      <c r="A138" t="s">
        <v>45</v>
      </c>
      <c r="B138" t="s">
        <v>169</v>
      </c>
      <c r="C138" t="s">
        <v>93</v>
      </c>
      <c r="D138" t="s">
        <v>94</v>
      </c>
      <c r="E138" t="s">
        <v>45</v>
      </c>
      <c r="F138" t="s">
        <v>49</v>
      </c>
      <c r="G138" t="s">
        <v>342</v>
      </c>
      <c r="H138" t="s">
        <v>343</v>
      </c>
      <c r="J138" t="str">
        <f>HYPERLINK("https://twitter.com/SpiceMoneyIndia/status/1773990399608037719","https://twitter.com/SpiceMoneyIndia/status/1773990399608037719")</f>
        <v>https://twitter.com/SpiceMoneyIndia/status/1773990399608037719</v>
      </c>
      <c r="K138" t="s">
        <v>67</v>
      </c>
      <c r="O138">
        <v>0</v>
      </c>
      <c r="P138">
        <v>0</v>
      </c>
      <c r="Q138">
        <v>6097</v>
      </c>
      <c r="R138" t="s">
        <v>97</v>
      </c>
      <c r="S138">
        <v>0</v>
      </c>
      <c r="T138">
        <v>0</v>
      </c>
      <c r="U138">
        <v>0</v>
      </c>
      <c r="V138" t="s">
        <v>98</v>
      </c>
      <c r="W138" t="s">
        <v>99</v>
      </c>
    </row>
    <row r="139" spans="1:23" x14ac:dyDescent="0.35">
      <c r="A139" t="s">
        <v>45</v>
      </c>
      <c r="B139" t="s">
        <v>169</v>
      </c>
      <c r="C139" t="s">
        <v>60</v>
      </c>
      <c r="D139" t="s">
        <v>64</v>
      </c>
      <c r="E139" t="s">
        <v>64</v>
      </c>
      <c r="F139" t="s">
        <v>49</v>
      </c>
      <c r="G139" t="s">
        <v>344</v>
      </c>
      <c r="H139" t="s">
        <v>345</v>
      </c>
      <c r="J139" t="str">
        <f>HYPERLINK("https://www.facebook.com/634639855377280/posts/818154200359177","https://www.facebook.com/634639855377280/posts/818154200359177")</f>
        <v>https://www.facebook.com/634639855377280/posts/818154200359177</v>
      </c>
      <c r="O139">
        <v>0</v>
      </c>
      <c r="P139">
        <v>0</v>
      </c>
      <c r="Q139">
        <v>0</v>
      </c>
      <c r="S139">
        <v>14</v>
      </c>
      <c r="T139">
        <v>86</v>
      </c>
      <c r="U139">
        <v>6</v>
      </c>
      <c r="W139" t="s">
        <v>346</v>
      </c>
    </row>
    <row r="140" spans="1:23" x14ac:dyDescent="0.35">
      <c r="A140" t="s">
        <v>45</v>
      </c>
      <c r="B140" t="s">
        <v>169</v>
      </c>
      <c r="C140" t="s">
        <v>60</v>
      </c>
      <c r="D140" t="s">
        <v>61</v>
      </c>
      <c r="E140" t="s">
        <v>61</v>
      </c>
      <c r="F140" t="s">
        <v>49</v>
      </c>
      <c r="G140" t="s">
        <v>347</v>
      </c>
      <c r="H140" t="s">
        <v>348</v>
      </c>
      <c r="J140" t="str">
        <f>HYPERLINK("https://www.facebook.com/634639855377280/posts/817402500434347?comment_id=301141302819181","https://www.facebook.com/634639855377280/posts/817402500434347?comment_id=301141302819181")</f>
        <v>https://www.facebook.com/634639855377280/posts/817402500434347?comment_id=301141302819181</v>
      </c>
      <c r="O140">
        <v>0</v>
      </c>
      <c r="P140">
        <v>0</v>
      </c>
      <c r="Q140">
        <v>0</v>
      </c>
      <c r="S140">
        <v>0</v>
      </c>
      <c r="T140">
        <v>0</v>
      </c>
      <c r="U140">
        <v>0</v>
      </c>
      <c r="W140" t="s">
        <v>52</v>
      </c>
    </row>
    <row r="141" spans="1:23" x14ac:dyDescent="0.35">
      <c r="A141" t="s">
        <v>45</v>
      </c>
      <c r="B141" t="s">
        <v>169</v>
      </c>
      <c r="C141" t="s">
        <v>60</v>
      </c>
      <c r="D141" t="s">
        <v>61</v>
      </c>
      <c r="E141" t="s">
        <v>61</v>
      </c>
      <c r="F141" t="s">
        <v>49</v>
      </c>
      <c r="G141" t="s">
        <v>349</v>
      </c>
      <c r="H141" t="s">
        <v>350</v>
      </c>
      <c r="J141" t="str">
        <f>HYPERLINK("https://www.facebook.com/634639855377280/posts/817402500434347?comment_id=402403132688680","https://www.facebook.com/634639855377280/posts/817402500434347?comment_id=402403132688680")</f>
        <v>https://www.facebook.com/634639855377280/posts/817402500434347?comment_id=402403132688680</v>
      </c>
      <c r="O141">
        <v>0</v>
      </c>
      <c r="P141">
        <v>0</v>
      </c>
      <c r="Q141">
        <v>0</v>
      </c>
      <c r="S141">
        <v>0</v>
      </c>
      <c r="T141">
        <v>0</v>
      </c>
      <c r="U141">
        <v>0</v>
      </c>
      <c r="W141" t="s">
        <v>52</v>
      </c>
    </row>
    <row r="142" spans="1:23" x14ac:dyDescent="0.35">
      <c r="A142" t="s">
        <v>45</v>
      </c>
      <c r="B142" t="s">
        <v>169</v>
      </c>
      <c r="C142" t="s">
        <v>47</v>
      </c>
      <c r="D142" t="s">
        <v>351</v>
      </c>
      <c r="E142" t="s">
        <v>351</v>
      </c>
      <c r="F142" t="s">
        <v>54</v>
      </c>
      <c r="G142" t="s">
        <v>352</v>
      </c>
      <c r="H142" t="s">
        <v>353</v>
      </c>
      <c r="J142" t="str">
        <f>HYPERLINK("https://www.youtube.com/watch?v=Cz4v5w1J8dE&amp;lc=UgwEuBjRtQZ2LWfPYyF4AaABAg.A1ar8wnoIkBA1av0Em56vp","https://www.youtube.com/watch?v=Cz4v5w1J8dE&amp;lc=UgwEuBjRtQZ2LWfPYyF4AaABAg.A1ar8wnoIkBA1av0Em56vp")</f>
        <v>https://www.youtube.com/watch?v=Cz4v5w1J8dE&amp;lc=UgwEuBjRtQZ2LWfPYyF4AaABAg.A1ar8wnoIkBA1av0Em56vp</v>
      </c>
      <c r="O142">
        <v>0</v>
      </c>
      <c r="P142">
        <v>0</v>
      </c>
      <c r="Q142">
        <v>0</v>
      </c>
      <c r="S142">
        <v>0</v>
      </c>
      <c r="T142">
        <v>0</v>
      </c>
      <c r="U142">
        <v>0</v>
      </c>
      <c r="W142" t="s">
        <v>52</v>
      </c>
    </row>
    <row r="143" spans="1:23" x14ac:dyDescent="0.35">
      <c r="A143" t="s">
        <v>45</v>
      </c>
      <c r="B143" t="s">
        <v>169</v>
      </c>
      <c r="C143" t="s">
        <v>60</v>
      </c>
      <c r="D143" t="s">
        <v>61</v>
      </c>
      <c r="E143" t="s">
        <v>61</v>
      </c>
      <c r="F143" t="s">
        <v>54</v>
      </c>
      <c r="G143" t="s">
        <v>354</v>
      </c>
      <c r="H143" t="s">
        <v>355</v>
      </c>
      <c r="J143" t="str">
        <f>HYPERLINK("https://www.facebook.com/634639855377280/posts/817402500434347?comment_id=1118576059387730","https://www.facebook.com/634639855377280/posts/817402500434347?comment_id=1118576059387730")</f>
        <v>https://www.facebook.com/634639855377280/posts/817402500434347?comment_id=1118576059387730</v>
      </c>
      <c r="O143">
        <v>0</v>
      </c>
      <c r="P143">
        <v>0</v>
      </c>
      <c r="Q143">
        <v>0</v>
      </c>
      <c r="S143">
        <v>0</v>
      </c>
      <c r="T143">
        <v>0</v>
      </c>
      <c r="U143">
        <v>0</v>
      </c>
      <c r="W143" t="s">
        <v>52</v>
      </c>
    </row>
    <row r="144" spans="1:23" x14ac:dyDescent="0.35">
      <c r="A144" t="s">
        <v>45</v>
      </c>
      <c r="B144" t="s">
        <v>169</v>
      </c>
      <c r="C144" t="s">
        <v>47</v>
      </c>
      <c r="D144" t="s">
        <v>356</v>
      </c>
      <c r="E144" t="s">
        <v>356</v>
      </c>
      <c r="F144" t="s">
        <v>54</v>
      </c>
      <c r="G144" t="s">
        <v>357</v>
      </c>
      <c r="H144" t="s">
        <v>358</v>
      </c>
      <c r="J144" t="str">
        <f>HYPERLINK("https://www.youtube.com/watch?v=Cz4v5w1J8dE&amp;lc=Ugw-etYOBGMp7R0eQuJ4AaABAg","https://www.youtube.com/watch?v=Cz4v5w1J8dE&amp;lc=Ugw-etYOBGMp7R0eQuJ4AaABAg")</f>
        <v>https://www.youtube.com/watch?v=Cz4v5w1J8dE&amp;lc=Ugw-etYOBGMp7R0eQuJ4AaABAg</v>
      </c>
      <c r="O144">
        <v>0</v>
      </c>
      <c r="P144">
        <v>0</v>
      </c>
      <c r="Q144">
        <v>0</v>
      </c>
      <c r="S144">
        <v>0</v>
      </c>
      <c r="T144">
        <v>0</v>
      </c>
      <c r="U144">
        <v>0</v>
      </c>
      <c r="W144" t="s">
        <v>52</v>
      </c>
    </row>
    <row r="145" spans="1:23" x14ac:dyDescent="0.35">
      <c r="A145" t="s">
        <v>45</v>
      </c>
      <c r="B145" t="s">
        <v>169</v>
      </c>
      <c r="C145" t="s">
        <v>60</v>
      </c>
      <c r="D145" t="s">
        <v>61</v>
      </c>
      <c r="E145" t="s">
        <v>61</v>
      </c>
      <c r="F145" t="s">
        <v>49</v>
      </c>
      <c r="G145" t="s">
        <v>359</v>
      </c>
      <c r="H145" t="s">
        <v>360</v>
      </c>
      <c r="J145" t="str">
        <f>HYPERLINK("https://www.facebook.com/634639855377280/posts/817402500434347?comment_id=352406500525509&amp;reply_comment_id=411682911580231","https://www.facebook.com/634639855377280/posts/817402500434347?comment_id=352406500525509&amp;reply_comment_id=411682911580231")</f>
        <v>https://www.facebook.com/634639855377280/posts/817402500434347?comment_id=352406500525509&amp;reply_comment_id=411682911580231</v>
      </c>
      <c r="O145">
        <v>0</v>
      </c>
      <c r="P145">
        <v>0</v>
      </c>
      <c r="Q145">
        <v>0</v>
      </c>
      <c r="S145">
        <v>0</v>
      </c>
      <c r="T145">
        <v>0</v>
      </c>
      <c r="U145">
        <v>0</v>
      </c>
      <c r="W145" t="s">
        <v>52</v>
      </c>
    </row>
    <row r="146" spans="1:23" x14ac:dyDescent="0.35">
      <c r="A146" t="s">
        <v>45</v>
      </c>
      <c r="B146" t="s">
        <v>169</v>
      </c>
      <c r="C146" t="s">
        <v>60</v>
      </c>
      <c r="D146" t="s">
        <v>61</v>
      </c>
      <c r="E146" t="s">
        <v>61</v>
      </c>
      <c r="F146" t="s">
        <v>49</v>
      </c>
      <c r="G146" t="s">
        <v>361</v>
      </c>
      <c r="H146" t="s">
        <v>362</v>
      </c>
      <c r="J146" t="str">
        <f>HYPERLINK("https://www.facebook.com/634639855377280/posts/817402500434347?comment_id=3794736320755159&amp;reply_comment_id=332360096485958","https://www.facebook.com/634639855377280/posts/817402500434347?comment_id=3794736320755159&amp;reply_comment_id=332360096485958")</f>
        <v>https://www.facebook.com/634639855377280/posts/817402500434347?comment_id=3794736320755159&amp;reply_comment_id=332360096485958</v>
      </c>
      <c r="O146">
        <v>0</v>
      </c>
      <c r="P146">
        <v>0</v>
      </c>
      <c r="Q146">
        <v>0</v>
      </c>
      <c r="S146">
        <v>0</v>
      </c>
      <c r="T146">
        <v>0</v>
      </c>
      <c r="U146">
        <v>0</v>
      </c>
      <c r="W146" t="s">
        <v>52</v>
      </c>
    </row>
    <row r="147" spans="1:23" x14ac:dyDescent="0.35">
      <c r="A147" t="s">
        <v>45</v>
      </c>
      <c r="B147" t="s">
        <v>169</v>
      </c>
      <c r="C147" t="s">
        <v>60</v>
      </c>
      <c r="D147" t="s">
        <v>61</v>
      </c>
      <c r="E147" t="s">
        <v>61</v>
      </c>
      <c r="F147" t="s">
        <v>49</v>
      </c>
      <c r="G147" t="s">
        <v>363</v>
      </c>
      <c r="H147" t="s">
        <v>364</v>
      </c>
      <c r="J147" t="str">
        <f>HYPERLINK("https://www.facebook.com/634639855377280/posts/817402500434347?comment_id=3794736320755159&amp;reply_comment_id=1657626588313211","https://www.facebook.com/634639855377280/posts/817402500434347?comment_id=3794736320755159&amp;reply_comment_id=1657626588313211")</f>
        <v>https://www.facebook.com/634639855377280/posts/817402500434347?comment_id=3794736320755159&amp;reply_comment_id=1657626588313211</v>
      </c>
      <c r="O147">
        <v>0</v>
      </c>
      <c r="P147">
        <v>0</v>
      </c>
      <c r="Q147">
        <v>0</v>
      </c>
      <c r="S147">
        <v>0</v>
      </c>
      <c r="T147">
        <v>0</v>
      </c>
      <c r="U147">
        <v>0</v>
      </c>
      <c r="W147" t="s">
        <v>52</v>
      </c>
    </row>
    <row r="148" spans="1:23" x14ac:dyDescent="0.35">
      <c r="A148" t="s">
        <v>45</v>
      </c>
      <c r="B148" t="s">
        <v>169</v>
      </c>
      <c r="C148" t="s">
        <v>47</v>
      </c>
      <c r="D148" t="s">
        <v>365</v>
      </c>
      <c r="E148" t="s">
        <v>365</v>
      </c>
      <c r="F148" t="s">
        <v>193</v>
      </c>
      <c r="G148" t="s">
        <v>366</v>
      </c>
      <c r="H148" t="s">
        <v>367</v>
      </c>
      <c r="J148" t="str">
        <f>HYPERLINK("https://www.youtube.com/watch?v=Cz4v5w1J8dE&amp;lc=UgwEuBjRtQZ2LWfPYyF4AaABAg.A1ar8wnoIkBA1arS9I1sox","https://www.youtube.com/watch?v=Cz4v5w1J8dE&amp;lc=UgwEuBjRtQZ2LWfPYyF4AaABAg.A1ar8wnoIkBA1arS9I1sox")</f>
        <v>https://www.youtube.com/watch?v=Cz4v5w1J8dE&amp;lc=UgwEuBjRtQZ2LWfPYyF4AaABAg.A1ar8wnoIkBA1arS9I1sox</v>
      </c>
      <c r="O148">
        <v>0</v>
      </c>
      <c r="P148">
        <v>0</v>
      </c>
      <c r="Q148">
        <v>0</v>
      </c>
      <c r="S148">
        <v>0</v>
      </c>
      <c r="T148">
        <v>0</v>
      </c>
      <c r="U148">
        <v>0</v>
      </c>
      <c r="W148" t="s">
        <v>52</v>
      </c>
    </row>
    <row r="149" spans="1:23" x14ac:dyDescent="0.35">
      <c r="A149" t="s">
        <v>45</v>
      </c>
      <c r="B149" t="s">
        <v>169</v>
      </c>
      <c r="C149" t="s">
        <v>47</v>
      </c>
      <c r="D149" t="s">
        <v>351</v>
      </c>
      <c r="E149" t="s">
        <v>351</v>
      </c>
      <c r="F149" t="s">
        <v>54</v>
      </c>
      <c r="G149" t="s">
        <v>368</v>
      </c>
      <c r="H149" t="s">
        <v>369</v>
      </c>
      <c r="J149" t="str">
        <f>HYPERLINK("https://www.youtube.com/watch?v=Cz4v5w1J8dE&amp;lc=UgwEuBjRtQZ2LWfPYyF4AaABAg","https://www.youtube.com/watch?v=Cz4v5w1J8dE&amp;lc=UgwEuBjRtQZ2LWfPYyF4AaABAg")</f>
        <v>https://www.youtube.com/watch?v=Cz4v5w1J8dE&amp;lc=UgwEuBjRtQZ2LWfPYyF4AaABAg</v>
      </c>
      <c r="O149">
        <v>0</v>
      </c>
      <c r="P149">
        <v>0</v>
      </c>
      <c r="Q149">
        <v>0</v>
      </c>
      <c r="S149">
        <v>0</v>
      </c>
      <c r="T149">
        <v>0</v>
      </c>
      <c r="U149">
        <v>0</v>
      </c>
      <c r="W149" t="s">
        <v>52</v>
      </c>
    </row>
    <row r="150" spans="1:23" x14ac:dyDescent="0.35">
      <c r="A150" t="s">
        <v>45</v>
      </c>
      <c r="B150" t="s">
        <v>169</v>
      </c>
      <c r="C150" t="s">
        <v>47</v>
      </c>
      <c r="D150" t="s">
        <v>370</v>
      </c>
      <c r="E150" t="s">
        <v>370</v>
      </c>
      <c r="F150" t="s">
        <v>49</v>
      </c>
      <c r="G150" t="s">
        <v>371</v>
      </c>
      <c r="H150" t="s">
        <v>372</v>
      </c>
      <c r="J150" t="str">
        <f>HYPERLINK("https://www.youtube.com/watch?v=Cz4v5w1J8dE&amp;lc=Ugxp0baWN8r_GRfMJTV4AaABAg","https://www.youtube.com/watch?v=Cz4v5w1J8dE&amp;lc=Ugxp0baWN8r_GRfMJTV4AaABAg")</f>
        <v>https://www.youtube.com/watch?v=Cz4v5w1J8dE&amp;lc=Ugxp0baWN8r_GRfMJTV4AaABAg</v>
      </c>
      <c r="O150">
        <v>0</v>
      </c>
      <c r="P150">
        <v>0</v>
      </c>
      <c r="Q150">
        <v>0</v>
      </c>
      <c r="S150">
        <v>0</v>
      </c>
      <c r="T150">
        <v>0</v>
      </c>
      <c r="U150">
        <v>0</v>
      </c>
      <c r="W150" t="s">
        <v>52</v>
      </c>
    </row>
    <row r="151" spans="1:23" x14ac:dyDescent="0.35">
      <c r="A151" t="s">
        <v>45</v>
      </c>
      <c r="B151" t="s">
        <v>169</v>
      </c>
      <c r="C151" t="s">
        <v>47</v>
      </c>
      <c r="D151" t="s">
        <v>373</v>
      </c>
      <c r="E151" t="s">
        <v>373</v>
      </c>
      <c r="F151" t="s">
        <v>193</v>
      </c>
      <c r="G151" t="s">
        <v>374</v>
      </c>
      <c r="H151" t="s">
        <v>375</v>
      </c>
      <c r="J151" t="str">
        <f>HYPERLINK("https://www.youtube.com/watch?v=Cz4v5w1J8dE&amp;lc=Ugwq9_FV0UOaQ4kGaPR4AaABAg","https://www.youtube.com/watch?v=Cz4v5w1J8dE&amp;lc=Ugwq9_FV0UOaQ4kGaPR4AaABAg")</f>
        <v>https://www.youtube.com/watch?v=Cz4v5w1J8dE&amp;lc=Ugwq9_FV0UOaQ4kGaPR4AaABAg</v>
      </c>
      <c r="O151">
        <v>0</v>
      </c>
      <c r="P151">
        <v>0</v>
      </c>
      <c r="Q151">
        <v>0</v>
      </c>
      <c r="S151">
        <v>0</v>
      </c>
      <c r="T151">
        <v>0</v>
      </c>
      <c r="U151">
        <v>0</v>
      </c>
      <c r="W151" t="s">
        <v>52</v>
      </c>
    </row>
    <row r="152" spans="1:23" x14ac:dyDescent="0.35">
      <c r="A152" t="s">
        <v>45</v>
      </c>
      <c r="B152" t="s">
        <v>169</v>
      </c>
      <c r="C152" t="s">
        <v>60</v>
      </c>
      <c r="D152" t="s">
        <v>64</v>
      </c>
      <c r="E152" t="s">
        <v>64</v>
      </c>
      <c r="F152" t="s">
        <v>49</v>
      </c>
      <c r="G152" t="s">
        <v>100</v>
      </c>
      <c r="H152" t="s">
        <v>376</v>
      </c>
      <c r="J152" t="str">
        <f>HYPERLINK("https://www.facebook.com/634639855377280/posts/817402500434347?comment_id=425219806856032&amp;reply_comment_id=948314340126816","https://www.facebook.com/634639855377280/posts/817402500434347?comment_id=425219806856032&amp;reply_comment_id=948314340126816")</f>
        <v>https://www.facebook.com/634639855377280/posts/817402500434347?comment_id=425219806856032&amp;reply_comment_id=948314340126816</v>
      </c>
      <c r="K152" t="s">
        <v>67</v>
      </c>
      <c r="O152">
        <v>0</v>
      </c>
      <c r="P152">
        <v>0</v>
      </c>
      <c r="Q152">
        <v>0</v>
      </c>
      <c r="S152">
        <v>0</v>
      </c>
      <c r="T152">
        <v>0</v>
      </c>
      <c r="U152">
        <v>0</v>
      </c>
      <c r="W152" t="s">
        <v>52</v>
      </c>
    </row>
    <row r="153" spans="1:23" x14ac:dyDescent="0.35">
      <c r="A153" t="s">
        <v>45</v>
      </c>
      <c r="B153" t="s">
        <v>169</v>
      </c>
      <c r="C153" t="s">
        <v>47</v>
      </c>
      <c r="D153" t="s">
        <v>68</v>
      </c>
      <c r="E153" t="s">
        <v>68</v>
      </c>
      <c r="F153" t="s">
        <v>49</v>
      </c>
      <c r="G153" t="s">
        <v>102</v>
      </c>
      <c r="H153" t="s">
        <v>377</v>
      </c>
      <c r="J153" t="str">
        <f>HYPERLINK("https://www.youtube.com/watch?v=7pMfSyYFp5U&amp;lc=Ugy0OOJPxDKczt9Ht1d4AaABAg.A1adGKlffrPA1aoZ2Jso67","https://www.youtube.com/watch?v=7pMfSyYFp5U&amp;lc=Ugy0OOJPxDKczt9Ht1d4AaABAg.A1adGKlffrPA1aoZ2Jso67")</f>
        <v>https://www.youtube.com/watch?v=7pMfSyYFp5U&amp;lc=Ugy0OOJPxDKczt9Ht1d4AaABAg.A1adGKlffrPA1aoZ2Jso67</v>
      </c>
      <c r="O153">
        <v>0</v>
      </c>
      <c r="P153">
        <v>0</v>
      </c>
      <c r="Q153">
        <v>0</v>
      </c>
      <c r="S153">
        <v>0</v>
      </c>
      <c r="T153">
        <v>0</v>
      </c>
      <c r="U153">
        <v>0</v>
      </c>
      <c r="W153" t="s">
        <v>52</v>
      </c>
    </row>
    <row r="154" spans="1:23" x14ac:dyDescent="0.35">
      <c r="A154" t="s">
        <v>45</v>
      </c>
      <c r="B154" t="s">
        <v>169</v>
      </c>
      <c r="C154" t="s">
        <v>60</v>
      </c>
      <c r="D154" t="s">
        <v>61</v>
      </c>
      <c r="E154" t="s">
        <v>61</v>
      </c>
      <c r="F154" t="s">
        <v>49</v>
      </c>
      <c r="G154" t="s">
        <v>378</v>
      </c>
      <c r="H154" t="s">
        <v>379</v>
      </c>
      <c r="J154" t="str">
        <f>HYPERLINK("https://www.facebook.com/634639855377280/posts/818033483704582?comment_id=1174224440417259","https://www.facebook.com/634639855377280/posts/818033483704582?comment_id=1174224440417259")</f>
        <v>https://www.facebook.com/634639855377280/posts/818033483704582?comment_id=1174224440417259</v>
      </c>
      <c r="O154">
        <v>0</v>
      </c>
      <c r="P154">
        <v>0</v>
      </c>
      <c r="Q154">
        <v>0</v>
      </c>
      <c r="S154">
        <v>0</v>
      </c>
      <c r="T154">
        <v>0</v>
      </c>
      <c r="U154">
        <v>0</v>
      </c>
      <c r="W154" t="s">
        <v>52</v>
      </c>
    </row>
    <row r="155" spans="1:23" x14ac:dyDescent="0.35">
      <c r="A155" t="s">
        <v>45</v>
      </c>
      <c r="B155" t="s">
        <v>169</v>
      </c>
      <c r="C155" t="s">
        <v>60</v>
      </c>
      <c r="D155" t="s">
        <v>64</v>
      </c>
      <c r="E155" t="s">
        <v>64</v>
      </c>
      <c r="F155" t="s">
        <v>49</v>
      </c>
      <c r="G155" t="s">
        <v>380</v>
      </c>
      <c r="H155" t="s">
        <v>381</v>
      </c>
      <c r="J155" t="str">
        <f>HYPERLINK("https://www.facebook.com/634639855377280/posts/817402500434347?comment_id=973837867416774&amp;reply_comment_id=1357294125666708","https://www.facebook.com/634639855377280/posts/817402500434347?comment_id=973837867416774&amp;reply_comment_id=1357294125666708")</f>
        <v>https://www.facebook.com/634639855377280/posts/817402500434347?comment_id=973837867416774&amp;reply_comment_id=1357294125666708</v>
      </c>
      <c r="K155" t="s">
        <v>67</v>
      </c>
      <c r="O155">
        <v>0</v>
      </c>
      <c r="P155">
        <v>0</v>
      </c>
      <c r="Q155">
        <v>0</v>
      </c>
      <c r="S155">
        <v>0</v>
      </c>
      <c r="T155">
        <v>0</v>
      </c>
      <c r="U155">
        <v>0</v>
      </c>
      <c r="W155" t="s">
        <v>52</v>
      </c>
    </row>
    <row r="156" spans="1:23" x14ac:dyDescent="0.35">
      <c r="A156" t="s">
        <v>45</v>
      </c>
      <c r="B156" t="s">
        <v>169</v>
      </c>
      <c r="C156" t="s">
        <v>47</v>
      </c>
      <c r="D156" t="s">
        <v>382</v>
      </c>
      <c r="E156" t="s">
        <v>382</v>
      </c>
      <c r="F156" t="s">
        <v>49</v>
      </c>
      <c r="G156" t="s">
        <v>383</v>
      </c>
      <c r="H156" t="s">
        <v>384</v>
      </c>
      <c r="J156" t="str">
        <f>HYPERLINK("https://www.youtube.com/watch?v=Cz4v5w1J8dE&amp;lc=UgxYKgF9Y_l9ggUmPsV4AaABAg.A1ajNcqir5sA1anEPo4Qsc","https://www.youtube.com/watch?v=Cz4v5w1J8dE&amp;lc=UgxYKgF9Y_l9ggUmPsV4AaABAg.A1ajNcqir5sA1anEPo4Qsc")</f>
        <v>https://www.youtube.com/watch?v=Cz4v5w1J8dE&amp;lc=UgxYKgF9Y_l9ggUmPsV4AaABAg.A1ajNcqir5sA1anEPo4Qsc</v>
      </c>
      <c r="O156">
        <v>0</v>
      </c>
      <c r="P156">
        <v>0</v>
      </c>
      <c r="Q156">
        <v>0</v>
      </c>
      <c r="S156">
        <v>0</v>
      </c>
      <c r="T156">
        <v>0</v>
      </c>
      <c r="U156">
        <v>0</v>
      </c>
      <c r="W156" t="s">
        <v>52</v>
      </c>
    </row>
    <row r="157" spans="1:23" x14ac:dyDescent="0.35">
      <c r="A157" t="s">
        <v>45</v>
      </c>
      <c r="B157" t="s">
        <v>169</v>
      </c>
      <c r="C157" t="s">
        <v>47</v>
      </c>
      <c r="D157" t="s">
        <v>385</v>
      </c>
      <c r="E157" t="s">
        <v>385</v>
      </c>
      <c r="F157" t="s">
        <v>49</v>
      </c>
      <c r="G157" t="s">
        <v>386</v>
      </c>
      <c r="H157" t="s">
        <v>387</v>
      </c>
      <c r="J157" t="str">
        <f>HYPERLINK("https://www.youtube.com/watch?v=7pMfSyYFp5U&amp;lc=UgxZhd9k3rgwaSp6TWZ4AaABAg","https://www.youtube.com/watch?v=7pMfSyYFp5U&amp;lc=UgxZhd9k3rgwaSp6TWZ4AaABAg")</f>
        <v>https://www.youtube.com/watch?v=7pMfSyYFp5U&amp;lc=UgxZhd9k3rgwaSp6TWZ4AaABAg</v>
      </c>
      <c r="O157">
        <v>0</v>
      </c>
      <c r="P157">
        <v>0</v>
      </c>
      <c r="Q157">
        <v>0</v>
      </c>
      <c r="S157">
        <v>0</v>
      </c>
      <c r="T157">
        <v>0</v>
      </c>
      <c r="U157">
        <v>0</v>
      </c>
      <c r="W157" t="s">
        <v>52</v>
      </c>
    </row>
    <row r="158" spans="1:23" x14ac:dyDescent="0.35">
      <c r="A158" t="s">
        <v>45</v>
      </c>
      <c r="B158" t="s">
        <v>169</v>
      </c>
      <c r="C158" t="s">
        <v>47</v>
      </c>
      <c r="D158" t="s">
        <v>388</v>
      </c>
      <c r="E158" t="s">
        <v>388</v>
      </c>
      <c r="F158" t="s">
        <v>49</v>
      </c>
      <c r="G158" t="s">
        <v>389</v>
      </c>
      <c r="H158" t="s">
        <v>390</v>
      </c>
      <c r="J158" t="str">
        <f>HYPERLINK("https://www.youtube.com/watch?v=Cz4v5w1J8dE&amp;lc=Ugzmh7U-9Zd1nhXHz9R4AaABAg","https://www.youtube.com/watch?v=Cz4v5w1J8dE&amp;lc=Ugzmh7U-9Zd1nhXHz9R4AaABAg")</f>
        <v>https://www.youtube.com/watch?v=Cz4v5w1J8dE&amp;lc=Ugzmh7U-9Zd1nhXHz9R4AaABAg</v>
      </c>
      <c r="O158">
        <v>0</v>
      </c>
      <c r="P158">
        <v>0</v>
      </c>
      <c r="Q158">
        <v>0</v>
      </c>
      <c r="S158">
        <v>0</v>
      </c>
      <c r="T158">
        <v>0</v>
      </c>
      <c r="U158">
        <v>0</v>
      </c>
      <c r="W158" t="s">
        <v>52</v>
      </c>
    </row>
    <row r="159" spans="1:23" x14ac:dyDescent="0.35">
      <c r="A159" t="s">
        <v>45</v>
      </c>
      <c r="B159" t="s">
        <v>169</v>
      </c>
      <c r="C159" t="s">
        <v>47</v>
      </c>
      <c r="D159" t="s">
        <v>391</v>
      </c>
      <c r="E159" t="s">
        <v>391</v>
      </c>
      <c r="F159" t="s">
        <v>49</v>
      </c>
      <c r="G159" t="s">
        <v>392</v>
      </c>
      <c r="H159" t="s">
        <v>393</v>
      </c>
      <c r="J159" t="str">
        <f>HYPERLINK("https://www.youtube.com/watch?v=Cz4v5w1J8dE&amp;lc=UgxYKgF9Y_l9ggUmPsV4AaABAg.A1ajNcqir5sA1alfGA8urt","https://www.youtube.com/watch?v=Cz4v5w1J8dE&amp;lc=UgxYKgF9Y_l9ggUmPsV4AaABAg.A1ajNcqir5sA1alfGA8urt")</f>
        <v>https://www.youtube.com/watch?v=Cz4v5w1J8dE&amp;lc=UgxYKgF9Y_l9ggUmPsV4AaABAg.A1ajNcqir5sA1alfGA8urt</v>
      </c>
      <c r="O159">
        <v>0</v>
      </c>
      <c r="P159">
        <v>0</v>
      </c>
      <c r="Q159">
        <v>0</v>
      </c>
      <c r="S159">
        <v>0</v>
      </c>
      <c r="T159">
        <v>0</v>
      </c>
      <c r="U159">
        <v>0</v>
      </c>
      <c r="W159" t="s">
        <v>52</v>
      </c>
    </row>
    <row r="160" spans="1:23" x14ac:dyDescent="0.35">
      <c r="A160" t="s">
        <v>45</v>
      </c>
      <c r="B160" t="s">
        <v>169</v>
      </c>
      <c r="C160" t="s">
        <v>47</v>
      </c>
      <c r="D160" t="s">
        <v>391</v>
      </c>
      <c r="E160" t="s">
        <v>391</v>
      </c>
      <c r="F160" t="s">
        <v>49</v>
      </c>
      <c r="G160" t="s">
        <v>394</v>
      </c>
      <c r="H160" t="s">
        <v>395</v>
      </c>
      <c r="J160" t="str">
        <f>HYPERLINK("https://www.youtube.com/watch?v=Cz4v5w1J8dE&amp;lc=UgxYKgF9Y_l9ggUmPsV4AaABAg.A1ajNcqir5sA1ala6IUNDN","https://www.youtube.com/watch?v=Cz4v5w1J8dE&amp;lc=UgxYKgF9Y_l9ggUmPsV4AaABAg.A1ajNcqir5sA1ala6IUNDN")</f>
        <v>https://www.youtube.com/watch?v=Cz4v5w1J8dE&amp;lc=UgxYKgF9Y_l9ggUmPsV4AaABAg.A1ajNcqir5sA1ala6IUNDN</v>
      </c>
      <c r="O160">
        <v>0</v>
      </c>
      <c r="P160">
        <v>0</v>
      </c>
      <c r="Q160">
        <v>0</v>
      </c>
      <c r="S160">
        <v>0</v>
      </c>
      <c r="T160">
        <v>0</v>
      </c>
      <c r="U160">
        <v>0</v>
      </c>
      <c r="W160" t="s">
        <v>52</v>
      </c>
    </row>
    <row r="161" spans="1:23" x14ac:dyDescent="0.35">
      <c r="A161" t="s">
        <v>45</v>
      </c>
      <c r="B161" t="s">
        <v>169</v>
      </c>
      <c r="C161" t="s">
        <v>60</v>
      </c>
      <c r="D161" t="s">
        <v>61</v>
      </c>
      <c r="E161" t="s">
        <v>61</v>
      </c>
      <c r="F161" t="s">
        <v>49</v>
      </c>
      <c r="G161" t="s">
        <v>396</v>
      </c>
      <c r="H161" t="s">
        <v>397</v>
      </c>
      <c r="J161" t="str">
        <f>HYPERLINK("https://www.facebook.com/634639855377280/posts/816150883892842?comment_id=809299861086109","https://www.facebook.com/634639855377280/posts/816150883892842?comment_id=809299861086109")</f>
        <v>https://www.facebook.com/634639855377280/posts/816150883892842?comment_id=809299861086109</v>
      </c>
      <c r="O161">
        <v>0</v>
      </c>
      <c r="P161">
        <v>0</v>
      </c>
      <c r="Q161">
        <v>0</v>
      </c>
      <c r="S161">
        <v>0</v>
      </c>
      <c r="T161">
        <v>0</v>
      </c>
      <c r="U161">
        <v>0</v>
      </c>
      <c r="W161" t="s">
        <v>52</v>
      </c>
    </row>
    <row r="162" spans="1:23" x14ac:dyDescent="0.35">
      <c r="A162" t="s">
        <v>45</v>
      </c>
      <c r="B162" t="s">
        <v>169</v>
      </c>
      <c r="C162" t="s">
        <v>60</v>
      </c>
      <c r="D162" t="s">
        <v>61</v>
      </c>
      <c r="E162" t="s">
        <v>61</v>
      </c>
      <c r="F162" t="s">
        <v>49</v>
      </c>
      <c r="G162" t="s">
        <v>398</v>
      </c>
      <c r="H162" t="s">
        <v>399</v>
      </c>
      <c r="J162" t="str">
        <f>HYPERLINK("https://www.facebook.com/634639855377280/posts/817402500434347?comment_id=430929059426934","https://www.facebook.com/634639855377280/posts/817402500434347?comment_id=430929059426934")</f>
        <v>https://www.facebook.com/634639855377280/posts/817402500434347?comment_id=430929059426934</v>
      </c>
      <c r="O162">
        <v>0</v>
      </c>
      <c r="P162">
        <v>0</v>
      </c>
      <c r="Q162">
        <v>0</v>
      </c>
      <c r="S162">
        <v>0</v>
      </c>
      <c r="T162">
        <v>0</v>
      </c>
      <c r="U162">
        <v>0</v>
      </c>
      <c r="W162" t="s">
        <v>52</v>
      </c>
    </row>
    <row r="163" spans="1:23" x14ac:dyDescent="0.35">
      <c r="A163" t="s">
        <v>45</v>
      </c>
      <c r="B163" t="s">
        <v>169</v>
      </c>
      <c r="C163" t="s">
        <v>47</v>
      </c>
      <c r="D163" t="s">
        <v>400</v>
      </c>
      <c r="E163" t="s">
        <v>400</v>
      </c>
      <c r="F163" t="s">
        <v>49</v>
      </c>
      <c r="G163" t="s">
        <v>401</v>
      </c>
      <c r="H163" t="s">
        <v>402</v>
      </c>
      <c r="J163" t="str">
        <f>HYPERLINK("https://www.youtube.com/watch?v=Cz4v5w1J8dE&amp;lc=UgxYKgF9Y_l9ggUmPsV4AaABAg.A1ajNcqir5sA1akSW-jJrr","https://www.youtube.com/watch?v=Cz4v5w1J8dE&amp;lc=UgxYKgF9Y_l9ggUmPsV4AaABAg.A1ajNcqir5sA1akSW-jJrr")</f>
        <v>https://www.youtube.com/watch?v=Cz4v5w1J8dE&amp;lc=UgxYKgF9Y_l9ggUmPsV4AaABAg.A1ajNcqir5sA1akSW-jJrr</v>
      </c>
      <c r="O163">
        <v>0</v>
      </c>
      <c r="P163">
        <v>0</v>
      </c>
      <c r="Q163">
        <v>0</v>
      </c>
      <c r="S163">
        <v>0</v>
      </c>
      <c r="T163">
        <v>0</v>
      </c>
      <c r="U163">
        <v>0</v>
      </c>
      <c r="W163" t="s">
        <v>52</v>
      </c>
    </row>
    <row r="164" spans="1:23" x14ac:dyDescent="0.35">
      <c r="A164" t="s">
        <v>45</v>
      </c>
      <c r="B164" t="s">
        <v>169</v>
      </c>
      <c r="C164" t="s">
        <v>47</v>
      </c>
      <c r="D164" t="s">
        <v>403</v>
      </c>
      <c r="E164" t="s">
        <v>403</v>
      </c>
      <c r="F164" t="s">
        <v>49</v>
      </c>
      <c r="G164" t="s">
        <v>404</v>
      </c>
      <c r="H164" t="s">
        <v>405</v>
      </c>
      <c r="J164" t="str">
        <f>HYPERLINK("https://www.youtube.com/watch?v=7pMfSyYFp5U&amp;lc=UgyXQ9nRQenxAZFPlmB4AaABAg","https://www.youtube.com/watch?v=7pMfSyYFp5U&amp;lc=UgyXQ9nRQenxAZFPlmB4AaABAg")</f>
        <v>https://www.youtube.com/watch?v=7pMfSyYFp5U&amp;lc=UgyXQ9nRQenxAZFPlmB4AaABAg</v>
      </c>
      <c r="O164">
        <v>0</v>
      </c>
      <c r="P164">
        <v>0</v>
      </c>
      <c r="Q164">
        <v>0</v>
      </c>
      <c r="S164">
        <v>0</v>
      </c>
      <c r="T164">
        <v>0</v>
      </c>
      <c r="U164">
        <v>0</v>
      </c>
      <c r="W164" t="s">
        <v>52</v>
      </c>
    </row>
    <row r="165" spans="1:23" x14ac:dyDescent="0.35">
      <c r="A165" t="s">
        <v>45</v>
      </c>
      <c r="B165" t="s">
        <v>169</v>
      </c>
      <c r="C165" t="s">
        <v>47</v>
      </c>
      <c r="D165" t="s">
        <v>406</v>
      </c>
      <c r="E165" t="s">
        <v>406</v>
      </c>
      <c r="F165" t="s">
        <v>49</v>
      </c>
      <c r="G165" t="s">
        <v>407</v>
      </c>
      <c r="H165" t="s">
        <v>408</v>
      </c>
      <c r="J165" t="str">
        <f>HYPERLINK("https://www.youtube.com/watch?v=Cz4v5w1J8dE&amp;lc=UgymBpzk--MWK4krOZN4AaABAg","https://www.youtube.com/watch?v=Cz4v5w1J8dE&amp;lc=UgymBpzk--MWK4krOZN4AaABAg")</f>
        <v>https://www.youtube.com/watch?v=Cz4v5w1J8dE&amp;lc=UgymBpzk--MWK4krOZN4AaABAg</v>
      </c>
      <c r="O165">
        <v>0</v>
      </c>
      <c r="P165">
        <v>0</v>
      </c>
      <c r="Q165">
        <v>0</v>
      </c>
      <c r="S165">
        <v>0</v>
      </c>
      <c r="T165">
        <v>0</v>
      </c>
      <c r="U165">
        <v>0</v>
      </c>
      <c r="W165" t="s">
        <v>52</v>
      </c>
    </row>
    <row r="166" spans="1:23" x14ac:dyDescent="0.35">
      <c r="A166" t="s">
        <v>45</v>
      </c>
      <c r="B166" t="s">
        <v>169</v>
      </c>
      <c r="C166" t="s">
        <v>47</v>
      </c>
      <c r="D166" t="s">
        <v>156</v>
      </c>
      <c r="E166" t="s">
        <v>156</v>
      </c>
      <c r="F166" t="s">
        <v>49</v>
      </c>
      <c r="G166" t="s">
        <v>409</v>
      </c>
      <c r="H166" t="s">
        <v>410</v>
      </c>
      <c r="J166" t="str">
        <f>HYPERLINK("https://www.youtube.com/watch?v=Cz4v5w1J8dE&amp;lc=UgxYKgF9Y_l9ggUmPsV4AaABAg.A1ajNcqir5sA1ajsDZknmi","https://www.youtube.com/watch?v=Cz4v5w1J8dE&amp;lc=UgxYKgF9Y_l9ggUmPsV4AaABAg.A1ajNcqir5sA1ajsDZknmi")</f>
        <v>https://www.youtube.com/watch?v=Cz4v5w1J8dE&amp;lc=UgxYKgF9Y_l9ggUmPsV4AaABAg.A1ajNcqir5sA1ajsDZknmi</v>
      </c>
      <c r="O166">
        <v>0</v>
      </c>
      <c r="P166">
        <v>0</v>
      </c>
      <c r="Q166">
        <v>0</v>
      </c>
      <c r="S166">
        <v>0</v>
      </c>
      <c r="T166">
        <v>0</v>
      </c>
      <c r="U166">
        <v>0</v>
      </c>
      <c r="W166" t="s">
        <v>52</v>
      </c>
    </row>
    <row r="167" spans="1:23" x14ac:dyDescent="0.35">
      <c r="A167" t="s">
        <v>45</v>
      </c>
      <c r="B167" t="s">
        <v>169</v>
      </c>
      <c r="C167" t="s">
        <v>47</v>
      </c>
      <c r="D167" t="s">
        <v>411</v>
      </c>
      <c r="E167" t="s">
        <v>411</v>
      </c>
      <c r="F167" t="s">
        <v>54</v>
      </c>
      <c r="G167" t="s">
        <v>412</v>
      </c>
      <c r="H167" t="s">
        <v>413</v>
      </c>
      <c r="J167" t="str">
        <f>HYPERLINK("https://www.youtube.com/watch?v=7pMfSyYFp5U&amp;lc=Ugy3SJAEVAAUm9TOu654AaABAg","https://www.youtube.com/watch?v=7pMfSyYFp5U&amp;lc=Ugy3SJAEVAAUm9TOu654AaABAg")</f>
        <v>https://www.youtube.com/watch?v=7pMfSyYFp5U&amp;lc=Ugy3SJAEVAAUm9TOu654AaABAg</v>
      </c>
      <c r="O167">
        <v>0</v>
      </c>
      <c r="P167">
        <v>0</v>
      </c>
      <c r="Q167">
        <v>0</v>
      </c>
      <c r="S167">
        <v>0</v>
      </c>
      <c r="T167">
        <v>0</v>
      </c>
      <c r="U167">
        <v>0</v>
      </c>
      <c r="W167" t="s">
        <v>52</v>
      </c>
    </row>
    <row r="168" spans="1:23" x14ac:dyDescent="0.35">
      <c r="A168" t="s">
        <v>45</v>
      </c>
      <c r="B168" t="s">
        <v>169</v>
      </c>
      <c r="C168" t="s">
        <v>47</v>
      </c>
      <c r="D168" t="s">
        <v>391</v>
      </c>
      <c r="E168" t="s">
        <v>391</v>
      </c>
      <c r="F168" t="s">
        <v>54</v>
      </c>
      <c r="G168" t="s">
        <v>414</v>
      </c>
      <c r="H168" t="s">
        <v>415</v>
      </c>
      <c r="J168" t="str">
        <f>HYPERLINK("https://www.youtube.com/watch?v=Cz4v5w1J8dE&amp;lc=UgxYKgF9Y_l9ggUmPsV4AaABAg","https://www.youtube.com/watch?v=Cz4v5w1J8dE&amp;lc=UgxYKgF9Y_l9ggUmPsV4AaABAg")</f>
        <v>https://www.youtube.com/watch?v=Cz4v5w1J8dE&amp;lc=UgxYKgF9Y_l9ggUmPsV4AaABAg</v>
      </c>
      <c r="O168">
        <v>0</v>
      </c>
      <c r="P168">
        <v>0</v>
      </c>
      <c r="Q168">
        <v>0</v>
      </c>
      <c r="S168">
        <v>0</v>
      </c>
      <c r="T168">
        <v>0</v>
      </c>
      <c r="U168">
        <v>0</v>
      </c>
      <c r="W168" t="s">
        <v>52</v>
      </c>
    </row>
    <row r="169" spans="1:23" x14ac:dyDescent="0.35">
      <c r="A169" t="s">
        <v>45</v>
      </c>
      <c r="B169" t="s">
        <v>169</v>
      </c>
      <c r="C169" t="s">
        <v>47</v>
      </c>
      <c r="D169" t="s">
        <v>416</v>
      </c>
      <c r="E169" t="s">
        <v>416</v>
      </c>
      <c r="F169" t="s">
        <v>49</v>
      </c>
      <c r="G169" t="s">
        <v>417</v>
      </c>
      <c r="H169" t="s">
        <v>418</v>
      </c>
      <c r="J169" t="str">
        <f>HYPERLINK("https://www.youtube.com/watch?v=Cz4v5w1J8dE&amp;lc=UgyiBs0e84YNsRqn0Nd4AaABAg","https://www.youtube.com/watch?v=Cz4v5w1J8dE&amp;lc=UgyiBs0e84YNsRqn0Nd4AaABAg")</f>
        <v>https://www.youtube.com/watch?v=Cz4v5w1J8dE&amp;lc=UgyiBs0e84YNsRqn0Nd4AaABAg</v>
      </c>
      <c r="O169">
        <v>0</v>
      </c>
      <c r="P169">
        <v>0</v>
      </c>
      <c r="Q169">
        <v>0</v>
      </c>
      <c r="S169">
        <v>0</v>
      </c>
      <c r="T169">
        <v>0</v>
      </c>
      <c r="U169">
        <v>0</v>
      </c>
      <c r="W169" t="s">
        <v>52</v>
      </c>
    </row>
    <row r="170" spans="1:23" x14ac:dyDescent="0.35">
      <c r="A170" t="s">
        <v>45</v>
      </c>
      <c r="B170" t="s">
        <v>169</v>
      </c>
      <c r="C170" t="s">
        <v>47</v>
      </c>
      <c r="D170" t="s">
        <v>156</v>
      </c>
      <c r="E170" t="s">
        <v>156</v>
      </c>
      <c r="F170" t="s">
        <v>49</v>
      </c>
      <c r="G170" t="s">
        <v>419</v>
      </c>
      <c r="H170" t="s">
        <v>420</v>
      </c>
      <c r="J170" t="str">
        <f>HYPERLINK("https://www.youtube.com/watch?v=Cz4v5w1J8dE&amp;lc=Ugy9NI8X6kHHyxcwV0B4AaABAg","https://www.youtube.com/watch?v=Cz4v5w1J8dE&amp;lc=Ugy9NI8X6kHHyxcwV0B4AaABAg")</f>
        <v>https://www.youtube.com/watch?v=Cz4v5w1J8dE&amp;lc=Ugy9NI8X6kHHyxcwV0B4AaABAg</v>
      </c>
      <c r="O170">
        <v>0</v>
      </c>
      <c r="P170">
        <v>0</v>
      </c>
      <c r="Q170">
        <v>0</v>
      </c>
      <c r="S170">
        <v>0</v>
      </c>
      <c r="T170">
        <v>0</v>
      </c>
      <c r="U170">
        <v>0</v>
      </c>
      <c r="W170" t="s">
        <v>52</v>
      </c>
    </row>
    <row r="171" spans="1:23" x14ac:dyDescent="0.35">
      <c r="A171" t="s">
        <v>45</v>
      </c>
      <c r="B171" t="s">
        <v>169</v>
      </c>
      <c r="C171" t="s">
        <v>47</v>
      </c>
      <c r="D171" t="s">
        <v>45</v>
      </c>
      <c r="E171" t="s">
        <v>45</v>
      </c>
      <c r="F171" t="s">
        <v>49</v>
      </c>
      <c r="G171" t="s">
        <v>421</v>
      </c>
      <c r="H171" t="s">
        <v>422</v>
      </c>
      <c r="J171" t="str">
        <f>HYPERLINK("https://www.youtube.com/watch?v=Cz4v5w1J8dE","https://www.youtube.com/watch?v=Cz4v5w1J8dE")</f>
        <v>https://www.youtube.com/watch?v=Cz4v5w1J8dE</v>
      </c>
      <c r="O171">
        <v>0</v>
      </c>
      <c r="P171">
        <v>0</v>
      </c>
      <c r="Q171">
        <v>0</v>
      </c>
      <c r="S171">
        <v>0</v>
      </c>
      <c r="T171">
        <v>0</v>
      </c>
      <c r="U171">
        <v>0</v>
      </c>
      <c r="W171" t="s">
        <v>346</v>
      </c>
    </row>
    <row r="172" spans="1:23" x14ac:dyDescent="0.35">
      <c r="A172" t="s">
        <v>45</v>
      </c>
      <c r="B172" t="s">
        <v>169</v>
      </c>
      <c r="C172" t="s">
        <v>60</v>
      </c>
      <c r="D172" t="s">
        <v>64</v>
      </c>
      <c r="E172" t="s">
        <v>64</v>
      </c>
      <c r="F172" t="s">
        <v>49</v>
      </c>
      <c r="G172" t="s">
        <v>83</v>
      </c>
      <c r="H172" t="s">
        <v>423</v>
      </c>
      <c r="J172" t="str">
        <f>HYPERLINK("https://www.facebook.com/634639855377280/posts/817402500434347?comment_id=352406500525509&amp;reply_comment_id=954425666329229","https://www.facebook.com/634639855377280/posts/817402500434347?comment_id=352406500525509&amp;reply_comment_id=954425666329229")</f>
        <v>https://www.facebook.com/634639855377280/posts/817402500434347?comment_id=352406500525509&amp;reply_comment_id=954425666329229</v>
      </c>
      <c r="K172" t="s">
        <v>67</v>
      </c>
      <c r="O172">
        <v>0</v>
      </c>
      <c r="P172">
        <v>0</v>
      </c>
      <c r="Q172">
        <v>0</v>
      </c>
      <c r="S172">
        <v>0</v>
      </c>
      <c r="T172">
        <v>0</v>
      </c>
      <c r="U172">
        <v>0</v>
      </c>
      <c r="W172" t="s">
        <v>52</v>
      </c>
    </row>
    <row r="173" spans="1:23" x14ac:dyDescent="0.35">
      <c r="A173" t="s">
        <v>45</v>
      </c>
      <c r="B173" t="s">
        <v>169</v>
      </c>
      <c r="C173" t="s">
        <v>60</v>
      </c>
      <c r="D173" t="s">
        <v>64</v>
      </c>
      <c r="E173" t="s">
        <v>64</v>
      </c>
      <c r="F173" t="s">
        <v>49</v>
      </c>
      <c r="G173" t="s">
        <v>83</v>
      </c>
      <c r="H173" t="s">
        <v>424</v>
      </c>
      <c r="J173" t="str">
        <f>HYPERLINK("https://www.facebook.com/634639855377280/posts/817402500434347?comment_id=712207957492463&amp;reply_comment_id=1655717295235072","https://www.facebook.com/634639855377280/posts/817402500434347?comment_id=712207957492463&amp;reply_comment_id=1655717295235072")</f>
        <v>https://www.facebook.com/634639855377280/posts/817402500434347?comment_id=712207957492463&amp;reply_comment_id=1655717295235072</v>
      </c>
      <c r="K173" t="s">
        <v>67</v>
      </c>
      <c r="O173">
        <v>0</v>
      </c>
      <c r="P173">
        <v>0</v>
      </c>
      <c r="Q173">
        <v>0</v>
      </c>
      <c r="S173">
        <v>0</v>
      </c>
      <c r="T173">
        <v>0</v>
      </c>
      <c r="U173">
        <v>0</v>
      </c>
      <c r="W173" t="s">
        <v>52</v>
      </c>
    </row>
    <row r="174" spans="1:23" x14ac:dyDescent="0.35">
      <c r="A174" t="s">
        <v>45</v>
      </c>
      <c r="B174" t="s">
        <v>169</v>
      </c>
      <c r="C174" t="s">
        <v>47</v>
      </c>
      <c r="D174" t="s">
        <v>425</v>
      </c>
      <c r="E174" t="s">
        <v>425</v>
      </c>
      <c r="F174" t="s">
        <v>49</v>
      </c>
      <c r="G174" t="s">
        <v>426</v>
      </c>
      <c r="H174" t="s">
        <v>427</v>
      </c>
      <c r="J174" t="str">
        <f>HYPERLINK("https://www.youtube.com/watch?v=7pMfSyYFp5U&amp;lc=Ugy0OOJPxDKczt9Ht1d4AaABAg","https://www.youtube.com/watch?v=7pMfSyYFp5U&amp;lc=Ugy0OOJPxDKczt9Ht1d4AaABAg")</f>
        <v>https://www.youtube.com/watch?v=7pMfSyYFp5U&amp;lc=Ugy0OOJPxDKczt9Ht1d4AaABAg</v>
      </c>
      <c r="O174">
        <v>0</v>
      </c>
      <c r="P174">
        <v>0</v>
      </c>
      <c r="Q174">
        <v>0</v>
      </c>
      <c r="S174">
        <v>0</v>
      </c>
      <c r="T174">
        <v>0</v>
      </c>
      <c r="U174">
        <v>0</v>
      </c>
      <c r="W174" t="s">
        <v>52</v>
      </c>
    </row>
    <row r="175" spans="1:23" x14ac:dyDescent="0.35">
      <c r="A175" t="s">
        <v>45</v>
      </c>
      <c r="B175" t="s">
        <v>169</v>
      </c>
      <c r="C175" t="s">
        <v>93</v>
      </c>
      <c r="D175" t="s">
        <v>428</v>
      </c>
      <c r="E175" t="s">
        <v>429</v>
      </c>
      <c r="F175" t="s">
        <v>49</v>
      </c>
      <c r="G175" t="s">
        <v>430</v>
      </c>
      <c r="H175" t="s">
        <v>431</v>
      </c>
      <c r="J175" t="str">
        <f>HYPERLINK("https://twitter.com/cscfpomorena/status/1773946256018305402","https://twitter.com/cscfpomorena/status/1773946256018305402")</f>
        <v>https://twitter.com/cscfpomorena/status/1773946256018305402</v>
      </c>
      <c r="O175">
        <v>0</v>
      </c>
      <c r="P175">
        <v>0</v>
      </c>
      <c r="Q175">
        <v>220</v>
      </c>
      <c r="R175" t="s">
        <v>432</v>
      </c>
      <c r="S175">
        <v>0</v>
      </c>
      <c r="T175">
        <v>0</v>
      </c>
      <c r="U175">
        <v>0</v>
      </c>
      <c r="W175" t="s">
        <v>433</v>
      </c>
    </row>
    <row r="176" spans="1:23" x14ac:dyDescent="0.35">
      <c r="A176" t="s">
        <v>45</v>
      </c>
      <c r="B176" t="s">
        <v>169</v>
      </c>
      <c r="C176" t="s">
        <v>93</v>
      </c>
      <c r="D176" t="s">
        <v>428</v>
      </c>
      <c r="E176" t="s">
        <v>429</v>
      </c>
      <c r="F176" t="s">
        <v>49</v>
      </c>
      <c r="G176" t="s">
        <v>434</v>
      </c>
      <c r="H176" t="s">
        <v>435</v>
      </c>
      <c r="J176" t="str">
        <f>HYPERLINK("https://twitter.com/cscfpomorena/status/1773946192550117748","https://twitter.com/cscfpomorena/status/1773946192550117748")</f>
        <v>https://twitter.com/cscfpomorena/status/1773946192550117748</v>
      </c>
      <c r="O176">
        <v>0</v>
      </c>
      <c r="P176">
        <v>0</v>
      </c>
      <c r="Q176">
        <v>220</v>
      </c>
      <c r="R176" t="s">
        <v>432</v>
      </c>
      <c r="S176">
        <v>0</v>
      </c>
      <c r="T176">
        <v>0</v>
      </c>
      <c r="U176">
        <v>0</v>
      </c>
      <c r="W176" t="s">
        <v>433</v>
      </c>
    </row>
    <row r="177" spans="1:23" x14ac:dyDescent="0.35">
      <c r="A177" t="s">
        <v>45</v>
      </c>
      <c r="B177" t="s">
        <v>169</v>
      </c>
      <c r="C177" t="s">
        <v>60</v>
      </c>
      <c r="D177" t="s">
        <v>61</v>
      </c>
      <c r="E177" t="s">
        <v>61</v>
      </c>
      <c r="F177" t="s">
        <v>49</v>
      </c>
      <c r="G177" t="s">
        <v>436</v>
      </c>
      <c r="H177" t="s">
        <v>437</v>
      </c>
      <c r="J177" t="str">
        <f>HYPERLINK("https://www.facebook.com/634639855377280/posts/817402500434347?comment_id=425219806856032","https://www.facebook.com/634639855377280/posts/817402500434347?comment_id=425219806856032")</f>
        <v>https://www.facebook.com/634639855377280/posts/817402500434347?comment_id=425219806856032</v>
      </c>
      <c r="O177">
        <v>0</v>
      </c>
      <c r="P177">
        <v>0</v>
      </c>
      <c r="Q177">
        <v>0</v>
      </c>
      <c r="S177">
        <v>0</v>
      </c>
      <c r="T177">
        <v>0</v>
      </c>
      <c r="U177">
        <v>0</v>
      </c>
      <c r="W177" t="s">
        <v>52</v>
      </c>
    </row>
    <row r="178" spans="1:23" x14ac:dyDescent="0.35">
      <c r="A178" t="s">
        <v>45</v>
      </c>
      <c r="B178" t="s">
        <v>169</v>
      </c>
      <c r="C178" t="s">
        <v>60</v>
      </c>
      <c r="D178" t="s">
        <v>64</v>
      </c>
      <c r="E178" t="s">
        <v>64</v>
      </c>
      <c r="F178" t="s">
        <v>49</v>
      </c>
      <c r="G178" t="s">
        <v>266</v>
      </c>
      <c r="H178" t="s">
        <v>438</v>
      </c>
      <c r="J178" t="str">
        <f>HYPERLINK("https://www.facebook.com/634639855377280/posts/818033483704582?comment_id=1105421404118099&amp;reply_comment_id=1462561171284409","https://www.facebook.com/634639855377280/posts/818033483704582?comment_id=1105421404118099&amp;reply_comment_id=1462561171284409")</f>
        <v>https://www.facebook.com/634639855377280/posts/818033483704582?comment_id=1105421404118099&amp;reply_comment_id=1462561171284409</v>
      </c>
      <c r="K178" t="s">
        <v>67</v>
      </c>
      <c r="O178">
        <v>0</v>
      </c>
      <c r="P178">
        <v>0</v>
      </c>
      <c r="Q178">
        <v>0</v>
      </c>
      <c r="S178">
        <v>0</v>
      </c>
      <c r="T178">
        <v>0</v>
      </c>
      <c r="U178">
        <v>0</v>
      </c>
      <c r="W178" t="s">
        <v>52</v>
      </c>
    </row>
    <row r="179" spans="1:23" x14ac:dyDescent="0.35">
      <c r="A179" t="s">
        <v>45</v>
      </c>
      <c r="B179" t="s">
        <v>169</v>
      </c>
      <c r="C179" t="s">
        <v>60</v>
      </c>
      <c r="D179" t="s">
        <v>61</v>
      </c>
      <c r="E179" t="s">
        <v>61</v>
      </c>
      <c r="F179" t="s">
        <v>49</v>
      </c>
      <c r="G179" t="s">
        <v>439</v>
      </c>
      <c r="H179" t="s">
        <v>440</v>
      </c>
      <c r="J179" t="str">
        <f>HYPERLINK("https://www.facebook.com/634639855377280/posts/818033483704582?comment_id=1391576771526592","https://www.facebook.com/634639855377280/posts/818033483704582?comment_id=1391576771526592")</f>
        <v>https://www.facebook.com/634639855377280/posts/818033483704582?comment_id=1391576771526592</v>
      </c>
      <c r="O179">
        <v>0</v>
      </c>
      <c r="P179">
        <v>0</v>
      </c>
      <c r="Q179">
        <v>0</v>
      </c>
      <c r="S179">
        <v>0</v>
      </c>
      <c r="T179">
        <v>0</v>
      </c>
      <c r="U179">
        <v>0</v>
      </c>
      <c r="W179" t="s">
        <v>52</v>
      </c>
    </row>
    <row r="180" spans="1:23" x14ac:dyDescent="0.35">
      <c r="A180" t="s">
        <v>45</v>
      </c>
      <c r="B180" t="s">
        <v>169</v>
      </c>
      <c r="C180" t="s">
        <v>60</v>
      </c>
      <c r="D180" t="s">
        <v>64</v>
      </c>
      <c r="E180" t="s">
        <v>64</v>
      </c>
      <c r="F180" t="s">
        <v>49</v>
      </c>
      <c r="G180" t="s">
        <v>83</v>
      </c>
      <c r="H180" t="s">
        <v>441</v>
      </c>
      <c r="J180" t="str">
        <f>HYPERLINK("https://www.facebook.com/634639855377280/posts/817402500434347?comment_id=964205665357688&amp;reply_comment_id=1139867223804156","https://www.facebook.com/634639855377280/posts/817402500434347?comment_id=964205665357688&amp;reply_comment_id=1139867223804156")</f>
        <v>https://www.facebook.com/634639855377280/posts/817402500434347?comment_id=964205665357688&amp;reply_comment_id=1139867223804156</v>
      </c>
      <c r="K180" t="s">
        <v>67</v>
      </c>
      <c r="O180">
        <v>0</v>
      </c>
      <c r="P180">
        <v>0</v>
      </c>
      <c r="Q180">
        <v>0</v>
      </c>
      <c r="S180">
        <v>0</v>
      </c>
      <c r="T180">
        <v>0</v>
      </c>
      <c r="U180">
        <v>0</v>
      </c>
      <c r="W180" t="s">
        <v>52</v>
      </c>
    </row>
    <row r="181" spans="1:23" x14ac:dyDescent="0.35">
      <c r="A181" t="s">
        <v>45</v>
      </c>
      <c r="B181" t="s">
        <v>169</v>
      </c>
      <c r="C181" t="s">
        <v>60</v>
      </c>
      <c r="D181" t="s">
        <v>64</v>
      </c>
      <c r="E181" t="s">
        <v>64</v>
      </c>
      <c r="F181" t="s">
        <v>49</v>
      </c>
      <c r="G181" t="s">
        <v>442</v>
      </c>
      <c r="H181" t="s">
        <v>443</v>
      </c>
      <c r="J181" t="str">
        <f>HYPERLINK("https://www.facebook.com/634639855377280/posts/815513483956582?comment_id=432644145820128&amp;reply_comment_id=391228850444732","https://www.facebook.com/634639855377280/posts/815513483956582?comment_id=432644145820128&amp;reply_comment_id=391228850444732")</f>
        <v>https://www.facebook.com/634639855377280/posts/815513483956582?comment_id=432644145820128&amp;reply_comment_id=391228850444732</v>
      </c>
      <c r="K181" t="s">
        <v>67</v>
      </c>
      <c r="O181">
        <v>0</v>
      </c>
      <c r="P181">
        <v>0</v>
      </c>
      <c r="Q181">
        <v>0</v>
      </c>
      <c r="S181">
        <v>0</v>
      </c>
      <c r="T181">
        <v>0</v>
      </c>
      <c r="U181">
        <v>0</v>
      </c>
      <c r="W181" t="s">
        <v>52</v>
      </c>
    </row>
    <row r="182" spans="1:23" x14ac:dyDescent="0.35">
      <c r="A182" t="s">
        <v>45</v>
      </c>
      <c r="B182" t="s">
        <v>169</v>
      </c>
      <c r="C182" t="s">
        <v>60</v>
      </c>
      <c r="D182" t="s">
        <v>61</v>
      </c>
      <c r="E182" t="s">
        <v>61</v>
      </c>
      <c r="F182" t="s">
        <v>49</v>
      </c>
      <c r="G182" t="s">
        <v>444</v>
      </c>
      <c r="H182" t="s">
        <v>445</v>
      </c>
      <c r="J182" t="str">
        <f>HYPERLINK("https://www.facebook.com/634639855377280/posts/817402500434347?comment_id=973837867416774","https://www.facebook.com/634639855377280/posts/817402500434347?comment_id=973837867416774")</f>
        <v>https://www.facebook.com/634639855377280/posts/817402500434347?comment_id=973837867416774</v>
      </c>
      <c r="O182">
        <v>0</v>
      </c>
      <c r="P182">
        <v>0</v>
      </c>
      <c r="Q182">
        <v>0</v>
      </c>
      <c r="S182">
        <v>0</v>
      </c>
      <c r="T182">
        <v>0</v>
      </c>
      <c r="U182">
        <v>0</v>
      </c>
      <c r="W182" t="s">
        <v>52</v>
      </c>
    </row>
    <row r="183" spans="1:23" x14ac:dyDescent="0.35">
      <c r="A183" t="s">
        <v>45</v>
      </c>
      <c r="B183" t="s">
        <v>169</v>
      </c>
      <c r="C183" t="s">
        <v>60</v>
      </c>
      <c r="D183" t="s">
        <v>61</v>
      </c>
      <c r="E183" t="s">
        <v>61</v>
      </c>
      <c r="F183" t="s">
        <v>49</v>
      </c>
      <c r="G183" t="s">
        <v>446</v>
      </c>
      <c r="H183" t="s">
        <v>447</v>
      </c>
      <c r="J183" t="str">
        <f>HYPERLINK("https://www.facebook.com/634639855377280/posts/817402500434347?comment_id=352406500525509","https://www.facebook.com/634639855377280/posts/817402500434347?comment_id=352406500525509")</f>
        <v>https://www.facebook.com/634639855377280/posts/817402500434347?comment_id=352406500525509</v>
      </c>
      <c r="O183">
        <v>0</v>
      </c>
      <c r="P183">
        <v>0</v>
      </c>
      <c r="Q183">
        <v>0</v>
      </c>
      <c r="S183">
        <v>0</v>
      </c>
      <c r="T183">
        <v>0</v>
      </c>
      <c r="U183">
        <v>0</v>
      </c>
      <c r="W183" t="s">
        <v>52</v>
      </c>
    </row>
    <row r="184" spans="1:23" x14ac:dyDescent="0.35">
      <c r="A184" t="s">
        <v>45</v>
      </c>
      <c r="B184" t="s">
        <v>169</v>
      </c>
      <c r="C184" t="s">
        <v>60</v>
      </c>
      <c r="D184" t="s">
        <v>61</v>
      </c>
      <c r="E184" t="s">
        <v>61</v>
      </c>
      <c r="F184" t="s">
        <v>49</v>
      </c>
      <c r="G184" t="s">
        <v>448</v>
      </c>
      <c r="H184" t="s">
        <v>449</v>
      </c>
      <c r="J184" t="str">
        <f>HYPERLINK("https://www.facebook.com/634639855377280/posts/818033483704582?comment_id=1105421404118099","https://www.facebook.com/634639855377280/posts/818033483704582?comment_id=1105421404118099")</f>
        <v>https://www.facebook.com/634639855377280/posts/818033483704582?comment_id=1105421404118099</v>
      </c>
      <c r="O184">
        <v>0</v>
      </c>
      <c r="P184">
        <v>0</v>
      </c>
      <c r="Q184">
        <v>0</v>
      </c>
      <c r="S184">
        <v>0</v>
      </c>
      <c r="T184">
        <v>0</v>
      </c>
      <c r="U184">
        <v>0</v>
      </c>
      <c r="W184" t="s">
        <v>52</v>
      </c>
    </row>
    <row r="185" spans="1:23" x14ac:dyDescent="0.35">
      <c r="A185" t="s">
        <v>45</v>
      </c>
      <c r="B185" t="s">
        <v>169</v>
      </c>
      <c r="C185" t="s">
        <v>60</v>
      </c>
      <c r="D185" t="s">
        <v>61</v>
      </c>
      <c r="E185" t="s">
        <v>61</v>
      </c>
      <c r="F185" t="s">
        <v>49</v>
      </c>
      <c r="G185" t="s">
        <v>88</v>
      </c>
      <c r="H185" t="s">
        <v>450</v>
      </c>
      <c r="J185" t="str">
        <f>HYPERLINK("https://www.facebook.com/634639855377280/posts/817402500434347?comment_id=712207957492463","https://www.facebook.com/634639855377280/posts/817402500434347?comment_id=712207957492463")</f>
        <v>https://www.facebook.com/634639855377280/posts/817402500434347?comment_id=712207957492463</v>
      </c>
      <c r="O185">
        <v>0</v>
      </c>
      <c r="P185">
        <v>0</v>
      </c>
      <c r="Q185">
        <v>0</v>
      </c>
      <c r="S185">
        <v>0</v>
      </c>
      <c r="T185">
        <v>0</v>
      </c>
      <c r="U185">
        <v>0</v>
      </c>
      <c r="W185" t="s">
        <v>52</v>
      </c>
    </row>
    <row r="186" spans="1:23" x14ac:dyDescent="0.35">
      <c r="A186" t="s">
        <v>45</v>
      </c>
      <c r="B186" t="s">
        <v>169</v>
      </c>
      <c r="C186" t="s">
        <v>60</v>
      </c>
      <c r="D186" t="s">
        <v>64</v>
      </c>
      <c r="E186" t="s">
        <v>64</v>
      </c>
      <c r="F186" t="s">
        <v>49</v>
      </c>
      <c r="G186" t="s">
        <v>451</v>
      </c>
      <c r="H186" t="s">
        <v>452</v>
      </c>
      <c r="J186" t="str">
        <f>HYPERLINK("https://www.facebook.com/634639855377280/posts/818033483704582","https://www.facebook.com/634639855377280/posts/818033483704582")</f>
        <v>https://www.facebook.com/634639855377280/posts/818033483704582</v>
      </c>
      <c r="O186">
        <v>0</v>
      </c>
      <c r="P186">
        <v>0</v>
      </c>
      <c r="Q186">
        <v>0</v>
      </c>
      <c r="S186">
        <v>16</v>
      </c>
      <c r="T186">
        <v>75</v>
      </c>
      <c r="U186">
        <v>2</v>
      </c>
      <c r="W186" t="s">
        <v>346</v>
      </c>
    </row>
    <row r="187" spans="1:23" x14ac:dyDescent="0.35">
      <c r="A187" t="s">
        <v>45</v>
      </c>
      <c r="B187" t="s">
        <v>169</v>
      </c>
      <c r="C187" t="s">
        <v>47</v>
      </c>
      <c r="D187" t="s">
        <v>68</v>
      </c>
      <c r="E187" t="s">
        <v>68</v>
      </c>
      <c r="F187" t="s">
        <v>49</v>
      </c>
      <c r="G187" t="s">
        <v>253</v>
      </c>
      <c r="H187" t="s">
        <v>453</v>
      </c>
      <c r="J187" t="str">
        <f>HYPERLINK("https://www.youtube.com/watch?v=7pMfSyYFp5U&amp;lc=Ugx5AORsTG8BUHyiqZh4AaABAg.A1Zxyu9L6BSA1aKhseGNlS","https://www.youtube.com/watch?v=7pMfSyYFp5U&amp;lc=Ugx5AORsTG8BUHyiqZh4AaABAg.A1Zxyu9L6BSA1aKhseGNlS")</f>
        <v>https://www.youtube.com/watch?v=7pMfSyYFp5U&amp;lc=Ugx5AORsTG8BUHyiqZh4AaABAg.A1Zxyu9L6BSA1aKhseGNlS</v>
      </c>
      <c r="O187">
        <v>0</v>
      </c>
      <c r="P187">
        <v>0</v>
      </c>
      <c r="Q187">
        <v>0</v>
      </c>
      <c r="S187">
        <v>0</v>
      </c>
      <c r="T187">
        <v>0</v>
      </c>
      <c r="U187">
        <v>0</v>
      </c>
      <c r="W187" t="s">
        <v>52</v>
      </c>
    </row>
    <row r="188" spans="1:23" x14ac:dyDescent="0.35">
      <c r="A188" t="s">
        <v>45</v>
      </c>
      <c r="B188" t="s">
        <v>169</v>
      </c>
      <c r="C188" t="s">
        <v>60</v>
      </c>
      <c r="D188" t="s">
        <v>64</v>
      </c>
      <c r="E188" t="s">
        <v>64</v>
      </c>
      <c r="F188" t="s">
        <v>49</v>
      </c>
      <c r="G188" t="s">
        <v>454</v>
      </c>
      <c r="H188" t="s">
        <v>455</v>
      </c>
      <c r="J188" t="str">
        <f>HYPERLINK("https://www.facebook.com/634639855377280/posts/817402500434347?comment_id=1577015719785354&amp;reply_comment_id=1181278816193920","https://www.facebook.com/634639855377280/posts/817402500434347?comment_id=1577015719785354&amp;reply_comment_id=1181278816193920")</f>
        <v>https://www.facebook.com/634639855377280/posts/817402500434347?comment_id=1577015719785354&amp;reply_comment_id=1181278816193920</v>
      </c>
      <c r="K188" t="s">
        <v>67</v>
      </c>
      <c r="O188">
        <v>0</v>
      </c>
      <c r="P188">
        <v>0</v>
      </c>
      <c r="Q188">
        <v>0</v>
      </c>
      <c r="S188">
        <v>0</v>
      </c>
      <c r="T188">
        <v>0</v>
      </c>
      <c r="U188">
        <v>0</v>
      </c>
      <c r="W188" t="s">
        <v>52</v>
      </c>
    </row>
    <row r="189" spans="1:23" x14ac:dyDescent="0.35">
      <c r="A189" t="s">
        <v>45</v>
      </c>
      <c r="B189" t="s">
        <v>456</v>
      </c>
      <c r="C189" t="s">
        <v>60</v>
      </c>
      <c r="D189" t="s">
        <v>61</v>
      </c>
      <c r="E189" t="s">
        <v>61</v>
      </c>
      <c r="F189" t="s">
        <v>49</v>
      </c>
      <c r="G189" t="s">
        <v>457</v>
      </c>
      <c r="H189" t="s">
        <v>458</v>
      </c>
      <c r="J189" t="str">
        <f>HYPERLINK("https://www.facebook.com/634639855377280/posts/817402500434347?comment_id=964205665357688","https://www.facebook.com/634639855377280/posts/817402500434347?comment_id=964205665357688")</f>
        <v>https://www.facebook.com/634639855377280/posts/817402500434347?comment_id=964205665357688</v>
      </c>
      <c r="O189">
        <v>0</v>
      </c>
      <c r="P189">
        <v>0</v>
      </c>
      <c r="Q189">
        <v>0</v>
      </c>
      <c r="S189">
        <v>0</v>
      </c>
      <c r="T189">
        <v>0</v>
      </c>
      <c r="U189">
        <v>0</v>
      </c>
      <c r="W189" t="s">
        <v>52</v>
      </c>
    </row>
    <row r="190" spans="1:23" x14ac:dyDescent="0.35">
      <c r="A190" t="s">
        <v>45</v>
      </c>
      <c r="B190" t="s">
        <v>456</v>
      </c>
      <c r="C190" t="s">
        <v>60</v>
      </c>
      <c r="D190" t="s">
        <v>61</v>
      </c>
      <c r="E190" t="s">
        <v>61</v>
      </c>
      <c r="F190" t="s">
        <v>49</v>
      </c>
      <c r="G190" t="s">
        <v>459</v>
      </c>
      <c r="H190" t="s">
        <v>460</v>
      </c>
      <c r="J190" t="str">
        <f>HYPERLINK("https://www.facebook.com/634639855377280/posts/817402500434347?comment_id=1577015719785354","https://www.facebook.com/634639855377280/posts/817402500434347?comment_id=1577015719785354")</f>
        <v>https://www.facebook.com/634639855377280/posts/817402500434347?comment_id=1577015719785354</v>
      </c>
      <c r="O190">
        <v>0</v>
      </c>
      <c r="P190">
        <v>0</v>
      </c>
      <c r="Q190">
        <v>0</v>
      </c>
      <c r="S190">
        <v>0</v>
      </c>
      <c r="T190">
        <v>0</v>
      </c>
      <c r="U190">
        <v>0</v>
      </c>
      <c r="W190" t="s">
        <v>52</v>
      </c>
    </row>
    <row r="191" spans="1:23" x14ac:dyDescent="0.35">
      <c r="A191" t="s">
        <v>45</v>
      </c>
      <c r="B191" t="s">
        <v>456</v>
      </c>
      <c r="C191" t="s">
        <v>93</v>
      </c>
      <c r="D191" t="s">
        <v>94</v>
      </c>
      <c r="E191" t="s">
        <v>45</v>
      </c>
      <c r="F191" t="s">
        <v>49</v>
      </c>
      <c r="G191" t="s">
        <v>434</v>
      </c>
      <c r="H191" t="s">
        <v>461</v>
      </c>
      <c r="J191" t="str">
        <f>HYPERLINK("https://twitter.com/SpiceMoneyIndia/status/1773715658930336086","https://twitter.com/SpiceMoneyIndia/status/1773715658930336086")</f>
        <v>https://twitter.com/SpiceMoneyIndia/status/1773715658930336086</v>
      </c>
      <c r="K191" t="s">
        <v>67</v>
      </c>
      <c r="O191">
        <v>0</v>
      </c>
      <c r="P191">
        <v>0</v>
      </c>
      <c r="Q191">
        <v>6095</v>
      </c>
      <c r="R191" t="s">
        <v>97</v>
      </c>
      <c r="S191">
        <v>0</v>
      </c>
      <c r="T191">
        <v>0</v>
      </c>
      <c r="U191">
        <v>0</v>
      </c>
      <c r="V191" t="s">
        <v>98</v>
      </c>
      <c r="W191" t="s">
        <v>99</v>
      </c>
    </row>
    <row r="192" spans="1:23" x14ac:dyDescent="0.35">
      <c r="A192" t="s">
        <v>45</v>
      </c>
      <c r="B192" t="s">
        <v>456</v>
      </c>
      <c r="C192" t="s">
        <v>93</v>
      </c>
      <c r="D192" t="s">
        <v>462</v>
      </c>
      <c r="E192" t="s">
        <v>463</v>
      </c>
      <c r="F192" t="s">
        <v>49</v>
      </c>
      <c r="G192" t="s">
        <v>464</v>
      </c>
      <c r="H192" t="s">
        <v>465</v>
      </c>
      <c r="J192" t="str">
        <f>HYPERLINK("https://twitter.com/STarsicanf50453/status/1773714664615989303","https://twitter.com/STarsicanf50453/status/1773714664615989303")</f>
        <v>https://twitter.com/STarsicanf50453/status/1773714664615989303</v>
      </c>
      <c r="O192">
        <v>0</v>
      </c>
      <c r="P192">
        <v>0</v>
      </c>
      <c r="Q192">
        <v>0</v>
      </c>
      <c r="R192" t="s">
        <v>466</v>
      </c>
      <c r="S192">
        <v>0</v>
      </c>
      <c r="T192">
        <v>0</v>
      </c>
      <c r="U192">
        <v>0</v>
      </c>
      <c r="W192" t="s">
        <v>99</v>
      </c>
    </row>
    <row r="193" spans="1:23" x14ac:dyDescent="0.35">
      <c r="A193" t="s">
        <v>45</v>
      </c>
      <c r="B193" t="s">
        <v>456</v>
      </c>
      <c r="C193" t="s">
        <v>93</v>
      </c>
      <c r="D193" t="s">
        <v>467</v>
      </c>
      <c r="E193" t="s">
        <v>468</v>
      </c>
      <c r="F193" t="s">
        <v>49</v>
      </c>
      <c r="G193" t="s">
        <v>469</v>
      </c>
      <c r="H193" t="s">
        <v>470</v>
      </c>
      <c r="J193" t="str">
        <f>HYPERLINK("https://twitter.com/EthDemaria18510/status/1773714660056809780","https://twitter.com/EthDemaria18510/status/1773714660056809780")</f>
        <v>https://twitter.com/EthDemaria18510/status/1773714660056809780</v>
      </c>
      <c r="K193" t="s">
        <v>471</v>
      </c>
      <c r="O193">
        <v>0</v>
      </c>
      <c r="P193">
        <v>0</v>
      </c>
      <c r="Q193">
        <v>0</v>
      </c>
      <c r="R193" t="s">
        <v>472</v>
      </c>
      <c r="S193">
        <v>0</v>
      </c>
      <c r="T193">
        <v>0</v>
      </c>
      <c r="U193">
        <v>0</v>
      </c>
      <c r="W193" t="s">
        <v>99</v>
      </c>
    </row>
    <row r="194" spans="1:23" x14ac:dyDescent="0.35">
      <c r="A194" t="s">
        <v>45</v>
      </c>
      <c r="B194" t="s">
        <v>456</v>
      </c>
      <c r="C194" t="s">
        <v>93</v>
      </c>
      <c r="D194" t="s">
        <v>94</v>
      </c>
      <c r="E194" t="s">
        <v>45</v>
      </c>
      <c r="F194" t="s">
        <v>49</v>
      </c>
      <c r="G194" t="s">
        <v>473</v>
      </c>
      <c r="H194" t="s">
        <v>474</v>
      </c>
      <c r="J194" t="str">
        <f>HYPERLINK("https://twitter.com/SpiceMoneyIndia/status/1773714642692424167","https://twitter.com/SpiceMoneyIndia/status/1773714642692424167")</f>
        <v>https://twitter.com/SpiceMoneyIndia/status/1773714642692424167</v>
      </c>
      <c r="K194" t="s">
        <v>67</v>
      </c>
      <c r="O194">
        <v>0</v>
      </c>
      <c r="P194">
        <v>0</v>
      </c>
      <c r="Q194">
        <v>6095</v>
      </c>
      <c r="R194" t="s">
        <v>97</v>
      </c>
      <c r="S194">
        <v>0</v>
      </c>
      <c r="T194">
        <v>0</v>
      </c>
      <c r="U194">
        <v>0</v>
      </c>
      <c r="V194" t="s">
        <v>98</v>
      </c>
      <c r="W194" t="s">
        <v>99</v>
      </c>
    </row>
    <row r="195" spans="1:23" x14ac:dyDescent="0.35">
      <c r="A195" t="s">
        <v>45</v>
      </c>
      <c r="B195" t="s">
        <v>456</v>
      </c>
      <c r="C195" t="s">
        <v>47</v>
      </c>
      <c r="D195" t="s">
        <v>475</v>
      </c>
      <c r="E195" t="s">
        <v>475</v>
      </c>
      <c r="F195" t="s">
        <v>49</v>
      </c>
      <c r="G195" t="s">
        <v>476</v>
      </c>
      <c r="H195" t="s">
        <v>477</v>
      </c>
      <c r="J195" t="str">
        <f>HYPERLINK("https://www.youtube.com/watch?v=7pMfSyYFp5U&amp;lc=Ugx5AORsTG8BUHyiqZh4AaABAg","https://www.youtube.com/watch?v=7pMfSyYFp5U&amp;lc=Ugx5AORsTG8BUHyiqZh4AaABAg")</f>
        <v>https://www.youtube.com/watch?v=7pMfSyYFp5U&amp;lc=Ugx5AORsTG8BUHyiqZh4AaABAg</v>
      </c>
      <c r="O195">
        <v>0</v>
      </c>
      <c r="P195">
        <v>0</v>
      </c>
      <c r="Q195">
        <v>0</v>
      </c>
      <c r="S195">
        <v>0</v>
      </c>
      <c r="T195">
        <v>0</v>
      </c>
      <c r="U195">
        <v>0</v>
      </c>
      <c r="W195" t="s">
        <v>52</v>
      </c>
    </row>
    <row r="196" spans="1:23" x14ac:dyDescent="0.35">
      <c r="A196" t="s">
        <v>45</v>
      </c>
      <c r="B196" t="s">
        <v>456</v>
      </c>
      <c r="C196" t="s">
        <v>60</v>
      </c>
      <c r="D196" t="s">
        <v>64</v>
      </c>
      <c r="E196" t="s">
        <v>64</v>
      </c>
      <c r="F196" t="s">
        <v>49</v>
      </c>
      <c r="G196" t="s">
        <v>270</v>
      </c>
      <c r="H196" t="s">
        <v>478</v>
      </c>
      <c r="J196" t="str">
        <f>HYPERLINK("https://www.facebook.com/634639855377280/posts/816721183835812?comment_id=436921605371132&amp;reply_comment_id=1772281236605421","https://www.facebook.com/634639855377280/posts/816721183835812?comment_id=436921605371132&amp;reply_comment_id=1772281236605421")</f>
        <v>https://www.facebook.com/634639855377280/posts/816721183835812?comment_id=436921605371132&amp;reply_comment_id=1772281236605421</v>
      </c>
      <c r="K196" t="s">
        <v>67</v>
      </c>
      <c r="O196">
        <v>0</v>
      </c>
      <c r="P196">
        <v>0</v>
      </c>
      <c r="Q196">
        <v>0</v>
      </c>
      <c r="S196">
        <v>0</v>
      </c>
      <c r="T196">
        <v>0</v>
      </c>
      <c r="U196">
        <v>0</v>
      </c>
      <c r="W196" t="s">
        <v>52</v>
      </c>
    </row>
    <row r="197" spans="1:23" x14ac:dyDescent="0.35">
      <c r="A197" t="s">
        <v>45</v>
      </c>
      <c r="B197" t="s">
        <v>456</v>
      </c>
      <c r="C197" t="s">
        <v>47</v>
      </c>
      <c r="D197" t="s">
        <v>68</v>
      </c>
      <c r="E197" t="s">
        <v>68</v>
      </c>
      <c r="F197" t="s">
        <v>49</v>
      </c>
      <c r="G197" t="s">
        <v>102</v>
      </c>
      <c r="H197" t="s">
        <v>479</v>
      </c>
      <c r="J197" t="str">
        <f>HYPERLINK("https://www.youtube.com/watch?v=XnF5-uLfaHg&amp;lc=UgyOLvpIt04rpaqdkE14AaABAg.A1WDTyyqxYOA1Zk6daBRCy","https://www.youtube.com/watch?v=XnF5-uLfaHg&amp;lc=UgyOLvpIt04rpaqdkE14AaABAg.A1WDTyyqxYOA1Zk6daBRCy")</f>
        <v>https://www.youtube.com/watch?v=XnF5-uLfaHg&amp;lc=UgyOLvpIt04rpaqdkE14AaABAg.A1WDTyyqxYOA1Zk6daBRCy</v>
      </c>
      <c r="O197">
        <v>0</v>
      </c>
      <c r="P197">
        <v>0</v>
      </c>
      <c r="Q197">
        <v>0</v>
      </c>
      <c r="S197">
        <v>0</v>
      </c>
      <c r="T197">
        <v>0</v>
      </c>
      <c r="U197">
        <v>0</v>
      </c>
      <c r="W197" t="s">
        <v>52</v>
      </c>
    </row>
    <row r="198" spans="1:23" x14ac:dyDescent="0.35">
      <c r="A198" t="s">
        <v>45</v>
      </c>
      <c r="B198" t="s">
        <v>456</v>
      </c>
      <c r="C198" t="s">
        <v>60</v>
      </c>
      <c r="D198" t="s">
        <v>61</v>
      </c>
      <c r="E198" t="s">
        <v>61</v>
      </c>
      <c r="F198" t="s">
        <v>49</v>
      </c>
      <c r="G198" t="s">
        <v>480</v>
      </c>
      <c r="H198" t="s">
        <v>481</v>
      </c>
      <c r="J198" t="str">
        <f>HYPERLINK("https://www.facebook.com/634639855377280/posts/816721183835812?comment_id=436921605371132&amp;reply_comment_id=695174279494035","https://www.facebook.com/634639855377280/posts/816721183835812?comment_id=436921605371132&amp;reply_comment_id=695174279494035")</f>
        <v>https://www.facebook.com/634639855377280/posts/816721183835812?comment_id=436921605371132&amp;reply_comment_id=695174279494035</v>
      </c>
      <c r="O198">
        <v>0</v>
      </c>
      <c r="P198">
        <v>0</v>
      </c>
      <c r="Q198">
        <v>0</v>
      </c>
      <c r="S198">
        <v>0</v>
      </c>
      <c r="T198">
        <v>0</v>
      </c>
      <c r="U198">
        <v>0</v>
      </c>
      <c r="W198" t="s">
        <v>52</v>
      </c>
    </row>
    <row r="199" spans="1:23" x14ac:dyDescent="0.35">
      <c r="A199" t="s">
        <v>45</v>
      </c>
      <c r="B199" t="s">
        <v>456</v>
      </c>
      <c r="C199" t="s">
        <v>47</v>
      </c>
      <c r="D199" t="s">
        <v>68</v>
      </c>
      <c r="E199" t="s">
        <v>68</v>
      </c>
      <c r="F199" t="s">
        <v>49</v>
      </c>
      <c r="G199" t="s">
        <v>253</v>
      </c>
      <c r="H199" t="s">
        <v>482</v>
      </c>
      <c r="J199" t="str">
        <f>HYPERLINK("https://www.youtube.com/watch?v=7pMfSyYFp5U&amp;lc=UgzPRsqLbDfz88_LIMh4AaABAg.A1TjFanLOGEA1Zk1JyUalV","https://www.youtube.com/watch?v=7pMfSyYFp5U&amp;lc=UgzPRsqLbDfz88_LIMh4AaABAg.A1TjFanLOGEA1Zk1JyUalV")</f>
        <v>https://www.youtube.com/watch?v=7pMfSyYFp5U&amp;lc=UgzPRsqLbDfz88_LIMh4AaABAg.A1TjFanLOGEA1Zk1JyUalV</v>
      </c>
      <c r="O199">
        <v>0</v>
      </c>
      <c r="P199">
        <v>0</v>
      </c>
      <c r="Q199">
        <v>0</v>
      </c>
      <c r="S199">
        <v>0</v>
      </c>
      <c r="T199">
        <v>0</v>
      </c>
      <c r="U199">
        <v>0</v>
      </c>
      <c r="W199" t="s">
        <v>52</v>
      </c>
    </row>
    <row r="200" spans="1:23" x14ac:dyDescent="0.35">
      <c r="A200" t="s">
        <v>45</v>
      </c>
      <c r="B200" t="s">
        <v>456</v>
      </c>
      <c r="C200" t="s">
        <v>93</v>
      </c>
      <c r="D200" t="s">
        <v>94</v>
      </c>
      <c r="E200" t="s">
        <v>45</v>
      </c>
      <c r="F200" t="s">
        <v>49</v>
      </c>
      <c r="G200" t="s">
        <v>483</v>
      </c>
      <c r="H200" t="s">
        <v>484</v>
      </c>
      <c r="J200" t="str">
        <f>HYPERLINK("https://twitter.com/SpiceMoneyIndia/status/1773682111729238294","https://twitter.com/SpiceMoneyIndia/status/1773682111729238294")</f>
        <v>https://twitter.com/SpiceMoneyIndia/status/1773682111729238294</v>
      </c>
      <c r="K200" t="s">
        <v>67</v>
      </c>
      <c r="O200">
        <v>0</v>
      </c>
      <c r="P200">
        <v>0</v>
      </c>
      <c r="Q200">
        <v>6095</v>
      </c>
      <c r="R200" t="s">
        <v>97</v>
      </c>
      <c r="S200">
        <v>0</v>
      </c>
      <c r="T200">
        <v>0</v>
      </c>
      <c r="U200">
        <v>0</v>
      </c>
      <c r="V200" t="s">
        <v>98</v>
      </c>
      <c r="W200" t="s">
        <v>99</v>
      </c>
    </row>
    <row r="201" spans="1:23" x14ac:dyDescent="0.35">
      <c r="A201" t="s">
        <v>45</v>
      </c>
      <c r="B201" t="s">
        <v>456</v>
      </c>
      <c r="C201" t="s">
        <v>60</v>
      </c>
      <c r="D201" t="s">
        <v>64</v>
      </c>
      <c r="E201" t="s">
        <v>64</v>
      </c>
      <c r="F201" t="s">
        <v>49</v>
      </c>
      <c r="G201" t="s">
        <v>83</v>
      </c>
      <c r="H201" t="s">
        <v>485</v>
      </c>
      <c r="J201" t="str">
        <f>HYPERLINK("https://www.facebook.com/634639855377280/posts/817402500434347?comment_id=1078545226591296&amp;reply_comment_id=1132450157771960","https://www.facebook.com/634639855377280/posts/817402500434347?comment_id=1078545226591296&amp;reply_comment_id=1132450157771960")</f>
        <v>https://www.facebook.com/634639855377280/posts/817402500434347?comment_id=1078545226591296&amp;reply_comment_id=1132450157771960</v>
      </c>
      <c r="K201" t="s">
        <v>67</v>
      </c>
      <c r="O201">
        <v>0</v>
      </c>
      <c r="P201">
        <v>0</v>
      </c>
      <c r="Q201">
        <v>0</v>
      </c>
      <c r="S201">
        <v>0</v>
      </c>
      <c r="T201">
        <v>0</v>
      </c>
      <c r="U201">
        <v>0</v>
      </c>
      <c r="W201" t="s">
        <v>52</v>
      </c>
    </row>
    <row r="202" spans="1:23" x14ac:dyDescent="0.35">
      <c r="A202" t="s">
        <v>45</v>
      </c>
      <c r="B202" t="s">
        <v>456</v>
      </c>
      <c r="C202" t="s">
        <v>60</v>
      </c>
      <c r="D202" t="s">
        <v>64</v>
      </c>
      <c r="E202" t="s">
        <v>64</v>
      </c>
      <c r="F202" t="s">
        <v>49</v>
      </c>
      <c r="G202" t="s">
        <v>262</v>
      </c>
      <c r="H202" t="s">
        <v>486</v>
      </c>
      <c r="J202" t="str">
        <f>HYPERLINK("https://www.facebook.com/634639855377280/posts/816721183835812?comment_id=436921605371132&amp;reply_comment_id=3550614215252247","https://www.facebook.com/634639855377280/posts/816721183835812?comment_id=436921605371132&amp;reply_comment_id=3550614215252247")</f>
        <v>https://www.facebook.com/634639855377280/posts/816721183835812?comment_id=436921605371132&amp;reply_comment_id=3550614215252247</v>
      </c>
      <c r="K202" t="s">
        <v>67</v>
      </c>
      <c r="O202">
        <v>0</v>
      </c>
      <c r="P202">
        <v>0</v>
      </c>
      <c r="Q202">
        <v>0</v>
      </c>
      <c r="S202">
        <v>0</v>
      </c>
      <c r="T202">
        <v>0</v>
      </c>
      <c r="U202">
        <v>0</v>
      </c>
      <c r="W202" t="s">
        <v>52</v>
      </c>
    </row>
    <row r="203" spans="1:23" x14ac:dyDescent="0.35">
      <c r="A203" t="s">
        <v>45</v>
      </c>
      <c r="B203" t="s">
        <v>456</v>
      </c>
      <c r="C203" t="s">
        <v>47</v>
      </c>
      <c r="D203" t="s">
        <v>68</v>
      </c>
      <c r="E203" t="s">
        <v>68</v>
      </c>
      <c r="F203" t="s">
        <v>49</v>
      </c>
      <c r="G203" t="s">
        <v>102</v>
      </c>
      <c r="H203" t="s">
        <v>487</v>
      </c>
      <c r="J203" t="str">
        <f>HYPERLINK("https://www.youtube.com/watch?v=7pMfSyYFp5U&amp;lc=Ugz5iULb2luEaRv3y2h4AaABAg.A1XKyLxsIgJA1ZjkF7RGjT","https://www.youtube.com/watch?v=7pMfSyYFp5U&amp;lc=Ugz5iULb2luEaRv3y2h4AaABAg.A1XKyLxsIgJA1ZjkF7RGjT")</f>
        <v>https://www.youtube.com/watch?v=7pMfSyYFp5U&amp;lc=Ugz5iULb2luEaRv3y2h4AaABAg.A1XKyLxsIgJA1ZjkF7RGjT</v>
      </c>
      <c r="O203">
        <v>0</v>
      </c>
      <c r="P203">
        <v>0</v>
      </c>
      <c r="Q203">
        <v>0</v>
      </c>
      <c r="S203">
        <v>0</v>
      </c>
      <c r="T203">
        <v>0</v>
      </c>
      <c r="U203">
        <v>0</v>
      </c>
      <c r="W203" t="s">
        <v>52</v>
      </c>
    </row>
    <row r="204" spans="1:23" x14ac:dyDescent="0.35">
      <c r="A204" t="s">
        <v>45</v>
      </c>
      <c r="B204" t="s">
        <v>456</v>
      </c>
      <c r="C204" t="s">
        <v>60</v>
      </c>
      <c r="D204" t="s">
        <v>64</v>
      </c>
      <c r="E204" t="s">
        <v>64</v>
      </c>
      <c r="F204" t="s">
        <v>49</v>
      </c>
      <c r="G204" t="s">
        <v>488</v>
      </c>
      <c r="H204" t="s">
        <v>489</v>
      </c>
      <c r="J204" t="str">
        <f>HYPERLINK("https://www.facebook.com/634639855377280/posts/817402500434347?comment_id=1025390969210051&amp;reply_comment_id=978990450228758","https://www.facebook.com/634639855377280/posts/817402500434347?comment_id=1025390969210051&amp;reply_comment_id=978990450228758")</f>
        <v>https://www.facebook.com/634639855377280/posts/817402500434347?comment_id=1025390969210051&amp;reply_comment_id=978990450228758</v>
      </c>
      <c r="K204" t="s">
        <v>67</v>
      </c>
      <c r="O204">
        <v>0</v>
      </c>
      <c r="P204">
        <v>0</v>
      </c>
      <c r="Q204">
        <v>0</v>
      </c>
      <c r="S204">
        <v>0</v>
      </c>
      <c r="T204">
        <v>0</v>
      </c>
      <c r="U204">
        <v>0</v>
      </c>
      <c r="W204" t="s">
        <v>52</v>
      </c>
    </row>
    <row r="205" spans="1:23" x14ac:dyDescent="0.35">
      <c r="A205" t="s">
        <v>45</v>
      </c>
      <c r="B205" t="s">
        <v>456</v>
      </c>
      <c r="C205" t="s">
        <v>93</v>
      </c>
      <c r="D205" t="s">
        <v>94</v>
      </c>
      <c r="E205" t="s">
        <v>45</v>
      </c>
      <c r="F205" t="s">
        <v>49</v>
      </c>
      <c r="G205" t="s">
        <v>490</v>
      </c>
      <c r="H205" t="s">
        <v>491</v>
      </c>
      <c r="J205" t="str">
        <f>HYPERLINK("https://twitter.com/SpiceMoneyIndia/status/1773680066985103602","https://twitter.com/SpiceMoneyIndia/status/1773680066985103602")</f>
        <v>https://twitter.com/SpiceMoneyIndia/status/1773680066985103602</v>
      </c>
      <c r="K205" t="s">
        <v>67</v>
      </c>
      <c r="O205">
        <v>0</v>
      </c>
      <c r="P205">
        <v>0</v>
      </c>
      <c r="Q205">
        <v>6095</v>
      </c>
      <c r="R205" t="s">
        <v>97</v>
      </c>
      <c r="S205">
        <v>0</v>
      </c>
      <c r="T205">
        <v>0</v>
      </c>
      <c r="U205">
        <v>0</v>
      </c>
      <c r="V205" t="s">
        <v>98</v>
      </c>
      <c r="W205" t="s">
        <v>99</v>
      </c>
    </row>
    <row r="206" spans="1:23" x14ac:dyDescent="0.35">
      <c r="A206" t="s">
        <v>45</v>
      </c>
      <c r="B206" t="s">
        <v>456</v>
      </c>
      <c r="C206" t="s">
        <v>60</v>
      </c>
      <c r="D206" t="s">
        <v>64</v>
      </c>
      <c r="E206" t="s">
        <v>64</v>
      </c>
      <c r="F206" t="s">
        <v>49</v>
      </c>
      <c r="G206" t="s">
        <v>492</v>
      </c>
      <c r="H206" t="s">
        <v>493</v>
      </c>
      <c r="J206" t="str">
        <f>HYPERLINK("https://www.facebook.com/634639855377280/posts/816150883892842?comment_id=368565269493972&amp;reply_comment_id=1093560838546458","https://www.facebook.com/634639855377280/posts/816150883892842?comment_id=368565269493972&amp;reply_comment_id=1093560838546458")</f>
        <v>https://www.facebook.com/634639855377280/posts/816150883892842?comment_id=368565269493972&amp;reply_comment_id=1093560838546458</v>
      </c>
      <c r="K206" t="s">
        <v>67</v>
      </c>
      <c r="O206">
        <v>0</v>
      </c>
      <c r="P206">
        <v>0</v>
      </c>
      <c r="Q206">
        <v>0</v>
      </c>
      <c r="S206">
        <v>0</v>
      </c>
      <c r="T206">
        <v>0</v>
      </c>
      <c r="U206">
        <v>0</v>
      </c>
      <c r="W206" t="s">
        <v>52</v>
      </c>
    </row>
    <row r="207" spans="1:23" x14ac:dyDescent="0.35">
      <c r="A207" t="s">
        <v>45</v>
      </c>
      <c r="B207" t="s">
        <v>456</v>
      </c>
      <c r="C207" t="s">
        <v>47</v>
      </c>
      <c r="D207" t="s">
        <v>68</v>
      </c>
      <c r="E207" t="s">
        <v>68</v>
      </c>
      <c r="F207" t="s">
        <v>49</v>
      </c>
      <c r="G207" t="s">
        <v>102</v>
      </c>
      <c r="H207" t="s">
        <v>494</v>
      </c>
      <c r="J207" t="str">
        <f>HYPERLINK("https://www.youtube.com/watch?v=XnF5-uLfaHg&amp;lc=Ugz0YAeuuJY4fsORusJ4AaABAg.A1XnRM6lhg_A1Zis45Dpst","https://www.youtube.com/watch?v=XnF5-uLfaHg&amp;lc=Ugz0YAeuuJY4fsORusJ4AaABAg.A1XnRM6lhg_A1Zis45Dpst")</f>
        <v>https://www.youtube.com/watch?v=XnF5-uLfaHg&amp;lc=Ugz0YAeuuJY4fsORusJ4AaABAg.A1XnRM6lhg_A1Zis45Dpst</v>
      </c>
      <c r="O207">
        <v>0</v>
      </c>
      <c r="P207">
        <v>0</v>
      </c>
      <c r="Q207">
        <v>0</v>
      </c>
      <c r="S207">
        <v>0</v>
      </c>
      <c r="T207">
        <v>0</v>
      </c>
      <c r="U207">
        <v>0</v>
      </c>
      <c r="W207" t="s">
        <v>52</v>
      </c>
    </row>
    <row r="208" spans="1:23" x14ac:dyDescent="0.35">
      <c r="A208" t="s">
        <v>45</v>
      </c>
      <c r="B208" t="s">
        <v>456</v>
      </c>
      <c r="C208" t="s">
        <v>47</v>
      </c>
      <c r="D208" t="s">
        <v>68</v>
      </c>
      <c r="E208" t="s">
        <v>68</v>
      </c>
      <c r="F208" t="s">
        <v>49</v>
      </c>
      <c r="G208" t="s">
        <v>495</v>
      </c>
      <c r="H208" t="s">
        <v>496</v>
      </c>
      <c r="J208" t="str">
        <f>HYPERLINK("https://www.youtube.com/watch?v=7pMfSyYFp5U&amp;lc=Ugz4b2XRrbSnfAdyJa54AaABAg.A1X_EPDSXwvA1ZihwBu9Kw","https://www.youtube.com/watch?v=7pMfSyYFp5U&amp;lc=Ugz4b2XRrbSnfAdyJa54AaABAg.A1X_EPDSXwvA1ZihwBu9Kw")</f>
        <v>https://www.youtube.com/watch?v=7pMfSyYFp5U&amp;lc=Ugz4b2XRrbSnfAdyJa54AaABAg.A1X_EPDSXwvA1ZihwBu9Kw</v>
      </c>
      <c r="O208">
        <v>0</v>
      </c>
      <c r="P208">
        <v>0</v>
      </c>
      <c r="Q208">
        <v>0</v>
      </c>
      <c r="S208">
        <v>0</v>
      </c>
      <c r="T208">
        <v>0</v>
      </c>
      <c r="U208">
        <v>0</v>
      </c>
      <c r="W208" t="s">
        <v>52</v>
      </c>
    </row>
    <row r="209" spans="1:23" x14ac:dyDescent="0.35">
      <c r="A209" t="s">
        <v>45</v>
      </c>
      <c r="B209" t="s">
        <v>456</v>
      </c>
      <c r="C209" t="s">
        <v>47</v>
      </c>
      <c r="D209" t="s">
        <v>68</v>
      </c>
      <c r="E209" t="s">
        <v>68</v>
      </c>
      <c r="F209" t="s">
        <v>49</v>
      </c>
      <c r="G209" t="s">
        <v>102</v>
      </c>
      <c r="H209" t="s">
        <v>497</v>
      </c>
      <c r="J209" t="str">
        <f>HYPERLINK("https://www.youtube.com/watch?v=7pMfSyYFp5U&amp;lc=UgyA5cH93i_E_ROS3FN4AaABAg.A1UahhfPihhA1ZiDZ_03YQ","https://www.youtube.com/watch?v=7pMfSyYFp5U&amp;lc=UgyA5cH93i_E_ROS3FN4AaABAg.A1UahhfPihhA1ZiDZ_03YQ")</f>
        <v>https://www.youtube.com/watch?v=7pMfSyYFp5U&amp;lc=UgyA5cH93i_E_ROS3FN4AaABAg.A1UahhfPihhA1ZiDZ_03YQ</v>
      </c>
      <c r="O209">
        <v>0</v>
      </c>
      <c r="P209">
        <v>0</v>
      </c>
      <c r="Q209">
        <v>0</v>
      </c>
      <c r="S209">
        <v>0</v>
      </c>
      <c r="T209">
        <v>0</v>
      </c>
      <c r="U209">
        <v>0</v>
      </c>
      <c r="W209" t="s">
        <v>52</v>
      </c>
    </row>
    <row r="210" spans="1:23" x14ac:dyDescent="0.35">
      <c r="A210" t="s">
        <v>45</v>
      </c>
      <c r="B210" t="s">
        <v>456</v>
      </c>
      <c r="C210" t="s">
        <v>60</v>
      </c>
      <c r="D210" t="s">
        <v>64</v>
      </c>
      <c r="E210" t="s">
        <v>64</v>
      </c>
      <c r="F210" t="s">
        <v>49</v>
      </c>
      <c r="G210" t="s">
        <v>262</v>
      </c>
      <c r="H210" t="s">
        <v>498</v>
      </c>
      <c r="J210" t="str">
        <f>HYPERLINK("https://www.facebook.com/634639855377280/posts/817402500434347?comment_id=1408066656508894&amp;reply_comment_id=1399834470900929","https://www.facebook.com/634639855377280/posts/817402500434347?comment_id=1408066656508894&amp;reply_comment_id=1399834470900929")</f>
        <v>https://www.facebook.com/634639855377280/posts/817402500434347?comment_id=1408066656508894&amp;reply_comment_id=1399834470900929</v>
      </c>
      <c r="K210" t="s">
        <v>67</v>
      </c>
      <c r="O210">
        <v>0</v>
      </c>
      <c r="P210">
        <v>0</v>
      </c>
      <c r="Q210">
        <v>0</v>
      </c>
      <c r="S210">
        <v>0</v>
      </c>
      <c r="T210">
        <v>0</v>
      </c>
      <c r="U210">
        <v>0</v>
      </c>
      <c r="W210" t="s">
        <v>52</v>
      </c>
    </row>
    <row r="211" spans="1:23" x14ac:dyDescent="0.35">
      <c r="A211" t="s">
        <v>45</v>
      </c>
      <c r="B211" t="s">
        <v>456</v>
      </c>
      <c r="C211" t="s">
        <v>60</v>
      </c>
      <c r="D211" t="s">
        <v>64</v>
      </c>
      <c r="E211" t="s">
        <v>64</v>
      </c>
      <c r="F211" t="s">
        <v>49</v>
      </c>
      <c r="G211" t="s">
        <v>270</v>
      </c>
      <c r="H211" t="s">
        <v>499</v>
      </c>
      <c r="J211" t="str">
        <f>HYPERLINK("https://www.facebook.com/634639855377280/posts/817402500434347?comment_id=7521799524532722&amp;reply_comment_id=1466405304272674","https://www.facebook.com/634639855377280/posts/817402500434347?comment_id=7521799524532722&amp;reply_comment_id=1466405304272674")</f>
        <v>https://www.facebook.com/634639855377280/posts/817402500434347?comment_id=7521799524532722&amp;reply_comment_id=1466405304272674</v>
      </c>
      <c r="K211" t="s">
        <v>67</v>
      </c>
      <c r="O211">
        <v>0</v>
      </c>
      <c r="P211">
        <v>0</v>
      </c>
      <c r="Q211">
        <v>0</v>
      </c>
      <c r="S211">
        <v>0</v>
      </c>
      <c r="T211">
        <v>0</v>
      </c>
      <c r="U211">
        <v>0</v>
      </c>
      <c r="W211" t="s">
        <v>52</v>
      </c>
    </row>
    <row r="212" spans="1:23" x14ac:dyDescent="0.35">
      <c r="A212" t="s">
        <v>45</v>
      </c>
      <c r="B212" t="s">
        <v>456</v>
      </c>
      <c r="C212" t="s">
        <v>47</v>
      </c>
      <c r="D212" t="s">
        <v>68</v>
      </c>
      <c r="E212" t="s">
        <v>68</v>
      </c>
      <c r="F212" t="s">
        <v>49</v>
      </c>
      <c r="G212" t="s">
        <v>102</v>
      </c>
      <c r="H212" t="s">
        <v>500</v>
      </c>
      <c r="J212" t="str">
        <f>HYPERLINK("https://www.youtube.com/watch?v=fi0KMSdJZZY&amp;lc=Ugw2t0SR3ZK0B1SHeAZ4AaABAg.A1Yyu5it-uHA1ZhrxNnvXF","https://www.youtube.com/watch?v=fi0KMSdJZZY&amp;lc=Ugw2t0SR3ZK0B1SHeAZ4AaABAg.A1Yyu5it-uHA1ZhrxNnvXF")</f>
        <v>https://www.youtube.com/watch?v=fi0KMSdJZZY&amp;lc=Ugw2t0SR3ZK0B1SHeAZ4AaABAg.A1Yyu5it-uHA1ZhrxNnvXF</v>
      </c>
      <c r="O212">
        <v>0</v>
      </c>
      <c r="P212">
        <v>0</v>
      </c>
      <c r="Q212">
        <v>0</v>
      </c>
      <c r="S212">
        <v>0</v>
      </c>
      <c r="T212">
        <v>0</v>
      </c>
      <c r="U212">
        <v>0</v>
      </c>
      <c r="W212" t="s">
        <v>52</v>
      </c>
    </row>
    <row r="213" spans="1:23" x14ac:dyDescent="0.35">
      <c r="A213" t="s">
        <v>45</v>
      </c>
      <c r="B213" t="s">
        <v>456</v>
      </c>
      <c r="C213" t="s">
        <v>47</v>
      </c>
      <c r="D213" t="s">
        <v>68</v>
      </c>
      <c r="E213" t="s">
        <v>68</v>
      </c>
      <c r="F213" t="s">
        <v>49</v>
      </c>
      <c r="G213" t="s">
        <v>102</v>
      </c>
      <c r="H213" t="s">
        <v>501</v>
      </c>
      <c r="J213" t="str">
        <f>HYPERLINK("https://www.youtube.com/watch?v=7pMfSyYFp5U&amp;lc=UgxeoDcSNkD_fyLOXLB4AaABAg.A1Z68jj6Gz3A1ZhkQG-SY_","https://www.youtube.com/watch?v=7pMfSyYFp5U&amp;lc=UgxeoDcSNkD_fyLOXLB4AaABAg.A1Z68jj6Gz3A1ZhkQG-SY_")</f>
        <v>https://www.youtube.com/watch?v=7pMfSyYFp5U&amp;lc=UgxeoDcSNkD_fyLOXLB4AaABAg.A1Z68jj6Gz3A1ZhkQG-SY_</v>
      </c>
      <c r="O213">
        <v>0</v>
      </c>
      <c r="P213">
        <v>0</v>
      </c>
      <c r="Q213">
        <v>0</v>
      </c>
      <c r="S213">
        <v>0</v>
      </c>
      <c r="T213">
        <v>0</v>
      </c>
      <c r="U213">
        <v>0</v>
      </c>
      <c r="W213" t="s">
        <v>52</v>
      </c>
    </row>
    <row r="214" spans="1:23" x14ac:dyDescent="0.35">
      <c r="A214" t="s">
        <v>45</v>
      </c>
      <c r="B214" t="s">
        <v>456</v>
      </c>
      <c r="C214" t="s">
        <v>47</v>
      </c>
      <c r="D214" t="s">
        <v>68</v>
      </c>
      <c r="E214" t="s">
        <v>68</v>
      </c>
      <c r="F214" t="s">
        <v>49</v>
      </c>
      <c r="G214" t="s">
        <v>502</v>
      </c>
      <c r="H214" t="s">
        <v>503</v>
      </c>
      <c r="J214" t="str">
        <f>HYPERLINK("https://www.youtube.com/watch?v=XnF5-uLfaHg&amp;lc=Ugwvl_CsswIemJHrB5R4AaABAg.A1ZOuVk_RvNA1Zh_pcWB0C","https://www.youtube.com/watch?v=XnF5-uLfaHg&amp;lc=Ugwvl_CsswIemJHrB5R4AaABAg.A1ZOuVk_RvNA1Zh_pcWB0C")</f>
        <v>https://www.youtube.com/watch?v=XnF5-uLfaHg&amp;lc=Ugwvl_CsswIemJHrB5R4AaABAg.A1ZOuVk_RvNA1Zh_pcWB0C</v>
      </c>
      <c r="O214">
        <v>0</v>
      </c>
      <c r="P214">
        <v>0</v>
      </c>
      <c r="Q214">
        <v>0</v>
      </c>
      <c r="S214">
        <v>0</v>
      </c>
      <c r="T214">
        <v>0</v>
      </c>
      <c r="U214">
        <v>0</v>
      </c>
      <c r="W214" t="s">
        <v>52</v>
      </c>
    </row>
    <row r="215" spans="1:23" x14ac:dyDescent="0.35">
      <c r="A215" t="s">
        <v>45</v>
      </c>
      <c r="B215" t="s">
        <v>456</v>
      </c>
      <c r="C215" t="s">
        <v>60</v>
      </c>
      <c r="D215" t="s">
        <v>64</v>
      </c>
      <c r="E215" t="s">
        <v>64</v>
      </c>
      <c r="F215" t="s">
        <v>49</v>
      </c>
      <c r="G215" t="s">
        <v>266</v>
      </c>
      <c r="H215" t="s">
        <v>504</v>
      </c>
      <c r="J215" t="str">
        <f>HYPERLINK("https://www.facebook.com/634639855377280/posts/816721183835812?comment_id=415061954503141&amp;reply_comment_id=1367298200632715","https://www.facebook.com/634639855377280/posts/816721183835812?comment_id=415061954503141&amp;reply_comment_id=1367298200632715")</f>
        <v>https://www.facebook.com/634639855377280/posts/816721183835812?comment_id=415061954503141&amp;reply_comment_id=1367298200632715</v>
      </c>
      <c r="K215" t="s">
        <v>67</v>
      </c>
      <c r="O215">
        <v>0</v>
      </c>
      <c r="P215">
        <v>0</v>
      </c>
      <c r="Q215">
        <v>0</v>
      </c>
      <c r="S215">
        <v>0</v>
      </c>
      <c r="T215">
        <v>0</v>
      </c>
      <c r="U215">
        <v>0</v>
      </c>
      <c r="W215" t="s">
        <v>52</v>
      </c>
    </row>
    <row r="216" spans="1:23" x14ac:dyDescent="0.35">
      <c r="A216" t="s">
        <v>45</v>
      </c>
      <c r="B216" t="s">
        <v>456</v>
      </c>
      <c r="C216" t="s">
        <v>93</v>
      </c>
      <c r="D216" t="s">
        <v>505</v>
      </c>
      <c r="E216" t="s">
        <v>506</v>
      </c>
      <c r="F216" t="s">
        <v>193</v>
      </c>
      <c r="G216" t="s">
        <v>507</v>
      </c>
      <c r="H216" t="s">
        <v>508</v>
      </c>
      <c r="J216" t="str">
        <f>HYPERLINK("https://twitter.com/NagpalSgnr37336/status/1773674609784586281","https://twitter.com/NagpalSgnr37336/status/1773674609784586281")</f>
        <v>https://twitter.com/NagpalSgnr37336/status/1773674609784586281</v>
      </c>
      <c r="K216" t="s">
        <v>67</v>
      </c>
      <c r="O216">
        <v>0</v>
      </c>
      <c r="P216">
        <v>0</v>
      </c>
      <c r="Q216">
        <v>0</v>
      </c>
      <c r="S216">
        <v>0</v>
      </c>
      <c r="T216">
        <v>0</v>
      </c>
      <c r="U216">
        <v>0</v>
      </c>
      <c r="W216" t="s">
        <v>99</v>
      </c>
    </row>
    <row r="217" spans="1:23" x14ac:dyDescent="0.35">
      <c r="A217" t="s">
        <v>45</v>
      </c>
      <c r="B217" t="s">
        <v>456</v>
      </c>
      <c r="C217" t="s">
        <v>93</v>
      </c>
      <c r="D217" t="s">
        <v>509</v>
      </c>
      <c r="E217" t="s">
        <v>510</v>
      </c>
      <c r="F217" t="s">
        <v>49</v>
      </c>
      <c r="G217" t="s">
        <v>511</v>
      </c>
      <c r="H217" t="s">
        <v>512</v>
      </c>
      <c r="J217" t="str">
        <f>HYPERLINK("https://twitter.com/RAVISHANKA41977/status/1773674462300237840","https://twitter.com/RAVISHANKA41977/status/1773674462300237840")</f>
        <v>https://twitter.com/RAVISHANKA41977/status/1773674462300237840</v>
      </c>
      <c r="K217" t="s">
        <v>67</v>
      </c>
      <c r="O217">
        <v>0</v>
      </c>
      <c r="P217">
        <v>0</v>
      </c>
      <c r="Q217">
        <v>0</v>
      </c>
      <c r="R217" t="s">
        <v>513</v>
      </c>
      <c r="S217">
        <v>0</v>
      </c>
      <c r="T217">
        <v>0</v>
      </c>
      <c r="U217">
        <v>0</v>
      </c>
      <c r="W217" t="s">
        <v>99</v>
      </c>
    </row>
    <row r="218" spans="1:23" x14ac:dyDescent="0.35">
      <c r="A218" t="s">
        <v>45</v>
      </c>
      <c r="B218" t="s">
        <v>456</v>
      </c>
      <c r="C218" t="s">
        <v>93</v>
      </c>
      <c r="D218" t="s">
        <v>94</v>
      </c>
      <c r="E218" t="s">
        <v>45</v>
      </c>
      <c r="F218" t="s">
        <v>49</v>
      </c>
      <c r="G218" t="s">
        <v>514</v>
      </c>
      <c r="H218" t="s">
        <v>515</v>
      </c>
      <c r="J218" t="str">
        <f>HYPERLINK("https://twitter.com/SpiceMoneyIndia/status/1773671995160334467","https://twitter.com/SpiceMoneyIndia/status/1773671995160334467")</f>
        <v>https://twitter.com/SpiceMoneyIndia/status/1773671995160334467</v>
      </c>
      <c r="K218" t="s">
        <v>67</v>
      </c>
      <c r="O218">
        <v>0</v>
      </c>
      <c r="P218">
        <v>0</v>
      </c>
      <c r="Q218">
        <v>6095</v>
      </c>
      <c r="R218" t="s">
        <v>97</v>
      </c>
      <c r="S218">
        <v>0</v>
      </c>
      <c r="T218">
        <v>0</v>
      </c>
      <c r="U218">
        <v>0</v>
      </c>
      <c r="V218" t="s">
        <v>98</v>
      </c>
      <c r="W218" t="s">
        <v>99</v>
      </c>
    </row>
    <row r="219" spans="1:23" x14ac:dyDescent="0.35">
      <c r="A219" t="s">
        <v>45</v>
      </c>
      <c r="B219" t="s">
        <v>456</v>
      </c>
      <c r="C219" t="s">
        <v>60</v>
      </c>
      <c r="D219" t="s">
        <v>64</v>
      </c>
      <c r="E219" t="s">
        <v>64</v>
      </c>
      <c r="F219" t="s">
        <v>49</v>
      </c>
      <c r="G219" t="s">
        <v>83</v>
      </c>
      <c r="H219" t="s">
        <v>516</v>
      </c>
      <c r="J219" t="str">
        <f>HYPERLINK("https://www.facebook.com/634639855377280/posts/816721183835812?comment_id=333060073078138&amp;reply_comment_id=1465191790734195","https://www.facebook.com/634639855377280/posts/816721183835812?comment_id=333060073078138&amp;reply_comment_id=1465191790734195")</f>
        <v>https://www.facebook.com/634639855377280/posts/816721183835812?comment_id=333060073078138&amp;reply_comment_id=1465191790734195</v>
      </c>
      <c r="K219" t="s">
        <v>67</v>
      </c>
      <c r="O219">
        <v>0</v>
      </c>
      <c r="P219">
        <v>0</v>
      </c>
      <c r="Q219">
        <v>0</v>
      </c>
      <c r="S219">
        <v>0</v>
      </c>
      <c r="T219">
        <v>0</v>
      </c>
      <c r="U219">
        <v>0</v>
      </c>
      <c r="W219" t="s">
        <v>52</v>
      </c>
    </row>
    <row r="220" spans="1:23" x14ac:dyDescent="0.35">
      <c r="A220" t="s">
        <v>45</v>
      </c>
      <c r="B220" t="s">
        <v>456</v>
      </c>
      <c r="C220" t="s">
        <v>60</v>
      </c>
      <c r="D220" t="s">
        <v>61</v>
      </c>
      <c r="E220" t="s">
        <v>61</v>
      </c>
      <c r="F220" t="s">
        <v>49</v>
      </c>
      <c r="G220" t="s">
        <v>517</v>
      </c>
      <c r="H220" t="s">
        <v>518</v>
      </c>
      <c r="J220" t="str">
        <f>HYPERLINK("https://www.facebook.com/634639855377280/posts/817402500434347?comment_id=7521799524532722","https://www.facebook.com/634639855377280/posts/817402500434347?comment_id=7521799524532722")</f>
        <v>https://www.facebook.com/634639855377280/posts/817402500434347?comment_id=7521799524532722</v>
      </c>
      <c r="O220">
        <v>0</v>
      </c>
      <c r="P220">
        <v>0</v>
      </c>
      <c r="Q220">
        <v>0</v>
      </c>
      <c r="S220">
        <v>0</v>
      </c>
      <c r="T220">
        <v>0</v>
      </c>
      <c r="U220">
        <v>0</v>
      </c>
      <c r="W220" t="s">
        <v>52</v>
      </c>
    </row>
    <row r="221" spans="1:23" x14ac:dyDescent="0.35">
      <c r="A221" t="s">
        <v>45</v>
      </c>
      <c r="B221" t="s">
        <v>456</v>
      </c>
      <c r="C221" t="s">
        <v>60</v>
      </c>
      <c r="D221" t="s">
        <v>64</v>
      </c>
      <c r="E221" t="s">
        <v>64</v>
      </c>
      <c r="F221" t="s">
        <v>49</v>
      </c>
      <c r="G221" t="s">
        <v>280</v>
      </c>
      <c r="H221" t="s">
        <v>519</v>
      </c>
      <c r="J221" t="str">
        <f>HYPERLINK("https://www.facebook.com/634639855377280/posts/817402500434347?comment_id=437722225452422&amp;reply_comment_id=2343009552572009","https://www.facebook.com/634639855377280/posts/817402500434347?comment_id=437722225452422&amp;reply_comment_id=2343009552572009")</f>
        <v>https://www.facebook.com/634639855377280/posts/817402500434347?comment_id=437722225452422&amp;reply_comment_id=2343009552572009</v>
      </c>
      <c r="K221" t="s">
        <v>67</v>
      </c>
      <c r="O221">
        <v>0</v>
      </c>
      <c r="P221">
        <v>0</v>
      </c>
      <c r="Q221">
        <v>0</v>
      </c>
      <c r="S221">
        <v>0</v>
      </c>
      <c r="T221">
        <v>0</v>
      </c>
      <c r="U221">
        <v>0</v>
      </c>
      <c r="W221" t="s">
        <v>52</v>
      </c>
    </row>
    <row r="222" spans="1:23" x14ac:dyDescent="0.35">
      <c r="A222" t="s">
        <v>45</v>
      </c>
      <c r="B222" t="s">
        <v>456</v>
      </c>
      <c r="C222" t="s">
        <v>93</v>
      </c>
      <c r="D222" t="s">
        <v>94</v>
      </c>
      <c r="E222" t="s">
        <v>45</v>
      </c>
      <c r="F222" t="s">
        <v>49</v>
      </c>
      <c r="G222" t="s">
        <v>520</v>
      </c>
      <c r="H222" t="s">
        <v>521</v>
      </c>
      <c r="J222" t="str">
        <f>HYPERLINK("https://twitter.com/SpiceMoneyIndia/status/1773668728925814810","https://twitter.com/SpiceMoneyIndia/status/1773668728925814810")</f>
        <v>https://twitter.com/SpiceMoneyIndia/status/1773668728925814810</v>
      </c>
      <c r="K222" t="s">
        <v>67</v>
      </c>
      <c r="O222">
        <v>0</v>
      </c>
      <c r="P222">
        <v>0</v>
      </c>
      <c r="Q222">
        <v>6095</v>
      </c>
      <c r="R222" t="s">
        <v>97</v>
      </c>
      <c r="S222">
        <v>0</v>
      </c>
      <c r="T222">
        <v>0</v>
      </c>
      <c r="U222">
        <v>0</v>
      </c>
      <c r="V222" t="s">
        <v>98</v>
      </c>
      <c r="W222" t="s">
        <v>99</v>
      </c>
    </row>
    <row r="223" spans="1:23" x14ac:dyDescent="0.35">
      <c r="A223" t="s">
        <v>45</v>
      </c>
      <c r="B223" t="s">
        <v>456</v>
      </c>
      <c r="C223" t="s">
        <v>93</v>
      </c>
      <c r="D223" t="s">
        <v>94</v>
      </c>
      <c r="E223" t="s">
        <v>45</v>
      </c>
      <c r="F223" t="s">
        <v>49</v>
      </c>
      <c r="G223" t="s">
        <v>522</v>
      </c>
      <c r="H223" t="s">
        <v>523</v>
      </c>
      <c r="J223" t="str">
        <f>HYPERLINK("https://twitter.com/SpiceMoneyIndia/status/1773667646266921232","https://twitter.com/SpiceMoneyIndia/status/1773667646266921232")</f>
        <v>https://twitter.com/SpiceMoneyIndia/status/1773667646266921232</v>
      </c>
      <c r="K223" t="s">
        <v>67</v>
      </c>
      <c r="O223">
        <v>0</v>
      </c>
      <c r="P223">
        <v>0</v>
      </c>
      <c r="Q223">
        <v>6095</v>
      </c>
      <c r="R223" t="s">
        <v>97</v>
      </c>
      <c r="S223">
        <v>0</v>
      </c>
      <c r="T223">
        <v>0</v>
      </c>
      <c r="U223">
        <v>0</v>
      </c>
      <c r="V223" t="s">
        <v>98</v>
      </c>
      <c r="W223" t="s">
        <v>99</v>
      </c>
    </row>
    <row r="224" spans="1:23" x14ac:dyDescent="0.35">
      <c r="A224" t="s">
        <v>45</v>
      </c>
      <c r="B224" t="s">
        <v>456</v>
      </c>
      <c r="C224" t="s">
        <v>60</v>
      </c>
      <c r="D224" t="s">
        <v>64</v>
      </c>
      <c r="E224" t="s">
        <v>64</v>
      </c>
      <c r="F224" t="s">
        <v>49</v>
      </c>
      <c r="G224" t="s">
        <v>280</v>
      </c>
      <c r="H224" t="s">
        <v>524</v>
      </c>
      <c r="J224" t="str">
        <f>HYPERLINK("https://www.facebook.com/634639855377280/posts/816721183835812?comment_id=408207218473295&amp;reply_comment_id=1102078324456388","https://www.facebook.com/634639855377280/posts/816721183835812?comment_id=408207218473295&amp;reply_comment_id=1102078324456388")</f>
        <v>https://www.facebook.com/634639855377280/posts/816721183835812?comment_id=408207218473295&amp;reply_comment_id=1102078324456388</v>
      </c>
      <c r="K224" t="s">
        <v>67</v>
      </c>
      <c r="O224">
        <v>0</v>
      </c>
      <c r="P224">
        <v>0</v>
      </c>
      <c r="Q224">
        <v>0</v>
      </c>
      <c r="S224">
        <v>0</v>
      </c>
      <c r="T224">
        <v>0</v>
      </c>
      <c r="U224">
        <v>0</v>
      </c>
      <c r="W224" t="s">
        <v>52</v>
      </c>
    </row>
    <row r="225" spans="1:23" x14ac:dyDescent="0.35">
      <c r="A225" t="s">
        <v>45</v>
      </c>
      <c r="B225" t="s">
        <v>456</v>
      </c>
      <c r="C225" t="s">
        <v>60</v>
      </c>
      <c r="D225" t="s">
        <v>64</v>
      </c>
      <c r="E225" t="s">
        <v>64</v>
      </c>
      <c r="F225" t="s">
        <v>49</v>
      </c>
      <c r="G225" t="s">
        <v>100</v>
      </c>
      <c r="H225" t="s">
        <v>525</v>
      </c>
      <c r="J225" t="str">
        <f>HYPERLINK("https://www.facebook.com/634639855377280/posts/816721183835812?comment_id=408207218473295&amp;reply_comment_id=1147246542958306","https://www.facebook.com/634639855377280/posts/816721183835812?comment_id=408207218473295&amp;reply_comment_id=1147246542958306")</f>
        <v>https://www.facebook.com/634639855377280/posts/816721183835812?comment_id=408207218473295&amp;reply_comment_id=1147246542958306</v>
      </c>
      <c r="K225" t="s">
        <v>67</v>
      </c>
      <c r="O225">
        <v>0</v>
      </c>
      <c r="P225">
        <v>0</v>
      </c>
      <c r="Q225">
        <v>0</v>
      </c>
      <c r="S225">
        <v>0</v>
      </c>
      <c r="T225">
        <v>0</v>
      </c>
      <c r="U225">
        <v>0</v>
      </c>
      <c r="W225" t="s">
        <v>52</v>
      </c>
    </row>
    <row r="226" spans="1:23" x14ac:dyDescent="0.35">
      <c r="A226" t="s">
        <v>45</v>
      </c>
      <c r="B226" t="s">
        <v>456</v>
      </c>
      <c r="C226" t="s">
        <v>47</v>
      </c>
      <c r="D226" t="s">
        <v>526</v>
      </c>
      <c r="E226" t="s">
        <v>526</v>
      </c>
      <c r="F226" t="s">
        <v>49</v>
      </c>
      <c r="G226" t="s">
        <v>527</v>
      </c>
      <c r="H226" t="s">
        <v>528</v>
      </c>
      <c r="J226" t="str">
        <f>HYPERLINK("https://www.youtube.com/watch?v=7pMfSyYFp5U&amp;lc=UgzPRsqLbDfz88_LIMh4AaABAg.A1TjFanLOGEA1ZbBBuVp3V","https://www.youtube.com/watch?v=7pMfSyYFp5U&amp;lc=UgzPRsqLbDfz88_LIMh4AaABAg.A1TjFanLOGEA1ZbBBuVp3V")</f>
        <v>https://www.youtube.com/watch?v=7pMfSyYFp5U&amp;lc=UgzPRsqLbDfz88_LIMh4AaABAg.A1TjFanLOGEA1ZbBBuVp3V</v>
      </c>
      <c r="O226">
        <v>0</v>
      </c>
      <c r="P226">
        <v>0</v>
      </c>
      <c r="Q226">
        <v>0</v>
      </c>
      <c r="S226">
        <v>0</v>
      </c>
      <c r="T226">
        <v>0</v>
      </c>
      <c r="U226">
        <v>0</v>
      </c>
      <c r="W226" t="s">
        <v>52</v>
      </c>
    </row>
    <row r="227" spans="1:23" x14ac:dyDescent="0.35">
      <c r="A227" t="s">
        <v>45</v>
      </c>
      <c r="B227" t="s">
        <v>456</v>
      </c>
      <c r="C227" t="s">
        <v>47</v>
      </c>
      <c r="D227" t="s">
        <v>68</v>
      </c>
      <c r="E227" t="s">
        <v>68</v>
      </c>
      <c r="F227" t="s">
        <v>49</v>
      </c>
      <c r="G227" t="s">
        <v>102</v>
      </c>
      <c r="H227" t="s">
        <v>529</v>
      </c>
      <c r="J227" t="str">
        <f>HYPERLINK("https://www.youtube.com/watch?v=XnF5-uLfaHg&amp;lc=Ugy_DzlWYlLga1B8de94AaABAg.A1Z6zajlwPqA1ZaOWATOBn","https://www.youtube.com/watch?v=XnF5-uLfaHg&amp;lc=Ugy_DzlWYlLga1B8de94AaABAg.A1Z6zajlwPqA1ZaOWATOBn")</f>
        <v>https://www.youtube.com/watch?v=XnF5-uLfaHg&amp;lc=Ugy_DzlWYlLga1B8de94AaABAg.A1Z6zajlwPqA1ZaOWATOBn</v>
      </c>
      <c r="O227">
        <v>0</v>
      </c>
      <c r="P227">
        <v>0</v>
      </c>
      <c r="Q227">
        <v>0</v>
      </c>
      <c r="S227">
        <v>0</v>
      </c>
      <c r="T227">
        <v>0</v>
      </c>
      <c r="U227">
        <v>0</v>
      </c>
      <c r="W227" t="s">
        <v>52</v>
      </c>
    </row>
    <row r="228" spans="1:23" x14ac:dyDescent="0.35">
      <c r="A228" t="s">
        <v>45</v>
      </c>
      <c r="B228" t="s">
        <v>456</v>
      </c>
      <c r="C228" t="s">
        <v>47</v>
      </c>
      <c r="D228" t="s">
        <v>530</v>
      </c>
      <c r="E228" t="s">
        <v>530</v>
      </c>
      <c r="F228" t="s">
        <v>49</v>
      </c>
      <c r="G228" t="s">
        <v>531</v>
      </c>
      <c r="H228" t="s">
        <v>532</v>
      </c>
      <c r="J228" t="str">
        <f>HYPERLINK("https://www.youtube.com/watch?v=7pMfSyYFp5U&amp;lc=UgzPRsqLbDfz88_LIMh4AaABAg.A1TjFanLOGEA1Za7cRzD8e","https://www.youtube.com/watch?v=7pMfSyYFp5U&amp;lc=UgzPRsqLbDfz88_LIMh4AaABAg.A1TjFanLOGEA1Za7cRzD8e")</f>
        <v>https://www.youtube.com/watch?v=7pMfSyYFp5U&amp;lc=UgzPRsqLbDfz88_LIMh4AaABAg.A1TjFanLOGEA1Za7cRzD8e</v>
      </c>
      <c r="O228">
        <v>0</v>
      </c>
      <c r="P228">
        <v>0</v>
      </c>
      <c r="Q228">
        <v>0</v>
      </c>
      <c r="S228">
        <v>0</v>
      </c>
      <c r="T228">
        <v>0</v>
      </c>
      <c r="U228">
        <v>0</v>
      </c>
      <c r="W228" t="s">
        <v>52</v>
      </c>
    </row>
    <row r="229" spans="1:23" x14ac:dyDescent="0.35">
      <c r="A229" t="s">
        <v>45</v>
      </c>
      <c r="B229" t="s">
        <v>456</v>
      </c>
      <c r="C229" t="s">
        <v>47</v>
      </c>
      <c r="D229" t="s">
        <v>68</v>
      </c>
      <c r="E229" t="s">
        <v>68</v>
      </c>
      <c r="F229" t="s">
        <v>49</v>
      </c>
      <c r="G229" t="s">
        <v>102</v>
      </c>
      <c r="H229" t="s">
        <v>533</v>
      </c>
      <c r="J229" t="str">
        <f>HYPERLINK("https://www.youtube.com/watch?v=7pMfSyYFp5U&amp;lc=UgzZt3iAvqFn0-jMnDt4AaABAg.A1Z4AVGbaqJA1Z_pUC6Vpp","https://www.youtube.com/watch?v=7pMfSyYFp5U&amp;lc=UgzZt3iAvqFn0-jMnDt4AaABAg.A1Z4AVGbaqJA1Z_pUC6Vpp")</f>
        <v>https://www.youtube.com/watch?v=7pMfSyYFp5U&amp;lc=UgzZt3iAvqFn0-jMnDt4AaABAg.A1Z4AVGbaqJA1Z_pUC6Vpp</v>
      </c>
      <c r="O229">
        <v>0</v>
      </c>
      <c r="P229">
        <v>0</v>
      </c>
      <c r="Q229">
        <v>0</v>
      </c>
      <c r="S229">
        <v>0</v>
      </c>
      <c r="T229">
        <v>0</v>
      </c>
      <c r="U229">
        <v>0</v>
      </c>
      <c r="W229" t="s">
        <v>52</v>
      </c>
    </row>
    <row r="230" spans="1:23" x14ac:dyDescent="0.35">
      <c r="A230" t="s">
        <v>45</v>
      </c>
      <c r="B230" t="s">
        <v>456</v>
      </c>
      <c r="C230" t="s">
        <v>47</v>
      </c>
      <c r="D230" t="s">
        <v>68</v>
      </c>
      <c r="E230" t="s">
        <v>68</v>
      </c>
      <c r="F230" t="s">
        <v>49</v>
      </c>
      <c r="G230" t="s">
        <v>162</v>
      </c>
      <c r="H230" t="s">
        <v>534</v>
      </c>
      <c r="J230" t="str">
        <f>HYPERLINK("https://www.youtube.com/watch?v=7pMfSyYFp5U&amp;lc=Ugznmiyy_JCwR1kWQGt4AaABAg.A1YxS7TJrLFA1Z_SBmnuJC","https://www.youtube.com/watch?v=7pMfSyYFp5U&amp;lc=Ugznmiyy_JCwR1kWQGt4AaABAg.A1YxS7TJrLFA1Z_SBmnuJC")</f>
        <v>https://www.youtube.com/watch?v=7pMfSyYFp5U&amp;lc=Ugznmiyy_JCwR1kWQGt4AaABAg.A1YxS7TJrLFA1Z_SBmnuJC</v>
      </c>
      <c r="O230">
        <v>0</v>
      </c>
      <c r="P230">
        <v>0</v>
      </c>
      <c r="Q230">
        <v>0</v>
      </c>
      <c r="S230">
        <v>0</v>
      </c>
      <c r="T230">
        <v>0</v>
      </c>
      <c r="U230">
        <v>0</v>
      </c>
      <c r="W230" t="s">
        <v>52</v>
      </c>
    </row>
    <row r="231" spans="1:23" x14ac:dyDescent="0.35">
      <c r="A231" t="s">
        <v>45</v>
      </c>
      <c r="B231" t="s">
        <v>456</v>
      </c>
      <c r="C231" t="s">
        <v>60</v>
      </c>
      <c r="D231" t="s">
        <v>61</v>
      </c>
      <c r="E231" t="s">
        <v>61</v>
      </c>
      <c r="F231" t="s">
        <v>193</v>
      </c>
      <c r="G231" t="s">
        <v>535</v>
      </c>
      <c r="H231" t="s">
        <v>536</v>
      </c>
      <c r="J231" t="str">
        <f>HYPERLINK("https://www.facebook.com/634639855377280/posts/817402500434347?comment_id=1408066656508894","https://www.facebook.com/634639855377280/posts/817402500434347?comment_id=1408066656508894")</f>
        <v>https://www.facebook.com/634639855377280/posts/817402500434347?comment_id=1408066656508894</v>
      </c>
      <c r="O231">
        <v>0</v>
      </c>
      <c r="P231">
        <v>0</v>
      </c>
      <c r="Q231">
        <v>0</v>
      </c>
      <c r="S231">
        <v>0</v>
      </c>
      <c r="T231">
        <v>0</v>
      </c>
      <c r="U231">
        <v>0</v>
      </c>
      <c r="W231" t="s">
        <v>52</v>
      </c>
    </row>
    <row r="232" spans="1:23" x14ac:dyDescent="0.35">
      <c r="A232" t="s">
        <v>45</v>
      </c>
      <c r="B232" t="s">
        <v>456</v>
      </c>
      <c r="C232" t="s">
        <v>47</v>
      </c>
      <c r="D232" t="s">
        <v>537</v>
      </c>
      <c r="E232" t="s">
        <v>537</v>
      </c>
      <c r="F232" t="s">
        <v>49</v>
      </c>
      <c r="G232" t="s">
        <v>538</v>
      </c>
      <c r="H232" t="s">
        <v>539</v>
      </c>
      <c r="J232" t="str">
        <f>HYPERLINK("https://www.youtube.com/watch?v=XnF5-uLfaHg&amp;lc=UgyOLvpIt04rpaqdkE14AaABAg.A1WDTyyqxYOA1ZWrYRSK8d","https://www.youtube.com/watch?v=XnF5-uLfaHg&amp;lc=UgyOLvpIt04rpaqdkE14AaABAg.A1WDTyyqxYOA1ZWrYRSK8d")</f>
        <v>https://www.youtube.com/watch?v=XnF5-uLfaHg&amp;lc=UgyOLvpIt04rpaqdkE14AaABAg.A1WDTyyqxYOA1ZWrYRSK8d</v>
      </c>
      <c r="O232">
        <v>0</v>
      </c>
      <c r="P232">
        <v>0</v>
      </c>
      <c r="Q232">
        <v>0</v>
      </c>
      <c r="S232">
        <v>0</v>
      </c>
      <c r="T232">
        <v>0</v>
      </c>
      <c r="U232">
        <v>0</v>
      </c>
      <c r="W232" t="s">
        <v>52</v>
      </c>
    </row>
    <row r="233" spans="1:23" x14ac:dyDescent="0.35">
      <c r="A233" t="s">
        <v>45</v>
      </c>
      <c r="B233" t="s">
        <v>456</v>
      </c>
      <c r="C233" t="s">
        <v>60</v>
      </c>
      <c r="D233" t="s">
        <v>61</v>
      </c>
      <c r="E233" t="s">
        <v>61</v>
      </c>
      <c r="F233" t="s">
        <v>49</v>
      </c>
      <c r="G233" t="s">
        <v>540</v>
      </c>
      <c r="H233" t="s">
        <v>541</v>
      </c>
      <c r="J233" t="str">
        <f>HYPERLINK("https://www.facebook.com/634639855377280/posts/816150883892842?comment_id=368565269493972","https://www.facebook.com/634639855377280/posts/816150883892842?comment_id=368565269493972")</f>
        <v>https://www.facebook.com/634639855377280/posts/816150883892842?comment_id=368565269493972</v>
      </c>
      <c r="O233">
        <v>0</v>
      </c>
      <c r="P233">
        <v>0</v>
      </c>
      <c r="Q233">
        <v>0</v>
      </c>
      <c r="S233">
        <v>0</v>
      </c>
      <c r="T233">
        <v>0</v>
      </c>
      <c r="U233">
        <v>0</v>
      </c>
      <c r="W233" t="s">
        <v>52</v>
      </c>
    </row>
    <row r="234" spans="1:23" x14ac:dyDescent="0.35">
      <c r="A234" t="s">
        <v>45</v>
      </c>
      <c r="B234" t="s">
        <v>456</v>
      </c>
      <c r="C234" t="s">
        <v>47</v>
      </c>
      <c r="D234" t="s">
        <v>331</v>
      </c>
      <c r="E234" t="s">
        <v>331</v>
      </c>
      <c r="F234" t="s">
        <v>49</v>
      </c>
      <c r="G234" t="s">
        <v>542</v>
      </c>
      <c r="H234" t="s">
        <v>543</v>
      </c>
      <c r="J234" t="str">
        <f>HYPERLINK("https://www.youtube.com/watch?v=XnF5-uLfaHg&amp;lc=Ugxa8QqLJD0KAeWVGzd4AaABAg","https://www.youtube.com/watch?v=XnF5-uLfaHg&amp;lc=Ugxa8QqLJD0KAeWVGzd4AaABAg")</f>
        <v>https://www.youtube.com/watch?v=XnF5-uLfaHg&amp;lc=Ugxa8QqLJD0KAeWVGzd4AaABAg</v>
      </c>
      <c r="O234">
        <v>0</v>
      </c>
      <c r="P234">
        <v>0</v>
      </c>
      <c r="Q234">
        <v>0</v>
      </c>
      <c r="S234">
        <v>0</v>
      </c>
      <c r="T234">
        <v>0</v>
      </c>
      <c r="U234">
        <v>0</v>
      </c>
      <c r="W234" t="s">
        <v>52</v>
      </c>
    </row>
    <row r="235" spans="1:23" x14ac:dyDescent="0.35">
      <c r="A235" t="s">
        <v>45</v>
      </c>
      <c r="B235" t="s">
        <v>456</v>
      </c>
      <c r="C235" t="s">
        <v>47</v>
      </c>
      <c r="D235" t="s">
        <v>331</v>
      </c>
      <c r="E235" t="s">
        <v>331</v>
      </c>
      <c r="F235" t="s">
        <v>49</v>
      </c>
      <c r="G235" t="s">
        <v>544</v>
      </c>
      <c r="H235" t="s">
        <v>545</v>
      </c>
      <c r="J235" t="str">
        <f>HYPERLINK("https://www.youtube.com/watch?v=XnF5-uLfaHg&amp;lc=Ugwvl_CsswIemJHrB5R4AaABAg","https://www.youtube.com/watch?v=XnF5-uLfaHg&amp;lc=Ugwvl_CsswIemJHrB5R4AaABAg")</f>
        <v>https://www.youtube.com/watch?v=XnF5-uLfaHg&amp;lc=Ugwvl_CsswIemJHrB5R4AaABAg</v>
      </c>
      <c r="O235">
        <v>0</v>
      </c>
      <c r="P235">
        <v>0</v>
      </c>
      <c r="Q235">
        <v>0</v>
      </c>
      <c r="S235">
        <v>0</v>
      </c>
      <c r="T235">
        <v>0</v>
      </c>
      <c r="U235">
        <v>0</v>
      </c>
      <c r="W235" t="s">
        <v>52</v>
      </c>
    </row>
    <row r="236" spans="1:23" x14ac:dyDescent="0.35">
      <c r="A236" t="s">
        <v>45</v>
      </c>
      <c r="B236" t="s">
        <v>456</v>
      </c>
      <c r="C236" t="s">
        <v>60</v>
      </c>
      <c r="D236" t="s">
        <v>61</v>
      </c>
      <c r="E236" t="s">
        <v>61</v>
      </c>
      <c r="F236" t="s">
        <v>49</v>
      </c>
      <c r="G236" t="s">
        <v>546</v>
      </c>
      <c r="H236" t="s">
        <v>547</v>
      </c>
      <c r="J236" t="str">
        <f>HYPERLINK("https://www.facebook.com/634639855377280/posts/817402500434347?comment_id=1078545226591296","https://www.facebook.com/634639855377280/posts/817402500434347?comment_id=1078545226591296")</f>
        <v>https://www.facebook.com/634639855377280/posts/817402500434347?comment_id=1078545226591296</v>
      </c>
      <c r="O236">
        <v>0</v>
      </c>
      <c r="P236">
        <v>0</v>
      </c>
      <c r="Q236">
        <v>0</v>
      </c>
      <c r="S236">
        <v>0</v>
      </c>
      <c r="T236">
        <v>0</v>
      </c>
      <c r="U236">
        <v>0</v>
      </c>
      <c r="W236" t="s">
        <v>52</v>
      </c>
    </row>
    <row r="237" spans="1:23" x14ac:dyDescent="0.35">
      <c r="A237" t="s">
        <v>45</v>
      </c>
      <c r="B237" t="s">
        <v>456</v>
      </c>
      <c r="C237" t="s">
        <v>60</v>
      </c>
      <c r="D237" t="s">
        <v>61</v>
      </c>
      <c r="E237" t="s">
        <v>61</v>
      </c>
      <c r="F237" t="s">
        <v>49</v>
      </c>
      <c r="G237" t="s">
        <v>548</v>
      </c>
      <c r="H237" t="s">
        <v>549</v>
      </c>
      <c r="J237" t="str">
        <f>HYPERLINK("https://www.facebook.com/634639855377280/posts/817402500434347?comment_id=1025390969210051","https://www.facebook.com/634639855377280/posts/817402500434347?comment_id=1025390969210051")</f>
        <v>https://www.facebook.com/634639855377280/posts/817402500434347?comment_id=1025390969210051</v>
      </c>
      <c r="O237">
        <v>0</v>
      </c>
      <c r="P237">
        <v>0</v>
      </c>
      <c r="Q237">
        <v>0</v>
      </c>
      <c r="S237">
        <v>0</v>
      </c>
      <c r="T237">
        <v>0</v>
      </c>
      <c r="U237">
        <v>0</v>
      </c>
      <c r="W237" t="s">
        <v>52</v>
      </c>
    </row>
    <row r="238" spans="1:23" x14ac:dyDescent="0.35">
      <c r="A238" t="s">
        <v>45</v>
      </c>
      <c r="B238" t="s">
        <v>456</v>
      </c>
      <c r="C238" t="s">
        <v>47</v>
      </c>
      <c r="D238" t="s">
        <v>550</v>
      </c>
      <c r="E238" t="s">
        <v>550</v>
      </c>
      <c r="F238" t="s">
        <v>54</v>
      </c>
      <c r="G238" t="s">
        <v>551</v>
      </c>
      <c r="H238" t="s">
        <v>552</v>
      </c>
      <c r="J238" t="str">
        <f>HYPERLINK("https://www.youtube.com/watch?v=XnF5-uLfaHg&amp;lc=Ugy_DzlWYlLga1B8de94AaABAg","https://www.youtube.com/watch?v=XnF5-uLfaHg&amp;lc=Ugy_DzlWYlLga1B8de94AaABAg")</f>
        <v>https://www.youtube.com/watch?v=XnF5-uLfaHg&amp;lc=Ugy_DzlWYlLga1B8de94AaABAg</v>
      </c>
      <c r="O238">
        <v>0</v>
      </c>
      <c r="P238">
        <v>0</v>
      </c>
      <c r="Q238">
        <v>0</v>
      </c>
      <c r="S238">
        <v>0</v>
      </c>
      <c r="T238">
        <v>0</v>
      </c>
      <c r="U238">
        <v>0</v>
      </c>
      <c r="W238" t="s">
        <v>52</v>
      </c>
    </row>
    <row r="239" spans="1:23" x14ac:dyDescent="0.35">
      <c r="A239" t="s">
        <v>45</v>
      </c>
      <c r="B239" t="s">
        <v>456</v>
      </c>
      <c r="C239" t="s">
        <v>47</v>
      </c>
      <c r="D239" t="s">
        <v>553</v>
      </c>
      <c r="E239" t="s">
        <v>553</v>
      </c>
      <c r="F239" t="s">
        <v>49</v>
      </c>
      <c r="G239" t="s">
        <v>554</v>
      </c>
      <c r="H239" t="s">
        <v>555</v>
      </c>
      <c r="J239" t="str">
        <f>HYPERLINK("https://www.youtube.com/watch?v=7pMfSyYFp5U&amp;lc=UgxeoDcSNkD_fyLOXLB4AaABAg","https://www.youtube.com/watch?v=7pMfSyYFp5U&amp;lc=UgxeoDcSNkD_fyLOXLB4AaABAg")</f>
        <v>https://www.youtube.com/watch?v=7pMfSyYFp5U&amp;lc=UgxeoDcSNkD_fyLOXLB4AaABAg</v>
      </c>
      <c r="O239">
        <v>0</v>
      </c>
      <c r="P239">
        <v>0</v>
      </c>
      <c r="Q239">
        <v>0</v>
      </c>
      <c r="S239">
        <v>0</v>
      </c>
      <c r="T239">
        <v>0</v>
      </c>
      <c r="U239">
        <v>0</v>
      </c>
      <c r="W239" t="s">
        <v>52</v>
      </c>
    </row>
    <row r="240" spans="1:23" x14ac:dyDescent="0.35">
      <c r="A240" t="s">
        <v>45</v>
      </c>
      <c r="B240" t="s">
        <v>456</v>
      </c>
      <c r="C240" t="s">
        <v>47</v>
      </c>
      <c r="D240" t="s">
        <v>556</v>
      </c>
      <c r="E240" t="s">
        <v>556</v>
      </c>
      <c r="F240" t="s">
        <v>49</v>
      </c>
      <c r="G240" t="s">
        <v>557</v>
      </c>
      <c r="H240" t="s">
        <v>558</v>
      </c>
      <c r="J240" t="str">
        <f>HYPERLINK("https://www.youtube.com/watch?v=7pMfSyYFp5U&amp;lc=UgzZt3iAvqFn0-jMnDt4AaABAg","https://www.youtube.com/watch?v=7pMfSyYFp5U&amp;lc=UgzZt3iAvqFn0-jMnDt4AaABAg")</f>
        <v>https://www.youtube.com/watch?v=7pMfSyYFp5U&amp;lc=UgzZt3iAvqFn0-jMnDt4AaABAg</v>
      </c>
      <c r="O240">
        <v>0</v>
      </c>
      <c r="P240">
        <v>0</v>
      </c>
      <c r="Q240">
        <v>0</v>
      </c>
      <c r="S240">
        <v>0</v>
      </c>
      <c r="T240">
        <v>0</v>
      </c>
      <c r="U240">
        <v>0</v>
      </c>
      <c r="W240" t="s">
        <v>52</v>
      </c>
    </row>
    <row r="241" spans="1:23" x14ac:dyDescent="0.35">
      <c r="A241" t="s">
        <v>45</v>
      </c>
      <c r="B241" t="s">
        <v>456</v>
      </c>
      <c r="C241" t="s">
        <v>60</v>
      </c>
      <c r="D241" t="s">
        <v>61</v>
      </c>
      <c r="E241" t="s">
        <v>61</v>
      </c>
      <c r="F241" t="s">
        <v>49</v>
      </c>
      <c r="G241" t="s">
        <v>559</v>
      </c>
      <c r="H241" t="s">
        <v>560</v>
      </c>
      <c r="J241" t="str">
        <f>HYPERLINK("https://www.facebook.com/634639855377280/posts/817402500434347?comment_id=3794736320755159","https://www.facebook.com/634639855377280/posts/817402500434347?comment_id=3794736320755159")</f>
        <v>https://www.facebook.com/634639855377280/posts/817402500434347?comment_id=3794736320755159</v>
      </c>
      <c r="O241">
        <v>0</v>
      </c>
      <c r="P241">
        <v>0</v>
      </c>
      <c r="Q241">
        <v>0</v>
      </c>
      <c r="S241">
        <v>0</v>
      </c>
      <c r="T241">
        <v>0</v>
      </c>
      <c r="U241">
        <v>0</v>
      </c>
      <c r="W241" t="s">
        <v>52</v>
      </c>
    </row>
    <row r="242" spans="1:23" x14ac:dyDescent="0.35">
      <c r="A242" t="s">
        <v>45</v>
      </c>
      <c r="B242" t="s">
        <v>456</v>
      </c>
      <c r="C242" t="s">
        <v>60</v>
      </c>
      <c r="D242" t="s">
        <v>61</v>
      </c>
      <c r="E242" t="s">
        <v>61</v>
      </c>
      <c r="F242" t="s">
        <v>49</v>
      </c>
      <c r="G242" t="s">
        <v>561</v>
      </c>
      <c r="H242" t="s">
        <v>562</v>
      </c>
      <c r="J242" t="str">
        <f>HYPERLINK("https://www.facebook.com/634639855377280/posts/817402500434347?comment_id=437722225452422","https://www.facebook.com/634639855377280/posts/817402500434347?comment_id=437722225452422")</f>
        <v>https://www.facebook.com/634639855377280/posts/817402500434347?comment_id=437722225452422</v>
      </c>
      <c r="O242">
        <v>0</v>
      </c>
      <c r="P242">
        <v>0</v>
      </c>
      <c r="Q242">
        <v>0</v>
      </c>
      <c r="S242">
        <v>0</v>
      </c>
      <c r="T242">
        <v>0</v>
      </c>
      <c r="U242">
        <v>0</v>
      </c>
      <c r="W242" t="s">
        <v>52</v>
      </c>
    </row>
    <row r="243" spans="1:23" x14ac:dyDescent="0.35">
      <c r="A243" t="s">
        <v>45</v>
      </c>
      <c r="B243" t="s">
        <v>456</v>
      </c>
      <c r="C243" t="s">
        <v>47</v>
      </c>
      <c r="D243" t="s">
        <v>563</v>
      </c>
      <c r="E243" t="s">
        <v>563</v>
      </c>
      <c r="F243" t="s">
        <v>49</v>
      </c>
      <c r="G243" t="s">
        <v>564</v>
      </c>
      <c r="H243" t="s">
        <v>565</v>
      </c>
      <c r="J243" t="str">
        <f>HYPERLINK("https://www.youtube.com/watch?v=fi0KMSdJZZY&amp;lc=Ugw2t0SR3ZK0B1SHeAZ4AaABAg","https://www.youtube.com/watch?v=fi0KMSdJZZY&amp;lc=Ugw2t0SR3ZK0B1SHeAZ4AaABAg")</f>
        <v>https://www.youtube.com/watch?v=fi0KMSdJZZY&amp;lc=Ugw2t0SR3ZK0B1SHeAZ4AaABAg</v>
      </c>
      <c r="O243">
        <v>0</v>
      </c>
      <c r="P243">
        <v>0</v>
      </c>
      <c r="Q243">
        <v>0</v>
      </c>
      <c r="S243">
        <v>0</v>
      </c>
      <c r="T243">
        <v>0</v>
      </c>
      <c r="U243">
        <v>0</v>
      </c>
      <c r="W243" t="s">
        <v>52</v>
      </c>
    </row>
    <row r="244" spans="1:23" x14ac:dyDescent="0.35">
      <c r="A244" t="s">
        <v>45</v>
      </c>
      <c r="B244" t="s">
        <v>456</v>
      </c>
      <c r="C244" t="s">
        <v>47</v>
      </c>
      <c r="D244" t="s">
        <v>566</v>
      </c>
      <c r="E244" t="s">
        <v>566</v>
      </c>
      <c r="F244" t="s">
        <v>49</v>
      </c>
      <c r="G244" t="s">
        <v>567</v>
      </c>
      <c r="H244" t="s">
        <v>568</v>
      </c>
      <c r="J244" t="str">
        <f>HYPERLINK("https://www.youtube.com/watch?v=7pMfSyYFp5U&amp;lc=Ugznmiyy_JCwR1kWQGt4AaABAg","https://www.youtube.com/watch?v=7pMfSyYFp5U&amp;lc=Ugznmiyy_JCwR1kWQGt4AaABAg")</f>
        <v>https://www.youtube.com/watch?v=7pMfSyYFp5U&amp;lc=Ugznmiyy_JCwR1kWQGt4AaABAg</v>
      </c>
      <c r="O244">
        <v>0</v>
      </c>
      <c r="P244">
        <v>0</v>
      </c>
      <c r="Q244">
        <v>0</v>
      </c>
      <c r="S244">
        <v>0</v>
      </c>
      <c r="T244">
        <v>0</v>
      </c>
      <c r="U244">
        <v>0</v>
      </c>
      <c r="W244" t="s">
        <v>52</v>
      </c>
    </row>
    <row r="245" spans="1:23" x14ac:dyDescent="0.35">
      <c r="A245" t="s">
        <v>45</v>
      </c>
      <c r="B245" t="s">
        <v>456</v>
      </c>
      <c r="C245" t="s">
        <v>93</v>
      </c>
      <c r="D245" t="s">
        <v>569</v>
      </c>
      <c r="E245" t="s">
        <v>570</v>
      </c>
      <c r="F245" t="s">
        <v>193</v>
      </c>
      <c r="G245" t="s">
        <v>571</v>
      </c>
      <c r="H245" t="s">
        <v>572</v>
      </c>
      <c r="J245" t="str">
        <f>HYPERLINK("https://twitter.com/excelhinditips/status/1773568695781970160","https://twitter.com/excelhinditips/status/1773568695781970160")</f>
        <v>https://twitter.com/excelhinditips/status/1773568695781970160</v>
      </c>
      <c r="O245">
        <v>0</v>
      </c>
      <c r="P245">
        <v>0</v>
      </c>
      <c r="Q245">
        <v>16</v>
      </c>
      <c r="R245" t="s">
        <v>573</v>
      </c>
      <c r="S245">
        <v>0</v>
      </c>
      <c r="T245">
        <v>0</v>
      </c>
      <c r="U245">
        <v>0</v>
      </c>
      <c r="W245" t="s">
        <v>99</v>
      </c>
    </row>
    <row r="246" spans="1:23" x14ac:dyDescent="0.35">
      <c r="A246" t="s">
        <v>45</v>
      </c>
      <c r="B246" t="s">
        <v>456</v>
      </c>
      <c r="C246" t="s">
        <v>60</v>
      </c>
      <c r="D246" t="s">
        <v>64</v>
      </c>
      <c r="E246" t="s">
        <v>64</v>
      </c>
      <c r="F246" t="s">
        <v>49</v>
      </c>
      <c r="G246" t="s">
        <v>574</v>
      </c>
      <c r="H246" t="s">
        <v>575</v>
      </c>
      <c r="J246" t="str">
        <f>HYPERLINK("https://www.facebook.com/634639855377280/posts/817402500434347","https://www.facebook.com/634639855377280/posts/817402500434347")</f>
        <v>https://www.facebook.com/634639855377280/posts/817402500434347</v>
      </c>
      <c r="O246">
        <v>0</v>
      </c>
      <c r="P246">
        <v>0</v>
      </c>
      <c r="Q246">
        <v>0</v>
      </c>
      <c r="S246">
        <v>25</v>
      </c>
      <c r="T246">
        <v>129</v>
      </c>
      <c r="U246">
        <v>2</v>
      </c>
      <c r="W246" t="s">
        <v>346</v>
      </c>
    </row>
    <row r="247" spans="1:23" x14ac:dyDescent="0.35">
      <c r="A247" t="s">
        <v>45</v>
      </c>
      <c r="B247" t="s">
        <v>456</v>
      </c>
      <c r="C247" t="s">
        <v>47</v>
      </c>
      <c r="D247" t="s">
        <v>68</v>
      </c>
      <c r="E247" t="s">
        <v>68</v>
      </c>
      <c r="F247" t="s">
        <v>49</v>
      </c>
      <c r="G247" t="s">
        <v>102</v>
      </c>
      <c r="H247" t="s">
        <v>576</v>
      </c>
      <c r="J247" t="str">
        <f>HYPERLINK("https://www.youtube.com/watch?v=XnF5-uLfaHg&amp;lc=Ugy3u4H5lU59QwJRL0J4AaABAg.A1XLAkZqszrA1YpD8btM5r","https://www.youtube.com/watch?v=XnF5-uLfaHg&amp;lc=Ugy3u4H5lU59QwJRL0J4AaABAg.A1XLAkZqszrA1YpD8btM5r")</f>
        <v>https://www.youtube.com/watch?v=XnF5-uLfaHg&amp;lc=Ugy3u4H5lU59QwJRL0J4AaABAg.A1XLAkZqszrA1YpD8btM5r</v>
      </c>
      <c r="O247">
        <v>0</v>
      </c>
      <c r="P247">
        <v>0</v>
      </c>
      <c r="Q247">
        <v>0</v>
      </c>
      <c r="S247">
        <v>0</v>
      </c>
      <c r="T247">
        <v>0</v>
      </c>
      <c r="U247">
        <v>0</v>
      </c>
      <c r="W247" t="s">
        <v>52</v>
      </c>
    </row>
    <row r="248" spans="1:23" x14ac:dyDescent="0.35">
      <c r="A248" t="s">
        <v>45</v>
      </c>
      <c r="B248" t="s">
        <v>456</v>
      </c>
      <c r="C248" t="s">
        <v>47</v>
      </c>
      <c r="D248" t="s">
        <v>68</v>
      </c>
      <c r="E248" t="s">
        <v>68</v>
      </c>
      <c r="F248" t="s">
        <v>49</v>
      </c>
      <c r="G248" t="s">
        <v>162</v>
      </c>
      <c r="H248" t="s">
        <v>577</v>
      </c>
      <c r="J248" t="str">
        <f>HYPERLINK("https://www.youtube.com/watch?v=7pMfSyYFp5U&amp;lc=UgwKjNghOa2gtyzVr5h4AaABAg.A1XYUYB5ZdKA1Yms30wyoq","https://www.youtube.com/watch?v=7pMfSyYFp5U&amp;lc=UgwKjNghOa2gtyzVr5h4AaABAg.A1XYUYB5ZdKA1Yms30wyoq")</f>
        <v>https://www.youtube.com/watch?v=7pMfSyYFp5U&amp;lc=UgwKjNghOa2gtyzVr5h4AaABAg.A1XYUYB5ZdKA1Yms30wyoq</v>
      </c>
      <c r="O248">
        <v>0</v>
      </c>
      <c r="P248">
        <v>0</v>
      </c>
      <c r="Q248">
        <v>0</v>
      </c>
      <c r="S248">
        <v>0</v>
      </c>
      <c r="T248">
        <v>0</v>
      </c>
      <c r="U248">
        <v>0</v>
      </c>
      <c r="W248" t="s">
        <v>52</v>
      </c>
    </row>
    <row r="249" spans="1:23" x14ac:dyDescent="0.35">
      <c r="A249" t="s">
        <v>45</v>
      </c>
      <c r="B249" t="s">
        <v>456</v>
      </c>
      <c r="C249" t="s">
        <v>47</v>
      </c>
      <c r="D249" t="s">
        <v>68</v>
      </c>
      <c r="E249" t="s">
        <v>68</v>
      </c>
      <c r="F249" t="s">
        <v>49</v>
      </c>
      <c r="G249" t="s">
        <v>102</v>
      </c>
      <c r="H249" t="s">
        <v>578</v>
      </c>
      <c r="J249" t="str">
        <f>HYPERLINK("https://www.youtube.com/watch?v=7pMfSyYFp5U&amp;lc=Ugze_nwgwa1QACYzv-x4AaABAg.A1XIRkxQkygA1Ymcoc7iON","https://www.youtube.com/watch?v=7pMfSyYFp5U&amp;lc=Ugze_nwgwa1QACYzv-x4AaABAg.A1XIRkxQkygA1Ymcoc7iON")</f>
        <v>https://www.youtube.com/watch?v=7pMfSyYFp5U&amp;lc=Ugze_nwgwa1QACYzv-x4AaABAg.A1XIRkxQkygA1Ymcoc7iON</v>
      </c>
      <c r="O249">
        <v>0</v>
      </c>
      <c r="P249">
        <v>0</v>
      </c>
      <c r="Q249">
        <v>0</v>
      </c>
      <c r="S249">
        <v>0</v>
      </c>
      <c r="T249">
        <v>0</v>
      </c>
      <c r="U249">
        <v>0</v>
      </c>
      <c r="W249" t="s">
        <v>52</v>
      </c>
    </row>
    <row r="250" spans="1:23" x14ac:dyDescent="0.35">
      <c r="A250" t="s">
        <v>45</v>
      </c>
      <c r="B250" t="s">
        <v>456</v>
      </c>
      <c r="C250" t="s">
        <v>93</v>
      </c>
      <c r="D250" t="s">
        <v>94</v>
      </c>
      <c r="E250" t="s">
        <v>45</v>
      </c>
      <c r="F250" t="s">
        <v>49</v>
      </c>
      <c r="G250" t="s">
        <v>579</v>
      </c>
      <c r="H250" t="s">
        <v>580</v>
      </c>
      <c r="J250" t="str">
        <f>HYPERLINK("https://twitter.com/SpiceMoneyIndia/status/1773545766226731369","https://twitter.com/SpiceMoneyIndia/status/1773545766226731369")</f>
        <v>https://twitter.com/SpiceMoneyIndia/status/1773545766226731369</v>
      </c>
      <c r="K250" t="s">
        <v>67</v>
      </c>
      <c r="O250">
        <v>0</v>
      </c>
      <c r="P250">
        <v>0</v>
      </c>
      <c r="Q250">
        <v>6093</v>
      </c>
      <c r="R250" t="s">
        <v>97</v>
      </c>
      <c r="S250">
        <v>0</v>
      </c>
      <c r="T250">
        <v>0</v>
      </c>
      <c r="U250">
        <v>0</v>
      </c>
      <c r="V250" t="s">
        <v>98</v>
      </c>
      <c r="W250" t="s">
        <v>99</v>
      </c>
    </row>
    <row r="251" spans="1:23" x14ac:dyDescent="0.35">
      <c r="A251" t="s">
        <v>45</v>
      </c>
      <c r="B251" t="s">
        <v>456</v>
      </c>
      <c r="C251" t="s">
        <v>93</v>
      </c>
      <c r="D251" t="s">
        <v>581</v>
      </c>
      <c r="E251" t="s">
        <v>582</v>
      </c>
      <c r="F251" t="s">
        <v>49</v>
      </c>
      <c r="G251" t="s">
        <v>583</v>
      </c>
      <c r="H251" t="s">
        <v>584</v>
      </c>
      <c r="J251" t="str">
        <f>HYPERLINK("https://twitter.com/Sandeep09012841/status/1773419420238647479","https://twitter.com/Sandeep09012841/status/1773419420238647479")</f>
        <v>https://twitter.com/Sandeep09012841/status/1773419420238647479</v>
      </c>
      <c r="K251" t="s">
        <v>67</v>
      </c>
      <c r="O251">
        <v>0</v>
      </c>
      <c r="P251">
        <v>0</v>
      </c>
      <c r="Q251">
        <v>0</v>
      </c>
      <c r="S251">
        <v>0</v>
      </c>
      <c r="T251">
        <v>0</v>
      </c>
      <c r="U251">
        <v>0</v>
      </c>
      <c r="W251" t="s">
        <v>99</v>
      </c>
    </row>
    <row r="252" spans="1:23" x14ac:dyDescent="0.35">
      <c r="A252" t="s">
        <v>45</v>
      </c>
      <c r="B252" t="s">
        <v>585</v>
      </c>
      <c r="C252" t="s">
        <v>47</v>
      </c>
      <c r="D252" t="s">
        <v>586</v>
      </c>
      <c r="E252" t="s">
        <v>586</v>
      </c>
      <c r="F252" t="s">
        <v>49</v>
      </c>
      <c r="G252" t="s">
        <v>587</v>
      </c>
      <c r="H252" t="s">
        <v>588</v>
      </c>
      <c r="J252" t="str">
        <f>HYPERLINK("https://www.youtube.com/watch?v=XnF5-uLfaHg&amp;lc=Ugz0YAeuuJY4fsORusJ4AaABAg","https://www.youtube.com/watch?v=XnF5-uLfaHg&amp;lc=Ugz0YAeuuJY4fsORusJ4AaABAg")</f>
        <v>https://www.youtube.com/watch?v=XnF5-uLfaHg&amp;lc=Ugz0YAeuuJY4fsORusJ4AaABAg</v>
      </c>
      <c r="O252">
        <v>0</v>
      </c>
      <c r="P252">
        <v>0</v>
      </c>
      <c r="Q252">
        <v>0</v>
      </c>
      <c r="S252">
        <v>0</v>
      </c>
      <c r="T252">
        <v>0</v>
      </c>
      <c r="U252">
        <v>0</v>
      </c>
      <c r="W252" t="s">
        <v>52</v>
      </c>
    </row>
    <row r="253" spans="1:23" x14ac:dyDescent="0.35">
      <c r="A253" t="s">
        <v>45</v>
      </c>
      <c r="B253" t="s">
        <v>585</v>
      </c>
      <c r="C253" t="s">
        <v>47</v>
      </c>
      <c r="D253" t="s">
        <v>589</v>
      </c>
      <c r="E253" t="s">
        <v>589</v>
      </c>
      <c r="F253" t="s">
        <v>54</v>
      </c>
      <c r="G253" t="s">
        <v>590</v>
      </c>
      <c r="H253" t="s">
        <v>591</v>
      </c>
      <c r="J253" t="str">
        <f>HYPERLINK("https://www.youtube.com/watch?v=7pMfSyYFp5U&amp;lc=UgwQrdxLwAj85gbBozB4AaABAg.A1U2-fN8zivA1XnNG3EBO4","https://www.youtube.com/watch?v=7pMfSyYFp5U&amp;lc=UgwQrdxLwAj85gbBozB4AaABAg.A1U2-fN8zivA1XnNG3EBO4")</f>
        <v>https://www.youtube.com/watch?v=7pMfSyYFp5U&amp;lc=UgwQrdxLwAj85gbBozB4AaABAg.A1U2-fN8zivA1XnNG3EBO4</v>
      </c>
      <c r="O253">
        <v>0</v>
      </c>
      <c r="P253">
        <v>0</v>
      </c>
      <c r="Q253">
        <v>0</v>
      </c>
      <c r="S253">
        <v>0</v>
      </c>
      <c r="T253">
        <v>0</v>
      </c>
      <c r="U253">
        <v>0</v>
      </c>
      <c r="W253" t="s">
        <v>52</v>
      </c>
    </row>
    <row r="254" spans="1:23" x14ac:dyDescent="0.35">
      <c r="A254" t="s">
        <v>45</v>
      </c>
      <c r="B254" t="s">
        <v>585</v>
      </c>
      <c r="C254" t="s">
        <v>47</v>
      </c>
      <c r="D254" t="s">
        <v>592</v>
      </c>
      <c r="E254" t="s">
        <v>592</v>
      </c>
      <c r="F254" t="s">
        <v>49</v>
      </c>
      <c r="G254" t="s">
        <v>593</v>
      </c>
      <c r="H254" t="s">
        <v>594</v>
      </c>
      <c r="J254" t="str">
        <f>HYPERLINK("https://www.youtube.com/watch?v=7pMfSyYFp5U&amp;lc=Ugw-sDY20udsYVmlVGp4AaABAg.A1Xdr04vOHZA1XdvTFj_Hc","https://www.youtube.com/watch?v=7pMfSyYFp5U&amp;lc=Ugw-sDY20udsYVmlVGp4AaABAg.A1Xdr04vOHZA1XdvTFj_Hc")</f>
        <v>https://www.youtube.com/watch?v=7pMfSyYFp5U&amp;lc=Ugw-sDY20udsYVmlVGp4AaABAg.A1Xdr04vOHZA1XdvTFj_Hc</v>
      </c>
      <c r="O254">
        <v>0</v>
      </c>
      <c r="P254">
        <v>0</v>
      </c>
      <c r="Q254">
        <v>0</v>
      </c>
      <c r="S254">
        <v>0</v>
      </c>
      <c r="T254">
        <v>0</v>
      </c>
      <c r="U254">
        <v>0</v>
      </c>
      <c r="W254" t="s">
        <v>52</v>
      </c>
    </row>
    <row r="255" spans="1:23" x14ac:dyDescent="0.35">
      <c r="A255" t="s">
        <v>45</v>
      </c>
      <c r="B255" t="s">
        <v>585</v>
      </c>
      <c r="C255" t="s">
        <v>47</v>
      </c>
      <c r="D255" t="s">
        <v>592</v>
      </c>
      <c r="E255" t="s">
        <v>592</v>
      </c>
      <c r="F255" t="s">
        <v>193</v>
      </c>
      <c r="G255" t="s">
        <v>595</v>
      </c>
      <c r="H255" t="s">
        <v>596</v>
      </c>
      <c r="J255" t="str">
        <f>HYPERLINK("https://www.youtube.com/watch?v=7pMfSyYFp5U&amp;lc=Ugw-sDY20udsYVmlVGp4AaABAg","https://www.youtube.com/watch?v=7pMfSyYFp5U&amp;lc=Ugw-sDY20udsYVmlVGp4AaABAg")</f>
        <v>https://www.youtube.com/watch?v=7pMfSyYFp5U&amp;lc=Ugw-sDY20udsYVmlVGp4AaABAg</v>
      </c>
      <c r="O255">
        <v>0</v>
      </c>
      <c r="P255">
        <v>0</v>
      </c>
      <c r="Q255">
        <v>0</v>
      </c>
      <c r="S255">
        <v>0</v>
      </c>
      <c r="T255">
        <v>0</v>
      </c>
      <c r="U255">
        <v>0</v>
      </c>
      <c r="W255" t="s">
        <v>52</v>
      </c>
    </row>
    <row r="256" spans="1:23" x14ac:dyDescent="0.35">
      <c r="A256" t="s">
        <v>45</v>
      </c>
      <c r="B256" t="s">
        <v>585</v>
      </c>
      <c r="C256" t="s">
        <v>93</v>
      </c>
      <c r="D256" t="s">
        <v>597</v>
      </c>
      <c r="E256" t="s">
        <v>598</v>
      </c>
      <c r="F256" t="s">
        <v>49</v>
      </c>
      <c r="G256" t="s">
        <v>599</v>
      </c>
      <c r="H256" t="s">
        <v>600</v>
      </c>
      <c r="J256" t="str">
        <f>HYPERLINK("https://twitter.com/Omprakash111991/status/1773386238763970964","https://twitter.com/Omprakash111991/status/1773386238763970964")</f>
        <v>https://twitter.com/Omprakash111991/status/1773386238763970964</v>
      </c>
      <c r="K256" t="s">
        <v>67</v>
      </c>
      <c r="O256">
        <v>0</v>
      </c>
      <c r="P256">
        <v>0</v>
      </c>
      <c r="Q256">
        <v>5</v>
      </c>
      <c r="R256" t="s">
        <v>601</v>
      </c>
      <c r="S256">
        <v>0</v>
      </c>
      <c r="T256">
        <v>0</v>
      </c>
      <c r="U256">
        <v>0</v>
      </c>
      <c r="W256" t="s">
        <v>99</v>
      </c>
    </row>
    <row r="257" spans="1:23" x14ac:dyDescent="0.35">
      <c r="A257" t="s">
        <v>45</v>
      </c>
      <c r="B257" t="s">
        <v>585</v>
      </c>
      <c r="C257" t="s">
        <v>60</v>
      </c>
      <c r="D257" t="s">
        <v>61</v>
      </c>
      <c r="E257" t="s">
        <v>61</v>
      </c>
      <c r="F257" t="s">
        <v>49</v>
      </c>
      <c r="G257" t="s">
        <v>218</v>
      </c>
      <c r="H257" t="s">
        <v>602</v>
      </c>
      <c r="J257" t="str">
        <f>HYPERLINK("https://www.facebook.com/634639855377280/posts/816150883892842?comment_id=982716669884919","https://www.facebook.com/634639855377280/posts/816150883892842?comment_id=982716669884919")</f>
        <v>https://www.facebook.com/634639855377280/posts/816150883892842?comment_id=982716669884919</v>
      </c>
      <c r="O257">
        <v>0</v>
      </c>
      <c r="P257">
        <v>0</v>
      </c>
      <c r="Q257">
        <v>0</v>
      </c>
      <c r="S257">
        <v>0</v>
      </c>
      <c r="T257">
        <v>0</v>
      </c>
      <c r="U257">
        <v>0</v>
      </c>
      <c r="W257" t="s">
        <v>52</v>
      </c>
    </row>
    <row r="258" spans="1:23" x14ac:dyDescent="0.35">
      <c r="A258" t="s">
        <v>45</v>
      </c>
      <c r="B258" t="s">
        <v>585</v>
      </c>
      <c r="C258" t="s">
        <v>60</v>
      </c>
      <c r="D258" t="s">
        <v>61</v>
      </c>
      <c r="E258" t="s">
        <v>61</v>
      </c>
      <c r="F258" t="s">
        <v>49</v>
      </c>
      <c r="G258" t="s">
        <v>218</v>
      </c>
      <c r="H258" t="s">
        <v>603</v>
      </c>
      <c r="J258" t="str">
        <f>HYPERLINK("https://www.facebook.com/634639855377280/posts/816721183835812?comment_id=415061954503141","https://www.facebook.com/634639855377280/posts/816721183835812?comment_id=415061954503141")</f>
        <v>https://www.facebook.com/634639855377280/posts/816721183835812?comment_id=415061954503141</v>
      </c>
      <c r="O258">
        <v>0</v>
      </c>
      <c r="P258">
        <v>0</v>
      </c>
      <c r="Q258">
        <v>0</v>
      </c>
      <c r="S258">
        <v>0</v>
      </c>
      <c r="T258">
        <v>0</v>
      </c>
      <c r="U258">
        <v>0</v>
      </c>
      <c r="W258" t="s">
        <v>52</v>
      </c>
    </row>
    <row r="259" spans="1:23" x14ac:dyDescent="0.35">
      <c r="A259" t="s">
        <v>45</v>
      </c>
      <c r="B259" t="s">
        <v>585</v>
      </c>
      <c r="C259" t="s">
        <v>47</v>
      </c>
      <c r="D259" t="s">
        <v>604</v>
      </c>
      <c r="E259" t="s">
        <v>604</v>
      </c>
      <c r="F259" t="s">
        <v>49</v>
      </c>
      <c r="G259" t="s">
        <v>605</v>
      </c>
      <c r="H259" t="s">
        <v>606</v>
      </c>
      <c r="J259" t="str">
        <f>HYPERLINK("https://www.youtube.com/watch?v=7pMfSyYFp5U&amp;lc=Ugz4b2XRrbSnfAdyJa54AaABAg","https://www.youtube.com/watch?v=7pMfSyYFp5U&amp;lc=Ugz4b2XRrbSnfAdyJa54AaABAg")</f>
        <v>https://www.youtube.com/watch?v=7pMfSyYFp5U&amp;lc=Ugz4b2XRrbSnfAdyJa54AaABAg</v>
      </c>
      <c r="O259">
        <v>0</v>
      </c>
      <c r="P259">
        <v>0</v>
      </c>
      <c r="Q259">
        <v>0</v>
      </c>
      <c r="S259">
        <v>0</v>
      </c>
      <c r="T259">
        <v>0</v>
      </c>
      <c r="U259">
        <v>0</v>
      </c>
      <c r="W259" t="s">
        <v>52</v>
      </c>
    </row>
    <row r="260" spans="1:23" x14ac:dyDescent="0.35">
      <c r="A260" t="s">
        <v>45</v>
      </c>
      <c r="B260" t="s">
        <v>585</v>
      </c>
      <c r="C260" t="s">
        <v>47</v>
      </c>
      <c r="D260" t="s">
        <v>607</v>
      </c>
      <c r="E260" t="s">
        <v>607</v>
      </c>
      <c r="F260" t="s">
        <v>54</v>
      </c>
      <c r="G260" t="s">
        <v>608</v>
      </c>
      <c r="H260" t="s">
        <v>609</v>
      </c>
      <c r="J260" t="str">
        <f>HYPERLINK("https://www.youtube.com/watch?v=7pMfSyYFp5U&amp;lc=Ugw2hs1l1coTSD2EBK14AaABAg","https://www.youtube.com/watch?v=7pMfSyYFp5U&amp;lc=Ugw2hs1l1coTSD2EBK14AaABAg")</f>
        <v>https://www.youtube.com/watch?v=7pMfSyYFp5U&amp;lc=Ugw2hs1l1coTSD2EBK14AaABAg</v>
      </c>
      <c r="O260">
        <v>0</v>
      </c>
      <c r="P260">
        <v>0</v>
      </c>
      <c r="Q260">
        <v>0</v>
      </c>
      <c r="S260">
        <v>0</v>
      </c>
      <c r="T260">
        <v>0</v>
      </c>
      <c r="U260">
        <v>0</v>
      </c>
      <c r="W260" t="s">
        <v>52</v>
      </c>
    </row>
    <row r="261" spans="1:23" x14ac:dyDescent="0.35">
      <c r="A261" t="s">
        <v>45</v>
      </c>
      <c r="B261" t="s">
        <v>585</v>
      </c>
      <c r="C261" t="s">
        <v>47</v>
      </c>
      <c r="D261" t="s">
        <v>607</v>
      </c>
      <c r="E261" t="s">
        <v>607</v>
      </c>
      <c r="F261" t="s">
        <v>54</v>
      </c>
      <c r="G261" t="s">
        <v>610</v>
      </c>
      <c r="H261" t="s">
        <v>611</v>
      </c>
      <c r="J261" t="str">
        <f>HYPERLINK("https://www.youtube.com/watch?v=7pMfSyYFp5U&amp;lc=UgwKjNghOa2gtyzVr5h4AaABAg","https://www.youtube.com/watch?v=7pMfSyYFp5U&amp;lc=UgwKjNghOa2gtyzVr5h4AaABAg")</f>
        <v>https://www.youtube.com/watch?v=7pMfSyYFp5U&amp;lc=UgwKjNghOa2gtyzVr5h4AaABAg</v>
      </c>
      <c r="O261">
        <v>0</v>
      </c>
      <c r="P261">
        <v>0</v>
      </c>
      <c r="Q261">
        <v>0</v>
      </c>
      <c r="S261">
        <v>0</v>
      </c>
      <c r="T261">
        <v>0</v>
      </c>
      <c r="U261">
        <v>0</v>
      </c>
      <c r="W261" t="s">
        <v>52</v>
      </c>
    </row>
    <row r="262" spans="1:23" x14ac:dyDescent="0.35">
      <c r="A262" t="s">
        <v>45</v>
      </c>
      <c r="B262" t="s">
        <v>585</v>
      </c>
      <c r="C262" t="s">
        <v>60</v>
      </c>
      <c r="D262" t="s">
        <v>61</v>
      </c>
      <c r="E262" t="s">
        <v>61</v>
      </c>
      <c r="F262" t="s">
        <v>49</v>
      </c>
      <c r="G262" t="s">
        <v>612</v>
      </c>
      <c r="H262" t="s">
        <v>613</v>
      </c>
      <c r="J262" t="str">
        <f>HYPERLINK("https://www.facebook.com/634639855377280/posts/816721183835812?comment_id=333060073078138","https://www.facebook.com/634639855377280/posts/816721183835812?comment_id=333060073078138")</f>
        <v>https://www.facebook.com/634639855377280/posts/816721183835812?comment_id=333060073078138</v>
      </c>
      <c r="O262">
        <v>0</v>
      </c>
      <c r="P262">
        <v>0</v>
      </c>
      <c r="Q262">
        <v>0</v>
      </c>
      <c r="S262">
        <v>0</v>
      </c>
      <c r="T262">
        <v>0</v>
      </c>
      <c r="U262">
        <v>0</v>
      </c>
      <c r="W262" t="s">
        <v>52</v>
      </c>
    </row>
    <row r="263" spans="1:23" x14ac:dyDescent="0.35">
      <c r="A263" t="s">
        <v>45</v>
      </c>
      <c r="B263" t="s">
        <v>585</v>
      </c>
      <c r="C263" t="s">
        <v>47</v>
      </c>
      <c r="D263" t="s">
        <v>614</v>
      </c>
      <c r="E263" t="s">
        <v>614</v>
      </c>
      <c r="F263" t="s">
        <v>49</v>
      </c>
      <c r="G263" t="s">
        <v>615</v>
      </c>
      <c r="H263" t="s">
        <v>616</v>
      </c>
      <c r="J263" t="str">
        <f>HYPERLINK("https://www.youtube.com/watch?v=XnF5-uLfaHg&amp;lc=Ugy3u4H5lU59QwJRL0J4AaABAg","https://www.youtube.com/watch?v=XnF5-uLfaHg&amp;lc=Ugy3u4H5lU59QwJRL0J4AaABAg")</f>
        <v>https://www.youtube.com/watch?v=XnF5-uLfaHg&amp;lc=Ugy3u4H5lU59QwJRL0J4AaABAg</v>
      </c>
      <c r="O263">
        <v>0</v>
      </c>
      <c r="P263">
        <v>0</v>
      </c>
      <c r="Q263">
        <v>0</v>
      </c>
      <c r="S263">
        <v>0</v>
      </c>
      <c r="T263">
        <v>0</v>
      </c>
      <c r="U263">
        <v>0</v>
      </c>
      <c r="W263" t="s">
        <v>52</v>
      </c>
    </row>
    <row r="264" spans="1:23" x14ac:dyDescent="0.35">
      <c r="A264" t="s">
        <v>45</v>
      </c>
      <c r="B264" t="s">
        <v>585</v>
      </c>
      <c r="C264" t="s">
        <v>47</v>
      </c>
      <c r="D264" t="s">
        <v>475</v>
      </c>
      <c r="E264" t="s">
        <v>475</v>
      </c>
      <c r="F264" t="s">
        <v>49</v>
      </c>
      <c r="G264" t="s">
        <v>617</v>
      </c>
      <c r="H264" t="s">
        <v>618</v>
      </c>
      <c r="J264" t="str">
        <f>HYPERLINK("https://www.youtube.com/watch?v=7pMfSyYFp5U&amp;lc=Ugz5iULb2luEaRv3y2h4AaABAg","https://www.youtube.com/watch?v=7pMfSyYFp5U&amp;lc=Ugz5iULb2luEaRv3y2h4AaABAg")</f>
        <v>https://www.youtube.com/watch?v=7pMfSyYFp5U&amp;lc=Ugz5iULb2luEaRv3y2h4AaABAg</v>
      </c>
      <c r="O264">
        <v>0</v>
      </c>
      <c r="P264">
        <v>0</v>
      </c>
      <c r="Q264">
        <v>0</v>
      </c>
      <c r="S264">
        <v>0</v>
      </c>
      <c r="T264">
        <v>0</v>
      </c>
      <c r="U264">
        <v>0</v>
      </c>
      <c r="W264" t="s">
        <v>52</v>
      </c>
    </row>
    <row r="265" spans="1:23" x14ac:dyDescent="0.35">
      <c r="A265" t="s">
        <v>45</v>
      </c>
      <c r="B265" t="s">
        <v>585</v>
      </c>
      <c r="C265" t="s">
        <v>93</v>
      </c>
      <c r="D265" t="s">
        <v>619</v>
      </c>
      <c r="E265" t="s">
        <v>620</v>
      </c>
      <c r="F265" t="s">
        <v>49</v>
      </c>
      <c r="G265" t="s">
        <v>621</v>
      </c>
      <c r="H265" t="s">
        <v>622</v>
      </c>
      <c r="J265" t="str">
        <f>HYPERLINK("https://twitter.com/AIkwenobe/status/1773340721937883276","https://twitter.com/AIkwenobe/status/1773340721937883276")</f>
        <v>https://twitter.com/AIkwenobe/status/1773340721937883276</v>
      </c>
      <c r="O265">
        <v>0</v>
      </c>
      <c r="P265">
        <v>0</v>
      </c>
      <c r="Q265">
        <v>85</v>
      </c>
      <c r="S265">
        <v>0</v>
      </c>
      <c r="T265">
        <v>0</v>
      </c>
      <c r="U265">
        <v>0</v>
      </c>
      <c r="W265" t="s">
        <v>99</v>
      </c>
    </row>
    <row r="266" spans="1:23" x14ac:dyDescent="0.35">
      <c r="A266" t="s">
        <v>45</v>
      </c>
      <c r="B266" t="s">
        <v>585</v>
      </c>
      <c r="C266" t="s">
        <v>93</v>
      </c>
      <c r="D266" t="s">
        <v>623</v>
      </c>
      <c r="E266" t="s">
        <v>624</v>
      </c>
      <c r="F266" t="s">
        <v>193</v>
      </c>
      <c r="G266" t="s">
        <v>625</v>
      </c>
      <c r="H266" t="s">
        <v>626</v>
      </c>
      <c r="J266" t="str">
        <f>HYPERLINK("https://twitter.com/ManoftheHou/status/1773340601984987162","https://twitter.com/ManoftheHou/status/1773340601984987162")</f>
        <v>https://twitter.com/ManoftheHou/status/1773340601984987162</v>
      </c>
      <c r="K266" t="s">
        <v>67</v>
      </c>
      <c r="O266">
        <v>0</v>
      </c>
      <c r="P266">
        <v>0</v>
      </c>
      <c r="Q266">
        <v>16</v>
      </c>
      <c r="S266">
        <v>0</v>
      </c>
      <c r="T266">
        <v>0</v>
      </c>
      <c r="U266">
        <v>0</v>
      </c>
      <c r="W266" t="s">
        <v>99</v>
      </c>
    </row>
    <row r="267" spans="1:23" x14ac:dyDescent="0.35">
      <c r="A267" t="s">
        <v>45</v>
      </c>
      <c r="B267" t="s">
        <v>585</v>
      </c>
      <c r="C267" t="s">
        <v>93</v>
      </c>
      <c r="D267" t="s">
        <v>505</v>
      </c>
      <c r="E267" t="s">
        <v>506</v>
      </c>
      <c r="F267" t="s">
        <v>49</v>
      </c>
      <c r="G267" t="s">
        <v>627</v>
      </c>
      <c r="H267" t="s">
        <v>628</v>
      </c>
      <c r="J267" t="str">
        <f>HYPERLINK("https://twitter.com/NagpalSgnr37336/status/1773340505130070232","https://twitter.com/NagpalSgnr37336/status/1773340505130070232")</f>
        <v>https://twitter.com/NagpalSgnr37336/status/1773340505130070232</v>
      </c>
      <c r="K267" t="s">
        <v>67</v>
      </c>
      <c r="O267">
        <v>0</v>
      </c>
      <c r="P267">
        <v>0</v>
      </c>
      <c r="Q267">
        <v>0</v>
      </c>
      <c r="S267">
        <v>0</v>
      </c>
      <c r="T267">
        <v>0</v>
      </c>
      <c r="U267">
        <v>0</v>
      </c>
      <c r="W267" t="s">
        <v>99</v>
      </c>
    </row>
    <row r="268" spans="1:23" x14ac:dyDescent="0.35">
      <c r="A268" t="s">
        <v>45</v>
      </c>
      <c r="B268" t="s">
        <v>585</v>
      </c>
      <c r="C268" t="s">
        <v>93</v>
      </c>
      <c r="D268" t="s">
        <v>619</v>
      </c>
      <c r="E268" t="s">
        <v>620</v>
      </c>
      <c r="F268" t="s">
        <v>49</v>
      </c>
      <c r="G268" t="s">
        <v>629</v>
      </c>
      <c r="H268" t="s">
        <v>630</v>
      </c>
      <c r="J268" t="str">
        <f>HYPERLINK("https://twitter.com/AIkwenobe/status/1773339903897530721","https://twitter.com/AIkwenobe/status/1773339903897530721")</f>
        <v>https://twitter.com/AIkwenobe/status/1773339903897530721</v>
      </c>
      <c r="O268">
        <v>0</v>
      </c>
      <c r="P268">
        <v>0</v>
      </c>
      <c r="Q268">
        <v>85</v>
      </c>
      <c r="S268">
        <v>0</v>
      </c>
      <c r="T268">
        <v>0</v>
      </c>
      <c r="U268">
        <v>0</v>
      </c>
      <c r="W268" t="s">
        <v>99</v>
      </c>
    </row>
    <row r="269" spans="1:23" x14ac:dyDescent="0.35">
      <c r="A269" t="s">
        <v>45</v>
      </c>
      <c r="B269" t="s">
        <v>585</v>
      </c>
      <c r="C269" t="s">
        <v>93</v>
      </c>
      <c r="D269" t="s">
        <v>623</v>
      </c>
      <c r="E269" t="s">
        <v>624</v>
      </c>
      <c r="F269" t="s">
        <v>193</v>
      </c>
      <c r="G269" t="s">
        <v>631</v>
      </c>
      <c r="H269" t="s">
        <v>632</v>
      </c>
      <c r="J269" t="str">
        <f>HYPERLINK("https://twitter.com/ManoftheHou/status/1773339896117117385","https://twitter.com/ManoftheHou/status/1773339896117117385")</f>
        <v>https://twitter.com/ManoftheHou/status/1773339896117117385</v>
      </c>
      <c r="K269" t="s">
        <v>67</v>
      </c>
      <c r="O269">
        <v>0</v>
      </c>
      <c r="P269">
        <v>0</v>
      </c>
      <c r="Q269">
        <v>16</v>
      </c>
      <c r="S269">
        <v>0</v>
      </c>
      <c r="T269">
        <v>0</v>
      </c>
      <c r="U269">
        <v>0</v>
      </c>
      <c r="W269" t="s">
        <v>99</v>
      </c>
    </row>
    <row r="270" spans="1:23" x14ac:dyDescent="0.35">
      <c r="A270" t="s">
        <v>45</v>
      </c>
      <c r="B270" t="s">
        <v>585</v>
      </c>
      <c r="C270" t="s">
        <v>93</v>
      </c>
      <c r="D270" t="s">
        <v>505</v>
      </c>
      <c r="E270" t="s">
        <v>506</v>
      </c>
      <c r="F270" t="s">
        <v>49</v>
      </c>
      <c r="G270" t="s">
        <v>633</v>
      </c>
      <c r="H270" t="s">
        <v>634</v>
      </c>
      <c r="J270" t="str">
        <f>HYPERLINK("https://twitter.com/NagpalSgnr37336/status/1773339836591505693","https://twitter.com/NagpalSgnr37336/status/1773339836591505693")</f>
        <v>https://twitter.com/NagpalSgnr37336/status/1773339836591505693</v>
      </c>
      <c r="K270" t="s">
        <v>67</v>
      </c>
      <c r="O270">
        <v>0</v>
      </c>
      <c r="P270">
        <v>0</v>
      </c>
      <c r="Q270">
        <v>0</v>
      </c>
      <c r="S270">
        <v>0</v>
      </c>
      <c r="T270">
        <v>0</v>
      </c>
      <c r="U270">
        <v>0</v>
      </c>
      <c r="W270" t="s">
        <v>99</v>
      </c>
    </row>
    <row r="271" spans="1:23" x14ac:dyDescent="0.35">
      <c r="A271" t="s">
        <v>45</v>
      </c>
      <c r="B271" t="s">
        <v>585</v>
      </c>
      <c r="C271" t="s">
        <v>47</v>
      </c>
      <c r="D271" t="s">
        <v>635</v>
      </c>
      <c r="E271" t="s">
        <v>635</v>
      </c>
      <c r="F271" t="s">
        <v>49</v>
      </c>
      <c r="G271" t="s">
        <v>636</v>
      </c>
      <c r="H271" t="s">
        <v>637</v>
      </c>
      <c r="J271" t="str">
        <f>HYPERLINK("https://www.youtube.com/watch?v=7pMfSyYFp5U&amp;lc=Ugze_nwgwa1QACYzv-x4AaABAg","https://www.youtube.com/watch?v=7pMfSyYFp5U&amp;lc=Ugze_nwgwa1QACYzv-x4AaABAg")</f>
        <v>https://www.youtube.com/watch?v=7pMfSyYFp5U&amp;lc=Ugze_nwgwa1QACYzv-x4AaABAg</v>
      </c>
      <c r="O271">
        <v>0</v>
      </c>
      <c r="P271">
        <v>0</v>
      </c>
      <c r="Q271">
        <v>0</v>
      </c>
      <c r="S271">
        <v>0</v>
      </c>
      <c r="T271">
        <v>0</v>
      </c>
      <c r="U271">
        <v>0</v>
      </c>
      <c r="W271" t="s">
        <v>52</v>
      </c>
    </row>
    <row r="272" spans="1:23" x14ac:dyDescent="0.35">
      <c r="A272" t="s">
        <v>45</v>
      </c>
      <c r="B272" t="s">
        <v>585</v>
      </c>
      <c r="C272" t="s">
        <v>60</v>
      </c>
      <c r="D272" t="s">
        <v>61</v>
      </c>
      <c r="E272" t="s">
        <v>61</v>
      </c>
      <c r="F272" t="s">
        <v>49</v>
      </c>
      <c r="G272" t="s">
        <v>638</v>
      </c>
      <c r="H272" t="s">
        <v>639</v>
      </c>
      <c r="J272" t="str">
        <f>HYPERLINK("https://www.facebook.com/634639855377280/posts/816721183835812?comment_id=436921605371132","https://www.facebook.com/634639855377280/posts/816721183835812?comment_id=436921605371132")</f>
        <v>https://www.facebook.com/634639855377280/posts/816721183835812?comment_id=436921605371132</v>
      </c>
      <c r="O272">
        <v>0</v>
      </c>
      <c r="P272">
        <v>0</v>
      </c>
      <c r="Q272">
        <v>0</v>
      </c>
      <c r="S272">
        <v>0</v>
      </c>
      <c r="T272">
        <v>0</v>
      </c>
      <c r="U272">
        <v>0</v>
      </c>
      <c r="W272" t="s">
        <v>52</v>
      </c>
    </row>
    <row r="273" spans="1:23" x14ac:dyDescent="0.35">
      <c r="A273" t="s">
        <v>45</v>
      </c>
      <c r="B273" t="s">
        <v>585</v>
      </c>
      <c r="C273" t="s">
        <v>60</v>
      </c>
      <c r="D273" t="s">
        <v>61</v>
      </c>
      <c r="E273" t="s">
        <v>61</v>
      </c>
      <c r="F273" t="s">
        <v>49</v>
      </c>
      <c r="G273" t="s">
        <v>640</v>
      </c>
      <c r="H273" t="s">
        <v>641</v>
      </c>
      <c r="J273" t="str">
        <f>HYPERLINK("https://www.facebook.com/634639855377280/posts/816721183835812?comment_id=408207218473295&amp;reply_comment_id=744517344486807","https://www.facebook.com/634639855377280/posts/816721183835812?comment_id=408207218473295&amp;reply_comment_id=744517344486807")</f>
        <v>https://www.facebook.com/634639855377280/posts/816721183835812?comment_id=408207218473295&amp;reply_comment_id=744517344486807</v>
      </c>
      <c r="O273">
        <v>0</v>
      </c>
      <c r="P273">
        <v>0</v>
      </c>
      <c r="Q273">
        <v>0</v>
      </c>
      <c r="S273">
        <v>0</v>
      </c>
      <c r="T273">
        <v>0</v>
      </c>
      <c r="U273">
        <v>0</v>
      </c>
      <c r="W273" t="s">
        <v>52</v>
      </c>
    </row>
    <row r="274" spans="1:23" x14ac:dyDescent="0.35">
      <c r="A274" t="s">
        <v>45</v>
      </c>
      <c r="B274" t="s">
        <v>585</v>
      </c>
      <c r="C274" t="s">
        <v>60</v>
      </c>
      <c r="D274" t="s">
        <v>61</v>
      </c>
      <c r="E274" t="s">
        <v>61</v>
      </c>
      <c r="F274" t="s">
        <v>49</v>
      </c>
      <c r="G274">
        <v>7724972360</v>
      </c>
      <c r="H274" t="s">
        <v>642</v>
      </c>
      <c r="J274" t="str">
        <f>HYPERLINK("https://www.facebook.com/634639855377280/posts/816721183835812?comment_id=408207218473295&amp;reply_comment_id=3432837087007394","https://www.facebook.com/634639855377280/posts/816721183835812?comment_id=408207218473295&amp;reply_comment_id=3432837087007394")</f>
        <v>https://www.facebook.com/634639855377280/posts/816721183835812?comment_id=408207218473295&amp;reply_comment_id=3432837087007394</v>
      </c>
      <c r="O274">
        <v>0</v>
      </c>
      <c r="P274">
        <v>0</v>
      </c>
      <c r="Q274">
        <v>0</v>
      </c>
      <c r="S274">
        <v>0</v>
      </c>
      <c r="T274">
        <v>0</v>
      </c>
      <c r="U274">
        <v>0</v>
      </c>
      <c r="W274" t="s">
        <v>52</v>
      </c>
    </row>
    <row r="275" spans="1:23" x14ac:dyDescent="0.35">
      <c r="A275" t="s">
        <v>45</v>
      </c>
      <c r="B275" t="s">
        <v>585</v>
      </c>
      <c r="C275" t="s">
        <v>93</v>
      </c>
      <c r="D275" t="s">
        <v>643</v>
      </c>
      <c r="E275" t="s">
        <v>644</v>
      </c>
      <c r="F275" t="s">
        <v>49</v>
      </c>
      <c r="G275" t="s">
        <v>645</v>
      </c>
      <c r="H275" t="s">
        <v>646</v>
      </c>
      <c r="J275" t="str">
        <f>HYPERLINK("https://twitter.com/Bhupend36600457/status/1773324727949328763","https://twitter.com/Bhupend36600457/status/1773324727949328763")</f>
        <v>https://twitter.com/Bhupend36600457/status/1773324727949328763</v>
      </c>
      <c r="K275" t="s">
        <v>67</v>
      </c>
      <c r="O275">
        <v>0</v>
      </c>
      <c r="P275">
        <v>0</v>
      </c>
      <c r="Q275">
        <v>26</v>
      </c>
      <c r="R275" t="s">
        <v>647</v>
      </c>
      <c r="S275">
        <v>0</v>
      </c>
      <c r="T275">
        <v>0</v>
      </c>
      <c r="U275">
        <v>0</v>
      </c>
      <c r="W275" t="s">
        <v>99</v>
      </c>
    </row>
    <row r="276" spans="1:23" x14ac:dyDescent="0.35">
      <c r="A276" t="s">
        <v>45</v>
      </c>
      <c r="B276" t="s">
        <v>585</v>
      </c>
      <c r="C276" t="s">
        <v>60</v>
      </c>
      <c r="D276" t="s">
        <v>61</v>
      </c>
      <c r="E276" t="s">
        <v>61</v>
      </c>
      <c r="F276" t="s">
        <v>54</v>
      </c>
      <c r="G276" t="s">
        <v>648</v>
      </c>
      <c r="H276" t="s">
        <v>649</v>
      </c>
      <c r="J276" t="str">
        <f>HYPERLINK("https://www.facebook.com/634639855377280/posts/816721183835812?comment_id=1475039903079514&amp;reply_comment_id=386169144262794","https://www.facebook.com/634639855377280/posts/816721183835812?comment_id=1475039903079514&amp;reply_comment_id=386169144262794")</f>
        <v>https://www.facebook.com/634639855377280/posts/816721183835812?comment_id=1475039903079514&amp;reply_comment_id=386169144262794</v>
      </c>
      <c r="O276">
        <v>0</v>
      </c>
      <c r="P276">
        <v>0</v>
      </c>
      <c r="Q276">
        <v>0</v>
      </c>
      <c r="S276">
        <v>0</v>
      </c>
      <c r="T276">
        <v>0</v>
      </c>
      <c r="U276">
        <v>0</v>
      </c>
      <c r="W276" t="s">
        <v>52</v>
      </c>
    </row>
    <row r="277" spans="1:23" x14ac:dyDescent="0.35">
      <c r="A277" t="s">
        <v>45</v>
      </c>
      <c r="B277" t="s">
        <v>585</v>
      </c>
      <c r="C277" t="s">
        <v>60</v>
      </c>
      <c r="D277" t="s">
        <v>64</v>
      </c>
      <c r="E277" t="s">
        <v>64</v>
      </c>
      <c r="F277" t="s">
        <v>49</v>
      </c>
      <c r="G277" t="s">
        <v>83</v>
      </c>
      <c r="H277" t="s">
        <v>650</v>
      </c>
      <c r="J277" t="str">
        <f>HYPERLINK("https://www.facebook.com/634639855377280/posts/816721183835812?comment_id=408207218473295&amp;reply_comment_id=1571520707021404","https://www.facebook.com/634639855377280/posts/816721183835812?comment_id=408207218473295&amp;reply_comment_id=1571520707021404")</f>
        <v>https://www.facebook.com/634639855377280/posts/816721183835812?comment_id=408207218473295&amp;reply_comment_id=1571520707021404</v>
      </c>
      <c r="K277" t="s">
        <v>67</v>
      </c>
      <c r="O277">
        <v>0</v>
      </c>
      <c r="P277">
        <v>0</v>
      </c>
      <c r="Q277">
        <v>0</v>
      </c>
      <c r="S277">
        <v>0</v>
      </c>
      <c r="T277">
        <v>0</v>
      </c>
      <c r="U277">
        <v>0</v>
      </c>
      <c r="W277" t="s">
        <v>52</v>
      </c>
    </row>
    <row r="278" spans="1:23" x14ac:dyDescent="0.35">
      <c r="A278" t="s">
        <v>45</v>
      </c>
      <c r="B278" t="s">
        <v>585</v>
      </c>
      <c r="C278" t="s">
        <v>93</v>
      </c>
      <c r="D278" t="s">
        <v>94</v>
      </c>
      <c r="E278" t="s">
        <v>45</v>
      </c>
      <c r="F278" t="s">
        <v>49</v>
      </c>
      <c r="G278" t="s">
        <v>651</v>
      </c>
      <c r="H278" t="s">
        <v>652</v>
      </c>
      <c r="J278" t="str">
        <f>HYPERLINK("https://twitter.com/SpiceMoneyIndia/status/1773316068062212336","https://twitter.com/SpiceMoneyIndia/status/1773316068062212336")</f>
        <v>https://twitter.com/SpiceMoneyIndia/status/1773316068062212336</v>
      </c>
      <c r="K278" t="s">
        <v>67</v>
      </c>
      <c r="O278">
        <v>0</v>
      </c>
      <c r="P278">
        <v>0</v>
      </c>
      <c r="Q278">
        <v>6090</v>
      </c>
      <c r="R278" t="s">
        <v>97</v>
      </c>
      <c r="S278">
        <v>0</v>
      </c>
      <c r="T278">
        <v>0</v>
      </c>
      <c r="U278">
        <v>0</v>
      </c>
      <c r="V278" t="s">
        <v>98</v>
      </c>
      <c r="W278" t="s">
        <v>99</v>
      </c>
    </row>
    <row r="279" spans="1:23" x14ac:dyDescent="0.35">
      <c r="A279" t="s">
        <v>45</v>
      </c>
      <c r="B279" t="s">
        <v>585</v>
      </c>
      <c r="C279" t="s">
        <v>60</v>
      </c>
      <c r="D279" t="s">
        <v>64</v>
      </c>
      <c r="E279" t="s">
        <v>64</v>
      </c>
      <c r="F279" t="s">
        <v>49</v>
      </c>
      <c r="G279" t="s">
        <v>454</v>
      </c>
      <c r="H279" t="s">
        <v>653</v>
      </c>
      <c r="J279" t="str">
        <f>HYPERLINK("https://www.facebook.com/634639855377280/posts/816721183835812?comment_id=250775434692408&amp;reply_comment_id=396673679984742","https://www.facebook.com/634639855377280/posts/816721183835812?comment_id=250775434692408&amp;reply_comment_id=396673679984742")</f>
        <v>https://www.facebook.com/634639855377280/posts/816721183835812?comment_id=250775434692408&amp;reply_comment_id=396673679984742</v>
      </c>
      <c r="K279" t="s">
        <v>67</v>
      </c>
      <c r="O279">
        <v>0</v>
      </c>
      <c r="P279">
        <v>0</v>
      </c>
      <c r="Q279">
        <v>0</v>
      </c>
      <c r="S279">
        <v>0</v>
      </c>
      <c r="T279">
        <v>0</v>
      </c>
      <c r="U279">
        <v>0</v>
      </c>
      <c r="W279" t="s">
        <v>52</v>
      </c>
    </row>
    <row r="280" spans="1:23" x14ac:dyDescent="0.35">
      <c r="A280" t="s">
        <v>45</v>
      </c>
      <c r="B280" t="s">
        <v>585</v>
      </c>
      <c r="C280" t="s">
        <v>47</v>
      </c>
      <c r="D280" t="s">
        <v>68</v>
      </c>
      <c r="E280" t="s">
        <v>68</v>
      </c>
      <c r="F280" t="s">
        <v>49</v>
      </c>
      <c r="G280" t="s">
        <v>102</v>
      </c>
      <c r="H280" t="s">
        <v>654</v>
      </c>
      <c r="J280" t="str">
        <f>HYPERLINK("https://www.youtube.com/watch?v=XnF5-uLfaHg&amp;lc=UgwC5J8DgkHBY6Jxdwd4AaABAg.A1VtOaWs0i8A1X8MoDeCbz","https://www.youtube.com/watch?v=XnF5-uLfaHg&amp;lc=UgwC5J8DgkHBY6Jxdwd4AaABAg.A1VtOaWs0i8A1X8MoDeCbz")</f>
        <v>https://www.youtube.com/watch?v=XnF5-uLfaHg&amp;lc=UgwC5J8DgkHBY6Jxdwd4AaABAg.A1VtOaWs0i8A1X8MoDeCbz</v>
      </c>
      <c r="O280">
        <v>0</v>
      </c>
      <c r="P280">
        <v>0</v>
      </c>
      <c r="Q280">
        <v>0</v>
      </c>
      <c r="S280">
        <v>0</v>
      </c>
      <c r="T280">
        <v>0</v>
      </c>
      <c r="U280">
        <v>0</v>
      </c>
      <c r="W280" t="s">
        <v>52</v>
      </c>
    </row>
    <row r="281" spans="1:23" x14ac:dyDescent="0.35">
      <c r="A281" t="s">
        <v>45</v>
      </c>
      <c r="B281" t="s">
        <v>585</v>
      </c>
      <c r="C281" t="s">
        <v>47</v>
      </c>
      <c r="D281" t="s">
        <v>68</v>
      </c>
      <c r="E281" t="s">
        <v>68</v>
      </c>
      <c r="F281" t="s">
        <v>49</v>
      </c>
      <c r="G281" t="s">
        <v>102</v>
      </c>
      <c r="H281" t="s">
        <v>655</v>
      </c>
      <c r="J281" t="str">
        <f>HYPERLINK("https://www.youtube.com/watch?v=XnF5-uLfaHg&amp;lc=Ugy6GkAJfeRxDpgpQwt4AaABAg.A1TUltK02NgA1X8HnB5Wto","https://www.youtube.com/watch?v=XnF5-uLfaHg&amp;lc=Ugy6GkAJfeRxDpgpQwt4AaABAg.A1TUltK02NgA1X8HnB5Wto")</f>
        <v>https://www.youtube.com/watch?v=XnF5-uLfaHg&amp;lc=Ugy6GkAJfeRxDpgpQwt4AaABAg.A1TUltK02NgA1X8HnB5Wto</v>
      </c>
      <c r="O281">
        <v>0</v>
      </c>
      <c r="P281">
        <v>0</v>
      </c>
      <c r="Q281">
        <v>0</v>
      </c>
      <c r="S281">
        <v>0</v>
      </c>
      <c r="T281">
        <v>0</v>
      </c>
      <c r="U281">
        <v>0</v>
      </c>
      <c r="W281" t="s">
        <v>52</v>
      </c>
    </row>
    <row r="282" spans="1:23" x14ac:dyDescent="0.35">
      <c r="A282" t="s">
        <v>45</v>
      </c>
      <c r="B282" t="s">
        <v>585</v>
      </c>
      <c r="C282" t="s">
        <v>47</v>
      </c>
      <c r="D282" t="s">
        <v>656</v>
      </c>
      <c r="E282" t="s">
        <v>656</v>
      </c>
      <c r="F282" t="s">
        <v>49</v>
      </c>
      <c r="G282" t="s">
        <v>657</v>
      </c>
      <c r="H282" t="s">
        <v>658</v>
      </c>
      <c r="J282" t="str">
        <f>HYPERLINK("https://www.youtube.com/watch?v=7pMfSyYFp5U&amp;lc=UgyA5cH93i_E_ROS3FN4AaABAg.A1UahhfPihhA1X7a2zREX0","https://www.youtube.com/watch?v=7pMfSyYFp5U&amp;lc=UgyA5cH93i_E_ROS3FN4AaABAg.A1UahhfPihhA1X7a2zREX0")</f>
        <v>https://www.youtube.com/watch?v=7pMfSyYFp5U&amp;lc=UgyA5cH93i_E_ROS3FN4AaABAg.A1UahhfPihhA1X7a2zREX0</v>
      </c>
      <c r="O282">
        <v>0</v>
      </c>
      <c r="P282">
        <v>0</v>
      </c>
      <c r="Q282">
        <v>0</v>
      </c>
      <c r="S282">
        <v>0</v>
      </c>
      <c r="T282">
        <v>0</v>
      </c>
      <c r="U282">
        <v>0</v>
      </c>
      <c r="W282" t="s">
        <v>52</v>
      </c>
    </row>
    <row r="283" spans="1:23" x14ac:dyDescent="0.35">
      <c r="A283" t="s">
        <v>45</v>
      </c>
      <c r="B283" t="s">
        <v>585</v>
      </c>
      <c r="C283" t="s">
        <v>60</v>
      </c>
      <c r="D283" t="s">
        <v>61</v>
      </c>
      <c r="E283" t="s">
        <v>61</v>
      </c>
      <c r="F283" t="s">
        <v>49</v>
      </c>
      <c r="G283" t="s">
        <v>659</v>
      </c>
      <c r="H283" t="s">
        <v>660</v>
      </c>
      <c r="J283" t="str">
        <f>HYPERLINK("https://www.facebook.com/634639855377280/posts/816721183835812?comment_id=408207218473295","https://www.facebook.com/634639855377280/posts/816721183835812?comment_id=408207218473295")</f>
        <v>https://www.facebook.com/634639855377280/posts/816721183835812?comment_id=408207218473295</v>
      </c>
      <c r="O283">
        <v>0</v>
      </c>
      <c r="P283">
        <v>0</v>
      </c>
      <c r="Q283">
        <v>0</v>
      </c>
      <c r="S283">
        <v>0</v>
      </c>
      <c r="T283">
        <v>0</v>
      </c>
      <c r="U283">
        <v>0</v>
      </c>
      <c r="W283" t="s">
        <v>52</v>
      </c>
    </row>
    <row r="284" spans="1:23" x14ac:dyDescent="0.35">
      <c r="A284" t="s">
        <v>45</v>
      </c>
      <c r="B284" t="s">
        <v>585</v>
      </c>
      <c r="C284" t="s">
        <v>93</v>
      </c>
      <c r="D284" t="s">
        <v>661</v>
      </c>
      <c r="E284" t="s">
        <v>662</v>
      </c>
      <c r="F284" t="s">
        <v>49</v>
      </c>
      <c r="G284" t="s">
        <v>663</v>
      </c>
      <c r="H284" t="s">
        <v>664</v>
      </c>
      <c r="J284" t="str">
        <f>HYPERLINK("https://twitter.com/hellomrprfect/status/1773309663913652485","https://twitter.com/hellomrprfect/status/1773309663913652485")</f>
        <v>https://twitter.com/hellomrprfect/status/1773309663913652485</v>
      </c>
      <c r="K284" t="s">
        <v>67</v>
      </c>
      <c r="O284">
        <v>0</v>
      </c>
      <c r="P284">
        <v>0</v>
      </c>
      <c r="Q284">
        <v>16</v>
      </c>
      <c r="R284" t="s">
        <v>665</v>
      </c>
      <c r="S284">
        <v>0</v>
      </c>
      <c r="T284">
        <v>0</v>
      </c>
      <c r="U284">
        <v>0</v>
      </c>
      <c r="W284" t="s">
        <v>99</v>
      </c>
    </row>
    <row r="285" spans="1:23" x14ac:dyDescent="0.35">
      <c r="A285" t="s">
        <v>45</v>
      </c>
      <c r="B285" t="s">
        <v>585</v>
      </c>
      <c r="C285" t="s">
        <v>47</v>
      </c>
      <c r="D285" t="s">
        <v>68</v>
      </c>
      <c r="E285" t="s">
        <v>68</v>
      </c>
      <c r="F285" t="s">
        <v>49</v>
      </c>
      <c r="G285" t="s">
        <v>262</v>
      </c>
      <c r="H285" t="s">
        <v>666</v>
      </c>
      <c r="J285" t="str">
        <f>HYPERLINK("https://www.youtube.com/watch?v=7pMfSyYFp5U&amp;lc=UgzkbAwZhSRKPxM33IB4AaABAg.A1WUCDeNnoLA1X3XU8nSv-","https://www.youtube.com/watch?v=7pMfSyYFp5U&amp;lc=UgzkbAwZhSRKPxM33IB4AaABAg.A1WUCDeNnoLA1X3XU8nSv-")</f>
        <v>https://www.youtube.com/watch?v=7pMfSyYFp5U&amp;lc=UgzkbAwZhSRKPxM33IB4AaABAg.A1WUCDeNnoLA1X3XU8nSv-</v>
      </c>
      <c r="O285">
        <v>0</v>
      </c>
      <c r="P285">
        <v>0</v>
      </c>
      <c r="Q285">
        <v>0</v>
      </c>
      <c r="S285">
        <v>0</v>
      </c>
      <c r="T285">
        <v>0</v>
      </c>
      <c r="U285">
        <v>0</v>
      </c>
      <c r="W285" t="s">
        <v>52</v>
      </c>
    </row>
    <row r="286" spans="1:23" x14ac:dyDescent="0.35">
      <c r="A286" t="s">
        <v>45</v>
      </c>
      <c r="B286" t="s">
        <v>585</v>
      </c>
      <c r="C286" t="s">
        <v>47</v>
      </c>
      <c r="D286" t="s">
        <v>351</v>
      </c>
      <c r="E286" t="s">
        <v>351</v>
      </c>
      <c r="F286" t="s">
        <v>49</v>
      </c>
      <c r="G286" t="s">
        <v>667</v>
      </c>
      <c r="H286" t="s">
        <v>668</v>
      </c>
      <c r="J286" t="str">
        <f>HYPERLINK("https://www.youtube.com/watch?v=7pMfSyYFp5U&amp;lc=UgzOhlPJISIyGSpQIBJ4AaABAg.A1WKZttkkFtA1X2qnlr1rc","https://www.youtube.com/watch?v=7pMfSyYFp5U&amp;lc=UgzOhlPJISIyGSpQIBJ4AaABAg.A1WKZttkkFtA1X2qnlr1rc")</f>
        <v>https://www.youtube.com/watch?v=7pMfSyYFp5U&amp;lc=UgzOhlPJISIyGSpQIBJ4AaABAg.A1WKZttkkFtA1X2qnlr1rc</v>
      </c>
      <c r="O286">
        <v>0</v>
      </c>
      <c r="P286">
        <v>0</v>
      </c>
      <c r="Q286">
        <v>0</v>
      </c>
      <c r="S286">
        <v>0</v>
      </c>
      <c r="T286">
        <v>0</v>
      </c>
      <c r="U286">
        <v>0</v>
      </c>
      <c r="W286" t="s">
        <v>52</v>
      </c>
    </row>
    <row r="287" spans="1:23" x14ac:dyDescent="0.35">
      <c r="A287" t="s">
        <v>45</v>
      </c>
      <c r="B287" t="s">
        <v>585</v>
      </c>
      <c r="C287" t="s">
        <v>47</v>
      </c>
      <c r="D287" t="s">
        <v>351</v>
      </c>
      <c r="E287" t="s">
        <v>351</v>
      </c>
      <c r="F287" t="s">
        <v>54</v>
      </c>
      <c r="G287" t="s">
        <v>669</v>
      </c>
      <c r="H287" t="s">
        <v>670</v>
      </c>
      <c r="J287" t="str">
        <f>HYPERLINK("https://www.youtube.com/watch?v=7pMfSyYFp5U&amp;lc=UgzOhlPJISIyGSpQIBJ4AaABAg.A1WKZttkkFtA1X2klPwjJr","https://www.youtube.com/watch?v=7pMfSyYFp5U&amp;lc=UgzOhlPJISIyGSpQIBJ4AaABAg.A1WKZttkkFtA1X2klPwjJr")</f>
        <v>https://www.youtube.com/watch?v=7pMfSyYFp5U&amp;lc=UgzOhlPJISIyGSpQIBJ4AaABAg.A1WKZttkkFtA1X2klPwjJr</v>
      </c>
      <c r="O287">
        <v>0</v>
      </c>
      <c r="P287">
        <v>0</v>
      </c>
      <c r="Q287">
        <v>0</v>
      </c>
      <c r="S287">
        <v>0</v>
      </c>
      <c r="T287">
        <v>0</v>
      </c>
      <c r="U287">
        <v>0</v>
      </c>
      <c r="W287" t="s">
        <v>52</v>
      </c>
    </row>
    <row r="288" spans="1:23" x14ac:dyDescent="0.35">
      <c r="A288" t="s">
        <v>45</v>
      </c>
      <c r="B288" t="s">
        <v>585</v>
      </c>
      <c r="C288" t="s">
        <v>47</v>
      </c>
      <c r="D288" t="s">
        <v>68</v>
      </c>
      <c r="E288" t="s">
        <v>68</v>
      </c>
      <c r="F288" t="s">
        <v>49</v>
      </c>
      <c r="G288" t="s">
        <v>69</v>
      </c>
      <c r="H288" t="s">
        <v>671</v>
      </c>
      <c r="J288" t="str">
        <f>HYPERLINK("https://www.youtube.com/watch?v=7pMfSyYFp5U&amp;lc=UgzOhlPJISIyGSpQIBJ4AaABAg.A1WKZttkkFtA1X1tR1vHWT","https://www.youtube.com/watch?v=7pMfSyYFp5U&amp;lc=UgzOhlPJISIyGSpQIBJ4AaABAg.A1WKZttkkFtA1X1tR1vHWT")</f>
        <v>https://www.youtube.com/watch?v=7pMfSyYFp5U&amp;lc=UgzOhlPJISIyGSpQIBJ4AaABAg.A1WKZttkkFtA1X1tR1vHWT</v>
      </c>
      <c r="O288">
        <v>0</v>
      </c>
      <c r="P288">
        <v>0</v>
      </c>
      <c r="Q288">
        <v>0</v>
      </c>
      <c r="S288">
        <v>0</v>
      </c>
      <c r="T288">
        <v>0</v>
      </c>
      <c r="U288">
        <v>0</v>
      </c>
      <c r="W288" t="s">
        <v>52</v>
      </c>
    </row>
    <row r="289" spans="1:23" x14ac:dyDescent="0.35">
      <c r="A289" t="s">
        <v>45</v>
      </c>
      <c r="B289" t="s">
        <v>585</v>
      </c>
      <c r="C289" t="s">
        <v>60</v>
      </c>
      <c r="D289" t="s">
        <v>64</v>
      </c>
      <c r="E289" t="s">
        <v>64</v>
      </c>
      <c r="F289" t="s">
        <v>49</v>
      </c>
      <c r="G289" t="s">
        <v>672</v>
      </c>
      <c r="H289" t="s">
        <v>673</v>
      </c>
      <c r="J289" t="str">
        <f>HYPERLINK("https://www.facebook.com/634639855377280/posts/816721183835812?comment_id=1475039903079514&amp;reply_comment_id=318371174593799","https://www.facebook.com/634639855377280/posts/816721183835812?comment_id=1475039903079514&amp;reply_comment_id=318371174593799")</f>
        <v>https://www.facebook.com/634639855377280/posts/816721183835812?comment_id=1475039903079514&amp;reply_comment_id=318371174593799</v>
      </c>
      <c r="K289" t="s">
        <v>67</v>
      </c>
      <c r="O289">
        <v>0</v>
      </c>
      <c r="P289">
        <v>0</v>
      </c>
      <c r="Q289">
        <v>0</v>
      </c>
      <c r="S289">
        <v>0</v>
      </c>
      <c r="T289">
        <v>0</v>
      </c>
      <c r="U289">
        <v>0</v>
      </c>
      <c r="W289" t="s">
        <v>52</v>
      </c>
    </row>
    <row r="290" spans="1:23" x14ac:dyDescent="0.35">
      <c r="A290" t="s">
        <v>45</v>
      </c>
      <c r="B290" t="s">
        <v>585</v>
      </c>
      <c r="C290" t="s">
        <v>47</v>
      </c>
      <c r="D290" t="s">
        <v>68</v>
      </c>
      <c r="E290" t="s">
        <v>68</v>
      </c>
      <c r="F290" t="s">
        <v>49</v>
      </c>
      <c r="G290" t="s">
        <v>102</v>
      </c>
      <c r="H290" t="s">
        <v>674</v>
      </c>
      <c r="J290" t="str">
        <f>HYPERLINK("https://www.youtube.com/watch?v=7pMfSyYFp5U&amp;lc=Ugy2PzhCX6EWZtrvsih4AaABAg.A1V5eRjmOoCA1X1LVyI0aX","https://www.youtube.com/watch?v=7pMfSyYFp5U&amp;lc=Ugy2PzhCX6EWZtrvsih4AaABAg.A1V5eRjmOoCA1X1LVyI0aX")</f>
        <v>https://www.youtube.com/watch?v=7pMfSyYFp5U&amp;lc=Ugy2PzhCX6EWZtrvsih4AaABAg.A1V5eRjmOoCA1X1LVyI0aX</v>
      </c>
      <c r="O290">
        <v>0</v>
      </c>
      <c r="P290">
        <v>0</v>
      </c>
      <c r="Q290">
        <v>0</v>
      </c>
      <c r="S290">
        <v>0</v>
      </c>
      <c r="T290">
        <v>0</v>
      </c>
      <c r="U290">
        <v>0</v>
      </c>
      <c r="W290" t="s">
        <v>52</v>
      </c>
    </row>
    <row r="291" spans="1:23" x14ac:dyDescent="0.35">
      <c r="A291" t="s">
        <v>45</v>
      </c>
      <c r="B291" t="s">
        <v>585</v>
      </c>
      <c r="C291" t="s">
        <v>47</v>
      </c>
      <c r="D291" t="s">
        <v>675</v>
      </c>
      <c r="E291" t="s">
        <v>675</v>
      </c>
      <c r="F291" t="s">
        <v>49</v>
      </c>
      <c r="G291" t="s">
        <v>676</v>
      </c>
      <c r="H291" t="s">
        <v>677</v>
      </c>
      <c r="J291" t="str">
        <f>HYPERLINK("https://www.youtube.com/watch?v=XnF5-uLfaHg&amp;lc=Ugy6GkAJfeRxDpgpQwt4AaABAg.A1TUltK02NgA1Wm4R7gQyE","https://www.youtube.com/watch?v=XnF5-uLfaHg&amp;lc=Ugy6GkAJfeRxDpgpQwt4AaABAg.A1TUltK02NgA1Wm4R7gQyE")</f>
        <v>https://www.youtube.com/watch?v=XnF5-uLfaHg&amp;lc=Ugy6GkAJfeRxDpgpQwt4AaABAg.A1TUltK02NgA1Wm4R7gQyE</v>
      </c>
      <c r="O291">
        <v>0</v>
      </c>
      <c r="P291">
        <v>0</v>
      </c>
      <c r="Q291">
        <v>0</v>
      </c>
      <c r="S291">
        <v>0</v>
      </c>
      <c r="T291">
        <v>0</v>
      </c>
      <c r="U291">
        <v>0</v>
      </c>
      <c r="W291" t="s">
        <v>52</v>
      </c>
    </row>
    <row r="292" spans="1:23" x14ac:dyDescent="0.35">
      <c r="A292" t="s">
        <v>45</v>
      </c>
      <c r="B292" t="s">
        <v>585</v>
      </c>
      <c r="C292" t="s">
        <v>60</v>
      </c>
      <c r="D292" t="s">
        <v>61</v>
      </c>
      <c r="E292" t="s">
        <v>61</v>
      </c>
      <c r="F292" t="s">
        <v>49</v>
      </c>
      <c r="G292" t="s">
        <v>678</v>
      </c>
      <c r="H292" t="s">
        <v>679</v>
      </c>
      <c r="J292" t="str">
        <f>HYPERLINK("https://www.facebook.com/634639855377280/posts/816721183835812?comment_id=250775434692408","https://www.facebook.com/634639855377280/posts/816721183835812?comment_id=250775434692408")</f>
        <v>https://www.facebook.com/634639855377280/posts/816721183835812?comment_id=250775434692408</v>
      </c>
      <c r="O292">
        <v>0</v>
      </c>
      <c r="P292">
        <v>0</v>
      </c>
      <c r="Q292">
        <v>0</v>
      </c>
      <c r="S292">
        <v>0</v>
      </c>
      <c r="T292">
        <v>0</v>
      </c>
      <c r="U292">
        <v>0</v>
      </c>
      <c r="W292" t="s">
        <v>52</v>
      </c>
    </row>
    <row r="293" spans="1:23" x14ac:dyDescent="0.35">
      <c r="A293" t="s">
        <v>45</v>
      </c>
      <c r="B293" t="s">
        <v>585</v>
      </c>
      <c r="C293" t="s">
        <v>60</v>
      </c>
      <c r="D293" t="s">
        <v>61</v>
      </c>
      <c r="E293" t="s">
        <v>61</v>
      </c>
      <c r="F293" t="s">
        <v>54</v>
      </c>
      <c r="G293" t="s">
        <v>680</v>
      </c>
      <c r="H293" t="s">
        <v>681</v>
      </c>
      <c r="J293" t="str">
        <f>HYPERLINK("https://www.facebook.com/634639855377280/posts/816721183835812?comment_id=940800104365406","https://www.facebook.com/634639855377280/posts/816721183835812?comment_id=940800104365406")</f>
        <v>https://www.facebook.com/634639855377280/posts/816721183835812?comment_id=940800104365406</v>
      </c>
      <c r="O293">
        <v>0</v>
      </c>
      <c r="P293">
        <v>0</v>
      </c>
      <c r="Q293">
        <v>0</v>
      </c>
      <c r="S293">
        <v>0</v>
      </c>
      <c r="T293">
        <v>0</v>
      </c>
      <c r="U293">
        <v>0</v>
      </c>
      <c r="W293" t="s">
        <v>52</v>
      </c>
    </row>
    <row r="294" spans="1:23" x14ac:dyDescent="0.35">
      <c r="A294" t="s">
        <v>45</v>
      </c>
      <c r="B294" t="s">
        <v>585</v>
      </c>
      <c r="C294" t="s">
        <v>93</v>
      </c>
      <c r="D294" t="s">
        <v>94</v>
      </c>
      <c r="E294" t="s">
        <v>45</v>
      </c>
      <c r="F294" t="s">
        <v>49</v>
      </c>
      <c r="G294" t="s">
        <v>682</v>
      </c>
      <c r="H294" t="s">
        <v>683</v>
      </c>
      <c r="J294" t="str">
        <f>HYPERLINK("https://twitter.com/SpiceMoneyIndia/status/1773232371762147590","https://twitter.com/SpiceMoneyIndia/status/1773232371762147590")</f>
        <v>https://twitter.com/SpiceMoneyIndia/status/1773232371762147590</v>
      </c>
      <c r="K294" t="s">
        <v>67</v>
      </c>
      <c r="O294">
        <v>0</v>
      </c>
      <c r="P294">
        <v>0</v>
      </c>
      <c r="Q294">
        <v>6093</v>
      </c>
      <c r="R294" t="s">
        <v>97</v>
      </c>
      <c r="S294">
        <v>0</v>
      </c>
      <c r="T294">
        <v>0</v>
      </c>
      <c r="U294">
        <v>0</v>
      </c>
      <c r="V294" t="s">
        <v>98</v>
      </c>
      <c r="W294" t="s">
        <v>99</v>
      </c>
    </row>
    <row r="295" spans="1:23" x14ac:dyDescent="0.35">
      <c r="A295" t="s">
        <v>45</v>
      </c>
      <c r="B295" t="s">
        <v>585</v>
      </c>
      <c r="C295" t="s">
        <v>47</v>
      </c>
      <c r="D295" t="s">
        <v>656</v>
      </c>
      <c r="E295" t="s">
        <v>656</v>
      </c>
      <c r="F295" t="s">
        <v>49</v>
      </c>
      <c r="G295" t="s">
        <v>684</v>
      </c>
      <c r="H295" t="s">
        <v>685</v>
      </c>
      <c r="J295" t="str">
        <f>HYPERLINK("https://www.youtube.com/watch?v=7pMfSyYFp5U&amp;lc=UgzOhlPJISIyGSpQIBJ4AaABAg.A1WKZttkkFtA1WVPake3Sd","https://www.youtube.com/watch?v=7pMfSyYFp5U&amp;lc=UgzOhlPJISIyGSpQIBJ4AaABAg.A1WKZttkkFtA1WVPake3Sd")</f>
        <v>https://www.youtube.com/watch?v=7pMfSyYFp5U&amp;lc=UgzOhlPJISIyGSpQIBJ4AaABAg.A1WKZttkkFtA1WVPake3Sd</v>
      </c>
      <c r="O295">
        <v>0</v>
      </c>
      <c r="P295">
        <v>0</v>
      </c>
      <c r="Q295">
        <v>0</v>
      </c>
      <c r="S295">
        <v>0</v>
      </c>
      <c r="T295">
        <v>0</v>
      </c>
      <c r="U295">
        <v>0</v>
      </c>
      <c r="W295" t="s">
        <v>52</v>
      </c>
    </row>
    <row r="296" spans="1:23" x14ac:dyDescent="0.35">
      <c r="A296" t="s">
        <v>45</v>
      </c>
      <c r="B296" t="s">
        <v>585</v>
      </c>
      <c r="C296" t="s">
        <v>47</v>
      </c>
      <c r="D296" t="s">
        <v>686</v>
      </c>
      <c r="E296" t="s">
        <v>686</v>
      </c>
      <c r="F296" t="s">
        <v>49</v>
      </c>
      <c r="G296" t="s">
        <v>687</v>
      </c>
      <c r="H296" t="s">
        <v>688</v>
      </c>
      <c r="J296" t="str">
        <f>HYPERLINK("https://www.youtube.com/watch?v=7pMfSyYFp5U&amp;lc=UgzOhlPJISIyGSpQIBJ4AaABAg.A1WKZttkkFtA1WUywrTNtI","https://www.youtube.com/watch?v=7pMfSyYFp5U&amp;lc=UgzOhlPJISIyGSpQIBJ4AaABAg.A1WKZttkkFtA1WUywrTNtI")</f>
        <v>https://www.youtube.com/watch?v=7pMfSyYFp5U&amp;lc=UgzOhlPJISIyGSpQIBJ4AaABAg.A1WKZttkkFtA1WUywrTNtI</v>
      </c>
      <c r="O296">
        <v>0</v>
      </c>
      <c r="P296">
        <v>0</v>
      </c>
      <c r="Q296">
        <v>0</v>
      </c>
      <c r="S296">
        <v>0</v>
      </c>
      <c r="T296">
        <v>0</v>
      </c>
      <c r="U296">
        <v>0</v>
      </c>
      <c r="W296" t="s">
        <v>52</v>
      </c>
    </row>
    <row r="297" spans="1:23" x14ac:dyDescent="0.35">
      <c r="A297" t="s">
        <v>45</v>
      </c>
      <c r="B297" t="s">
        <v>585</v>
      </c>
      <c r="C297" t="s">
        <v>47</v>
      </c>
      <c r="D297" t="s">
        <v>689</v>
      </c>
      <c r="E297" t="s">
        <v>689</v>
      </c>
      <c r="F297" t="s">
        <v>193</v>
      </c>
      <c r="G297" t="s">
        <v>690</v>
      </c>
      <c r="H297" t="s">
        <v>691</v>
      </c>
      <c r="J297" t="str">
        <f>HYPERLINK("https://www.youtube.com/watch?v=7pMfSyYFp5U&amp;lc=UgzkbAwZhSRKPxM33IB4AaABAg","https://www.youtube.com/watch?v=7pMfSyYFp5U&amp;lc=UgzkbAwZhSRKPxM33IB4AaABAg")</f>
        <v>https://www.youtube.com/watch?v=7pMfSyYFp5U&amp;lc=UgzkbAwZhSRKPxM33IB4AaABAg</v>
      </c>
      <c r="O297">
        <v>0</v>
      </c>
      <c r="P297">
        <v>0</v>
      </c>
      <c r="Q297">
        <v>0</v>
      </c>
      <c r="S297">
        <v>0</v>
      </c>
      <c r="T297">
        <v>0</v>
      </c>
      <c r="U297">
        <v>0</v>
      </c>
      <c r="W297" t="s">
        <v>52</v>
      </c>
    </row>
    <row r="298" spans="1:23" x14ac:dyDescent="0.35">
      <c r="A298" t="s">
        <v>45</v>
      </c>
      <c r="B298" t="s">
        <v>585</v>
      </c>
      <c r="C298" t="s">
        <v>47</v>
      </c>
      <c r="D298" t="s">
        <v>68</v>
      </c>
      <c r="E298" t="s">
        <v>68</v>
      </c>
      <c r="F298" t="s">
        <v>49</v>
      </c>
      <c r="G298" t="s">
        <v>102</v>
      </c>
      <c r="H298" t="s">
        <v>692</v>
      </c>
      <c r="J298" t="str">
        <f>HYPERLINK("https://www.youtube.com/watch?v=7pMfSyYFp5U&amp;lc=UgzuSl8ut2l71Dah0wd4AaABAg.A1W8k8O7U7jA1WTaN505Fa","https://www.youtube.com/watch?v=7pMfSyYFp5U&amp;lc=UgzuSl8ut2l71Dah0wd4AaABAg.A1W8k8O7U7jA1WTaN505Fa")</f>
        <v>https://www.youtube.com/watch?v=7pMfSyYFp5U&amp;lc=UgzuSl8ut2l71Dah0wd4AaABAg.A1W8k8O7U7jA1WTaN505Fa</v>
      </c>
      <c r="O298">
        <v>0</v>
      </c>
      <c r="P298">
        <v>0</v>
      </c>
      <c r="Q298">
        <v>0</v>
      </c>
      <c r="S298">
        <v>0</v>
      </c>
      <c r="T298">
        <v>0</v>
      </c>
      <c r="U298">
        <v>0</v>
      </c>
      <c r="W298" t="s">
        <v>52</v>
      </c>
    </row>
    <row r="299" spans="1:23" x14ac:dyDescent="0.35">
      <c r="A299" t="s">
        <v>45</v>
      </c>
      <c r="B299" t="s">
        <v>585</v>
      </c>
      <c r="C299" t="s">
        <v>60</v>
      </c>
      <c r="D299" t="s">
        <v>61</v>
      </c>
      <c r="E299" t="s">
        <v>61</v>
      </c>
      <c r="F299" t="s">
        <v>49</v>
      </c>
      <c r="G299" t="s">
        <v>693</v>
      </c>
      <c r="H299" t="s">
        <v>694</v>
      </c>
      <c r="J299" t="str">
        <f>HYPERLINK("https://www.facebook.com/634639855377280/posts/816721183835812?comment_id=1475039903079514","https://www.facebook.com/634639855377280/posts/816721183835812?comment_id=1475039903079514")</f>
        <v>https://www.facebook.com/634639855377280/posts/816721183835812?comment_id=1475039903079514</v>
      </c>
      <c r="O299">
        <v>0</v>
      </c>
      <c r="P299">
        <v>0</v>
      </c>
      <c r="Q299">
        <v>0</v>
      </c>
      <c r="S299">
        <v>0</v>
      </c>
      <c r="T299">
        <v>0</v>
      </c>
      <c r="U299">
        <v>0</v>
      </c>
      <c r="W299" t="s">
        <v>52</v>
      </c>
    </row>
    <row r="300" spans="1:23" x14ac:dyDescent="0.35">
      <c r="A300" t="s">
        <v>45</v>
      </c>
      <c r="B300" t="s">
        <v>585</v>
      </c>
      <c r="C300" t="s">
        <v>47</v>
      </c>
      <c r="D300" t="s">
        <v>68</v>
      </c>
      <c r="E300" t="s">
        <v>68</v>
      </c>
      <c r="F300" t="s">
        <v>49</v>
      </c>
      <c r="G300" t="s">
        <v>695</v>
      </c>
      <c r="H300" t="s">
        <v>696</v>
      </c>
      <c r="J300" t="str">
        <f>HYPERLINK("https://www.youtube.com/watch?v=XnF5-uLfaHg&amp;lc=Ugw6o6u080ShxXFmI0B4AaABAg.A1RTcl2t5rLA1WRxfc2OHR","https://www.youtube.com/watch?v=XnF5-uLfaHg&amp;lc=Ugw6o6u080ShxXFmI0B4AaABAg.A1RTcl2t5rLA1WRxfc2OHR")</f>
        <v>https://www.youtube.com/watch?v=XnF5-uLfaHg&amp;lc=Ugw6o6u080ShxXFmI0B4AaABAg.A1RTcl2t5rLA1WRxfc2OHR</v>
      </c>
      <c r="O300">
        <v>0</v>
      </c>
      <c r="P300">
        <v>0</v>
      </c>
      <c r="Q300">
        <v>0</v>
      </c>
      <c r="S300">
        <v>0</v>
      </c>
      <c r="T300">
        <v>0</v>
      </c>
      <c r="U300">
        <v>0</v>
      </c>
      <c r="W300" t="s">
        <v>52</v>
      </c>
    </row>
    <row r="301" spans="1:23" x14ac:dyDescent="0.35">
      <c r="A301" t="s">
        <v>45</v>
      </c>
      <c r="B301" t="s">
        <v>585</v>
      </c>
      <c r="C301" t="s">
        <v>47</v>
      </c>
      <c r="D301" t="s">
        <v>68</v>
      </c>
      <c r="E301" t="s">
        <v>68</v>
      </c>
      <c r="F301" t="s">
        <v>49</v>
      </c>
      <c r="G301" t="s">
        <v>102</v>
      </c>
      <c r="H301" t="s">
        <v>697</v>
      </c>
      <c r="J301" t="str">
        <f>HYPERLINK("https://www.youtube.com/watch?v=XnF5-uLfaHg&amp;lc=UgyOLvpIt04rpaqdkE14AaABAg.A1WDTyyqxYOA1WR-HI2Kpl","https://www.youtube.com/watch?v=XnF5-uLfaHg&amp;lc=UgyOLvpIt04rpaqdkE14AaABAg.A1WDTyyqxYOA1WR-HI2Kpl")</f>
        <v>https://www.youtube.com/watch?v=XnF5-uLfaHg&amp;lc=UgyOLvpIt04rpaqdkE14AaABAg.A1WDTyyqxYOA1WR-HI2Kpl</v>
      </c>
      <c r="O301">
        <v>0</v>
      </c>
      <c r="P301">
        <v>0</v>
      </c>
      <c r="Q301">
        <v>0</v>
      </c>
      <c r="S301">
        <v>0</v>
      </c>
      <c r="T301">
        <v>0</v>
      </c>
      <c r="U301">
        <v>0</v>
      </c>
      <c r="W301" t="s">
        <v>52</v>
      </c>
    </row>
    <row r="302" spans="1:23" x14ac:dyDescent="0.35">
      <c r="A302" t="s">
        <v>45</v>
      </c>
      <c r="B302" t="s">
        <v>585</v>
      </c>
      <c r="C302" t="s">
        <v>47</v>
      </c>
      <c r="D302" t="s">
        <v>68</v>
      </c>
      <c r="E302" t="s">
        <v>68</v>
      </c>
      <c r="F302" t="s">
        <v>49</v>
      </c>
      <c r="G302" t="s">
        <v>698</v>
      </c>
      <c r="H302" t="s">
        <v>699</v>
      </c>
      <c r="J302" t="str">
        <f>HYPERLINK("https://www.youtube.com/watch?v=XnF5-uLfaHg&amp;lc=UgyPwWpSfPKWSlvAkYF4AaABAg.A1Us3zjfv1TA1WQKA2GK7v","https://www.youtube.com/watch?v=XnF5-uLfaHg&amp;lc=UgyPwWpSfPKWSlvAkYF4AaABAg.A1Us3zjfv1TA1WQKA2GK7v")</f>
        <v>https://www.youtube.com/watch?v=XnF5-uLfaHg&amp;lc=UgyPwWpSfPKWSlvAkYF4AaABAg.A1Us3zjfv1TA1WQKA2GK7v</v>
      </c>
      <c r="O302">
        <v>0</v>
      </c>
      <c r="P302">
        <v>0</v>
      </c>
      <c r="Q302">
        <v>0</v>
      </c>
      <c r="S302">
        <v>0</v>
      </c>
      <c r="T302">
        <v>0</v>
      </c>
      <c r="U302">
        <v>0</v>
      </c>
      <c r="W302" t="s">
        <v>52</v>
      </c>
    </row>
    <row r="303" spans="1:23" x14ac:dyDescent="0.35">
      <c r="A303" t="s">
        <v>45</v>
      </c>
      <c r="B303" t="s">
        <v>585</v>
      </c>
      <c r="C303" t="s">
        <v>47</v>
      </c>
      <c r="D303" t="s">
        <v>68</v>
      </c>
      <c r="E303" t="s">
        <v>68</v>
      </c>
      <c r="F303" t="s">
        <v>49</v>
      </c>
      <c r="G303" t="s">
        <v>262</v>
      </c>
      <c r="H303" t="s">
        <v>700</v>
      </c>
      <c r="J303" t="str">
        <f>HYPERLINK("https://www.youtube.com/watch?v=7pMfSyYFp5U&amp;lc=UgzCprGVFSYZjnJK2dZ4AaABAg.A1V5KRWidOHA1WOqMh53tz","https://www.youtube.com/watch?v=7pMfSyYFp5U&amp;lc=UgzCprGVFSYZjnJK2dZ4AaABAg.A1V5KRWidOHA1WOqMh53tz")</f>
        <v>https://www.youtube.com/watch?v=7pMfSyYFp5U&amp;lc=UgzCprGVFSYZjnJK2dZ4AaABAg.A1V5KRWidOHA1WOqMh53tz</v>
      </c>
      <c r="O303">
        <v>0</v>
      </c>
      <c r="P303">
        <v>0</v>
      </c>
      <c r="Q303">
        <v>0</v>
      </c>
      <c r="S303">
        <v>0</v>
      </c>
      <c r="T303">
        <v>0</v>
      </c>
      <c r="U303">
        <v>0</v>
      </c>
      <c r="W303" t="s">
        <v>52</v>
      </c>
    </row>
    <row r="304" spans="1:23" x14ac:dyDescent="0.35">
      <c r="A304" t="s">
        <v>45</v>
      </c>
      <c r="B304" t="s">
        <v>585</v>
      </c>
      <c r="C304" t="s">
        <v>47</v>
      </c>
      <c r="D304" t="s">
        <v>45</v>
      </c>
      <c r="E304" t="s">
        <v>45</v>
      </c>
      <c r="F304" t="s">
        <v>49</v>
      </c>
      <c r="G304" t="s">
        <v>701</v>
      </c>
      <c r="H304" t="s">
        <v>702</v>
      </c>
      <c r="J304" t="str">
        <f>HYPERLINK("https://www.youtube.com/watch?v=QhM86NYXY_8","https://www.youtube.com/watch?v=QhM86NYXY_8")</f>
        <v>https://www.youtube.com/watch?v=QhM86NYXY_8</v>
      </c>
      <c r="O304">
        <v>0</v>
      </c>
      <c r="P304">
        <v>0</v>
      </c>
      <c r="Q304">
        <v>0</v>
      </c>
      <c r="S304">
        <v>0</v>
      </c>
      <c r="T304">
        <v>0</v>
      </c>
      <c r="U304">
        <v>0</v>
      </c>
      <c r="W304" t="s">
        <v>346</v>
      </c>
    </row>
    <row r="305" spans="1:23" x14ac:dyDescent="0.35">
      <c r="A305" t="s">
        <v>45</v>
      </c>
      <c r="B305" t="s">
        <v>585</v>
      </c>
      <c r="C305" t="s">
        <v>60</v>
      </c>
      <c r="D305" t="s">
        <v>64</v>
      </c>
      <c r="E305" t="s">
        <v>64</v>
      </c>
      <c r="F305" t="s">
        <v>49</v>
      </c>
      <c r="G305" t="s">
        <v>703</v>
      </c>
      <c r="H305" t="s">
        <v>704</v>
      </c>
      <c r="J305" t="str">
        <f>HYPERLINK("https://www.facebook.com/634639855377280/posts/816721183835812","https://www.facebook.com/634639855377280/posts/816721183835812")</f>
        <v>https://www.facebook.com/634639855377280/posts/816721183835812</v>
      </c>
      <c r="O305">
        <v>0</v>
      </c>
      <c r="P305">
        <v>0</v>
      </c>
      <c r="Q305">
        <v>0</v>
      </c>
      <c r="S305">
        <v>10</v>
      </c>
      <c r="T305">
        <v>71</v>
      </c>
      <c r="U305">
        <v>2</v>
      </c>
      <c r="W305" t="s">
        <v>346</v>
      </c>
    </row>
    <row r="306" spans="1:23" x14ac:dyDescent="0.35">
      <c r="A306" t="s">
        <v>45</v>
      </c>
      <c r="B306" t="s">
        <v>585</v>
      </c>
      <c r="C306" t="s">
        <v>47</v>
      </c>
      <c r="D306" t="s">
        <v>68</v>
      </c>
      <c r="E306" t="s">
        <v>68</v>
      </c>
      <c r="F306" t="s">
        <v>49</v>
      </c>
      <c r="G306" t="s">
        <v>705</v>
      </c>
      <c r="H306" t="s">
        <v>706</v>
      </c>
      <c r="J306" t="str">
        <f>HYPERLINK("https://www.youtube.com/watch?v=7pMfSyYFp5U&amp;lc=UgzuNBWCfK719uklaoF4AaABAg.A1Uk0ORbptLA1WLPImDuMz","https://www.youtube.com/watch?v=7pMfSyYFp5U&amp;lc=UgzuNBWCfK719uklaoF4AaABAg.A1Uk0ORbptLA1WLPImDuMz")</f>
        <v>https://www.youtube.com/watch?v=7pMfSyYFp5U&amp;lc=UgzuNBWCfK719uklaoF4AaABAg.A1Uk0ORbptLA1WLPImDuMz</v>
      </c>
      <c r="O306">
        <v>0</v>
      </c>
      <c r="P306">
        <v>0</v>
      </c>
      <c r="Q306">
        <v>0</v>
      </c>
      <c r="S306">
        <v>0</v>
      </c>
      <c r="T306">
        <v>0</v>
      </c>
      <c r="U306">
        <v>0</v>
      </c>
      <c r="W306" t="s">
        <v>52</v>
      </c>
    </row>
    <row r="307" spans="1:23" x14ac:dyDescent="0.35">
      <c r="A307" t="s">
        <v>45</v>
      </c>
      <c r="B307" t="s">
        <v>585</v>
      </c>
      <c r="C307" t="s">
        <v>47</v>
      </c>
      <c r="D307" t="s">
        <v>351</v>
      </c>
      <c r="E307" t="s">
        <v>351</v>
      </c>
      <c r="F307" t="s">
        <v>49</v>
      </c>
      <c r="G307" t="s">
        <v>707</v>
      </c>
      <c r="H307" t="s">
        <v>708</v>
      </c>
      <c r="J307" t="str">
        <f>HYPERLINK("https://www.youtube.com/watch?v=7pMfSyYFp5U&amp;lc=UgzOhlPJISIyGSpQIBJ4AaABAg","https://www.youtube.com/watch?v=7pMfSyYFp5U&amp;lc=UgzOhlPJISIyGSpQIBJ4AaABAg")</f>
        <v>https://www.youtube.com/watch?v=7pMfSyYFp5U&amp;lc=UgzOhlPJISIyGSpQIBJ4AaABAg</v>
      </c>
      <c r="O307">
        <v>0</v>
      </c>
      <c r="P307">
        <v>0</v>
      </c>
      <c r="Q307">
        <v>0</v>
      </c>
      <c r="S307">
        <v>0</v>
      </c>
      <c r="T307">
        <v>0</v>
      </c>
      <c r="U307">
        <v>0</v>
      </c>
      <c r="W307" t="s">
        <v>52</v>
      </c>
    </row>
    <row r="308" spans="1:23" x14ac:dyDescent="0.35">
      <c r="A308" t="s">
        <v>45</v>
      </c>
      <c r="B308" t="s">
        <v>585</v>
      </c>
      <c r="C308" t="s">
        <v>47</v>
      </c>
      <c r="D308" t="s">
        <v>68</v>
      </c>
      <c r="E308" t="s">
        <v>68</v>
      </c>
      <c r="F308" t="s">
        <v>49</v>
      </c>
      <c r="G308" t="s">
        <v>102</v>
      </c>
      <c r="H308" t="s">
        <v>709</v>
      </c>
      <c r="J308" t="str">
        <f>HYPERLINK("https://www.youtube.com/watch?v=XnF5-uLfaHg&amp;lc=Ugw8dGtk903t-rnU1Qt4AaABAg.A1UbZInTea2A1WJqv809OH","https://www.youtube.com/watch?v=XnF5-uLfaHg&amp;lc=Ugw8dGtk903t-rnU1Qt4AaABAg.A1UbZInTea2A1WJqv809OH")</f>
        <v>https://www.youtube.com/watch?v=XnF5-uLfaHg&amp;lc=Ugw8dGtk903t-rnU1Qt4AaABAg.A1UbZInTea2A1WJqv809OH</v>
      </c>
      <c r="O308">
        <v>0</v>
      </c>
      <c r="P308">
        <v>0</v>
      </c>
      <c r="Q308">
        <v>0</v>
      </c>
      <c r="S308">
        <v>0</v>
      </c>
      <c r="T308">
        <v>0</v>
      </c>
      <c r="U308">
        <v>0</v>
      </c>
      <c r="W308" t="s">
        <v>52</v>
      </c>
    </row>
    <row r="309" spans="1:23" x14ac:dyDescent="0.35">
      <c r="A309" t="s">
        <v>45</v>
      </c>
      <c r="B309" t="s">
        <v>585</v>
      </c>
      <c r="C309" t="s">
        <v>47</v>
      </c>
      <c r="D309" t="s">
        <v>710</v>
      </c>
      <c r="E309" t="s">
        <v>710</v>
      </c>
      <c r="F309" t="s">
        <v>49</v>
      </c>
      <c r="G309" t="s">
        <v>711</v>
      </c>
      <c r="H309" t="s">
        <v>712</v>
      </c>
      <c r="J309" t="str">
        <f>HYPERLINK("https://www.youtube.com/watch?v=XnF5-uLfaHg&amp;lc=UgyOLvpIt04rpaqdkE14AaABAg","https://www.youtube.com/watch?v=XnF5-uLfaHg&amp;lc=UgyOLvpIt04rpaqdkE14AaABAg")</f>
        <v>https://www.youtube.com/watch?v=XnF5-uLfaHg&amp;lc=UgyOLvpIt04rpaqdkE14AaABAg</v>
      </c>
      <c r="O309">
        <v>0</v>
      </c>
      <c r="P309">
        <v>0</v>
      </c>
      <c r="Q309">
        <v>0</v>
      </c>
      <c r="S309">
        <v>0</v>
      </c>
      <c r="T309">
        <v>0</v>
      </c>
      <c r="U309">
        <v>0</v>
      </c>
      <c r="W309" t="s">
        <v>52</v>
      </c>
    </row>
    <row r="310" spans="1:23" x14ac:dyDescent="0.35">
      <c r="A310" t="s">
        <v>45</v>
      </c>
      <c r="B310" t="s">
        <v>585</v>
      </c>
      <c r="C310" t="s">
        <v>93</v>
      </c>
      <c r="D310" t="s">
        <v>94</v>
      </c>
      <c r="E310" t="s">
        <v>45</v>
      </c>
      <c r="F310" t="s">
        <v>49</v>
      </c>
      <c r="G310" t="s">
        <v>713</v>
      </c>
      <c r="H310" t="s">
        <v>714</v>
      </c>
      <c r="J310" t="str">
        <f>HYPERLINK("https://twitter.com/SpiceMoneyIndia/status/1773183223306019079","https://twitter.com/SpiceMoneyIndia/status/1773183223306019079")</f>
        <v>https://twitter.com/SpiceMoneyIndia/status/1773183223306019079</v>
      </c>
      <c r="K310" t="s">
        <v>67</v>
      </c>
      <c r="O310">
        <v>0</v>
      </c>
      <c r="P310">
        <v>0</v>
      </c>
      <c r="Q310">
        <v>6092</v>
      </c>
      <c r="R310" t="s">
        <v>97</v>
      </c>
      <c r="S310">
        <v>0</v>
      </c>
      <c r="T310">
        <v>0</v>
      </c>
      <c r="U310">
        <v>0</v>
      </c>
      <c r="V310" t="s">
        <v>98</v>
      </c>
      <c r="W310" t="s">
        <v>99</v>
      </c>
    </row>
    <row r="311" spans="1:23" x14ac:dyDescent="0.35">
      <c r="A311" t="s">
        <v>45</v>
      </c>
      <c r="B311" t="s">
        <v>585</v>
      </c>
      <c r="C311" t="s">
        <v>47</v>
      </c>
      <c r="D311" t="s">
        <v>68</v>
      </c>
      <c r="E311" t="s">
        <v>68</v>
      </c>
      <c r="F311" t="s">
        <v>49</v>
      </c>
      <c r="G311" t="s">
        <v>102</v>
      </c>
      <c r="H311" t="s">
        <v>715</v>
      </c>
      <c r="J311" t="str">
        <f>HYPERLINK("https://www.youtube.com/watch?v=lWah2HCpaJI&amp;lc=UgzjfSJ0HDhFpXevcdV4AaABAg.A1W66RYbaoRA1WAwrPd6ws","https://www.youtube.com/watch?v=lWah2HCpaJI&amp;lc=UgzjfSJ0HDhFpXevcdV4AaABAg.A1W66RYbaoRA1WAwrPd6ws")</f>
        <v>https://www.youtube.com/watch?v=lWah2HCpaJI&amp;lc=UgzjfSJ0HDhFpXevcdV4AaABAg.A1W66RYbaoRA1WAwrPd6ws</v>
      </c>
      <c r="O311">
        <v>0</v>
      </c>
      <c r="P311">
        <v>0</v>
      </c>
      <c r="Q311">
        <v>0</v>
      </c>
      <c r="S311">
        <v>0</v>
      </c>
      <c r="T311">
        <v>0</v>
      </c>
      <c r="U311">
        <v>0</v>
      </c>
      <c r="W311" t="s">
        <v>52</v>
      </c>
    </row>
    <row r="312" spans="1:23" x14ac:dyDescent="0.35">
      <c r="A312" t="s">
        <v>45</v>
      </c>
      <c r="B312" t="s">
        <v>585</v>
      </c>
      <c r="C312" t="s">
        <v>47</v>
      </c>
      <c r="D312" t="s">
        <v>716</v>
      </c>
      <c r="E312" t="s">
        <v>716</v>
      </c>
      <c r="F312" t="s">
        <v>49</v>
      </c>
      <c r="G312" t="s">
        <v>717</v>
      </c>
      <c r="H312" t="s">
        <v>718</v>
      </c>
      <c r="J312" t="str">
        <f>HYPERLINK("https://www.youtube.com/watch?v=7pMfSyYFp5U&amp;lc=UgzuSl8ut2l71Dah0wd4AaABAg","https://www.youtube.com/watch?v=7pMfSyYFp5U&amp;lc=UgzuSl8ut2l71Dah0wd4AaABAg")</f>
        <v>https://www.youtube.com/watch?v=7pMfSyYFp5U&amp;lc=UgzuSl8ut2l71Dah0wd4AaABAg</v>
      </c>
      <c r="O312">
        <v>0</v>
      </c>
      <c r="P312">
        <v>0</v>
      </c>
      <c r="Q312">
        <v>0</v>
      </c>
      <c r="S312">
        <v>0</v>
      </c>
      <c r="T312">
        <v>0</v>
      </c>
      <c r="U312">
        <v>0</v>
      </c>
      <c r="W312" t="s">
        <v>52</v>
      </c>
    </row>
    <row r="313" spans="1:23" x14ac:dyDescent="0.35">
      <c r="A313" t="s">
        <v>45</v>
      </c>
      <c r="B313" t="s">
        <v>585</v>
      </c>
      <c r="C313" t="s">
        <v>47</v>
      </c>
      <c r="D313" t="s">
        <v>719</v>
      </c>
      <c r="E313" t="s">
        <v>719</v>
      </c>
      <c r="F313" t="s">
        <v>49</v>
      </c>
      <c r="G313" t="s">
        <v>720</v>
      </c>
      <c r="H313" t="s">
        <v>721</v>
      </c>
      <c r="J313" t="str">
        <f>HYPERLINK("https://www.youtube.com/watch?v=lWah2HCpaJI&amp;lc=UgzjfSJ0HDhFpXevcdV4AaABAg","https://www.youtube.com/watch?v=lWah2HCpaJI&amp;lc=UgzjfSJ0HDhFpXevcdV4AaABAg")</f>
        <v>https://www.youtube.com/watch?v=lWah2HCpaJI&amp;lc=UgzjfSJ0HDhFpXevcdV4AaABAg</v>
      </c>
      <c r="O313">
        <v>0</v>
      </c>
      <c r="P313">
        <v>0</v>
      </c>
      <c r="Q313">
        <v>0</v>
      </c>
      <c r="S313">
        <v>0</v>
      </c>
      <c r="T313">
        <v>0</v>
      </c>
      <c r="U313">
        <v>0</v>
      </c>
      <c r="W313" t="s">
        <v>52</v>
      </c>
    </row>
    <row r="314" spans="1:23" x14ac:dyDescent="0.35">
      <c r="A314" t="s">
        <v>45</v>
      </c>
      <c r="B314" t="s">
        <v>585</v>
      </c>
      <c r="C314" t="s">
        <v>93</v>
      </c>
      <c r="D314" t="s">
        <v>722</v>
      </c>
      <c r="E314" t="s">
        <v>723</v>
      </c>
      <c r="F314" t="s">
        <v>49</v>
      </c>
      <c r="G314" t="s">
        <v>724</v>
      </c>
      <c r="H314" t="s">
        <v>725</v>
      </c>
      <c r="J314" t="str">
        <f>HYPERLINK("https://twitter.com/Mohit_5355/status/1773169416294846592","https://twitter.com/Mohit_5355/status/1773169416294846592")</f>
        <v>https://twitter.com/Mohit_5355/status/1773169416294846592</v>
      </c>
      <c r="K314" t="s">
        <v>67</v>
      </c>
      <c r="O314">
        <v>0</v>
      </c>
      <c r="P314">
        <v>0</v>
      </c>
      <c r="Q314">
        <v>4</v>
      </c>
      <c r="S314">
        <v>0</v>
      </c>
      <c r="T314">
        <v>0</v>
      </c>
      <c r="U314">
        <v>0</v>
      </c>
      <c r="W314" t="s">
        <v>99</v>
      </c>
    </row>
    <row r="315" spans="1:23" x14ac:dyDescent="0.35">
      <c r="A315" t="s">
        <v>45</v>
      </c>
      <c r="B315" t="s">
        <v>585</v>
      </c>
      <c r="C315" t="s">
        <v>47</v>
      </c>
      <c r="D315" t="s">
        <v>726</v>
      </c>
      <c r="E315" t="s">
        <v>726</v>
      </c>
      <c r="F315" t="s">
        <v>49</v>
      </c>
      <c r="G315" t="s">
        <v>727</v>
      </c>
      <c r="H315" t="s">
        <v>728</v>
      </c>
      <c r="J315" t="str">
        <f>HYPERLINK("https://www.youtube.com/watch?v=XnF5-uLfaHg&amp;lc=UgwC5J8DgkHBY6Jxdwd4AaABAg","https://www.youtube.com/watch?v=XnF5-uLfaHg&amp;lc=UgwC5J8DgkHBY6Jxdwd4AaABAg")</f>
        <v>https://www.youtube.com/watch?v=XnF5-uLfaHg&amp;lc=UgwC5J8DgkHBY6Jxdwd4AaABAg</v>
      </c>
      <c r="O315">
        <v>0</v>
      </c>
      <c r="P315">
        <v>0</v>
      </c>
      <c r="Q315">
        <v>0</v>
      </c>
      <c r="S315">
        <v>0</v>
      </c>
      <c r="T315">
        <v>0</v>
      </c>
      <c r="U315">
        <v>0</v>
      </c>
      <c r="W315" t="s">
        <v>52</v>
      </c>
    </row>
    <row r="316" spans="1:23" x14ac:dyDescent="0.35">
      <c r="A316" t="s">
        <v>45</v>
      </c>
      <c r="B316" t="s">
        <v>585</v>
      </c>
      <c r="C316" t="s">
        <v>93</v>
      </c>
      <c r="D316" t="s">
        <v>729</v>
      </c>
      <c r="E316" t="s">
        <v>730</v>
      </c>
      <c r="F316" t="s">
        <v>49</v>
      </c>
      <c r="G316" t="s">
        <v>731</v>
      </c>
      <c r="H316" t="s">
        <v>732</v>
      </c>
      <c r="J316" t="str">
        <f>HYPERLINK("https://twitter.com/ManishSingh207/status/1773093272174444601","https://twitter.com/ManishSingh207/status/1773093272174444601")</f>
        <v>https://twitter.com/ManishSingh207/status/1773093272174444601</v>
      </c>
      <c r="K316" t="s">
        <v>67</v>
      </c>
      <c r="O316">
        <v>0</v>
      </c>
      <c r="P316">
        <v>0</v>
      </c>
      <c r="Q316">
        <v>37</v>
      </c>
      <c r="R316" t="s">
        <v>513</v>
      </c>
      <c r="S316">
        <v>0</v>
      </c>
      <c r="T316">
        <v>0</v>
      </c>
      <c r="U316">
        <v>0</v>
      </c>
      <c r="W316" t="s">
        <v>99</v>
      </c>
    </row>
    <row r="317" spans="1:23" x14ac:dyDescent="0.35">
      <c r="A317" t="s">
        <v>45</v>
      </c>
      <c r="B317" t="s">
        <v>585</v>
      </c>
      <c r="C317" t="s">
        <v>93</v>
      </c>
      <c r="D317" t="s">
        <v>661</v>
      </c>
      <c r="E317" t="s">
        <v>662</v>
      </c>
      <c r="F317" t="s">
        <v>49</v>
      </c>
      <c r="G317" t="s">
        <v>733</v>
      </c>
      <c r="H317" t="s">
        <v>734</v>
      </c>
      <c r="J317" t="str">
        <f>HYPERLINK("https://twitter.com/hellomrprfect/status/1773084765870068151","https://twitter.com/hellomrprfect/status/1773084765870068151")</f>
        <v>https://twitter.com/hellomrprfect/status/1773084765870068151</v>
      </c>
      <c r="K317" t="s">
        <v>67</v>
      </c>
      <c r="O317">
        <v>0</v>
      </c>
      <c r="P317">
        <v>0</v>
      </c>
      <c r="Q317">
        <v>15</v>
      </c>
      <c r="R317" t="s">
        <v>665</v>
      </c>
      <c r="S317">
        <v>0</v>
      </c>
      <c r="T317">
        <v>0</v>
      </c>
      <c r="U317">
        <v>0</v>
      </c>
      <c r="W317" t="s">
        <v>99</v>
      </c>
    </row>
    <row r="318" spans="1:23" x14ac:dyDescent="0.35">
      <c r="A318" t="s">
        <v>45</v>
      </c>
      <c r="B318" t="s">
        <v>735</v>
      </c>
      <c r="C318" t="s">
        <v>47</v>
      </c>
      <c r="D318" t="s">
        <v>736</v>
      </c>
      <c r="E318" t="s">
        <v>736</v>
      </c>
      <c r="F318" t="s">
        <v>49</v>
      </c>
      <c r="G318" t="s">
        <v>737</v>
      </c>
      <c r="H318" t="s">
        <v>738</v>
      </c>
      <c r="J318" t="str">
        <f>HYPERLINK("https://www.youtube.com/watch?v=uT_09H9IP3E","https://www.youtube.com/watch?v=uT_09H9IP3E")</f>
        <v>https://www.youtube.com/watch?v=uT_09H9IP3E</v>
      </c>
      <c r="O318">
        <v>0</v>
      </c>
      <c r="P318">
        <v>0</v>
      </c>
      <c r="Q318">
        <v>0</v>
      </c>
      <c r="S318">
        <v>0</v>
      </c>
      <c r="T318">
        <v>0</v>
      </c>
      <c r="U318">
        <v>0</v>
      </c>
      <c r="W318" t="s">
        <v>346</v>
      </c>
    </row>
    <row r="319" spans="1:23" x14ac:dyDescent="0.35">
      <c r="A319" t="s">
        <v>45</v>
      </c>
      <c r="B319" t="s">
        <v>735</v>
      </c>
      <c r="C319" t="s">
        <v>47</v>
      </c>
      <c r="D319" t="s">
        <v>739</v>
      </c>
      <c r="E319" t="s">
        <v>739</v>
      </c>
      <c r="F319" t="s">
        <v>49</v>
      </c>
      <c r="G319" t="s">
        <v>740</v>
      </c>
      <c r="H319" t="s">
        <v>741</v>
      </c>
      <c r="J319" t="str">
        <f>HYPERLINK("https://www.youtube.com/watch?v=XnF5-uLfaHg&amp;lc=Ugw6o6u080ShxXFmI0B4AaABAg.A1RTcl2t5rLA1VCGD6OaLD","https://www.youtube.com/watch?v=XnF5-uLfaHg&amp;lc=Ugw6o6u080ShxXFmI0B4AaABAg.A1RTcl2t5rLA1VCGD6OaLD")</f>
        <v>https://www.youtube.com/watch?v=XnF5-uLfaHg&amp;lc=Ugw6o6u080ShxXFmI0B4AaABAg.A1RTcl2t5rLA1VCGD6OaLD</v>
      </c>
      <c r="O319">
        <v>0</v>
      </c>
      <c r="P319">
        <v>0</v>
      </c>
      <c r="Q319">
        <v>0</v>
      </c>
      <c r="S319">
        <v>0</v>
      </c>
      <c r="T319">
        <v>0</v>
      </c>
      <c r="U319">
        <v>0</v>
      </c>
      <c r="W319" t="s">
        <v>52</v>
      </c>
    </row>
    <row r="320" spans="1:23" x14ac:dyDescent="0.35">
      <c r="A320" t="s">
        <v>45</v>
      </c>
      <c r="B320" t="s">
        <v>735</v>
      </c>
      <c r="C320" t="s">
        <v>47</v>
      </c>
      <c r="D320" t="s">
        <v>331</v>
      </c>
      <c r="E320" t="s">
        <v>331</v>
      </c>
      <c r="F320" t="s">
        <v>49</v>
      </c>
      <c r="G320" t="s">
        <v>742</v>
      </c>
      <c r="H320" t="s">
        <v>743</v>
      </c>
      <c r="J320" t="str">
        <f>HYPERLINK("https://www.youtube.com/watch?v=7pMfSyYFp5U&amp;lc=Ugy2PzhCX6EWZtrvsih4AaABAg","https://www.youtube.com/watch?v=7pMfSyYFp5U&amp;lc=Ugy2PzhCX6EWZtrvsih4AaABAg")</f>
        <v>https://www.youtube.com/watch?v=7pMfSyYFp5U&amp;lc=Ugy2PzhCX6EWZtrvsih4AaABAg</v>
      </c>
      <c r="O320">
        <v>0</v>
      </c>
      <c r="P320">
        <v>0</v>
      </c>
      <c r="Q320">
        <v>0</v>
      </c>
      <c r="S320">
        <v>0</v>
      </c>
      <c r="T320">
        <v>0</v>
      </c>
      <c r="U320">
        <v>0</v>
      </c>
      <c r="W320" t="s">
        <v>52</v>
      </c>
    </row>
    <row r="321" spans="1:23" x14ac:dyDescent="0.35">
      <c r="A321" t="s">
        <v>45</v>
      </c>
      <c r="B321" t="s">
        <v>735</v>
      </c>
      <c r="C321" t="s">
        <v>47</v>
      </c>
      <c r="D321" t="s">
        <v>744</v>
      </c>
      <c r="E321" t="s">
        <v>744</v>
      </c>
      <c r="F321" t="s">
        <v>193</v>
      </c>
      <c r="G321" t="s">
        <v>745</v>
      </c>
      <c r="H321" t="s">
        <v>746</v>
      </c>
      <c r="J321" t="str">
        <f>HYPERLINK("https://www.youtube.com/watch?v=7pMfSyYFp5U&amp;lc=UgzCprGVFSYZjnJK2dZ4AaABAg","https://www.youtube.com/watch?v=7pMfSyYFp5U&amp;lc=UgzCprGVFSYZjnJK2dZ4AaABAg")</f>
        <v>https://www.youtube.com/watch?v=7pMfSyYFp5U&amp;lc=UgzCprGVFSYZjnJK2dZ4AaABAg</v>
      </c>
      <c r="O321">
        <v>0</v>
      </c>
      <c r="P321">
        <v>0</v>
      </c>
      <c r="Q321">
        <v>0</v>
      </c>
      <c r="S321">
        <v>0</v>
      </c>
      <c r="T321">
        <v>0</v>
      </c>
      <c r="U321">
        <v>0</v>
      </c>
      <c r="W321" t="s">
        <v>52</v>
      </c>
    </row>
    <row r="322" spans="1:23" x14ac:dyDescent="0.35">
      <c r="A322" t="s">
        <v>45</v>
      </c>
      <c r="B322" t="s">
        <v>735</v>
      </c>
      <c r="C322" t="s">
        <v>60</v>
      </c>
      <c r="D322" t="s">
        <v>61</v>
      </c>
      <c r="E322" t="s">
        <v>61</v>
      </c>
      <c r="F322" t="s">
        <v>49</v>
      </c>
      <c r="G322" t="s">
        <v>747</v>
      </c>
      <c r="H322" t="s">
        <v>748</v>
      </c>
      <c r="J322" t="str">
        <f>HYPERLINK("https://www.facebook.com/634639855377280/posts/816150883892842?comment_id=1123819552387621","https://www.facebook.com/634639855377280/posts/816150883892842?comment_id=1123819552387621")</f>
        <v>https://www.facebook.com/634639855377280/posts/816150883892842?comment_id=1123819552387621</v>
      </c>
      <c r="O322">
        <v>0</v>
      </c>
      <c r="P322">
        <v>0</v>
      </c>
      <c r="Q322">
        <v>0</v>
      </c>
      <c r="S322">
        <v>0</v>
      </c>
      <c r="T322">
        <v>0</v>
      </c>
      <c r="U322">
        <v>0</v>
      </c>
      <c r="W322" t="s">
        <v>52</v>
      </c>
    </row>
    <row r="323" spans="1:23" x14ac:dyDescent="0.35">
      <c r="A323" t="s">
        <v>45</v>
      </c>
      <c r="B323" t="s">
        <v>735</v>
      </c>
      <c r="C323" t="s">
        <v>47</v>
      </c>
      <c r="D323" t="s">
        <v>749</v>
      </c>
      <c r="E323" t="s">
        <v>749</v>
      </c>
      <c r="F323" t="s">
        <v>54</v>
      </c>
      <c r="G323" t="s">
        <v>750</v>
      </c>
      <c r="H323" t="s">
        <v>751</v>
      </c>
      <c r="J323" t="str">
        <f>HYPERLINK("https://www.youtube.com/watch?v=XnF5-uLfaHg&amp;lc=UgyPwWpSfPKWSlvAkYF4AaABAg","https://www.youtube.com/watch?v=XnF5-uLfaHg&amp;lc=UgyPwWpSfPKWSlvAkYF4AaABAg")</f>
        <v>https://www.youtube.com/watch?v=XnF5-uLfaHg&amp;lc=UgyPwWpSfPKWSlvAkYF4AaABAg</v>
      </c>
      <c r="O323">
        <v>0</v>
      </c>
      <c r="P323">
        <v>0</v>
      </c>
      <c r="Q323">
        <v>0</v>
      </c>
      <c r="S323">
        <v>0</v>
      </c>
      <c r="T323">
        <v>0</v>
      </c>
      <c r="U323">
        <v>0</v>
      </c>
      <c r="W323" t="s">
        <v>52</v>
      </c>
    </row>
    <row r="324" spans="1:23" x14ac:dyDescent="0.35">
      <c r="A324" t="s">
        <v>45</v>
      </c>
      <c r="B324" t="s">
        <v>735</v>
      </c>
      <c r="C324" t="s">
        <v>93</v>
      </c>
      <c r="D324" t="s">
        <v>752</v>
      </c>
      <c r="E324" t="s">
        <v>753</v>
      </c>
      <c r="F324" t="s">
        <v>49</v>
      </c>
      <c r="G324" t="s">
        <v>754</v>
      </c>
      <c r="H324" t="s">
        <v>755</v>
      </c>
      <c r="J324" t="str">
        <f>HYPERLINK("https://twitter.com/PayNearby/status/1772979180864451050","https://twitter.com/PayNearby/status/1772979180864451050")</f>
        <v>https://twitter.com/PayNearby/status/1772979180864451050</v>
      </c>
      <c r="O324">
        <v>0</v>
      </c>
      <c r="P324">
        <v>0</v>
      </c>
      <c r="Q324">
        <v>6039</v>
      </c>
      <c r="R324" t="s">
        <v>756</v>
      </c>
      <c r="S324">
        <v>0</v>
      </c>
      <c r="T324">
        <v>0</v>
      </c>
      <c r="U324">
        <v>0</v>
      </c>
      <c r="W324" t="s">
        <v>99</v>
      </c>
    </row>
    <row r="325" spans="1:23" x14ac:dyDescent="0.35">
      <c r="A325" t="s">
        <v>45</v>
      </c>
      <c r="B325" t="s">
        <v>735</v>
      </c>
      <c r="C325" t="s">
        <v>47</v>
      </c>
      <c r="D325" t="s">
        <v>370</v>
      </c>
      <c r="E325" t="s">
        <v>370</v>
      </c>
      <c r="F325" t="s">
        <v>49</v>
      </c>
      <c r="G325" t="s">
        <v>757</v>
      </c>
      <c r="H325" t="s">
        <v>758</v>
      </c>
      <c r="J325" t="str">
        <f>HYPERLINK("https://www.youtube.com/watch?v=7pMfSyYFp5U&amp;lc=UgzuNBWCfK719uklaoF4AaABAg","https://www.youtube.com/watch?v=7pMfSyYFp5U&amp;lc=UgzuNBWCfK719uklaoF4AaABAg")</f>
        <v>https://www.youtube.com/watch?v=7pMfSyYFp5U&amp;lc=UgzuNBWCfK719uklaoF4AaABAg</v>
      </c>
      <c r="O325">
        <v>0</v>
      </c>
      <c r="P325">
        <v>0</v>
      </c>
      <c r="Q325">
        <v>0</v>
      </c>
      <c r="S325">
        <v>0</v>
      </c>
      <c r="T325">
        <v>0</v>
      </c>
      <c r="U325">
        <v>0</v>
      </c>
      <c r="W325" t="s">
        <v>52</v>
      </c>
    </row>
    <row r="326" spans="1:23" x14ac:dyDescent="0.35">
      <c r="A326" t="s">
        <v>45</v>
      </c>
      <c r="B326" t="s">
        <v>735</v>
      </c>
      <c r="C326" t="s">
        <v>60</v>
      </c>
      <c r="D326" t="s">
        <v>61</v>
      </c>
      <c r="E326" t="s">
        <v>61</v>
      </c>
      <c r="F326" t="s">
        <v>49</v>
      </c>
      <c r="G326" t="s">
        <v>759</v>
      </c>
      <c r="H326" t="s">
        <v>760</v>
      </c>
      <c r="J326" t="str">
        <f>HYPERLINK("https://www.facebook.com/634639855377280/posts/816150883892842?comment_id=708274464853101&amp;reply_comment_id=716942217187404","https://www.facebook.com/634639855377280/posts/816150883892842?comment_id=708274464853101&amp;reply_comment_id=716942217187404")</f>
        <v>https://www.facebook.com/634639855377280/posts/816150883892842?comment_id=708274464853101&amp;reply_comment_id=716942217187404</v>
      </c>
      <c r="O326">
        <v>0</v>
      </c>
      <c r="P326">
        <v>0</v>
      </c>
      <c r="Q326">
        <v>0</v>
      </c>
      <c r="S326">
        <v>0</v>
      </c>
      <c r="T326">
        <v>0</v>
      </c>
      <c r="U326">
        <v>0</v>
      </c>
      <c r="W326" t="s">
        <v>52</v>
      </c>
    </row>
    <row r="327" spans="1:23" x14ac:dyDescent="0.35">
      <c r="A327" t="s">
        <v>45</v>
      </c>
      <c r="B327" t="s">
        <v>735</v>
      </c>
      <c r="C327" t="s">
        <v>47</v>
      </c>
      <c r="D327" t="s">
        <v>68</v>
      </c>
      <c r="E327" t="s">
        <v>68</v>
      </c>
      <c r="F327" t="s">
        <v>49</v>
      </c>
      <c r="G327" t="s">
        <v>102</v>
      </c>
      <c r="H327" t="s">
        <v>761</v>
      </c>
      <c r="J327" t="str">
        <f>HYPERLINK("https://www.youtube.com/watch?v=7pMfSyYFp5U&amp;lc=UgzPRsqLbDfz88_LIMh4AaABAg.A1TjFanLOGEA1UdjGEz2pY","https://www.youtube.com/watch?v=7pMfSyYFp5U&amp;lc=UgzPRsqLbDfz88_LIMh4AaABAg.A1TjFanLOGEA1UdjGEz2pY")</f>
        <v>https://www.youtube.com/watch?v=7pMfSyYFp5U&amp;lc=UgzPRsqLbDfz88_LIMh4AaABAg.A1TjFanLOGEA1UdjGEz2pY</v>
      </c>
      <c r="O327">
        <v>0</v>
      </c>
      <c r="P327">
        <v>0</v>
      </c>
      <c r="Q327">
        <v>0</v>
      </c>
      <c r="S327">
        <v>0</v>
      </c>
      <c r="T327">
        <v>0</v>
      </c>
      <c r="U327">
        <v>0</v>
      </c>
      <c r="W327" t="s">
        <v>52</v>
      </c>
    </row>
    <row r="328" spans="1:23" x14ac:dyDescent="0.35">
      <c r="A328" t="s">
        <v>45</v>
      </c>
      <c r="B328" t="s">
        <v>735</v>
      </c>
      <c r="C328" t="s">
        <v>93</v>
      </c>
      <c r="D328" t="s">
        <v>762</v>
      </c>
      <c r="E328" t="s">
        <v>763</v>
      </c>
      <c r="F328" t="s">
        <v>49</v>
      </c>
      <c r="G328" t="s">
        <v>764</v>
      </c>
      <c r="H328" t="s">
        <v>765</v>
      </c>
      <c r="J328" t="str">
        <f>HYPERLINK("https://twitter.com/jitendra261988/status/1772961438245544418","https://twitter.com/jitendra261988/status/1772961438245544418")</f>
        <v>https://twitter.com/jitendra261988/status/1772961438245544418</v>
      </c>
      <c r="K328" t="s">
        <v>67</v>
      </c>
      <c r="O328">
        <v>0</v>
      </c>
      <c r="P328">
        <v>0</v>
      </c>
      <c r="Q328">
        <v>16</v>
      </c>
      <c r="S328">
        <v>0</v>
      </c>
      <c r="T328">
        <v>0</v>
      </c>
      <c r="U328">
        <v>0</v>
      </c>
      <c r="W328" t="s">
        <v>99</v>
      </c>
    </row>
    <row r="329" spans="1:23" x14ac:dyDescent="0.35">
      <c r="A329" t="s">
        <v>45</v>
      </c>
      <c r="B329" t="s">
        <v>735</v>
      </c>
      <c r="C329" t="s">
        <v>93</v>
      </c>
      <c r="D329" t="s">
        <v>762</v>
      </c>
      <c r="E329" t="s">
        <v>763</v>
      </c>
      <c r="F329" t="s">
        <v>54</v>
      </c>
      <c r="G329" t="s">
        <v>766</v>
      </c>
      <c r="H329" t="s">
        <v>767</v>
      </c>
      <c r="J329" t="str">
        <f>HYPERLINK("https://twitter.com/jitendra261988/status/1772961413968941171","https://twitter.com/jitendra261988/status/1772961413968941171")</f>
        <v>https://twitter.com/jitendra261988/status/1772961413968941171</v>
      </c>
      <c r="K329" t="s">
        <v>67</v>
      </c>
      <c r="O329">
        <v>0</v>
      </c>
      <c r="P329">
        <v>0</v>
      </c>
      <c r="Q329">
        <v>16</v>
      </c>
      <c r="S329">
        <v>0</v>
      </c>
      <c r="T329">
        <v>0</v>
      </c>
      <c r="U329">
        <v>0</v>
      </c>
      <c r="W329" t="s">
        <v>99</v>
      </c>
    </row>
    <row r="330" spans="1:23" x14ac:dyDescent="0.35">
      <c r="A330" t="s">
        <v>45</v>
      </c>
      <c r="B330" t="s">
        <v>735</v>
      </c>
      <c r="C330" t="s">
        <v>93</v>
      </c>
      <c r="D330" t="s">
        <v>762</v>
      </c>
      <c r="E330" t="s">
        <v>763</v>
      </c>
      <c r="F330" t="s">
        <v>54</v>
      </c>
      <c r="G330" t="s">
        <v>768</v>
      </c>
      <c r="H330" t="s">
        <v>769</v>
      </c>
      <c r="J330" t="str">
        <f>HYPERLINK("https://twitter.com/jitendra261988/status/1772961330586173720","https://twitter.com/jitendra261988/status/1772961330586173720")</f>
        <v>https://twitter.com/jitendra261988/status/1772961330586173720</v>
      </c>
      <c r="K330" t="s">
        <v>67</v>
      </c>
      <c r="O330">
        <v>0</v>
      </c>
      <c r="P330">
        <v>0</v>
      </c>
      <c r="Q330">
        <v>16</v>
      </c>
      <c r="S330">
        <v>0</v>
      </c>
      <c r="T330">
        <v>0</v>
      </c>
      <c r="U330">
        <v>0</v>
      </c>
      <c r="W330" t="s">
        <v>99</v>
      </c>
    </row>
    <row r="331" spans="1:23" x14ac:dyDescent="0.35">
      <c r="A331" t="s">
        <v>45</v>
      </c>
      <c r="B331" t="s">
        <v>735</v>
      </c>
      <c r="C331" t="s">
        <v>47</v>
      </c>
      <c r="D331" t="s">
        <v>770</v>
      </c>
      <c r="E331" t="s">
        <v>770</v>
      </c>
      <c r="F331" t="s">
        <v>49</v>
      </c>
      <c r="G331" t="s">
        <v>771</v>
      </c>
      <c r="H331" t="s">
        <v>772</v>
      </c>
      <c r="J331" t="str">
        <f>HYPERLINK("https://www.youtube.com/watch?v=XnF5-uLfaHg&amp;lc=Ugw8dGtk903t-rnU1Qt4AaABAg","https://www.youtube.com/watch?v=XnF5-uLfaHg&amp;lc=Ugw8dGtk903t-rnU1Qt4AaABAg")</f>
        <v>https://www.youtube.com/watch?v=XnF5-uLfaHg&amp;lc=Ugw8dGtk903t-rnU1Qt4AaABAg</v>
      </c>
      <c r="O331">
        <v>0</v>
      </c>
      <c r="P331">
        <v>0</v>
      </c>
      <c r="Q331">
        <v>0</v>
      </c>
      <c r="S331">
        <v>0</v>
      </c>
      <c r="T331">
        <v>0</v>
      </c>
      <c r="U331">
        <v>0</v>
      </c>
      <c r="W331" t="s">
        <v>52</v>
      </c>
    </row>
    <row r="332" spans="1:23" x14ac:dyDescent="0.35">
      <c r="A332" t="s">
        <v>45</v>
      </c>
      <c r="B332" t="s">
        <v>735</v>
      </c>
      <c r="C332" t="s">
        <v>93</v>
      </c>
      <c r="D332" t="s">
        <v>94</v>
      </c>
      <c r="E332" t="s">
        <v>45</v>
      </c>
      <c r="F332" t="s">
        <v>49</v>
      </c>
      <c r="G332" t="s">
        <v>773</v>
      </c>
      <c r="H332" t="s">
        <v>774</v>
      </c>
      <c r="J332" t="str">
        <f>HYPERLINK("https://twitter.com/SpiceMoneyIndia/status/1772959150470779128","https://twitter.com/SpiceMoneyIndia/status/1772959150470779128")</f>
        <v>https://twitter.com/SpiceMoneyIndia/status/1772959150470779128</v>
      </c>
      <c r="K332" t="s">
        <v>67</v>
      </c>
      <c r="O332">
        <v>0</v>
      </c>
      <c r="P332">
        <v>0</v>
      </c>
      <c r="Q332">
        <v>6096</v>
      </c>
      <c r="R332" t="s">
        <v>97</v>
      </c>
      <c r="S332">
        <v>0</v>
      </c>
      <c r="T332">
        <v>0</v>
      </c>
      <c r="U332">
        <v>0</v>
      </c>
      <c r="V332" t="s">
        <v>98</v>
      </c>
      <c r="W332" t="s">
        <v>99</v>
      </c>
    </row>
    <row r="333" spans="1:23" x14ac:dyDescent="0.35">
      <c r="A333" t="s">
        <v>45</v>
      </c>
      <c r="B333" t="s">
        <v>735</v>
      </c>
      <c r="C333" t="s">
        <v>47</v>
      </c>
      <c r="D333" t="s">
        <v>68</v>
      </c>
      <c r="E333" t="s">
        <v>68</v>
      </c>
      <c r="F333" t="s">
        <v>49</v>
      </c>
      <c r="G333" t="s">
        <v>307</v>
      </c>
      <c r="H333" t="s">
        <v>775</v>
      </c>
      <c r="J333" t="str">
        <f>HYPERLINK("https://www.youtube.com/watch?v=7pMfSyYFp5U&amp;lc=UgxE19v_ZOjkr6485tV4AaABAg.A1U-OBTkXxCA1Uayehc2ip","https://www.youtube.com/watch?v=7pMfSyYFp5U&amp;lc=UgxE19v_ZOjkr6485tV4AaABAg.A1U-OBTkXxCA1Uayehc2ip")</f>
        <v>https://www.youtube.com/watch?v=7pMfSyYFp5U&amp;lc=UgxE19v_ZOjkr6485tV4AaABAg.A1U-OBTkXxCA1Uayehc2ip</v>
      </c>
      <c r="O333">
        <v>0</v>
      </c>
      <c r="P333">
        <v>0</v>
      </c>
      <c r="Q333">
        <v>0</v>
      </c>
      <c r="S333">
        <v>0</v>
      </c>
      <c r="T333">
        <v>0</v>
      </c>
      <c r="U333">
        <v>0</v>
      </c>
      <c r="W333" t="s">
        <v>52</v>
      </c>
    </row>
    <row r="334" spans="1:23" x14ac:dyDescent="0.35">
      <c r="A334" t="s">
        <v>45</v>
      </c>
      <c r="B334" t="s">
        <v>735</v>
      </c>
      <c r="C334" t="s">
        <v>47</v>
      </c>
      <c r="D334" t="s">
        <v>770</v>
      </c>
      <c r="E334" t="s">
        <v>770</v>
      </c>
      <c r="F334" t="s">
        <v>49</v>
      </c>
      <c r="G334" t="s">
        <v>776</v>
      </c>
      <c r="H334" t="s">
        <v>777</v>
      </c>
      <c r="J334" t="str">
        <f>HYPERLINK("https://www.youtube.com/watch?v=7pMfSyYFp5U&amp;lc=UgyA5cH93i_E_ROS3FN4AaABAg","https://www.youtube.com/watch?v=7pMfSyYFp5U&amp;lc=UgyA5cH93i_E_ROS3FN4AaABAg")</f>
        <v>https://www.youtube.com/watch?v=7pMfSyYFp5U&amp;lc=UgyA5cH93i_E_ROS3FN4AaABAg</v>
      </c>
      <c r="O334">
        <v>0</v>
      </c>
      <c r="P334">
        <v>0</v>
      </c>
      <c r="Q334">
        <v>0</v>
      </c>
      <c r="S334">
        <v>0</v>
      </c>
      <c r="T334">
        <v>0</v>
      </c>
      <c r="U334">
        <v>0</v>
      </c>
      <c r="W334" t="s">
        <v>52</v>
      </c>
    </row>
    <row r="335" spans="1:23" x14ac:dyDescent="0.35">
      <c r="A335" t="s">
        <v>45</v>
      </c>
      <c r="B335" t="s">
        <v>735</v>
      </c>
      <c r="C335" t="s">
        <v>93</v>
      </c>
      <c r="D335" t="s">
        <v>762</v>
      </c>
      <c r="E335" t="s">
        <v>763</v>
      </c>
      <c r="F335" t="s">
        <v>49</v>
      </c>
      <c r="G335" t="s">
        <v>778</v>
      </c>
      <c r="H335" t="s">
        <v>779</v>
      </c>
      <c r="J335" t="str">
        <f>HYPERLINK("https://twitter.com/jitendra261988/status/1772952819563209160","https://twitter.com/jitendra261988/status/1772952819563209160")</f>
        <v>https://twitter.com/jitendra261988/status/1772952819563209160</v>
      </c>
      <c r="K335" t="s">
        <v>67</v>
      </c>
      <c r="O335">
        <v>0</v>
      </c>
      <c r="P335">
        <v>0</v>
      </c>
      <c r="Q335">
        <v>16</v>
      </c>
      <c r="S335">
        <v>0</v>
      </c>
      <c r="T335">
        <v>0</v>
      </c>
      <c r="U335">
        <v>0</v>
      </c>
      <c r="W335" t="s">
        <v>99</v>
      </c>
    </row>
    <row r="336" spans="1:23" x14ac:dyDescent="0.35">
      <c r="A336" t="s">
        <v>45</v>
      </c>
      <c r="B336" t="s">
        <v>735</v>
      </c>
      <c r="C336" t="s">
        <v>93</v>
      </c>
      <c r="D336" t="s">
        <v>762</v>
      </c>
      <c r="E336" t="s">
        <v>763</v>
      </c>
      <c r="F336" t="s">
        <v>49</v>
      </c>
      <c r="G336" t="s">
        <v>780</v>
      </c>
      <c r="H336" t="s">
        <v>781</v>
      </c>
      <c r="J336" t="str">
        <f>HYPERLINK("https://twitter.com/jitendra261988/status/1772952777301410303","https://twitter.com/jitendra261988/status/1772952777301410303")</f>
        <v>https://twitter.com/jitendra261988/status/1772952777301410303</v>
      </c>
      <c r="K336" t="s">
        <v>67</v>
      </c>
      <c r="O336">
        <v>0</v>
      </c>
      <c r="P336">
        <v>0</v>
      </c>
      <c r="Q336">
        <v>16</v>
      </c>
      <c r="S336">
        <v>0</v>
      </c>
      <c r="T336">
        <v>0</v>
      </c>
      <c r="U336">
        <v>0</v>
      </c>
      <c r="W336" t="s">
        <v>99</v>
      </c>
    </row>
    <row r="337" spans="1:23" x14ac:dyDescent="0.35">
      <c r="A337" t="s">
        <v>45</v>
      </c>
      <c r="B337" t="s">
        <v>735</v>
      </c>
      <c r="C337" t="s">
        <v>93</v>
      </c>
      <c r="D337" t="s">
        <v>762</v>
      </c>
      <c r="E337" t="s">
        <v>763</v>
      </c>
      <c r="F337" t="s">
        <v>49</v>
      </c>
      <c r="G337" t="s">
        <v>782</v>
      </c>
      <c r="H337" t="s">
        <v>783</v>
      </c>
      <c r="J337" t="str">
        <f>HYPERLINK("https://twitter.com/jitendra261988/status/1772952679322362051","https://twitter.com/jitendra261988/status/1772952679322362051")</f>
        <v>https://twitter.com/jitendra261988/status/1772952679322362051</v>
      </c>
      <c r="K337" t="s">
        <v>67</v>
      </c>
      <c r="O337">
        <v>0</v>
      </c>
      <c r="P337">
        <v>0</v>
      </c>
      <c r="Q337">
        <v>16</v>
      </c>
      <c r="S337">
        <v>0</v>
      </c>
      <c r="T337">
        <v>0</v>
      </c>
      <c r="U337">
        <v>0</v>
      </c>
      <c r="W337" t="s">
        <v>99</v>
      </c>
    </row>
    <row r="338" spans="1:23" x14ac:dyDescent="0.35">
      <c r="A338" t="s">
        <v>45</v>
      </c>
      <c r="B338" t="s">
        <v>735</v>
      </c>
      <c r="C338" t="s">
        <v>93</v>
      </c>
      <c r="D338" t="s">
        <v>762</v>
      </c>
      <c r="E338" t="s">
        <v>763</v>
      </c>
      <c r="F338" t="s">
        <v>49</v>
      </c>
      <c r="G338" t="s">
        <v>784</v>
      </c>
      <c r="H338" t="s">
        <v>785</v>
      </c>
      <c r="J338" t="str">
        <f>HYPERLINK("https://twitter.com/jitendra261988/status/1772951799193907251","https://twitter.com/jitendra261988/status/1772951799193907251")</f>
        <v>https://twitter.com/jitendra261988/status/1772951799193907251</v>
      </c>
      <c r="K338" t="s">
        <v>67</v>
      </c>
      <c r="O338">
        <v>0</v>
      </c>
      <c r="P338">
        <v>0</v>
      </c>
      <c r="Q338">
        <v>16</v>
      </c>
      <c r="S338">
        <v>0</v>
      </c>
      <c r="T338">
        <v>0</v>
      </c>
      <c r="U338">
        <v>0</v>
      </c>
      <c r="W338" t="s">
        <v>99</v>
      </c>
    </row>
    <row r="339" spans="1:23" x14ac:dyDescent="0.35">
      <c r="A339" t="s">
        <v>45</v>
      </c>
      <c r="B339" t="s">
        <v>735</v>
      </c>
      <c r="C339" t="s">
        <v>47</v>
      </c>
      <c r="D339" t="s">
        <v>68</v>
      </c>
      <c r="E339" t="s">
        <v>68</v>
      </c>
      <c r="F339" t="s">
        <v>49</v>
      </c>
      <c r="G339" t="s">
        <v>102</v>
      </c>
      <c r="H339" t="s">
        <v>786</v>
      </c>
      <c r="J339" t="str">
        <f>HYPERLINK("https://www.youtube.com/watch?v=7pMfSyYFp5U&amp;lc=UgwQrdxLwAj85gbBozB4AaABAg.A1U2-fN8zivA1UY13tujF_","https://www.youtube.com/watch?v=7pMfSyYFp5U&amp;lc=UgwQrdxLwAj85gbBozB4AaABAg.A1U2-fN8zivA1UY13tujF_")</f>
        <v>https://www.youtube.com/watch?v=7pMfSyYFp5U&amp;lc=UgwQrdxLwAj85gbBozB4AaABAg.A1U2-fN8zivA1UY13tujF_</v>
      </c>
      <c r="O339">
        <v>0</v>
      </c>
      <c r="P339">
        <v>0</v>
      </c>
      <c r="Q339">
        <v>0</v>
      </c>
      <c r="S339">
        <v>0</v>
      </c>
      <c r="T339">
        <v>0</v>
      </c>
      <c r="U339">
        <v>0</v>
      </c>
      <c r="W339" t="s">
        <v>52</v>
      </c>
    </row>
    <row r="340" spans="1:23" x14ac:dyDescent="0.35">
      <c r="A340" t="s">
        <v>45</v>
      </c>
      <c r="B340" t="s">
        <v>735</v>
      </c>
      <c r="C340" t="s">
        <v>60</v>
      </c>
      <c r="D340" t="s">
        <v>61</v>
      </c>
      <c r="E340" t="s">
        <v>61</v>
      </c>
      <c r="F340" t="s">
        <v>49</v>
      </c>
      <c r="G340" t="s">
        <v>787</v>
      </c>
      <c r="H340" t="s">
        <v>788</v>
      </c>
      <c r="J340" t="str">
        <f>HYPERLINK("https://www.facebook.com/634639855377280/posts/814811307360133?comment_id=1118559396059039&amp;reply_comment_id=276842468798379","https://www.facebook.com/634639855377280/posts/814811307360133?comment_id=1118559396059039&amp;reply_comment_id=276842468798379")</f>
        <v>https://www.facebook.com/634639855377280/posts/814811307360133?comment_id=1118559396059039&amp;reply_comment_id=276842468798379</v>
      </c>
      <c r="O340">
        <v>0</v>
      </c>
      <c r="P340">
        <v>0</v>
      </c>
      <c r="Q340">
        <v>0</v>
      </c>
      <c r="S340">
        <v>0</v>
      </c>
      <c r="T340">
        <v>0</v>
      </c>
      <c r="U340">
        <v>0</v>
      </c>
      <c r="W340" t="s">
        <v>52</v>
      </c>
    </row>
    <row r="341" spans="1:23" x14ac:dyDescent="0.35">
      <c r="A341" t="s">
        <v>45</v>
      </c>
      <c r="B341" t="s">
        <v>735</v>
      </c>
      <c r="C341" t="s">
        <v>47</v>
      </c>
      <c r="D341" t="s">
        <v>68</v>
      </c>
      <c r="E341" t="s">
        <v>68</v>
      </c>
      <c r="F341" t="s">
        <v>49</v>
      </c>
      <c r="G341" t="s">
        <v>293</v>
      </c>
      <c r="H341" t="s">
        <v>789</v>
      </c>
      <c r="J341" t="str">
        <f>HYPERLINK("https://www.youtube.com/watch?v=7pMfSyYFp5U&amp;lc=UgyZrERf7q0CWp9C5gp4AaABAg.A1UMeVJXq4QA1UVj84WdpK","https://www.youtube.com/watch?v=7pMfSyYFp5U&amp;lc=UgyZrERf7q0CWp9C5gp4AaABAg.A1UMeVJXq4QA1UVj84WdpK")</f>
        <v>https://www.youtube.com/watch?v=7pMfSyYFp5U&amp;lc=UgyZrERf7q0CWp9C5gp4AaABAg.A1UMeVJXq4QA1UVj84WdpK</v>
      </c>
      <c r="O341">
        <v>0</v>
      </c>
      <c r="P341">
        <v>0</v>
      </c>
      <c r="Q341">
        <v>0</v>
      </c>
      <c r="S341">
        <v>0</v>
      </c>
      <c r="T341">
        <v>0</v>
      </c>
      <c r="U341">
        <v>0</v>
      </c>
      <c r="W341" t="s">
        <v>52</v>
      </c>
    </row>
    <row r="342" spans="1:23" x14ac:dyDescent="0.35">
      <c r="A342" t="s">
        <v>45</v>
      </c>
      <c r="B342" t="s">
        <v>735</v>
      </c>
      <c r="C342" t="s">
        <v>60</v>
      </c>
      <c r="D342" t="s">
        <v>64</v>
      </c>
      <c r="E342" t="s">
        <v>64</v>
      </c>
      <c r="F342" t="s">
        <v>49</v>
      </c>
      <c r="G342" t="s">
        <v>100</v>
      </c>
      <c r="H342" t="s">
        <v>790</v>
      </c>
      <c r="J342" t="str">
        <f>HYPERLINK("https://www.facebook.com/634639855377280/posts/816150883892842?comment_id=708274464853101&amp;reply_comment_id=348662530919104","https://www.facebook.com/634639855377280/posts/816150883892842?comment_id=708274464853101&amp;reply_comment_id=348662530919104")</f>
        <v>https://www.facebook.com/634639855377280/posts/816150883892842?comment_id=708274464853101&amp;reply_comment_id=348662530919104</v>
      </c>
      <c r="K342" t="s">
        <v>67</v>
      </c>
      <c r="O342">
        <v>0</v>
      </c>
      <c r="P342">
        <v>0</v>
      </c>
      <c r="Q342">
        <v>0</v>
      </c>
      <c r="S342">
        <v>0</v>
      </c>
      <c r="T342">
        <v>0</v>
      </c>
      <c r="U342">
        <v>0</v>
      </c>
      <c r="W342" t="s">
        <v>52</v>
      </c>
    </row>
    <row r="343" spans="1:23" x14ac:dyDescent="0.35">
      <c r="A343" t="s">
        <v>45</v>
      </c>
      <c r="B343" t="s">
        <v>735</v>
      </c>
      <c r="C343" t="s">
        <v>60</v>
      </c>
      <c r="D343" t="s">
        <v>64</v>
      </c>
      <c r="E343" t="s">
        <v>64</v>
      </c>
      <c r="F343" t="s">
        <v>49</v>
      </c>
      <c r="G343" t="s">
        <v>100</v>
      </c>
      <c r="H343" t="s">
        <v>791</v>
      </c>
      <c r="J343" t="str">
        <f>HYPERLINK("https://www.facebook.com/634639855377280/posts/814811307360133?comment_id=1118559396059039&amp;reply_comment_id=429507146271877","https://www.facebook.com/634639855377280/posts/814811307360133?comment_id=1118559396059039&amp;reply_comment_id=429507146271877")</f>
        <v>https://www.facebook.com/634639855377280/posts/814811307360133?comment_id=1118559396059039&amp;reply_comment_id=429507146271877</v>
      </c>
      <c r="K343" t="s">
        <v>67</v>
      </c>
      <c r="O343">
        <v>0</v>
      </c>
      <c r="P343">
        <v>0</v>
      </c>
      <c r="Q343">
        <v>0</v>
      </c>
      <c r="S343">
        <v>0</v>
      </c>
      <c r="T343">
        <v>0</v>
      </c>
      <c r="U343">
        <v>0</v>
      </c>
      <c r="W343" t="s">
        <v>52</v>
      </c>
    </row>
    <row r="344" spans="1:23" x14ac:dyDescent="0.35">
      <c r="A344" t="s">
        <v>45</v>
      </c>
      <c r="B344" t="s">
        <v>735</v>
      </c>
      <c r="C344" t="s">
        <v>60</v>
      </c>
      <c r="D344" t="s">
        <v>64</v>
      </c>
      <c r="E344" t="s">
        <v>64</v>
      </c>
      <c r="F344" t="s">
        <v>49</v>
      </c>
      <c r="G344" t="s">
        <v>162</v>
      </c>
      <c r="H344" t="s">
        <v>792</v>
      </c>
      <c r="J344" t="str">
        <f>HYPERLINK("https://www.facebook.com/634639855377280/posts/814811307360133?comment_id=888707702941702&amp;reply_comment_id=443579308130992","https://www.facebook.com/634639855377280/posts/814811307360133?comment_id=888707702941702&amp;reply_comment_id=443579308130992")</f>
        <v>https://www.facebook.com/634639855377280/posts/814811307360133?comment_id=888707702941702&amp;reply_comment_id=443579308130992</v>
      </c>
      <c r="K344" t="s">
        <v>67</v>
      </c>
      <c r="O344">
        <v>0</v>
      </c>
      <c r="P344">
        <v>0</v>
      </c>
      <c r="Q344">
        <v>0</v>
      </c>
      <c r="S344">
        <v>0</v>
      </c>
      <c r="T344">
        <v>0</v>
      </c>
      <c r="U344">
        <v>0</v>
      </c>
      <c r="W344" t="s">
        <v>52</v>
      </c>
    </row>
    <row r="345" spans="1:23" x14ac:dyDescent="0.35">
      <c r="A345" t="s">
        <v>45</v>
      </c>
      <c r="B345" t="s">
        <v>735</v>
      </c>
      <c r="C345" t="s">
        <v>47</v>
      </c>
      <c r="D345" t="s">
        <v>793</v>
      </c>
      <c r="E345" t="s">
        <v>793</v>
      </c>
      <c r="F345" t="s">
        <v>49</v>
      </c>
      <c r="G345" t="s">
        <v>794</v>
      </c>
      <c r="H345" t="s">
        <v>795</v>
      </c>
      <c r="J345" t="str">
        <f>HYPERLINK("https://www.youtube.com/watch?v=7pMfSyYFp5U&amp;lc=UgyZrERf7q0CWp9C5gp4AaABAg","https://www.youtube.com/watch?v=7pMfSyYFp5U&amp;lc=UgyZrERf7q0CWp9C5gp4AaABAg")</f>
        <v>https://www.youtube.com/watch?v=7pMfSyYFp5U&amp;lc=UgyZrERf7q0CWp9C5gp4AaABAg</v>
      </c>
      <c r="O345">
        <v>0</v>
      </c>
      <c r="P345">
        <v>0</v>
      </c>
      <c r="Q345">
        <v>0</v>
      </c>
      <c r="S345">
        <v>0</v>
      </c>
      <c r="T345">
        <v>0</v>
      </c>
      <c r="U345">
        <v>0</v>
      </c>
      <c r="W345" t="s">
        <v>52</v>
      </c>
    </row>
    <row r="346" spans="1:23" x14ac:dyDescent="0.35">
      <c r="A346" t="s">
        <v>45</v>
      </c>
      <c r="B346" t="s">
        <v>735</v>
      </c>
      <c r="C346" t="s">
        <v>47</v>
      </c>
      <c r="D346" t="s">
        <v>68</v>
      </c>
      <c r="E346" t="s">
        <v>68</v>
      </c>
      <c r="F346" t="s">
        <v>49</v>
      </c>
      <c r="G346" t="s">
        <v>796</v>
      </c>
      <c r="H346" t="s">
        <v>797</v>
      </c>
      <c r="J346" t="str">
        <f>HYPERLINK("https://www.youtube.com/watch?v=XnF5-uLfaHg&amp;lc=Ugw-F8_dUxZmVWTFb154AaABAg.A1SEKQbWHW2A1UKSJm4G-5","https://www.youtube.com/watch?v=XnF5-uLfaHg&amp;lc=Ugw-F8_dUxZmVWTFb154AaABAg.A1SEKQbWHW2A1UKSJm4G-5")</f>
        <v>https://www.youtube.com/watch?v=XnF5-uLfaHg&amp;lc=Ugw-F8_dUxZmVWTFb154AaABAg.A1SEKQbWHW2A1UKSJm4G-5</v>
      </c>
      <c r="O346">
        <v>0</v>
      </c>
      <c r="P346">
        <v>0</v>
      </c>
      <c r="Q346">
        <v>0</v>
      </c>
      <c r="S346">
        <v>0</v>
      </c>
      <c r="T346">
        <v>0</v>
      </c>
      <c r="U346">
        <v>0</v>
      </c>
      <c r="W346" t="s">
        <v>52</v>
      </c>
    </row>
    <row r="347" spans="1:23" x14ac:dyDescent="0.35">
      <c r="A347" t="s">
        <v>45</v>
      </c>
      <c r="B347" t="s">
        <v>735</v>
      </c>
      <c r="C347" t="s">
        <v>47</v>
      </c>
      <c r="D347" t="s">
        <v>68</v>
      </c>
      <c r="E347" t="s">
        <v>68</v>
      </c>
      <c r="F347" t="s">
        <v>49</v>
      </c>
      <c r="G347" t="s">
        <v>798</v>
      </c>
      <c r="H347" t="s">
        <v>799</v>
      </c>
      <c r="J347" t="str">
        <f>HYPERLINK("https://www.youtube.com/watch?v=XnF5-uLfaHg&amp;lc=Ugy6GkAJfeRxDpgpQwt4AaABAg.A1TUltK02NgA1UKGihOk6q","https://www.youtube.com/watch?v=XnF5-uLfaHg&amp;lc=Ugy6GkAJfeRxDpgpQwt4AaABAg.A1TUltK02NgA1UKGihOk6q")</f>
        <v>https://www.youtube.com/watch?v=XnF5-uLfaHg&amp;lc=Ugy6GkAJfeRxDpgpQwt4AaABAg.A1TUltK02NgA1UKGihOk6q</v>
      </c>
      <c r="O347">
        <v>0</v>
      </c>
      <c r="P347">
        <v>0</v>
      </c>
      <c r="Q347">
        <v>0</v>
      </c>
      <c r="S347">
        <v>0</v>
      </c>
      <c r="T347">
        <v>0</v>
      </c>
      <c r="U347">
        <v>0</v>
      </c>
      <c r="W347" t="s">
        <v>52</v>
      </c>
    </row>
    <row r="348" spans="1:23" x14ac:dyDescent="0.35">
      <c r="A348" t="s">
        <v>45</v>
      </c>
      <c r="B348" t="s">
        <v>735</v>
      </c>
      <c r="C348" t="s">
        <v>47</v>
      </c>
      <c r="D348" t="s">
        <v>800</v>
      </c>
      <c r="E348" t="s">
        <v>800</v>
      </c>
      <c r="F348" t="s">
        <v>54</v>
      </c>
      <c r="G348" t="s">
        <v>801</v>
      </c>
      <c r="H348" t="s">
        <v>802</v>
      </c>
      <c r="J348" t="str">
        <f>HYPERLINK("https://www.youtube.com/watch?v=-_Y3df9Bpgc&amp;lc=UgzdPrqMDotEflj2fyZ4AaABAg","https://www.youtube.com/watch?v=-_Y3df9Bpgc&amp;lc=UgzdPrqMDotEflj2fyZ4AaABAg")</f>
        <v>https://www.youtube.com/watch?v=-_Y3df9Bpgc&amp;lc=UgzdPrqMDotEflj2fyZ4AaABAg</v>
      </c>
      <c r="O348">
        <v>0</v>
      </c>
      <c r="P348">
        <v>0</v>
      </c>
      <c r="Q348">
        <v>0</v>
      </c>
      <c r="S348">
        <v>0</v>
      </c>
      <c r="T348">
        <v>0</v>
      </c>
      <c r="U348">
        <v>0</v>
      </c>
      <c r="W348" t="s">
        <v>52</v>
      </c>
    </row>
    <row r="349" spans="1:23" x14ac:dyDescent="0.35">
      <c r="A349" t="s">
        <v>45</v>
      </c>
      <c r="B349" t="s">
        <v>735</v>
      </c>
      <c r="C349" t="s">
        <v>47</v>
      </c>
      <c r="D349" t="s">
        <v>803</v>
      </c>
      <c r="E349" t="s">
        <v>803</v>
      </c>
      <c r="F349" t="s">
        <v>54</v>
      </c>
      <c r="G349" t="s">
        <v>680</v>
      </c>
      <c r="H349" t="s">
        <v>804</v>
      </c>
      <c r="J349" t="str">
        <f>HYPERLINK("https://www.youtube.com/watch?v=XnF5-uLfaHg&amp;lc=UgxVUu_3N8oI2xWVlEl4AaABAg.A1RTvBPMEGHA1UChWEfJr5","https://www.youtube.com/watch?v=XnF5-uLfaHg&amp;lc=UgxVUu_3N8oI2xWVlEl4AaABAg.A1RTvBPMEGHA1UChWEfJr5")</f>
        <v>https://www.youtube.com/watch?v=XnF5-uLfaHg&amp;lc=UgxVUu_3N8oI2xWVlEl4AaABAg.A1RTvBPMEGHA1UChWEfJr5</v>
      </c>
      <c r="O349">
        <v>0</v>
      </c>
      <c r="P349">
        <v>0</v>
      </c>
      <c r="Q349">
        <v>0</v>
      </c>
      <c r="S349">
        <v>0</v>
      </c>
      <c r="T349">
        <v>0</v>
      </c>
      <c r="U349">
        <v>0</v>
      </c>
      <c r="W349" t="s">
        <v>52</v>
      </c>
    </row>
    <row r="350" spans="1:23" x14ac:dyDescent="0.35">
      <c r="A350" t="s">
        <v>45</v>
      </c>
      <c r="B350" t="s">
        <v>735</v>
      </c>
      <c r="C350" t="s">
        <v>60</v>
      </c>
      <c r="D350" t="s">
        <v>61</v>
      </c>
      <c r="E350" t="s">
        <v>61</v>
      </c>
      <c r="F350" t="s">
        <v>49</v>
      </c>
      <c r="G350" t="s">
        <v>805</v>
      </c>
      <c r="H350" t="s">
        <v>806</v>
      </c>
      <c r="J350" t="str">
        <f>HYPERLINK("https://www.facebook.com/634639855377280/posts/816150883892842?comment_id=708274464853101","https://www.facebook.com/634639855377280/posts/816150883892842?comment_id=708274464853101")</f>
        <v>https://www.facebook.com/634639855377280/posts/816150883892842?comment_id=708274464853101</v>
      </c>
      <c r="O350">
        <v>0</v>
      </c>
      <c r="P350">
        <v>0</v>
      </c>
      <c r="Q350">
        <v>0</v>
      </c>
      <c r="S350">
        <v>0</v>
      </c>
      <c r="T350">
        <v>0</v>
      </c>
      <c r="U350">
        <v>0</v>
      </c>
      <c r="W350" t="s">
        <v>52</v>
      </c>
    </row>
    <row r="351" spans="1:23" x14ac:dyDescent="0.35">
      <c r="A351" t="s">
        <v>45</v>
      </c>
      <c r="B351" t="s">
        <v>735</v>
      </c>
      <c r="C351" t="s">
        <v>60</v>
      </c>
      <c r="D351" t="s">
        <v>64</v>
      </c>
      <c r="E351" t="s">
        <v>64</v>
      </c>
      <c r="F351" t="s">
        <v>49</v>
      </c>
      <c r="G351" t="s">
        <v>807</v>
      </c>
      <c r="H351" t="s">
        <v>808</v>
      </c>
      <c r="J351" t="str">
        <f>HYPERLINK("https://www.facebook.com/634639855377280/posts/816150883892842","https://www.facebook.com/634639855377280/posts/816150883892842")</f>
        <v>https://www.facebook.com/634639855377280/posts/816150883892842</v>
      </c>
      <c r="O351">
        <v>0</v>
      </c>
      <c r="P351">
        <v>0</v>
      </c>
      <c r="Q351">
        <v>0</v>
      </c>
      <c r="S351">
        <v>7</v>
      </c>
      <c r="T351">
        <v>61</v>
      </c>
      <c r="U351">
        <v>2</v>
      </c>
      <c r="W351" t="s">
        <v>346</v>
      </c>
    </row>
    <row r="352" spans="1:23" x14ac:dyDescent="0.35">
      <c r="A352" t="s">
        <v>45</v>
      </c>
      <c r="B352" t="s">
        <v>735</v>
      </c>
      <c r="C352" t="s">
        <v>60</v>
      </c>
      <c r="D352" t="s">
        <v>61</v>
      </c>
      <c r="E352" t="s">
        <v>61</v>
      </c>
      <c r="F352" t="s">
        <v>49</v>
      </c>
      <c r="G352" t="s">
        <v>809</v>
      </c>
      <c r="H352" t="s">
        <v>810</v>
      </c>
      <c r="J352" t="str">
        <f>HYPERLINK("https://www.facebook.com/634639855377280/posts/814811307360133?comment_id=888707702941702","https://www.facebook.com/634639855377280/posts/814811307360133?comment_id=888707702941702")</f>
        <v>https://www.facebook.com/634639855377280/posts/814811307360133?comment_id=888707702941702</v>
      </c>
      <c r="O352">
        <v>0</v>
      </c>
      <c r="P352">
        <v>0</v>
      </c>
      <c r="Q352">
        <v>0</v>
      </c>
      <c r="S352">
        <v>0</v>
      </c>
      <c r="T352">
        <v>0</v>
      </c>
      <c r="U352">
        <v>0</v>
      </c>
      <c r="W352" t="s">
        <v>52</v>
      </c>
    </row>
    <row r="353" spans="1:23" x14ac:dyDescent="0.35">
      <c r="A353" t="s">
        <v>45</v>
      </c>
      <c r="B353" t="s">
        <v>735</v>
      </c>
      <c r="C353" t="s">
        <v>93</v>
      </c>
      <c r="D353" t="s">
        <v>811</v>
      </c>
      <c r="E353" t="s">
        <v>812</v>
      </c>
      <c r="F353" t="s">
        <v>49</v>
      </c>
      <c r="G353" t="s">
        <v>813</v>
      </c>
      <c r="H353" t="s">
        <v>814</v>
      </c>
      <c r="J353" t="str">
        <f>HYPERLINK("https://twitter.com/SennftPite97852/status/1772885361976397995","https://twitter.com/SennftPite97852/status/1772885361976397995")</f>
        <v>https://twitter.com/SennftPite97852/status/1772885361976397995</v>
      </c>
      <c r="K353" t="s">
        <v>67</v>
      </c>
      <c r="O353">
        <v>0</v>
      </c>
      <c r="P353">
        <v>0</v>
      </c>
      <c r="Q353">
        <v>0</v>
      </c>
      <c r="R353" t="s">
        <v>815</v>
      </c>
      <c r="S353">
        <v>0</v>
      </c>
      <c r="T353">
        <v>0</v>
      </c>
      <c r="U353">
        <v>0</v>
      </c>
      <c r="W353" t="s">
        <v>99</v>
      </c>
    </row>
    <row r="354" spans="1:23" x14ac:dyDescent="0.35">
      <c r="A354" t="s">
        <v>45</v>
      </c>
      <c r="B354" t="s">
        <v>735</v>
      </c>
      <c r="C354" t="s">
        <v>93</v>
      </c>
      <c r="D354" t="s">
        <v>94</v>
      </c>
      <c r="E354" t="s">
        <v>45</v>
      </c>
      <c r="F354" t="s">
        <v>49</v>
      </c>
      <c r="G354" t="s">
        <v>816</v>
      </c>
      <c r="H354" t="s">
        <v>817</v>
      </c>
      <c r="J354" t="str">
        <f>HYPERLINK("https://twitter.com/SpiceMoneyIndia/status/1772885346792902817","https://twitter.com/SpiceMoneyIndia/status/1772885346792902817")</f>
        <v>https://twitter.com/SpiceMoneyIndia/status/1772885346792902817</v>
      </c>
      <c r="K354" t="s">
        <v>67</v>
      </c>
      <c r="O354">
        <v>0</v>
      </c>
      <c r="P354">
        <v>0</v>
      </c>
      <c r="Q354">
        <v>6096</v>
      </c>
      <c r="R354" t="s">
        <v>97</v>
      </c>
      <c r="S354">
        <v>0</v>
      </c>
      <c r="T354">
        <v>0</v>
      </c>
      <c r="U354">
        <v>0</v>
      </c>
      <c r="V354" t="s">
        <v>98</v>
      </c>
      <c r="W354" t="s">
        <v>99</v>
      </c>
    </row>
    <row r="355" spans="1:23" x14ac:dyDescent="0.35">
      <c r="A355" t="s">
        <v>45</v>
      </c>
      <c r="B355" t="s">
        <v>735</v>
      </c>
      <c r="C355" t="s">
        <v>47</v>
      </c>
      <c r="D355" t="s">
        <v>818</v>
      </c>
      <c r="E355" t="s">
        <v>818</v>
      </c>
      <c r="F355" t="s">
        <v>49</v>
      </c>
      <c r="G355" t="s">
        <v>819</v>
      </c>
      <c r="H355" t="s">
        <v>820</v>
      </c>
      <c r="J355" t="str">
        <f>HYPERLINK("https://www.youtube.com/watch?v=7pMfSyYFp5U&amp;lc=UgwQrdxLwAj85gbBozB4AaABAg","https://www.youtube.com/watch?v=7pMfSyYFp5U&amp;lc=UgwQrdxLwAj85gbBozB4AaABAg")</f>
        <v>https://www.youtube.com/watch?v=7pMfSyYFp5U&amp;lc=UgwQrdxLwAj85gbBozB4AaABAg</v>
      </c>
      <c r="O355">
        <v>0</v>
      </c>
      <c r="P355">
        <v>0</v>
      </c>
      <c r="Q355">
        <v>0</v>
      </c>
      <c r="S355">
        <v>0</v>
      </c>
      <c r="T355">
        <v>0</v>
      </c>
      <c r="U355">
        <v>0</v>
      </c>
      <c r="W355" t="s">
        <v>52</v>
      </c>
    </row>
    <row r="356" spans="1:23" x14ac:dyDescent="0.35">
      <c r="A356" t="s">
        <v>45</v>
      </c>
      <c r="B356" t="s">
        <v>735</v>
      </c>
      <c r="C356" t="s">
        <v>60</v>
      </c>
      <c r="D356" t="s">
        <v>61</v>
      </c>
      <c r="E356" t="s">
        <v>61</v>
      </c>
      <c r="F356" t="s">
        <v>49</v>
      </c>
      <c r="G356" t="s">
        <v>821</v>
      </c>
      <c r="H356" t="s">
        <v>822</v>
      </c>
      <c r="J356" t="str">
        <f>HYPERLINK("https://www.facebook.com/634639855377280/posts/814811307360133?comment_id=1118559396059039&amp;reply_comment_id=394918873322066","https://www.facebook.com/634639855377280/posts/814811307360133?comment_id=1118559396059039&amp;reply_comment_id=394918873322066")</f>
        <v>https://www.facebook.com/634639855377280/posts/814811307360133?comment_id=1118559396059039&amp;reply_comment_id=394918873322066</v>
      </c>
      <c r="O356">
        <v>0</v>
      </c>
      <c r="P356">
        <v>0</v>
      </c>
      <c r="Q356">
        <v>0</v>
      </c>
      <c r="S356">
        <v>0</v>
      </c>
      <c r="T356">
        <v>0</v>
      </c>
      <c r="U356">
        <v>0</v>
      </c>
      <c r="W356" t="s">
        <v>52</v>
      </c>
    </row>
    <row r="357" spans="1:23" x14ac:dyDescent="0.35">
      <c r="A357" t="s">
        <v>45</v>
      </c>
      <c r="B357" t="s">
        <v>735</v>
      </c>
      <c r="C357" t="s">
        <v>47</v>
      </c>
      <c r="D357" t="s">
        <v>68</v>
      </c>
      <c r="E357" t="s">
        <v>68</v>
      </c>
      <c r="F357" t="s">
        <v>49</v>
      </c>
      <c r="G357" t="s">
        <v>262</v>
      </c>
      <c r="H357" t="s">
        <v>823</v>
      </c>
      <c r="J357" t="str">
        <f>HYPERLINK("https://www.youtube.com/watch?v=XnF5-uLfaHg&amp;lc=Ugyk-J6Ag2A4CLlOqMN4AaABAg.A1SBLykrkmFA1U0OmlVbV2","https://www.youtube.com/watch?v=XnF5-uLfaHg&amp;lc=Ugyk-J6Ag2A4CLlOqMN4AaABAg.A1SBLykrkmFA1U0OmlVbV2")</f>
        <v>https://www.youtube.com/watch?v=XnF5-uLfaHg&amp;lc=Ugyk-J6Ag2A4CLlOqMN4AaABAg.A1SBLykrkmFA1U0OmlVbV2</v>
      </c>
      <c r="O357">
        <v>0</v>
      </c>
      <c r="P357">
        <v>0</v>
      </c>
      <c r="Q357">
        <v>0</v>
      </c>
      <c r="S357">
        <v>0</v>
      </c>
      <c r="T357">
        <v>0</v>
      </c>
      <c r="U357">
        <v>0</v>
      </c>
      <c r="W357" t="s">
        <v>52</v>
      </c>
    </row>
    <row r="358" spans="1:23" x14ac:dyDescent="0.35">
      <c r="A358" t="s">
        <v>45</v>
      </c>
      <c r="B358" t="s">
        <v>735</v>
      </c>
      <c r="C358" t="s">
        <v>60</v>
      </c>
      <c r="D358" t="s">
        <v>64</v>
      </c>
      <c r="E358" t="s">
        <v>64</v>
      </c>
      <c r="F358" t="s">
        <v>49</v>
      </c>
      <c r="G358" t="s">
        <v>824</v>
      </c>
      <c r="H358" t="s">
        <v>825</v>
      </c>
      <c r="J358" t="str">
        <f>HYPERLINK("https://www.facebook.com/634639855377280/posts/814811307360133?comment_id=1118559396059039&amp;reply_comment_id=792512786077041","https://www.facebook.com/634639855377280/posts/814811307360133?comment_id=1118559396059039&amp;reply_comment_id=792512786077041")</f>
        <v>https://www.facebook.com/634639855377280/posts/814811307360133?comment_id=1118559396059039&amp;reply_comment_id=792512786077041</v>
      </c>
      <c r="K358" t="s">
        <v>67</v>
      </c>
      <c r="O358">
        <v>0</v>
      </c>
      <c r="P358">
        <v>0</v>
      </c>
      <c r="Q358">
        <v>0</v>
      </c>
      <c r="S358">
        <v>0</v>
      </c>
      <c r="T358">
        <v>0</v>
      </c>
      <c r="U358">
        <v>0</v>
      </c>
      <c r="W358" t="s">
        <v>52</v>
      </c>
    </row>
    <row r="359" spans="1:23" x14ac:dyDescent="0.35">
      <c r="A359" t="s">
        <v>45</v>
      </c>
      <c r="B359" t="s">
        <v>735</v>
      </c>
      <c r="C359" t="s">
        <v>47</v>
      </c>
      <c r="D359" t="s">
        <v>826</v>
      </c>
      <c r="E359" t="s">
        <v>826</v>
      </c>
      <c r="F359" t="s">
        <v>49</v>
      </c>
      <c r="G359" t="s">
        <v>827</v>
      </c>
      <c r="H359" t="s">
        <v>828</v>
      </c>
      <c r="J359" t="str">
        <f>HYPERLINK("https://www.youtube.com/watch?v=7pMfSyYFp5U&amp;lc=UgxE19v_ZOjkr6485tV4AaABAg","https://www.youtube.com/watch?v=7pMfSyYFp5U&amp;lc=UgxE19v_ZOjkr6485tV4AaABAg")</f>
        <v>https://www.youtube.com/watch?v=7pMfSyYFp5U&amp;lc=UgxE19v_ZOjkr6485tV4AaABAg</v>
      </c>
      <c r="O359">
        <v>0</v>
      </c>
      <c r="P359">
        <v>0</v>
      </c>
      <c r="Q359">
        <v>0</v>
      </c>
      <c r="S359">
        <v>0</v>
      </c>
      <c r="T359">
        <v>0</v>
      </c>
      <c r="U359">
        <v>0</v>
      </c>
      <c r="W359" t="s">
        <v>52</v>
      </c>
    </row>
    <row r="360" spans="1:23" x14ac:dyDescent="0.35">
      <c r="A360" t="s">
        <v>45</v>
      </c>
      <c r="B360" t="s">
        <v>735</v>
      </c>
      <c r="C360" t="s">
        <v>47</v>
      </c>
      <c r="D360" t="s">
        <v>68</v>
      </c>
      <c r="E360" t="s">
        <v>68</v>
      </c>
      <c r="F360" t="s">
        <v>49</v>
      </c>
      <c r="G360" t="s">
        <v>293</v>
      </c>
      <c r="H360" t="s">
        <v>829</v>
      </c>
      <c r="J360" t="str">
        <f>HYPERLINK("https://www.youtube.com/watch?v=XnF5-uLfaHg&amp;lc=Ugw7-WsVoFBQwR6khOt4AaABAg.A1Trpc0zgsaA1Tv-SE85pN","https://www.youtube.com/watch?v=XnF5-uLfaHg&amp;lc=Ugw7-WsVoFBQwR6khOt4AaABAg.A1Trpc0zgsaA1Tv-SE85pN")</f>
        <v>https://www.youtube.com/watch?v=XnF5-uLfaHg&amp;lc=Ugw7-WsVoFBQwR6khOt4AaABAg.A1Trpc0zgsaA1Tv-SE85pN</v>
      </c>
      <c r="O360">
        <v>0</v>
      </c>
      <c r="P360">
        <v>0</v>
      </c>
      <c r="Q360">
        <v>0</v>
      </c>
      <c r="S360">
        <v>0</v>
      </c>
      <c r="T360">
        <v>0</v>
      </c>
      <c r="U360">
        <v>0</v>
      </c>
      <c r="W360" t="s">
        <v>52</v>
      </c>
    </row>
    <row r="361" spans="1:23" x14ac:dyDescent="0.35">
      <c r="A361" t="s">
        <v>45</v>
      </c>
      <c r="B361" t="s">
        <v>735</v>
      </c>
      <c r="C361" t="s">
        <v>47</v>
      </c>
      <c r="D361" t="s">
        <v>68</v>
      </c>
      <c r="E361" t="s">
        <v>68</v>
      </c>
      <c r="F361" t="s">
        <v>49</v>
      </c>
      <c r="G361" t="s">
        <v>293</v>
      </c>
      <c r="H361" t="s">
        <v>830</v>
      </c>
      <c r="J361" t="str">
        <f>HYPERLINK("https://www.youtube.com/watch?v=7pMfSyYFp5U&amp;lc=Ugwrgo8MJayy5CDWhlB4AaABAg.A1TjZRZc8LhA1Tuz6l0mUS","https://www.youtube.com/watch?v=7pMfSyYFp5U&amp;lc=Ugwrgo8MJayy5CDWhlB4AaABAg.A1TjZRZc8LhA1Tuz6l0mUS")</f>
        <v>https://www.youtube.com/watch?v=7pMfSyYFp5U&amp;lc=Ugwrgo8MJayy5CDWhlB4AaABAg.A1TjZRZc8LhA1Tuz6l0mUS</v>
      </c>
      <c r="O361">
        <v>0</v>
      </c>
      <c r="P361">
        <v>0</v>
      </c>
      <c r="Q361">
        <v>0</v>
      </c>
      <c r="S361">
        <v>0</v>
      </c>
      <c r="T361">
        <v>0</v>
      </c>
      <c r="U361">
        <v>0</v>
      </c>
      <c r="W361" t="s">
        <v>52</v>
      </c>
    </row>
    <row r="362" spans="1:23" x14ac:dyDescent="0.35">
      <c r="A362" t="s">
        <v>45</v>
      </c>
      <c r="B362" t="s">
        <v>735</v>
      </c>
      <c r="C362" t="s">
        <v>47</v>
      </c>
      <c r="D362" t="s">
        <v>68</v>
      </c>
      <c r="E362" t="s">
        <v>68</v>
      </c>
      <c r="F362" t="s">
        <v>49</v>
      </c>
      <c r="G362" t="s">
        <v>293</v>
      </c>
      <c r="H362" t="s">
        <v>831</v>
      </c>
      <c r="J362" t="str">
        <f>HYPERLINK("https://www.youtube.com/watch?v=7pMfSyYFp5U&amp;lc=UgzWPG0DgHL3cz4EvWx4AaABAg.A1Ts5zxLyA1A1TujB8UNxh","https://www.youtube.com/watch?v=7pMfSyYFp5U&amp;lc=UgzWPG0DgHL3cz4EvWx4AaABAg.A1Ts5zxLyA1A1TujB8UNxh")</f>
        <v>https://www.youtube.com/watch?v=7pMfSyYFp5U&amp;lc=UgzWPG0DgHL3cz4EvWx4AaABAg.A1Ts5zxLyA1A1TujB8UNxh</v>
      </c>
      <c r="O362">
        <v>0</v>
      </c>
      <c r="P362">
        <v>0</v>
      </c>
      <c r="Q362">
        <v>0</v>
      </c>
      <c r="S362">
        <v>0</v>
      </c>
      <c r="T362">
        <v>0</v>
      </c>
      <c r="U362">
        <v>0</v>
      </c>
      <c r="W362" t="s">
        <v>52</v>
      </c>
    </row>
    <row r="363" spans="1:23" x14ac:dyDescent="0.35">
      <c r="A363" t="s">
        <v>45</v>
      </c>
      <c r="B363" t="s">
        <v>735</v>
      </c>
      <c r="C363" t="s">
        <v>47</v>
      </c>
      <c r="D363" t="s">
        <v>45</v>
      </c>
      <c r="E363" t="s">
        <v>45</v>
      </c>
      <c r="F363" t="s">
        <v>49</v>
      </c>
      <c r="G363" t="s">
        <v>832</v>
      </c>
      <c r="H363" t="s">
        <v>833</v>
      </c>
      <c r="J363" t="str">
        <f>HYPERLINK("https://www.youtube.com/watch?v=lgTr6XT0s8g","https://www.youtube.com/watch?v=lgTr6XT0s8g")</f>
        <v>https://www.youtube.com/watch?v=lgTr6XT0s8g</v>
      </c>
      <c r="O363">
        <v>0</v>
      </c>
      <c r="P363">
        <v>0</v>
      </c>
      <c r="Q363">
        <v>0</v>
      </c>
      <c r="S363">
        <v>0</v>
      </c>
      <c r="T363">
        <v>0</v>
      </c>
      <c r="U363">
        <v>0</v>
      </c>
      <c r="W363" t="s">
        <v>346</v>
      </c>
    </row>
    <row r="364" spans="1:23" x14ac:dyDescent="0.35">
      <c r="A364" t="s">
        <v>45</v>
      </c>
      <c r="B364" t="s">
        <v>735</v>
      </c>
      <c r="C364" t="s">
        <v>47</v>
      </c>
      <c r="D364" t="s">
        <v>45</v>
      </c>
      <c r="E364" t="s">
        <v>45</v>
      </c>
      <c r="F364" t="s">
        <v>49</v>
      </c>
      <c r="G364" t="s">
        <v>834</v>
      </c>
      <c r="H364" t="s">
        <v>833</v>
      </c>
      <c r="J364" t="str">
        <f>HYPERLINK("https://www.youtube.com/watch?v=okUBvgplFPc","https://www.youtube.com/watch?v=okUBvgplFPc")</f>
        <v>https://www.youtube.com/watch?v=okUBvgplFPc</v>
      </c>
      <c r="O364">
        <v>0</v>
      </c>
      <c r="P364">
        <v>0</v>
      </c>
      <c r="Q364">
        <v>0</v>
      </c>
      <c r="S364">
        <v>0</v>
      </c>
      <c r="T364">
        <v>0</v>
      </c>
      <c r="U364">
        <v>0</v>
      </c>
      <c r="W364" t="s">
        <v>346</v>
      </c>
    </row>
    <row r="365" spans="1:23" x14ac:dyDescent="0.35">
      <c r="A365" t="s">
        <v>45</v>
      </c>
      <c r="B365" t="s">
        <v>735</v>
      </c>
      <c r="C365" t="s">
        <v>47</v>
      </c>
      <c r="D365" t="s">
        <v>45</v>
      </c>
      <c r="E365" t="s">
        <v>45</v>
      </c>
      <c r="F365" t="s">
        <v>49</v>
      </c>
      <c r="G365" t="s">
        <v>835</v>
      </c>
      <c r="H365" t="s">
        <v>833</v>
      </c>
      <c r="J365" t="str">
        <f>HYPERLINK("https://www.youtube.com/watch?v=KRT5g20Nqy8","https://www.youtube.com/watch?v=KRT5g20Nqy8")</f>
        <v>https://www.youtube.com/watch?v=KRT5g20Nqy8</v>
      </c>
      <c r="O365">
        <v>0</v>
      </c>
      <c r="P365">
        <v>0</v>
      </c>
      <c r="Q365">
        <v>0</v>
      </c>
      <c r="S365">
        <v>0</v>
      </c>
      <c r="T365">
        <v>0</v>
      </c>
      <c r="U365">
        <v>0</v>
      </c>
      <c r="W365" t="s">
        <v>346</v>
      </c>
    </row>
    <row r="366" spans="1:23" x14ac:dyDescent="0.35">
      <c r="A366" t="s">
        <v>45</v>
      </c>
      <c r="B366" t="s">
        <v>735</v>
      </c>
      <c r="C366" t="s">
        <v>47</v>
      </c>
      <c r="D366" t="s">
        <v>45</v>
      </c>
      <c r="E366" t="s">
        <v>45</v>
      </c>
      <c r="F366" t="s">
        <v>49</v>
      </c>
      <c r="G366" t="s">
        <v>832</v>
      </c>
      <c r="H366" t="s">
        <v>836</v>
      </c>
      <c r="J366" t="str">
        <f>HYPERLINK("https://www.youtube.com/watch?v=lgTr6XT0s8g","https://www.youtube.com/watch?v=lgTr6XT0s8g")</f>
        <v>https://www.youtube.com/watch?v=lgTr6XT0s8g</v>
      </c>
      <c r="O366">
        <v>0</v>
      </c>
      <c r="P366">
        <v>0</v>
      </c>
      <c r="Q366">
        <v>0</v>
      </c>
      <c r="S366">
        <v>0</v>
      </c>
      <c r="T366">
        <v>0</v>
      </c>
      <c r="U366">
        <v>0</v>
      </c>
      <c r="W366" t="s">
        <v>346</v>
      </c>
    </row>
    <row r="367" spans="1:23" x14ac:dyDescent="0.35">
      <c r="A367" t="s">
        <v>45</v>
      </c>
      <c r="B367" t="s">
        <v>735</v>
      </c>
      <c r="C367" t="s">
        <v>47</v>
      </c>
      <c r="D367" t="s">
        <v>45</v>
      </c>
      <c r="E367" t="s">
        <v>45</v>
      </c>
      <c r="F367" t="s">
        <v>49</v>
      </c>
      <c r="G367" t="s">
        <v>834</v>
      </c>
      <c r="H367" t="s">
        <v>836</v>
      </c>
      <c r="J367" t="str">
        <f>HYPERLINK("https://www.youtube.com/watch?v=okUBvgplFPc","https://www.youtube.com/watch?v=okUBvgplFPc")</f>
        <v>https://www.youtube.com/watch?v=okUBvgplFPc</v>
      </c>
      <c r="O367">
        <v>0</v>
      </c>
      <c r="P367">
        <v>0</v>
      </c>
      <c r="Q367">
        <v>0</v>
      </c>
      <c r="S367">
        <v>0</v>
      </c>
      <c r="T367">
        <v>0</v>
      </c>
      <c r="U367">
        <v>0</v>
      </c>
      <c r="W367" t="s">
        <v>346</v>
      </c>
    </row>
    <row r="368" spans="1:23" x14ac:dyDescent="0.35">
      <c r="A368" t="s">
        <v>45</v>
      </c>
      <c r="B368" t="s">
        <v>735</v>
      </c>
      <c r="C368" t="s">
        <v>47</v>
      </c>
      <c r="D368" t="s">
        <v>45</v>
      </c>
      <c r="E368" t="s">
        <v>45</v>
      </c>
      <c r="F368" t="s">
        <v>49</v>
      </c>
      <c r="G368" t="s">
        <v>835</v>
      </c>
      <c r="H368" t="s">
        <v>836</v>
      </c>
      <c r="J368" t="str">
        <f>HYPERLINK("https://www.youtube.com/watch?v=KRT5g20Nqy8","https://www.youtube.com/watch?v=KRT5g20Nqy8")</f>
        <v>https://www.youtube.com/watch?v=KRT5g20Nqy8</v>
      </c>
      <c r="O368">
        <v>0</v>
      </c>
      <c r="P368">
        <v>0</v>
      </c>
      <c r="Q368">
        <v>0</v>
      </c>
      <c r="S368">
        <v>0</v>
      </c>
      <c r="T368">
        <v>0</v>
      </c>
      <c r="U368">
        <v>0</v>
      </c>
      <c r="W368" t="s">
        <v>346</v>
      </c>
    </row>
    <row r="369" spans="1:23" x14ac:dyDescent="0.35">
      <c r="A369" t="s">
        <v>45</v>
      </c>
      <c r="B369" t="s">
        <v>735</v>
      </c>
      <c r="C369" t="s">
        <v>47</v>
      </c>
      <c r="D369" t="s">
        <v>45</v>
      </c>
      <c r="E369" t="s">
        <v>45</v>
      </c>
      <c r="F369" t="s">
        <v>49</v>
      </c>
      <c r="G369" t="s">
        <v>832</v>
      </c>
      <c r="H369" t="s">
        <v>837</v>
      </c>
      <c r="J369" t="str">
        <f>HYPERLINK("https://www.youtube.com/watch?v=lgTr6XT0s8g","https://www.youtube.com/watch?v=lgTr6XT0s8g")</f>
        <v>https://www.youtube.com/watch?v=lgTr6XT0s8g</v>
      </c>
      <c r="O369">
        <v>0</v>
      </c>
      <c r="P369">
        <v>0</v>
      </c>
      <c r="Q369">
        <v>0</v>
      </c>
      <c r="S369">
        <v>0</v>
      </c>
      <c r="T369">
        <v>0</v>
      </c>
      <c r="U369">
        <v>0</v>
      </c>
      <c r="W369" t="s">
        <v>346</v>
      </c>
    </row>
    <row r="370" spans="1:23" x14ac:dyDescent="0.35">
      <c r="A370" t="s">
        <v>45</v>
      </c>
      <c r="B370" t="s">
        <v>735</v>
      </c>
      <c r="C370" t="s">
        <v>47</v>
      </c>
      <c r="D370" t="s">
        <v>45</v>
      </c>
      <c r="E370" t="s">
        <v>45</v>
      </c>
      <c r="F370" t="s">
        <v>49</v>
      </c>
      <c r="G370" t="s">
        <v>834</v>
      </c>
      <c r="H370" t="s">
        <v>837</v>
      </c>
      <c r="J370" t="str">
        <f>HYPERLINK("https://www.youtube.com/watch?v=okUBvgplFPc","https://www.youtube.com/watch?v=okUBvgplFPc")</f>
        <v>https://www.youtube.com/watch?v=okUBvgplFPc</v>
      </c>
      <c r="O370">
        <v>0</v>
      </c>
      <c r="P370">
        <v>0</v>
      </c>
      <c r="Q370">
        <v>0</v>
      </c>
      <c r="S370">
        <v>0</v>
      </c>
      <c r="T370">
        <v>0</v>
      </c>
      <c r="U370">
        <v>0</v>
      </c>
      <c r="W370" t="s">
        <v>346</v>
      </c>
    </row>
    <row r="371" spans="1:23" x14ac:dyDescent="0.35">
      <c r="A371" t="s">
        <v>45</v>
      </c>
      <c r="B371" t="s">
        <v>735</v>
      </c>
      <c r="C371" t="s">
        <v>47</v>
      </c>
      <c r="D371" t="s">
        <v>45</v>
      </c>
      <c r="E371" t="s">
        <v>45</v>
      </c>
      <c r="F371" t="s">
        <v>49</v>
      </c>
      <c r="G371" t="s">
        <v>832</v>
      </c>
      <c r="H371" t="s">
        <v>838</v>
      </c>
      <c r="J371" t="str">
        <f>HYPERLINK("https://www.youtube.com/watch?v=lgTr6XT0s8g","https://www.youtube.com/watch?v=lgTr6XT0s8g")</f>
        <v>https://www.youtube.com/watch?v=lgTr6XT0s8g</v>
      </c>
      <c r="O371">
        <v>0</v>
      </c>
      <c r="P371">
        <v>0</v>
      </c>
      <c r="Q371">
        <v>0</v>
      </c>
      <c r="S371">
        <v>0</v>
      </c>
      <c r="T371">
        <v>0</v>
      </c>
      <c r="U371">
        <v>0</v>
      </c>
      <c r="W371" t="s">
        <v>346</v>
      </c>
    </row>
    <row r="372" spans="1:23" x14ac:dyDescent="0.35">
      <c r="A372" t="s">
        <v>45</v>
      </c>
      <c r="B372" t="s">
        <v>735</v>
      </c>
      <c r="C372" t="s">
        <v>47</v>
      </c>
      <c r="D372" t="s">
        <v>45</v>
      </c>
      <c r="E372" t="s">
        <v>45</v>
      </c>
      <c r="F372" t="s">
        <v>49</v>
      </c>
      <c r="G372" t="s">
        <v>834</v>
      </c>
      <c r="H372" t="s">
        <v>838</v>
      </c>
      <c r="J372" t="str">
        <f>HYPERLINK("https://www.youtube.com/watch?v=okUBvgplFPc","https://www.youtube.com/watch?v=okUBvgplFPc")</f>
        <v>https://www.youtube.com/watch?v=okUBvgplFPc</v>
      </c>
      <c r="O372">
        <v>0</v>
      </c>
      <c r="P372">
        <v>0</v>
      </c>
      <c r="Q372">
        <v>0</v>
      </c>
      <c r="S372">
        <v>0</v>
      </c>
      <c r="T372">
        <v>0</v>
      </c>
      <c r="U372">
        <v>0</v>
      </c>
      <c r="W372" t="s">
        <v>346</v>
      </c>
    </row>
    <row r="373" spans="1:23" x14ac:dyDescent="0.35">
      <c r="A373" t="s">
        <v>45</v>
      </c>
      <c r="B373" t="s">
        <v>735</v>
      </c>
      <c r="C373" t="s">
        <v>47</v>
      </c>
      <c r="D373" t="s">
        <v>45</v>
      </c>
      <c r="E373" t="s">
        <v>45</v>
      </c>
      <c r="F373" t="s">
        <v>49</v>
      </c>
      <c r="G373" t="s">
        <v>839</v>
      </c>
      <c r="H373" t="s">
        <v>840</v>
      </c>
      <c r="J373" t="str">
        <f>HYPERLINK("https://www.youtube.com/watch?v=mDVNLVu8OUg","https://www.youtube.com/watch?v=mDVNLVu8OUg")</f>
        <v>https://www.youtube.com/watch?v=mDVNLVu8OUg</v>
      </c>
      <c r="O373">
        <v>0</v>
      </c>
      <c r="P373">
        <v>0</v>
      </c>
      <c r="Q373">
        <v>0</v>
      </c>
      <c r="S373">
        <v>0</v>
      </c>
      <c r="T373">
        <v>0</v>
      </c>
      <c r="U373">
        <v>0</v>
      </c>
      <c r="W373" t="s">
        <v>346</v>
      </c>
    </row>
    <row r="374" spans="1:23" x14ac:dyDescent="0.35">
      <c r="A374" t="s">
        <v>45</v>
      </c>
      <c r="B374" t="s">
        <v>735</v>
      </c>
      <c r="C374" t="s">
        <v>60</v>
      </c>
      <c r="D374" t="s">
        <v>61</v>
      </c>
      <c r="E374" t="s">
        <v>61</v>
      </c>
      <c r="F374" t="s">
        <v>49</v>
      </c>
      <c r="G374" t="s">
        <v>841</v>
      </c>
      <c r="H374" t="s">
        <v>842</v>
      </c>
      <c r="J374" t="str">
        <f>HYPERLINK("https://www.facebook.com/634639855377280/posts/814811307360133?comment_id=1118559396059039&amp;reply_comment_id=1029868095378786","https://www.facebook.com/634639855377280/posts/814811307360133?comment_id=1118559396059039&amp;reply_comment_id=1029868095378786")</f>
        <v>https://www.facebook.com/634639855377280/posts/814811307360133?comment_id=1118559396059039&amp;reply_comment_id=1029868095378786</v>
      </c>
      <c r="O374">
        <v>0</v>
      </c>
      <c r="P374">
        <v>0</v>
      </c>
      <c r="Q374">
        <v>0</v>
      </c>
      <c r="S374">
        <v>0</v>
      </c>
      <c r="T374">
        <v>0</v>
      </c>
      <c r="U374">
        <v>0</v>
      </c>
      <c r="W374" t="s">
        <v>52</v>
      </c>
    </row>
    <row r="375" spans="1:23" x14ac:dyDescent="0.35">
      <c r="A375" t="s">
        <v>45</v>
      </c>
      <c r="B375" t="s">
        <v>735</v>
      </c>
      <c r="C375" t="s">
        <v>47</v>
      </c>
      <c r="D375" t="s">
        <v>843</v>
      </c>
      <c r="E375" t="s">
        <v>843</v>
      </c>
      <c r="F375" t="s">
        <v>49</v>
      </c>
      <c r="G375" t="s">
        <v>844</v>
      </c>
      <c r="H375" t="s">
        <v>845</v>
      </c>
      <c r="J375" t="str">
        <f>HYPERLINK("https://www.youtube.com/watch?v=7pMfSyYFp5U&amp;lc=UgzWPG0DgHL3cz4EvWx4AaABAg","https://www.youtube.com/watch?v=7pMfSyYFp5U&amp;lc=UgzWPG0DgHL3cz4EvWx4AaABAg")</f>
        <v>https://www.youtube.com/watch?v=7pMfSyYFp5U&amp;lc=UgzWPG0DgHL3cz4EvWx4AaABAg</v>
      </c>
      <c r="O375">
        <v>0</v>
      </c>
      <c r="P375">
        <v>0</v>
      </c>
      <c r="Q375">
        <v>0</v>
      </c>
      <c r="S375">
        <v>0</v>
      </c>
      <c r="T375">
        <v>0</v>
      </c>
      <c r="U375">
        <v>0</v>
      </c>
      <c r="W375" t="s">
        <v>52</v>
      </c>
    </row>
    <row r="376" spans="1:23" x14ac:dyDescent="0.35">
      <c r="A376" t="s">
        <v>45</v>
      </c>
      <c r="B376" t="s">
        <v>735</v>
      </c>
      <c r="C376" t="s">
        <v>47</v>
      </c>
      <c r="D376" t="s">
        <v>846</v>
      </c>
      <c r="E376" t="s">
        <v>846</v>
      </c>
      <c r="F376" t="s">
        <v>54</v>
      </c>
      <c r="G376" t="s">
        <v>847</v>
      </c>
      <c r="H376" t="s">
        <v>848</v>
      </c>
      <c r="J376" t="str">
        <f>HYPERLINK("https://www.youtube.com/watch?v=7pMfSyYFp5U&amp;lc=UgwnUckdAj3tLIzlKdB4AaABAg","https://www.youtube.com/watch?v=7pMfSyYFp5U&amp;lc=UgwnUckdAj3tLIzlKdB4AaABAg")</f>
        <v>https://www.youtube.com/watch?v=7pMfSyYFp5U&amp;lc=UgwnUckdAj3tLIzlKdB4AaABAg</v>
      </c>
      <c r="O376">
        <v>0</v>
      </c>
      <c r="P376">
        <v>0</v>
      </c>
      <c r="Q376">
        <v>0</v>
      </c>
      <c r="S376">
        <v>0</v>
      </c>
      <c r="T376">
        <v>0</v>
      </c>
      <c r="U376">
        <v>0</v>
      </c>
      <c r="W376" t="s">
        <v>52</v>
      </c>
    </row>
    <row r="377" spans="1:23" x14ac:dyDescent="0.35">
      <c r="A377" t="s">
        <v>45</v>
      </c>
      <c r="B377" t="s">
        <v>735</v>
      </c>
      <c r="C377" t="s">
        <v>60</v>
      </c>
      <c r="D377" t="s">
        <v>64</v>
      </c>
      <c r="E377" t="s">
        <v>64</v>
      </c>
      <c r="F377" t="s">
        <v>49</v>
      </c>
      <c r="G377" t="s">
        <v>849</v>
      </c>
      <c r="H377" t="s">
        <v>850</v>
      </c>
      <c r="J377" t="str">
        <f>HYPERLINK("https://www.facebook.com/634639855377280/posts/814811307360133?comment_id=1118559396059039&amp;reply_comment_id=722031716767923","https://www.facebook.com/634639855377280/posts/814811307360133?comment_id=1118559396059039&amp;reply_comment_id=722031716767923")</f>
        <v>https://www.facebook.com/634639855377280/posts/814811307360133?comment_id=1118559396059039&amp;reply_comment_id=722031716767923</v>
      </c>
      <c r="K377" t="s">
        <v>67</v>
      </c>
      <c r="O377">
        <v>0</v>
      </c>
      <c r="P377">
        <v>0</v>
      </c>
      <c r="Q377">
        <v>0</v>
      </c>
      <c r="S377">
        <v>0</v>
      </c>
      <c r="T377">
        <v>0</v>
      </c>
      <c r="U377">
        <v>0</v>
      </c>
      <c r="W377" t="s">
        <v>52</v>
      </c>
    </row>
    <row r="378" spans="1:23" x14ac:dyDescent="0.35">
      <c r="A378" t="s">
        <v>45</v>
      </c>
      <c r="B378" t="s">
        <v>735</v>
      </c>
      <c r="C378" t="s">
        <v>47</v>
      </c>
      <c r="D378" t="s">
        <v>851</v>
      </c>
      <c r="E378" t="s">
        <v>851</v>
      </c>
      <c r="F378" t="s">
        <v>49</v>
      </c>
      <c r="G378" t="s">
        <v>852</v>
      </c>
      <c r="H378" t="s">
        <v>853</v>
      </c>
      <c r="J378" t="str">
        <f>HYPERLINK("https://www.youtube.com/watch?v=XnF5-uLfaHg&amp;lc=Ugw7-WsVoFBQwR6khOt4AaABAg","https://www.youtube.com/watch?v=XnF5-uLfaHg&amp;lc=Ugw7-WsVoFBQwR6khOt4AaABAg")</f>
        <v>https://www.youtube.com/watch?v=XnF5-uLfaHg&amp;lc=Ugw7-WsVoFBQwR6khOt4AaABAg</v>
      </c>
      <c r="O378">
        <v>0</v>
      </c>
      <c r="P378">
        <v>0</v>
      </c>
      <c r="Q378">
        <v>0</v>
      </c>
      <c r="S378">
        <v>0</v>
      </c>
      <c r="T378">
        <v>0</v>
      </c>
      <c r="U378">
        <v>0</v>
      </c>
      <c r="W378" t="s">
        <v>52</v>
      </c>
    </row>
    <row r="379" spans="1:23" x14ac:dyDescent="0.35">
      <c r="A379" t="s">
        <v>45</v>
      </c>
      <c r="B379" t="s">
        <v>735</v>
      </c>
      <c r="C379" t="s">
        <v>93</v>
      </c>
      <c r="D379" t="s">
        <v>94</v>
      </c>
      <c r="E379" t="s">
        <v>45</v>
      </c>
      <c r="F379" t="s">
        <v>49</v>
      </c>
      <c r="G379" t="s">
        <v>854</v>
      </c>
      <c r="H379" t="s">
        <v>855</v>
      </c>
      <c r="J379" t="str">
        <f>HYPERLINK("https://twitter.com/SpiceMoneyIndia/status/1772850656165904420","https://twitter.com/SpiceMoneyIndia/status/1772850656165904420")</f>
        <v>https://twitter.com/SpiceMoneyIndia/status/1772850656165904420</v>
      </c>
      <c r="K379" t="s">
        <v>67</v>
      </c>
      <c r="O379">
        <v>0</v>
      </c>
      <c r="P379">
        <v>0</v>
      </c>
      <c r="Q379">
        <v>6095</v>
      </c>
      <c r="R379" t="s">
        <v>97</v>
      </c>
      <c r="S379">
        <v>0</v>
      </c>
      <c r="T379">
        <v>0</v>
      </c>
      <c r="U379">
        <v>0</v>
      </c>
      <c r="V379" t="s">
        <v>98</v>
      </c>
      <c r="W379" t="s">
        <v>99</v>
      </c>
    </row>
    <row r="380" spans="1:23" x14ac:dyDescent="0.35">
      <c r="A380" t="s">
        <v>45</v>
      </c>
      <c r="B380" t="s">
        <v>735</v>
      </c>
      <c r="C380" t="s">
        <v>47</v>
      </c>
      <c r="D380" t="s">
        <v>68</v>
      </c>
      <c r="E380" t="s">
        <v>68</v>
      </c>
      <c r="F380" t="s">
        <v>49</v>
      </c>
      <c r="G380" t="s">
        <v>502</v>
      </c>
      <c r="H380" t="s">
        <v>856</v>
      </c>
      <c r="J380" t="str">
        <f>HYPERLINK("https://www.youtube.com/watch?v=XnF5-uLfaHg&amp;lc=UgxSYsEsLL16L46Ve294AaABAg.A1Tem5K9rGmA1TpUToGT07","https://www.youtube.com/watch?v=XnF5-uLfaHg&amp;lc=UgxSYsEsLL16L46Ve294AaABAg.A1Tem5K9rGmA1TpUToGT07")</f>
        <v>https://www.youtube.com/watch?v=XnF5-uLfaHg&amp;lc=UgxSYsEsLL16L46Ve294AaABAg.A1Tem5K9rGmA1TpUToGT07</v>
      </c>
      <c r="O380">
        <v>0</v>
      </c>
      <c r="P380">
        <v>0</v>
      </c>
      <c r="Q380">
        <v>0</v>
      </c>
      <c r="S380">
        <v>0</v>
      </c>
      <c r="T380">
        <v>0</v>
      </c>
      <c r="U380">
        <v>0</v>
      </c>
      <c r="W380" t="s">
        <v>52</v>
      </c>
    </row>
    <row r="381" spans="1:23" x14ac:dyDescent="0.35">
      <c r="A381" t="s">
        <v>45</v>
      </c>
      <c r="B381" t="s">
        <v>735</v>
      </c>
      <c r="C381" t="s">
        <v>47</v>
      </c>
      <c r="D381" t="s">
        <v>68</v>
      </c>
      <c r="E381" t="s">
        <v>68</v>
      </c>
      <c r="F381" t="s">
        <v>49</v>
      </c>
      <c r="G381" t="s">
        <v>293</v>
      </c>
      <c r="H381" t="s">
        <v>857</v>
      </c>
      <c r="J381" t="str">
        <f>HYPERLINK("https://www.youtube.com/watch?v=XnF5-uLfaHg&amp;lc=UgypzvvW7NVGFo3FmEp4AaABAg.A1STOpA2S85A1ToUVuLyQD","https://www.youtube.com/watch?v=XnF5-uLfaHg&amp;lc=UgypzvvW7NVGFo3FmEp4AaABAg.A1STOpA2S85A1ToUVuLyQD")</f>
        <v>https://www.youtube.com/watch?v=XnF5-uLfaHg&amp;lc=UgypzvvW7NVGFo3FmEp4AaABAg.A1STOpA2S85A1ToUVuLyQD</v>
      </c>
      <c r="O381">
        <v>0</v>
      </c>
      <c r="P381">
        <v>0</v>
      </c>
      <c r="Q381">
        <v>0</v>
      </c>
      <c r="S381">
        <v>0</v>
      </c>
      <c r="T381">
        <v>0</v>
      </c>
      <c r="U381">
        <v>0</v>
      </c>
      <c r="W381" t="s">
        <v>52</v>
      </c>
    </row>
    <row r="382" spans="1:23" x14ac:dyDescent="0.35">
      <c r="A382" t="s">
        <v>45</v>
      </c>
      <c r="B382" t="s">
        <v>735</v>
      </c>
      <c r="C382" t="s">
        <v>47</v>
      </c>
      <c r="D382" t="s">
        <v>68</v>
      </c>
      <c r="E382" t="s">
        <v>68</v>
      </c>
      <c r="F382" t="s">
        <v>49</v>
      </c>
      <c r="G382" t="s">
        <v>293</v>
      </c>
      <c r="H382" t="s">
        <v>858</v>
      </c>
      <c r="J382" t="str">
        <f>HYPERLINK("https://www.youtube.com/watch?v=XnF5-uLfaHg&amp;lc=UgxLu_t2cAP-Wrd6z6F4AaABAg.A1TXN0DnWUcA1ToJ17sMB6","https://www.youtube.com/watch?v=XnF5-uLfaHg&amp;lc=UgxLu_t2cAP-Wrd6z6F4AaABAg.A1TXN0DnWUcA1ToJ17sMB6")</f>
        <v>https://www.youtube.com/watch?v=XnF5-uLfaHg&amp;lc=UgxLu_t2cAP-Wrd6z6F4AaABAg.A1TXN0DnWUcA1ToJ17sMB6</v>
      </c>
      <c r="O382">
        <v>0</v>
      </c>
      <c r="P382">
        <v>0</v>
      </c>
      <c r="Q382">
        <v>0</v>
      </c>
      <c r="S382">
        <v>0</v>
      </c>
      <c r="T382">
        <v>0</v>
      </c>
      <c r="U382">
        <v>0</v>
      </c>
      <c r="W382" t="s">
        <v>52</v>
      </c>
    </row>
    <row r="383" spans="1:23" x14ac:dyDescent="0.35">
      <c r="A383" t="s">
        <v>45</v>
      </c>
      <c r="B383" t="s">
        <v>735</v>
      </c>
      <c r="C383" t="s">
        <v>47</v>
      </c>
      <c r="D383" t="s">
        <v>68</v>
      </c>
      <c r="E383" t="s">
        <v>68</v>
      </c>
      <c r="F383" t="s">
        <v>49</v>
      </c>
      <c r="G383" t="s">
        <v>859</v>
      </c>
      <c r="H383" t="s">
        <v>860</v>
      </c>
      <c r="J383" t="str">
        <f>HYPERLINK("https://www.youtube.com/watch?v=XnF5-uLfaHg&amp;lc=Ugyk-J6Ag2A4CLlOqMN4AaABAg.A1SBLykrkmFA1TnNU9sN9N","https://www.youtube.com/watch?v=XnF5-uLfaHg&amp;lc=Ugyk-J6Ag2A4CLlOqMN4AaABAg.A1SBLykrkmFA1TnNU9sN9N")</f>
        <v>https://www.youtube.com/watch?v=XnF5-uLfaHg&amp;lc=Ugyk-J6Ag2A4CLlOqMN4AaABAg.A1SBLykrkmFA1TnNU9sN9N</v>
      </c>
      <c r="O383">
        <v>0</v>
      </c>
      <c r="P383">
        <v>0</v>
      </c>
      <c r="Q383">
        <v>0</v>
      </c>
      <c r="S383">
        <v>0</v>
      </c>
      <c r="T383">
        <v>0</v>
      </c>
      <c r="U383">
        <v>0</v>
      </c>
      <c r="W383" t="s">
        <v>52</v>
      </c>
    </row>
    <row r="384" spans="1:23" x14ac:dyDescent="0.35">
      <c r="A384" t="s">
        <v>45</v>
      </c>
      <c r="B384" t="s">
        <v>735</v>
      </c>
      <c r="C384" t="s">
        <v>47</v>
      </c>
      <c r="D384" t="s">
        <v>68</v>
      </c>
      <c r="E384" t="s">
        <v>68</v>
      </c>
      <c r="F384" t="s">
        <v>49</v>
      </c>
      <c r="G384" t="s">
        <v>502</v>
      </c>
      <c r="H384" t="s">
        <v>861</v>
      </c>
      <c r="J384" t="str">
        <f>HYPERLINK("https://www.youtube.com/watch?v=mywlDWI77_k&amp;lc=UgwSEdlDrhjQ2ffoVrh4AaABAg.A1SFdnDUdY3A1TmbVFS0Vc","https://www.youtube.com/watch?v=mywlDWI77_k&amp;lc=UgwSEdlDrhjQ2ffoVrh4AaABAg.A1SFdnDUdY3A1TmbVFS0Vc")</f>
        <v>https://www.youtube.com/watch?v=mywlDWI77_k&amp;lc=UgwSEdlDrhjQ2ffoVrh4AaABAg.A1SFdnDUdY3A1TmbVFS0Vc</v>
      </c>
      <c r="O384">
        <v>0</v>
      </c>
      <c r="P384">
        <v>0</v>
      </c>
      <c r="Q384">
        <v>0</v>
      </c>
      <c r="S384">
        <v>0</v>
      </c>
      <c r="T384">
        <v>0</v>
      </c>
      <c r="U384">
        <v>0</v>
      </c>
      <c r="W384" t="s">
        <v>52</v>
      </c>
    </row>
    <row r="385" spans="1:23" x14ac:dyDescent="0.35">
      <c r="A385" t="s">
        <v>45</v>
      </c>
      <c r="B385" t="s">
        <v>735</v>
      </c>
      <c r="C385" t="s">
        <v>93</v>
      </c>
      <c r="D385" t="s">
        <v>94</v>
      </c>
      <c r="E385" t="s">
        <v>45</v>
      </c>
      <c r="F385" t="s">
        <v>49</v>
      </c>
      <c r="G385" t="s">
        <v>862</v>
      </c>
      <c r="H385" t="s">
        <v>863</v>
      </c>
      <c r="J385" t="str">
        <f>HYPERLINK("https://twitter.com/SpiceMoneyIndia/status/1772842914407760198","https://twitter.com/SpiceMoneyIndia/status/1772842914407760198")</f>
        <v>https://twitter.com/SpiceMoneyIndia/status/1772842914407760198</v>
      </c>
      <c r="K385" t="s">
        <v>67</v>
      </c>
      <c r="O385">
        <v>0</v>
      </c>
      <c r="P385">
        <v>0</v>
      </c>
      <c r="Q385">
        <v>6095</v>
      </c>
      <c r="R385" t="s">
        <v>97</v>
      </c>
      <c r="S385">
        <v>0</v>
      </c>
      <c r="T385">
        <v>0</v>
      </c>
      <c r="U385">
        <v>0</v>
      </c>
      <c r="V385" t="s">
        <v>98</v>
      </c>
      <c r="W385" t="s">
        <v>99</v>
      </c>
    </row>
    <row r="386" spans="1:23" x14ac:dyDescent="0.35">
      <c r="A386" t="s">
        <v>45</v>
      </c>
      <c r="B386" t="s">
        <v>735</v>
      </c>
      <c r="C386" t="s">
        <v>47</v>
      </c>
      <c r="D386" t="s">
        <v>68</v>
      </c>
      <c r="E386" t="s">
        <v>68</v>
      </c>
      <c r="F386" t="s">
        <v>49</v>
      </c>
      <c r="G386" t="s">
        <v>293</v>
      </c>
      <c r="H386" t="s">
        <v>864</v>
      </c>
      <c r="J386" t="str">
        <f>HYPERLINK("https://www.youtube.com/watch?v=2FEM1kunPCQ&amp;lc=Ugy7l_2Ooq5PejbHfUN4AaABAg.A1SgNfhEMmrA1Tm6ct8ERR","https://www.youtube.com/watch?v=2FEM1kunPCQ&amp;lc=Ugy7l_2Ooq5PejbHfUN4AaABAg.A1SgNfhEMmrA1Tm6ct8ERR")</f>
        <v>https://www.youtube.com/watch?v=2FEM1kunPCQ&amp;lc=Ugy7l_2Ooq5PejbHfUN4AaABAg.A1SgNfhEMmrA1Tm6ct8ERR</v>
      </c>
      <c r="O386">
        <v>0</v>
      </c>
      <c r="P386">
        <v>0</v>
      </c>
      <c r="Q386">
        <v>0</v>
      </c>
      <c r="S386">
        <v>0</v>
      </c>
      <c r="T386">
        <v>0</v>
      </c>
      <c r="U386">
        <v>0</v>
      </c>
      <c r="W386" t="s">
        <v>52</v>
      </c>
    </row>
    <row r="387" spans="1:23" x14ac:dyDescent="0.35">
      <c r="A387" t="s">
        <v>45</v>
      </c>
      <c r="B387" t="s">
        <v>735</v>
      </c>
      <c r="C387" t="s">
        <v>93</v>
      </c>
      <c r="D387" t="s">
        <v>94</v>
      </c>
      <c r="E387" t="s">
        <v>45</v>
      </c>
      <c r="F387" t="s">
        <v>49</v>
      </c>
      <c r="G387" t="s">
        <v>865</v>
      </c>
      <c r="H387" t="s">
        <v>866</v>
      </c>
      <c r="J387" t="str">
        <f>HYPERLINK("https://twitter.com/SpiceMoneyIndia/status/1772841821732794469","https://twitter.com/SpiceMoneyIndia/status/1772841821732794469")</f>
        <v>https://twitter.com/SpiceMoneyIndia/status/1772841821732794469</v>
      </c>
      <c r="K387" t="s">
        <v>67</v>
      </c>
      <c r="O387">
        <v>0</v>
      </c>
      <c r="P387">
        <v>0</v>
      </c>
      <c r="Q387">
        <v>6095</v>
      </c>
      <c r="R387" t="s">
        <v>97</v>
      </c>
      <c r="S387">
        <v>0</v>
      </c>
      <c r="T387">
        <v>0</v>
      </c>
      <c r="U387">
        <v>0</v>
      </c>
      <c r="V387" t="s">
        <v>98</v>
      </c>
      <c r="W387" t="s">
        <v>99</v>
      </c>
    </row>
    <row r="388" spans="1:23" x14ac:dyDescent="0.35">
      <c r="A388" t="s">
        <v>45</v>
      </c>
      <c r="B388" t="s">
        <v>735</v>
      </c>
      <c r="C388" t="s">
        <v>93</v>
      </c>
      <c r="D388" t="s">
        <v>867</v>
      </c>
      <c r="E388" t="s">
        <v>868</v>
      </c>
      <c r="F388" t="s">
        <v>49</v>
      </c>
      <c r="G388" t="s">
        <v>869</v>
      </c>
      <c r="H388" t="s">
        <v>870</v>
      </c>
      <c r="J388" t="str">
        <f>HYPERLINK("https://twitter.com/samyaduvanshi2/status/1772840928988086451","https://twitter.com/samyaduvanshi2/status/1772840928988086451")</f>
        <v>https://twitter.com/samyaduvanshi2/status/1772840928988086451</v>
      </c>
      <c r="K388" t="s">
        <v>67</v>
      </c>
      <c r="O388">
        <v>0</v>
      </c>
      <c r="P388">
        <v>0</v>
      </c>
      <c r="Q388">
        <v>41</v>
      </c>
      <c r="R388" t="s">
        <v>871</v>
      </c>
      <c r="S388">
        <v>0</v>
      </c>
      <c r="T388">
        <v>0</v>
      </c>
      <c r="U388">
        <v>0</v>
      </c>
      <c r="W388" t="s">
        <v>99</v>
      </c>
    </row>
    <row r="389" spans="1:23" x14ac:dyDescent="0.35">
      <c r="A389" t="s">
        <v>45</v>
      </c>
      <c r="B389" t="s">
        <v>735</v>
      </c>
      <c r="C389" t="s">
        <v>93</v>
      </c>
      <c r="D389" t="s">
        <v>94</v>
      </c>
      <c r="E389" t="s">
        <v>45</v>
      </c>
      <c r="F389" t="s">
        <v>49</v>
      </c>
      <c r="G389" t="s">
        <v>872</v>
      </c>
      <c r="H389" t="s">
        <v>873</v>
      </c>
      <c r="J389" t="str">
        <f>HYPERLINK("https://twitter.com/SpiceMoneyIndia/status/1772838965785051588","https://twitter.com/SpiceMoneyIndia/status/1772838965785051588")</f>
        <v>https://twitter.com/SpiceMoneyIndia/status/1772838965785051588</v>
      </c>
      <c r="K389" t="s">
        <v>67</v>
      </c>
      <c r="O389">
        <v>0</v>
      </c>
      <c r="P389">
        <v>0</v>
      </c>
      <c r="Q389">
        <v>6095</v>
      </c>
      <c r="R389" t="s">
        <v>97</v>
      </c>
      <c r="S389">
        <v>0</v>
      </c>
      <c r="T389">
        <v>0</v>
      </c>
      <c r="U389">
        <v>0</v>
      </c>
      <c r="V389" t="s">
        <v>98</v>
      </c>
      <c r="W389" t="s">
        <v>99</v>
      </c>
    </row>
    <row r="390" spans="1:23" x14ac:dyDescent="0.35">
      <c r="A390" t="s">
        <v>45</v>
      </c>
      <c r="B390" t="s">
        <v>735</v>
      </c>
      <c r="C390" t="s">
        <v>47</v>
      </c>
      <c r="D390" t="s">
        <v>238</v>
      </c>
      <c r="E390" t="s">
        <v>238</v>
      </c>
      <c r="F390" t="s">
        <v>49</v>
      </c>
      <c r="G390" t="s">
        <v>874</v>
      </c>
      <c r="H390" t="s">
        <v>875</v>
      </c>
      <c r="J390" t="str">
        <f>HYPERLINK("https://www.youtube.com/watch?v=7pMfSyYFp5U&amp;lc=Ugwrgo8MJayy5CDWhlB4AaABAg","https://www.youtube.com/watch?v=7pMfSyYFp5U&amp;lc=Ugwrgo8MJayy5CDWhlB4AaABAg")</f>
        <v>https://www.youtube.com/watch?v=7pMfSyYFp5U&amp;lc=Ugwrgo8MJayy5CDWhlB4AaABAg</v>
      </c>
      <c r="O390">
        <v>0</v>
      </c>
      <c r="P390">
        <v>0</v>
      </c>
      <c r="Q390">
        <v>0</v>
      </c>
      <c r="S390">
        <v>0</v>
      </c>
      <c r="T390">
        <v>0</v>
      </c>
      <c r="U390">
        <v>0</v>
      </c>
      <c r="W390" t="s">
        <v>52</v>
      </c>
    </row>
    <row r="391" spans="1:23" x14ac:dyDescent="0.35">
      <c r="A391" t="s">
        <v>45</v>
      </c>
      <c r="B391" t="s">
        <v>735</v>
      </c>
      <c r="C391" t="s">
        <v>93</v>
      </c>
      <c r="D391" t="s">
        <v>876</v>
      </c>
      <c r="E391" t="s">
        <v>877</v>
      </c>
      <c r="F391" t="s">
        <v>49</v>
      </c>
      <c r="G391" t="s">
        <v>878</v>
      </c>
      <c r="H391" t="s">
        <v>879</v>
      </c>
      <c r="J391" t="str">
        <f>HYPERLINK("https://twitter.com/SAMAYTIMES9450/status/1772836695815467122","https://twitter.com/SAMAYTIMES9450/status/1772836695815467122")</f>
        <v>https://twitter.com/SAMAYTIMES9450/status/1772836695815467122</v>
      </c>
      <c r="K391" t="s">
        <v>67</v>
      </c>
      <c r="O391">
        <v>0</v>
      </c>
      <c r="P391">
        <v>0</v>
      </c>
      <c r="Q391">
        <v>488</v>
      </c>
      <c r="S391">
        <v>0</v>
      </c>
      <c r="T391">
        <v>0</v>
      </c>
      <c r="U391">
        <v>0</v>
      </c>
      <c r="W391" t="s">
        <v>99</v>
      </c>
    </row>
    <row r="392" spans="1:23" x14ac:dyDescent="0.35">
      <c r="A392" t="s">
        <v>45</v>
      </c>
      <c r="B392" t="s">
        <v>735</v>
      </c>
      <c r="C392" t="s">
        <v>47</v>
      </c>
      <c r="D392" t="s">
        <v>526</v>
      </c>
      <c r="E392" t="s">
        <v>526</v>
      </c>
      <c r="F392" t="s">
        <v>49</v>
      </c>
      <c r="G392" t="s">
        <v>880</v>
      </c>
      <c r="H392" t="s">
        <v>881</v>
      </c>
      <c r="J392" t="str">
        <f>HYPERLINK("https://www.youtube.com/watch?v=7pMfSyYFp5U&amp;lc=UgzPRsqLbDfz88_LIMh4AaABAg","https://www.youtube.com/watch?v=7pMfSyYFp5U&amp;lc=UgzPRsqLbDfz88_LIMh4AaABAg")</f>
        <v>https://www.youtube.com/watch?v=7pMfSyYFp5U&amp;lc=UgzPRsqLbDfz88_LIMh4AaABAg</v>
      </c>
      <c r="O392">
        <v>0</v>
      </c>
      <c r="P392">
        <v>0</v>
      </c>
      <c r="Q392">
        <v>0</v>
      </c>
      <c r="S392">
        <v>0</v>
      </c>
      <c r="T392">
        <v>0</v>
      </c>
      <c r="U392">
        <v>0</v>
      </c>
      <c r="W392" t="s">
        <v>52</v>
      </c>
    </row>
    <row r="393" spans="1:23" x14ac:dyDescent="0.35">
      <c r="A393" t="s">
        <v>45</v>
      </c>
      <c r="B393" t="s">
        <v>735</v>
      </c>
      <c r="C393" t="s">
        <v>47</v>
      </c>
      <c r="D393" t="s">
        <v>45</v>
      </c>
      <c r="E393" t="s">
        <v>45</v>
      </c>
      <c r="F393" t="s">
        <v>49</v>
      </c>
      <c r="G393" t="s">
        <v>882</v>
      </c>
      <c r="H393" t="s">
        <v>883</v>
      </c>
      <c r="J393" t="str">
        <f>HYPERLINK("https://www.youtube.com/watch?v=7pMfSyYFp5U","https://www.youtube.com/watch?v=7pMfSyYFp5U")</f>
        <v>https://www.youtube.com/watch?v=7pMfSyYFp5U</v>
      </c>
      <c r="O393">
        <v>0</v>
      </c>
      <c r="P393">
        <v>0</v>
      </c>
      <c r="Q393">
        <v>0</v>
      </c>
      <c r="S393">
        <v>0</v>
      </c>
      <c r="T393">
        <v>0</v>
      </c>
      <c r="U393">
        <v>0</v>
      </c>
      <c r="W393" t="s">
        <v>346</v>
      </c>
    </row>
    <row r="394" spans="1:23" x14ac:dyDescent="0.35">
      <c r="A394" t="s">
        <v>45</v>
      </c>
      <c r="B394" t="s">
        <v>735</v>
      </c>
      <c r="C394" t="s">
        <v>93</v>
      </c>
      <c r="D394" t="s">
        <v>94</v>
      </c>
      <c r="E394" t="s">
        <v>45</v>
      </c>
      <c r="F394" t="s">
        <v>49</v>
      </c>
      <c r="G394" t="s">
        <v>884</v>
      </c>
      <c r="H394" t="s">
        <v>885</v>
      </c>
      <c r="J394" t="str">
        <f>HYPERLINK("https://twitter.com/SpiceMoneyIndia/status/1772834026379710661","https://twitter.com/SpiceMoneyIndia/status/1772834026379710661")</f>
        <v>https://twitter.com/SpiceMoneyIndia/status/1772834026379710661</v>
      </c>
      <c r="K394" t="s">
        <v>67</v>
      </c>
      <c r="O394">
        <v>0</v>
      </c>
      <c r="P394">
        <v>0</v>
      </c>
      <c r="Q394">
        <v>6094</v>
      </c>
      <c r="R394" t="s">
        <v>97</v>
      </c>
      <c r="S394">
        <v>0</v>
      </c>
      <c r="T394">
        <v>0</v>
      </c>
      <c r="U394">
        <v>0</v>
      </c>
      <c r="V394" t="s">
        <v>98</v>
      </c>
      <c r="W394" t="s">
        <v>99</v>
      </c>
    </row>
    <row r="395" spans="1:23" x14ac:dyDescent="0.35">
      <c r="A395" t="s">
        <v>45</v>
      </c>
      <c r="B395" t="s">
        <v>735</v>
      </c>
      <c r="C395" t="s">
        <v>47</v>
      </c>
      <c r="D395" t="s">
        <v>886</v>
      </c>
      <c r="E395" t="s">
        <v>886</v>
      </c>
      <c r="F395" t="s">
        <v>49</v>
      </c>
      <c r="G395" t="s">
        <v>887</v>
      </c>
      <c r="H395" t="s">
        <v>888</v>
      </c>
      <c r="J395" t="str">
        <f>HYPERLINK("https://www.youtube.com/watch?v=XnF5-uLfaHg&amp;lc=UgxSYsEsLL16L46Ve294AaABAg","https://www.youtube.com/watch?v=XnF5-uLfaHg&amp;lc=UgxSYsEsLL16L46Ve294AaABAg")</f>
        <v>https://www.youtube.com/watch?v=XnF5-uLfaHg&amp;lc=UgxSYsEsLL16L46Ve294AaABAg</v>
      </c>
      <c r="O395">
        <v>0</v>
      </c>
      <c r="P395">
        <v>0</v>
      </c>
      <c r="Q395">
        <v>0</v>
      </c>
      <c r="S395">
        <v>0</v>
      </c>
      <c r="T395">
        <v>0</v>
      </c>
      <c r="U395">
        <v>0</v>
      </c>
      <c r="W395" t="s">
        <v>52</v>
      </c>
    </row>
    <row r="396" spans="1:23" x14ac:dyDescent="0.35">
      <c r="A396" t="s">
        <v>45</v>
      </c>
      <c r="B396" t="s">
        <v>735</v>
      </c>
      <c r="C396" t="s">
        <v>93</v>
      </c>
      <c r="D396" t="s">
        <v>889</v>
      </c>
      <c r="E396" t="s">
        <v>890</v>
      </c>
      <c r="F396" t="s">
        <v>49</v>
      </c>
      <c r="G396" t="s">
        <v>891</v>
      </c>
      <c r="H396" t="s">
        <v>892</v>
      </c>
      <c r="J396" t="str">
        <f>HYPERLINK("https://twitter.com/voiceofindiaup/status/1772821996185010318","https://twitter.com/voiceofindiaup/status/1772821996185010318")</f>
        <v>https://twitter.com/voiceofindiaup/status/1772821996185010318</v>
      </c>
      <c r="O396">
        <v>0</v>
      </c>
      <c r="P396">
        <v>0</v>
      </c>
      <c r="Q396">
        <v>4693</v>
      </c>
      <c r="R396" t="s">
        <v>893</v>
      </c>
      <c r="S396">
        <v>0</v>
      </c>
      <c r="T396">
        <v>0</v>
      </c>
      <c r="U396">
        <v>0</v>
      </c>
      <c r="V396" t="s">
        <v>98</v>
      </c>
      <c r="W396" t="s">
        <v>433</v>
      </c>
    </row>
    <row r="397" spans="1:23" x14ac:dyDescent="0.35">
      <c r="A397" t="s">
        <v>45</v>
      </c>
      <c r="B397" t="s">
        <v>735</v>
      </c>
      <c r="C397" t="s">
        <v>93</v>
      </c>
      <c r="D397" t="s">
        <v>876</v>
      </c>
      <c r="E397" t="s">
        <v>877</v>
      </c>
      <c r="F397" t="s">
        <v>49</v>
      </c>
      <c r="G397" t="s">
        <v>891</v>
      </c>
      <c r="H397" t="s">
        <v>894</v>
      </c>
      <c r="J397" t="str">
        <f>HYPERLINK("https://twitter.com/SAMAYTIMES9450/status/1772820952495067329","https://twitter.com/SAMAYTIMES9450/status/1772820952495067329")</f>
        <v>https://twitter.com/SAMAYTIMES9450/status/1772820952495067329</v>
      </c>
      <c r="K397" t="s">
        <v>67</v>
      </c>
      <c r="O397">
        <v>0</v>
      </c>
      <c r="P397">
        <v>0</v>
      </c>
      <c r="Q397">
        <v>488</v>
      </c>
      <c r="S397">
        <v>0</v>
      </c>
      <c r="T397">
        <v>0</v>
      </c>
      <c r="U397">
        <v>0</v>
      </c>
      <c r="W397" t="s">
        <v>99</v>
      </c>
    </row>
    <row r="398" spans="1:23" x14ac:dyDescent="0.35">
      <c r="A398" t="s">
        <v>45</v>
      </c>
      <c r="B398" t="s">
        <v>735</v>
      </c>
      <c r="C398" t="s">
        <v>93</v>
      </c>
      <c r="D398" t="s">
        <v>895</v>
      </c>
      <c r="E398" t="s">
        <v>896</v>
      </c>
      <c r="F398" t="s">
        <v>193</v>
      </c>
      <c r="G398" t="s">
        <v>897</v>
      </c>
      <c r="H398" t="s">
        <v>898</v>
      </c>
      <c r="J398" t="str">
        <f>HYPERLINK("https://twitter.com/ae3095fccc0c483/status/1772813839568081091","https://twitter.com/ae3095fccc0c483/status/1772813839568081091")</f>
        <v>https://twitter.com/ae3095fccc0c483/status/1772813839568081091</v>
      </c>
      <c r="K398" t="s">
        <v>67</v>
      </c>
      <c r="O398">
        <v>0</v>
      </c>
      <c r="P398">
        <v>0</v>
      </c>
      <c r="Q398">
        <v>34</v>
      </c>
      <c r="R398" t="s">
        <v>899</v>
      </c>
      <c r="S398">
        <v>0</v>
      </c>
      <c r="T398">
        <v>0</v>
      </c>
      <c r="U398">
        <v>0</v>
      </c>
      <c r="W398" t="s">
        <v>99</v>
      </c>
    </row>
    <row r="399" spans="1:23" x14ac:dyDescent="0.35">
      <c r="A399" t="s">
        <v>45</v>
      </c>
      <c r="B399" t="s">
        <v>735</v>
      </c>
      <c r="C399" t="s">
        <v>47</v>
      </c>
      <c r="D399" t="s">
        <v>900</v>
      </c>
      <c r="E399" t="s">
        <v>900</v>
      </c>
      <c r="F399" t="s">
        <v>49</v>
      </c>
      <c r="G399" t="s">
        <v>901</v>
      </c>
      <c r="H399" t="s">
        <v>902</v>
      </c>
      <c r="J399" t="str">
        <f>HYPERLINK("https://www.youtube.com/watch?v=XnF5-uLfaHg&amp;lc=UgxLu_t2cAP-Wrd6z6F4AaABAg","https://www.youtube.com/watch?v=XnF5-uLfaHg&amp;lc=UgxLu_t2cAP-Wrd6z6F4AaABAg")</f>
        <v>https://www.youtube.com/watch?v=XnF5-uLfaHg&amp;lc=UgxLu_t2cAP-Wrd6z6F4AaABAg</v>
      </c>
      <c r="O399">
        <v>0</v>
      </c>
      <c r="P399">
        <v>0</v>
      </c>
      <c r="Q399">
        <v>0</v>
      </c>
      <c r="S399">
        <v>0</v>
      </c>
      <c r="T399">
        <v>0</v>
      </c>
      <c r="U399">
        <v>0</v>
      </c>
      <c r="W399" t="s">
        <v>52</v>
      </c>
    </row>
    <row r="400" spans="1:23" x14ac:dyDescent="0.35">
      <c r="A400" t="s">
        <v>45</v>
      </c>
      <c r="B400" t="s">
        <v>735</v>
      </c>
      <c r="C400" t="s">
        <v>47</v>
      </c>
      <c r="D400" t="s">
        <v>903</v>
      </c>
      <c r="E400" t="s">
        <v>903</v>
      </c>
      <c r="F400" t="s">
        <v>49</v>
      </c>
      <c r="G400" t="s">
        <v>904</v>
      </c>
      <c r="H400" t="s">
        <v>905</v>
      </c>
      <c r="J400" t="str">
        <f>HYPERLINK("https://www.youtube.com/watch?v=XnF5-uLfaHg&amp;lc=Ugy6GkAJfeRxDpgpQwt4AaABAg","https://www.youtube.com/watch?v=XnF5-uLfaHg&amp;lc=Ugy6GkAJfeRxDpgpQwt4AaABAg")</f>
        <v>https://www.youtube.com/watch?v=XnF5-uLfaHg&amp;lc=Ugy6GkAJfeRxDpgpQwt4AaABAg</v>
      </c>
      <c r="O400">
        <v>0</v>
      </c>
      <c r="P400">
        <v>0</v>
      </c>
      <c r="Q400">
        <v>0</v>
      </c>
      <c r="S400">
        <v>0</v>
      </c>
      <c r="T400">
        <v>0</v>
      </c>
      <c r="U400">
        <v>0</v>
      </c>
      <c r="W400" t="s">
        <v>52</v>
      </c>
    </row>
    <row r="401" spans="1:23" x14ac:dyDescent="0.35">
      <c r="A401" t="s">
        <v>45</v>
      </c>
      <c r="B401" t="s">
        <v>906</v>
      </c>
      <c r="C401" t="s">
        <v>93</v>
      </c>
      <c r="D401" t="s">
        <v>867</v>
      </c>
      <c r="E401" t="s">
        <v>868</v>
      </c>
      <c r="F401" t="s">
        <v>49</v>
      </c>
      <c r="G401" t="s">
        <v>907</v>
      </c>
      <c r="H401" t="s">
        <v>908</v>
      </c>
      <c r="J401" t="str">
        <f>HYPERLINK("https://twitter.com/samyaduvanshi2/status/1772690519946072254","https://twitter.com/samyaduvanshi2/status/1772690519946072254")</f>
        <v>https://twitter.com/samyaduvanshi2/status/1772690519946072254</v>
      </c>
      <c r="K401" t="s">
        <v>67</v>
      </c>
      <c r="O401">
        <v>0</v>
      </c>
      <c r="P401">
        <v>0</v>
      </c>
      <c r="Q401">
        <v>41</v>
      </c>
      <c r="R401" t="s">
        <v>871</v>
      </c>
      <c r="S401">
        <v>0</v>
      </c>
      <c r="T401">
        <v>0</v>
      </c>
      <c r="U401">
        <v>0</v>
      </c>
      <c r="W401" t="s">
        <v>99</v>
      </c>
    </row>
    <row r="402" spans="1:23" x14ac:dyDescent="0.35">
      <c r="A402" t="s">
        <v>45</v>
      </c>
      <c r="B402" t="s">
        <v>906</v>
      </c>
      <c r="C402" t="s">
        <v>93</v>
      </c>
      <c r="D402" t="s">
        <v>867</v>
      </c>
      <c r="E402" t="s">
        <v>868</v>
      </c>
      <c r="F402" t="s">
        <v>49</v>
      </c>
      <c r="G402" t="s">
        <v>909</v>
      </c>
      <c r="H402" t="s">
        <v>910</v>
      </c>
      <c r="J402" t="str">
        <f>HYPERLINK("https://twitter.com/samyaduvanshi2/status/1772689313500705116","https://twitter.com/samyaduvanshi2/status/1772689313500705116")</f>
        <v>https://twitter.com/samyaduvanshi2/status/1772689313500705116</v>
      </c>
      <c r="K402" t="s">
        <v>67</v>
      </c>
      <c r="O402">
        <v>0</v>
      </c>
      <c r="P402">
        <v>0</v>
      </c>
      <c r="Q402">
        <v>41</v>
      </c>
      <c r="R402" t="s">
        <v>871</v>
      </c>
      <c r="S402">
        <v>0</v>
      </c>
      <c r="T402">
        <v>0</v>
      </c>
      <c r="U402">
        <v>0</v>
      </c>
      <c r="W402" t="s">
        <v>99</v>
      </c>
    </row>
    <row r="403" spans="1:23" x14ac:dyDescent="0.35">
      <c r="A403" t="s">
        <v>45</v>
      </c>
      <c r="B403" t="s">
        <v>906</v>
      </c>
      <c r="C403" t="s">
        <v>47</v>
      </c>
      <c r="D403" t="s">
        <v>911</v>
      </c>
      <c r="E403" t="s">
        <v>911</v>
      </c>
      <c r="F403" t="s">
        <v>49</v>
      </c>
      <c r="G403" t="s">
        <v>912</v>
      </c>
      <c r="H403" t="s">
        <v>913</v>
      </c>
      <c r="J403" t="str">
        <f>HYPERLINK("https://www.youtube.com/watch?v=2FEM1kunPCQ&amp;lc=Ugy7l_2Ooq5PejbHfUN4AaABAg","https://www.youtube.com/watch?v=2FEM1kunPCQ&amp;lc=Ugy7l_2Ooq5PejbHfUN4AaABAg")</f>
        <v>https://www.youtube.com/watch?v=2FEM1kunPCQ&amp;lc=Ugy7l_2Ooq5PejbHfUN4AaABAg</v>
      </c>
      <c r="O403">
        <v>0</v>
      </c>
      <c r="P403">
        <v>0</v>
      </c>
      <c r="Q403">
        <v>0</v>
      </c>
      <c r="S403">
        <v>0</v>
      </c>
      <c r="T403">
        <v>0</v>
      </c>
      <c r="U403">
        <v>0</v>
      </c>
      <c r="W403" t="s">
        <v>52</v>
      </c>
    </row>
    <row r="404" spans="1:23" x14ac:dyDescent="0.35">
      <c r="A404" t="s">
        <v>45</v>
      </c>
      <c r="B404" t="s">
        <v>906</v>
      </c>
      <c r="C404" t="s">
        <v>47</v>
      </c>
      <c r="D404" t="s">
        <v>914</v>
      </c>
      <c r="E404" t="s">
        <v>914</v>
      </c>
      <c r="F404" t="s">
        <v>49</v>
      </c>
      <c r="G404" t="s">
        <v>915</v>
      </c>
      <c r="H404" t="s">
        <v>916</v>
      </c>
      <c r="J404" t="str">
        <f>HYPERLINK("https://www.youtube.com/watch?v=XnF5-uLfaHg&amp;lc=UgzjNu14JNSzykZ-AnV4AaABAg","https://www.youtube.com/watch?v=XnF5-uLfaHg&amp;lc=UgzjNu14JNSzykZ-AnV4AaABAg")</f>
        <v>https://www.youtube.com/watch?v=XnF5-uLfaHg&amp;lc=UgzjNu14JNSzykZ-AnV4AaABAg</v>
      </c>
      <c r="O404">
        <v>0</v>
      </c>
      <c r="P404">
        <v>0</v>
      </c>
      <c r="Q404">
        <v>0</v>
      </c>
      <c r="S404">
        <v>0</v>
      </c>
      <c r="T404">
        <v>0</v>
      </c>
      <c r="U404">
        <v>0</v>
      </c>
      <c r="W404" t="s">
        <v>52</v>
      </c>
    </row>
    <row r="405" spans="1:23" x14ac:dyDescent="0.35">
      <c r="A405" t="s">
        <v>45</v>
      </c>
      <c r="B405" t="s">
        <v>906</v>
      </c>
      <c r="C405" t="s">
        <v>47</v>
      </c>
      <c r="D405" t="s">
        <v>178</v>
      </c>
      <c r="E405" t="s">
        <v>178</v>
      </c>
      <c r="F405" t="s">
        <v>49</v>
      </c>
      <c r="G405" t="s">
        <v>917</v>
      </c>
      <c r="H405" t="s">
        <v>918</v>
      </c>
      <c r="J405" t="str">
        <f>HYPERLINK("https://www.youtube.com/watch?v=XnF5-uLfaHg&amp;lc=UgypzvvW7NVGFo3FmEp4AaABAg","https://www.youtube.com/watch?v=XnF5-uLfaHg&amp;lc=UgypzvvW7NVGFo3FmEp4AaABAg")</f>
        <v>https://www.youtube.com/watch?v=XnF5-uLfaHg&amp;lc=UgypzvvW7NVGFo3FmEp4AaABAg</v>
      </c>
      <c r="O405">
        <v>0</v>
      </c>
      <c r="P405">
        <v>0</v>
      </c>
      <c r="Q405">
        <v>0</v>
      </c>
      <c r="S405">
        <v>0</v>
      </c>
      <c r="T405">
        <v>0</v>
      </c>
      <c r="U405">
        <v>0</v>
      </c>
      <c r="W405" t="s">
        <v>52</v>
      </c>
    </row>
    <row r="406" spans="1:23" x14ac:dyDescent="0.35">
      <c r="A406" t="s">
        <v>45</v>
      </c>
      <c r="B406" t="s">
        <v>906</v>
      </c>
      <c r="C406" t="s">
        <v>47</v>
      </c>
      <c r="D406" t="s">
        <v>919</v>
      </c>
      <c r="E406" t="s">
        <v>919</v>
      </c>
      <c r="F406" t="s">
        <v>49</v>
      </c>
      <c r="G406" t="s">
        <v>920</v>
      </c>
      <c r="H406" t="s">
        <v>921</v>
      </c>
      <c r="J406" t="str">
        <f>HYPERLINK("https://www.youtube.com/watch?v=XnF5-uLfaHg&amp;lc=Ugyk-J6Ag2A4CLlOqMN4AaABAg.A1SBLykrkmFA1SOF53YKBk","https://www.youtube.com/watch?v=XnF5-uLfaHg&amp;lc=Ugyk-J6Ag2A4CLlOqMN4AaABAg.A1SBLykrkmFA1SOF53YKBk")</f>
        <v>https://www.youtube.com/watch?v=XnF5-uLfaHg&amp;lc=Ugyk-J6Ag2A4CLlOqMN4AaABAg.A1SBLykrkmFA1SOF53YKBk</v>
      </c>
      <c r="O406">
        <v>0</v>
      </c>
      <c r="P406">
        <v>0</v>
      </c>
      <c r="Q406">
        <v>0</v>
      </c>
      <c r="S406">
        <v>0</v>
      </c>
      <c r="T406">
        <v>0</v>
      </c>
      <c r="U406">
        <v>0</v>
      </c>
      <c r="W406" t="s">
        <v>52</v>
      </c>
    </row>
    <row r="407" spans="1:23" x14ac:dyDescent="0.35">
      <c r="A407" t="s">
        <v>45</v>
      </c>
      <c r="B407" t="s">
        <v>906</v>
      </c>
      <c r="C407" t="s">
        <v>47</v>
      </c>
      <c r="D407" t="s">
        <v>922</v>
      </c>
      <c r="E407" t="s">
        <v>922</v>
      </c>
      <c r="F407" t="s">
        <v>49</v>
      </c>
      <c r="G407" t="s">
        <v>923</v>
      </c>
      <c r="H407" t="s">
        <v>924</v>
      </c>
      <c r="J407" t="str">
        <f>HYPERLINK("https://www.youtube.com/watch?v=XnF5-uLfaHg&amp;lc=Ugyk-J6Ag2A4CLlOqMN4AaABAg.A1SBLykrkmFA1SNti3ISQT","https://www.youtube.com/watch?v=XnF5-uLfaHg&amp;lc=Ugyk-J6Ag2A4CLlOqMN4AaABAg.A1SBLykrkmFA1SNti3ISQT")</f>
        <v>https://www.youtube.com/watch?v=XnF5-uLfaHg&amp;lc=Ugyk-J6Ag2A4CLlOqMN4AaABAg.A1SBLykrkmFA1SNti3ISQT</v>
      </c>
      <c r="O407">
        <v>0</v>
      </c>
      <c r="P407">
        <v>0</v>
      </c>
      <c r="Q407">
        <v>0</v>
      </c>
      <c r="S407">
        <v>0</v>
      </c>
      <c r="T407">
        <v>0</v>
      </c>
      <c r="U407">
        <v>0</v>
      </c>
      <c r="W407" t="s">
        <v>52</v>
      </c>
    </row>
    <row r="408" spans="1:23" x14ac:dyDescent="0.35">
      <c r="A408" t="s">
        <v>45</v>
      </c>
      <c r="B408" t="s">
        <v>906</v>
      </c>
      <c r="C408" t="s">
        <v>47</v>
      </c>
      <c r="D408" t="s">
        <v>922</v>
      </c>
      <c r="E408" t="s">
        <v>922</v>
      </c>
      <c r="F408" t="s">
        <v>49</v>
      </c>
      <c r="G408" t="s">
        <v>925</v>
      </c>
      <c r="H408" t="s">
        <v>926</v>
      </c>
      <c r="J408" t="str">
        <f>HYPERLINK("https://www.youtube.com/watch?v=XnF5-uLfaHg&amp;lc=UgxVUu_3N8oI2xWVlEl4AaABAg.A1RTvBPMEGHA1SNoE2wwZz","https://www.youtube.com/watch?v=XnF5-uLfaHg&amp;lc=UgxVUu_3N8oI2xWVlEl4AaABAg.A1RTvBPMEGHA1SNoE2wwZz")</f>
        <v>https://www.youtube.com/watch?v=XnF5-uLfaHg&amp;lc=UgxVUu_3N8oI2xWVlEl4AaABAg.A1RTvBPMEGHA1SNoE2wwZz</v>
      </c>
      <c r="O408">
        <v>0</v>
      </c>
      <c r="P408">
        <v>0</v>
      </c>
      <c r="Q408">
        <v>0</v>
      </c>
      <c r="S408">
        <v>0</v>
      </c>
      <c r="T408">
        <v>0</v>
      </c>
      <c r="U408">
        <v>0</v>
      </c>
      <c r="W408" t="s">
        <v>52</v>
      </c>
    </row>
    <row r="409" spans="1:23" x14ac:dyDescent="0.35">
      <c r="A409" t="s">
        <v>45</v>
      </c>
      <c r="B409" t="s">
        <v>906</v>
      </c>
      <c r="C409" t="s">
        <v>47</v>
      </c>
      <c r="D409" t="s">
        <v>922</v>
      </c>
      <c r="E409" t="s">
        <v>922</v>
      </c>
      <c r="F409" t="s">
        <v>49</v>
      </c>
      <c r="G409" t="s">
        <v>927</v>
      </c>
      <c r="H409" t="s">
        <v>928</v>
      </c>
      <c r="J409" t="str">
        <f>HYPERLINK("https://www.youtube.com/watch?v=XnF5-uLfaHg&amp;lc=UgxVUu_3N8oI2xWVlEl4AaABAg.A1RTvBPMEGHA1SNleSVWx8","https://www.youtube.com/watch?v=XnF5-uLfaHg&amp;lc=UgxVUu_3N8oI2xWVlEl4AaABAg.A1RTvBPMEGHA1SNleSVWx8")</f>
        <v>https://www.youtube.com/watch?v=XnF5-uLfaHg&amp;lc=UgxVUu_3N8oI2xWVlEl4AaABAg.A1RTvBPMEGHA1SNleSVWx8</v>
      </c>
      <c r="O409">
        <v>0</v>
      </c>
      <c r="P409">
        <v>0</v>
      </c>
      <c r="Q409">
        <v>0</v>
      </c>
      <c r="S409">
        <v>0</v>
      </c>
      <c r="T409">
        <v>0</v>
      </c>
      <c r="U409">
        <v>0</v>
      </c>
      <c r="W409" t="s">
        <v>52</v>
      </c>
    </row>
    <row r="410" spans="1:23" x14ac:dyDescent="0.35">
      <c r="A410" t="s">
        <v>45</v>
      </c>
      <c r="B410" t="s">
        <v>906</v>
      </c>
      <c r="C410" t="s">
        <v>47</v>
      </c>
      <c r="D410" t="s">
        <v>929</v>
      </c>
      <c r="E410" t="s">
        <v>929</v>
      </c>
      <c r="F410" t="s">
        <v>54</v>
      </c>
      <c r="G410" t="s">
        <v>930</v>
      </c>
      <c r="H410" t="s">
        <v>931</v>
      </c>
      <c r="J410" t="str">
        <f>HYPERLINK("https://www.youtube.com/watch?v=mywlDWI77_k&amp;lc=UgwSEdlDrhjQ2ffoVrh4AaABAg","https://www.youtube.com/watch?v=mywlDWI77_k&amp;lc=UgwSEdlDrhjQ2ffoVrh4AaABAg")</f>
        <v>https://www.youtube.com/watch?v=mywlDWI77_k&amp;lc=UgwSEdlDrhjQ2ffoVrh4AaABAg</v>
      </c>
      <c r="O410">
        <v>0</v>
      </c>
      <c r="P410">
        <v>0</v>
      </c>
      <c r="Q410">
        <v>0</v>
      </c>
      <c r="S410">
        <v>0</v>
      </c>
      <c r="T410">
        <v>0</v>
      </c>
      <c r="U410">
        <v>0</v>
      </c>
      <c r="W410" t="s">
        <v>52</v>
      </c>
    </row>
    <row r="411" spans="1:23" x14ac:dyDescent="0.35">
      <c r="A411" t="s">
        <v>45</v>
      </c>
      <c r="B411" t="s">
        <v>906</v>
      </c>
      <c r="C411" t="s">
        <v>47</v>
      </c>
      <c r="D411" t="s">
        <v>929</v>
      </c>
      <c r="E411" t="s">
        <v>929</v>
      </c>
      <c r="F411" t="s">
        <v>54</v>
      </c>
      <c r="G411" t="s">
        <v>932</v>
      </c>
      <c r="H411" t="s">
        <v>933</v>
      </c>
      <c r="J411" t="str">
        <f>HYPERLINK("https://www.youtube.com/watch?v=DMlpygM0MQM&amp;lc=Ugz4N8fbUqrOilwadB54AaABAg","https://www.youtube.com/watch?v=DMlpygM0MQM&amp;lc=Ugz4N8fbUqrOilwadB54AaABAg")</f>
        <v>https://www.youtube.com/watch?v=DMlpygM0MQM&amp;lc=Ugz4N8fbUqrOilwadB54AaABAg</v>
      </c>
      <c r="O411">
        <v>0</v>
      </c>
      <c r="P411">
        <v>0</v>
      </c>
      <c r="Q411">
        <v>0</v>
      </c>
      <c r="S411">
        <v>0</v>
      </c>
      <c r="T411">
        <v>0</v>
      </c>
      <c r="U411">
        <v>0</v>
      </c>
      <c r="W411" t="s">
        <v>52</v>
      </c>
    </row>
    <row r="412" spans="1:23" x14ac:dyDescent="0.35">
      <c r="A412" t="s">
        <v>45</v>
      </c>
      <c r="B412" t="s">
        <v>906</v>
      </c>
      <c r="C412" t="s">
        <v>47</v>
      </c>
      <c r="D412" t="s">
        <v>929</v>
      </c>
      <c r="E412" t="s">
        <v>929</v>
      </c>
      <c r="F412" t="s">
        <v>54</v>
      </c>
      <c r="G412" t="s">
        <v>934</v>
      </c>
      <c r="H412" t="s">
        <v>935</v>
      </c>
      <c r="J412" t="str">
        <f>HYPERLINK("https://www.youtube.com/watch?v=XnF5-uLfaHg&amp;lc=Ugw-F8_dUxZmVWTFb154AaABAg","https://www.youtube.com/watch?v=XnF5-uLfaHg&amp;lc=Ugw-F8_dUxZmVWTFb154AaABAg")</f>
        <v>https://www.youtube.com/watch?v=XnF5-uLfaHg&amp;lc=Ugw-F8_dUxZmVWTFb154AaABAg</v>
      </c>
      <c r="O412">
        <v>0</v>
      </c>
      <c r="P412">
        <v>0</v>
      </c>
      <c r="Q412">
        <v>0</v>
      </c>
      <c r="S412">
        <v>0</v>
      </c>
      <c r="T412">
        <v>0</v>
      </c>
      <c r="U412">
        <v>0</v>
      </c>
      <c r="W412" t="s">
        <v>52</v>
      </c>
    </row>
    <row r="413" spans="1:23" x14ac:dyDescent="0.35">
      <c r="A413" t="s">
        <v>45</v>
      </c>
      <c r="B413" t="s">
        <v>906</v>
      </c>
      <c r="C413" t="s">
        <v>47</v>
      </c>
      <c r="D413" t="s">
        <v>919</v>
      </c>
      <c r="E413" t="s">
        <v>919</v>
      </c>
      <c r="F413" t="s">
        <v>49</v>
      </c>
      <c r="G413" t="s">
        <v>936</v>
      </c>
      <c r="H413" t="s">
        <v>937</v>
      </c>
      <c r="J413" t="str">
        <f>HYPERLINK("https://www.youtube.com/watch?v=XnF5-uLfaHg&amp;lc=Ugyk-J6Ag2A4CLlOqMN4AaABAg","https://www.youtube.com/watch?v=XnF5-uLfaHg&amp;lc=Ugyk-J6Ag2A4CLlOqMN4AaABAg")</f>
        <v>https://www.youtube.com/watch?v=XnF5-uLfaHg&amp;lc=Ugyk-J6Ag2A4CLlOqMN4AaABAg</v>
      </c>
      <c r="O413">
        <v>0</v>
      </c>
      <c r="P413">
        <v>0</v>
      </c>
      <c r="Q413">
        <v>0</v>
      </c>
      <c r="S413">
        <v>0</v>
      </c>
      <c r="T413">
        <v>0</v>
      </c>
      <c r="U413">
        <v>0</v>
      </c>
      <c r="W413" t="s">
        <v>52</v>
      </c>
    </row>
    <row r="414" spans="1:23" x14ac:dyDescent="0.35">
      <c r="A414" t="s">
        <v>45</v>
      </c>
      <c r="B414" t="s">
        <v>906</v>
      </c>
      <c r="C414" t="s">
        <v>60</v>
      </c>
      <c r="D414" t="s">
        <v>61</v>
      </c>
      <c r="E414" t="s">
        <v>61</v>
      </c>
      <c r="F414" t="s">
        <v>49</v>
      </c>
      <c r="G414" t="s">
        <v>938</v>
      </c>
      <c r="H414" t="s">
        <v>939</v>
      </c>
      <c r="J414" t="str">
        <f>HYPERLINK("https://www.facebook.com/634639855377280/posts/814811307360133?comment_id=1118559396059039","https://www.facebook.com/634639855377280/posts/814811307360133?comment_id=1118559396059039")</f>
        <v>https://www.facebook.com/634639855377280/posts/814811307360133?comment_id=1118559396059039</v>
      </c>
      <c r="O414">
        <v>0</v>
      </c>
      <c r="P414">
        <v>0</v>
      </c>
      <c r="Q414">
        <v>0</v>
      </c>
      <c r="S414">
        <v>0</v>
      </c>
      <c r="T414">
        <v>0</v>
      </c>
      <c r="U414">
        <v>0</v>
      </c>
      <c r="W414" t="s">
        <v>52</v>
      </c>
    </row>
    <row r="415" spans="1:23" x14ac:dyDescent="0.35">
      <c r="A415" t="s">
        <v>45</v>
      </c>
      <c r="B415" t="s">
        <v>906</v>
      </c>
      <c r="C415" t="s">
        <v>47</v>
      </c>
      <c r="D415" t="s">
        <v>68</v>
      </c>
      <c r="E415" t="s">
        <v>68</v>
      </c>
      <c r="F415" t="s">
        <v>49</v>
      </c>
      <c r="G415" t="s">
        <v>293</v>
      </c>
      <c r="H415" t="s">
        <v>940</v>
      </c>
      <c r="J415" t="str">
        <f>HYPERLINK("https://www.youtube.com/watch?v=5DADCSRiE3A&amp;lc=UgxFDBybGIwHXIpQ7Vp4AaABAg.A1Rl7E-8RMIA1Ru_zH8UIi","https://www.youtube.com/watch?v=5DADCSRiE3A&amp;lc=UgxFDBybGIwHXIpQ7Vp4AaABAg.A1Rl7E-8RMIA1Ru_zH8UIi")</f>
        <v>https://www.youtube.com/watch?v=5DADCSRiE3A&amp;lc=UgxFDBybGIwHXIpQ7Vp4AaABAg.A1Rl7E-8RMIA1Ru_zH8UIi</v>
      </c>
      <c r="O415">
        <v>0</v>
      </c>
      <c r="P415">
        <v>0</v>
      </c>
      <c r="Q415">
        <v>0</v>
      </c>
      <c r="S415">
        <v>0</v>
      </c>
      <c r="T415">
        <v>0</v>
      </c>
      <c r="U415">
        <v>0</v>
      </c>
      <c r="W415" t="s">
        <v>52</v>
      </c>
    </row>
    <row r="416" spans="1:23" x14ac:dyDescent="0.35">
      <c r="A416" t="s">
        <v>45</v>
      </c>
      <c r="B416" t="s">
        <v>906</v>
      </c>
      <c r="C416" t="s">
        <v>60</v>
      </c>
      <c r="D416" t="s">
        <v>64</v>
      </c>
      <c r="E416" t="s">
        <v>64</v>
      </c>
      <c r="F416" t="s">
        <v>49</v>
      </c>
      <c r="G416" t="s">
        <v>454</v>
      </c>
      <c r="H416" t="s">
        <v>941</v>
      </c>
      <c r="J416" t="str">
        <f>HYPERLINK("https://www.facebook.com/634639855377280/posts/813665024141428?comment_id=1475175976710527&amp;reply_comment_id=397137959742961","https://www.facebook.com/634639855377280/posts/813665024141428?comment_id=1475175976710527&amp;reply_comment_id=397137959742961")</f>
        <v>https://www.facebook.com/634639855377280/posts/813665024141428?comment_id=1475175976710527&amp;reply_comment_id=397137959742961</v>
      </c>
      <c r="K416" t="s">
        <v>67</v>
      </c>
      <c r="O416">
        <v>0</v>
      </c>
      <c r="P416">
        <v>0</v>
      </c>
      <c r="Q416">
        <v>0</v>
      </c>
      <c r="S416">
        <v>0</v>
      </c>
      <c r="T416">
        <v>0</v>
      </c>
      <c r="U416">
        <v>0</v>
      </c>
      <c r="W416" t="s">
        <v>52</v>
      </c>
    </row>
    <row r="417" spans="1:23" x14ac:dyDescent="0.35">
      <c r="A417" t="s">
        <v>45</v>
      </c>
      <c r="B417" t="s">
        <v>906</v>
      </c>
      <c r="C417" t="s">
        <v>60</v>
      </c>
      <c r="D417" t="s">
        <v>64</v>
      </c>
      <c r="E417" t="s">
        <v>64</v>
      </c>
      <c r="F417" t="s">
        <v>49</v>
      </c>
      <c r="G417" t="s">
        <v>454</v>
      </c>
      <c r="H417" t="s">
        <v>942</v>
      </c>
      <c r="J417" t="str">
        <f>HYPERLINK("https://www.facebook.com/634639855377280/posts/812296230944974?comment_id=756206999908658&amp;reply_comment_id=435175622295615","https://www.facebook.com/634639855377280/posts/812296230944974?comment_id=756206999908658&amp;reply_comment_id=435175622295615")</f>
        <v>https://www.facebook.com/634639855377280/posts/812296230944974?comment_id=756206999908658&amp;reply_comment_id=435175622295615</v>
      </c>
      <c r="K417" t="s">
        <v>67</v>
      </c>
      <c r="O417">
        <v>0</v>
      </c>
      <c r="P417">
        <v>0</v>
      </c>
      <c r="Q417">
        <v>0</v>
      </c>
      <c r="S417">
        <v>0</v>
      </c>
      <c r="T417">
        <v>0</v>
      </c>
      <c r="U417">
        <v>0</v>
      </c>
      <c r="W417" t="s">
        <v>52</v>
      </c>
    </row>
    <row r="418" spans="1:23" x14ac:dyDescent="0.35">
      <c r="A418" t="s">
        <v>45</v>
      </c>
      <c r="B418" t="s">
        <v>906</v>
      </c>
      <c r="C418" t="s">
        <v>47</v>
      </c>
      <c r="D418" t="s">
        <v>68</v>
      </c>
      <c r="E418" t="s">
        <v>68</v>
      </c>
      <c r="F418" t="s">
        <v>49</v>
      </c>
      <c r="G418" t="s">
        <v>293</v>
      </c>
      <c r="H418" t="s">
        <v>943</v>
      </c>
      <c r="J418" t="str">
        <f>HYPERLINK("https://www.youtube.com/watch?v=XnF5-uLfaHg&amp;lc=UgyzBawG-fOGrrkazet4AaABAg.A1RfddoVGlWA1Ru4pt2IYr","https://www.youtube.com/watch?v=XnF5-uLfaHg&amp;lc=UgyzBawG-fOGrrkazet4AaABAg.A1RfddoVGlWA1Ru4pt2IYr")</f>
        <v>https://www.youtube.com/watch?v=XnF5-uLfaHg&amp;lc=UgyzBawG-fOGrrkazet4AaABAg.A1RfddoVGlWA1Ru4pt2IYr</v>
      </c>
      <c r="O418">
        <v>0</v>
      </c>
      <c r="P418">
        <v>0</v>
      </c>
      <c r="Q418">
        <v>0</v>
      </c>
      <c r="S418">
        <v>0</v>
      </c>
      <c r="T418">
        <v>0</v>
      </c>
      <c r="U418">
        <v>0</v>
      </c>
      <c r="W418" t="s">
        <v>52</v>
      </c>
    </row>
    <row r="419" spans="1:23" x14ac:dyDescent="0.35">
      <c r="A419" t="s">
        <v>45</v>
      </c>
      <c r="B419" t="s">
        <v>906</v>
      </c>
      <c r="C419" t="s">
        <v>47</v>
      </c>
      <c r="D419" t="s">
        <v>944</v>
      </c>
      <c r="E419" t="s">
        <v>944</v>
      </c>
      <c r="F419" t="s">
        <v>193</v>
      </c>
      <c r="G419" t="s">
        <v>945</v>
      </c>
      <c r="H419" t="s">
        <v>946</v>
      </c>
      <c r="J419" t="str">
        <f>HYPERLINK("https://www.youtube.com/watch?v=5DADCSRiE3A&amp;lc=UgxFDBybGIwHXIpQ7Vp4AaABAg","https://www.youtube.com/watch?v=5DADCSRiE3A&amp;lc=UgxFDBybGIwHXIpQ7Vp4AaABAg")</f>
        <v>https://www.youtube.com/watch?v=5DADCSRiE3A&amp;lc=UgxFDBybGIwHXIpQ7Vp4AaABAg</v>
      </c>
      <c r="O419">
        <v>0</v>
      </c>
      <c r="P419">
        <v>0</v>
      </c>
      <c r="Q419">
        <v>0</v>
      </c>
      <c r="S419">
        <v>0</v>
      </c>
      <c r="T419">
        <v>0</v>
      </c>
      <c r="U419">
        <v>0</v>
      </c>
      <c r="W419" t="s">
        <v>52</v>
      </c>
    </row>
    <row r="420" spans="1:23" x14ac:dyDescent="0.35">
      <c r="A420" t="s">
        <v>45</v>
      </c>
      <c r="B420" t="s">
        <v>906</v>
      </c>
      <c r="C420" t="s">
        <v>60</v>
      </c>
      <c r="D420" t="s">
        <v>61</v>
      </c>
      <c r="E420" t="s">
        <v>61</v>
      </c>
      <c r="F420" t="s">
        <v>49</v>
      </c>
      <c r="G420" t="s">
        <v>77</v>
      </c>
      <c r="H420" t="s">
        <v>947</v>
      </c>
      <c r="J420" t="str">
        <f>HYPERLINK("https://www.facebook.com/634639855377280/posts/812296230944974?comment_id=756206999908658&amp;reply_comment_id=715205054153538","https://www.facebook.com/634639855377280/posts/812296230944974?comment_id=756206999908658&amp;reply_comment_id=715205054153538")</f>
        <v>https://www.facebook.com/634639855377280/posts/812296230944974?comment_id=756206999908658&amp;reply_comment_id=715205054153538</v>
      </c>
      <c r="O420">
        <v>0</v>
      </c>
      <c r="P420">
        <v>0</v>
      </c>
      <c r="Q420">
        <v>0</v>
      </c>
      <c r="S420">
        <v>0</v>
      </c>
      <c r="T420">
        <v>0</v>
      </c>
      <c r="U420">
        <v>0</v>
      </c>
      <c r="W420" t="s">
        <v>52</v>
      </c>
    </row>
    <row r="421" spans="1:23" x14ac:dyDescent="0.35">
      <c r="A421" t="s">
        <v>45</v>
      </c>
      <c r="B421" t="s">
        <v>906</v>
      </c>
      <c r="C421" t="s">
        <v>60</v>
      </c>
      <c r="D421" t="s">
        <v>61</v>
      </c>
      <c r="E421" t="s">
        <v>61</v>
      </c>
      <c r="F421" t="s">
        <v>49</v>
      </c>
      <c r="G421" t="s">
        <v>948</v>
      </c>
      <c r="H421" t="s">
        <v>949</v>
      </c>
      <c r="J421" t="str">
        <f>HYPERLINK("https://www.facebook.com/634639855377280/posts/815513483956582?comment_id=432644145820128&amp;reply_comment_id=3650612485206285","https://www.facebook.com/634639855377280/posts/815513483956582?comment_id=432644145820128&amp;reply_comment_id=3650612485206285")</f>
        <v>https://www.facebook.com/634639855377280/posts/815513483956582?comment_id=432644145820128&amp;reply_comment_id=3650612485206285</v>
      </c>
      <c r="O421">
        <v>0</v>
      </c>
      <c r="P421">
        <v>0</v>
      </c>
      <c r="Q421">
        <v>0</v>
      </c>
      <c r="S421">
        <v>0</v>
      </c>
      <c r="T421">
        <v>0</v>
      </c>
      <c r="U421">
        <v>0</v>
      </c>
      <c r="W421" t="s">
        <v>52</v>
      </c>
    </row>
    <row r="422" spans="1:23" x14ac:dyDescent="0.35">
      <c r="A422" t="s">
        <v>45</v>
      </c>
      <c r="B422" t="s">
        <v>906</v>
      </c>
      <c r="C422" t="s">
        <v>60</v>
      </c>
      <c r="D422" t="s">
        <v>61</v>
      </c>
      <c r="E422" t="s">
        <v>61</v>
      </c>
      <c r="F422" t="s">
        <v>49</v>
      </c>
      <c r="G422" t="s">
        <v>77</v>
      </c>
      <c r="H422" t="s">
        <v>950</v>
      </c>
      <c r="J422" t="str">
        <f>HYPERLINK("https://www.facebook.com/634639855377280/posts/815513483956582?comment_id=432644145820128&amp;reply_comment_id=2675874692577851","https://www.facebook.com/634639855377280/posts/815513483956582?comment_id=432644145820128&amp;reply_comment_id=2675874692577851")</f>
        <v>https://www.facebook.com/634639855377280/posts/815513483956582?comment_id=432644145820128&amp;reply_comment_id=2675874692577851</v>
      </c>
      <c r="O422">
        <v>0</v>
      </c>
      <c r="P422">
        <v>0</v>
      </c>
      <c r="Q422">
        <v>0</v>
      </c>
      <c r="S422">
        <v>0</v>
      </c>
      <c r="T422">
        <v>0</v>
      </c>
      <c r="U422">
        <v>0</v>
      </c>
      <c r="W422" t="s">
        <v>52</v>
      </c>
    </row>
    <row r="423" spans="1:23" x14ac:dyDescent="0.35">
      <c r="A423" t="s">
        <v>45</v>
      </c>
      <c r="B423" t="s">
        <v>906</v>
      </c>
      <c r="C423" t="s">
        <v>47</v>
      </c>
      <c r="D423" t="s">
        <v>951</v>
      </c>
      <c r="E423" t="s">
        <v>951</v>
      </c>
      <c r="F423" t="s">
        <v>49</v>
      </c>
      <c r="G423" t="s">
        <v>952</v>
      </c>
      <c r="H423" t="s">
        <v>953</v>
      </c>
      <c r="J423" t="str">
        <f>HYPERLINK("https://www.youtube.com/watch?v=XnF5-uLfaHg&amp;lc=UgyzBawG-fOGrrkazet4AaABAg","https://www.youtube.com/watch?v=XnF5-uLfaHg&amp;lc=UgyzBawG-fOGrrkazet4AaABAg")</f>
        <v>https://www.youtube.com/watch?v=XnF5-uLfaHg&amp;lc=UgyzBawG-fOGrrkazet4AaABAg</v>
      </c>
      <c r="O423">
        <v>0</v>
      </c>
      <c r="P423">
        <v>0</v>
      </c>
      <c r="Q423">
        <v>0</v>
      </c>
      <c r="S423">
        <v>0</v>
      </c>
      <c r="T423">
        <v>0</v>
      </c>
      <c r="U423">
        <v>0</v>
      </c>
      <c r="W423" t="s">
        <v>52</v>
      </c>
    </row>
    <row r="424" spans="1:23" x14ac:dyDescent="0.35">
      <c r="A424" t="s">
        <v>45</v>
      </c>
      <c r="B424" t="s">
        <v>906</v>
      </c>
      <c r="C424" t="s">
        <v>60</v>
      </c>
      <c r="D424" t="s">
        <v>61</v>
      </c>
      <c r="E424" t="s">
        <v>61</v>
      </c>
      <c r="F424" t="s">
        <v>49</v>
      </c>
      <c r="H424" t="s">
        <v>954</v>
      </c>
      <c r="J424" t="str">
        <f>HYPERLINK("https://www.facebook.com/634639855377280/posts/812296230944974?comment_id=3664912920419650","https://www.facebook.com/634639855377280/posts/812296230944974?comment_id=3664912920419650")</f>
        <v>https://www.facebook.com/634639855377280/posts/812296230944974?comment_id=3664912920419650</v>
      </c>
      <c r="O424">
        <v>0</v>
      </c>
      <c r="P424">
        <v>0</v>
      </c>
      <c r="Q424">
        <v>0</v>
      </c>
      <c r="S424">
        <v>0</v>
      </c>
      <c r="T424">
        <v>0</v>
      </c>
      <c r="U424">
        <v>0</v>
      </c>
      <c r="W424" t="s">
        <v>52</v>
      </c>
    </row>
    <row r="425" spans="1:23" x14ac:dyDescent="0.35">
      <c r="A425" t="s">
        <v>45</v>
      </c>
      <c r="B425" t="s">
        <v>906</v>
      </c>
      <c r="C425" t="s">
        <v>60</v>
      </c>
      <c r="D425" t="s">
        <v>61</v>
      </c>
      <c r="E425" t="s">
        <v>61</v>
      </c>
      <c r="F425" t="s">
        <v>49</v>
      </c>
      <c r="G425" t="s">
        <v>955</v>
      </c>
      <c r="H425" t="s">
        <v>956</v>
      </c>
      <c r="J425" t="str">
        <f>HYPERLINK("https://www.facebook.com/634639855377280/posts/813665024141428?comment_id=1475175976710527&amp;reply_comment_id=782048327176147","https://www.facebook.com/634639855377280/posts/813665024141428?comment_id=1475175976710527&amp;reply_comment_id=782048327176147")</f>
        <v>https://www.facebook.com/634639855377280/posts/813665024141428?comment_id=1475175976710527&amp;reply_comment_id=782048327176147</v>
      </c>
      <c r="O425">
        <v>0</v>
      </c>
      <c r="P425">
        <v>0</v>
      </c>
      <c r="Q425">
        <v>0</v>
      </c>
      <c r="S425">
        <v>0</v>
      </c>
      <c r="T425">
        <v>0</v>
      </c>
      <c r="U425">
        <v>0</v>
      </c>
      <c r="W425" t="s">
        <v>52</v>
      </c>
    </row>
    <row r="426" spans="1:23" x14ac:dyDescent="0.35">
      <c r="A426" t="s">
        <v>45</v>
      </c>
      <c r="B426" t="s">
        <v>906</v>
      </c>
      <c r="C426" t="s">
        <v>47</v>
      </c>
      <c r="D426" t="s">
        <v>68</v>
      </c>
      <c r="E426" t="s">
        <v>68</v>
      </c>
      <c r="F426" t="s">
        <v>49</v>
      </c>
      <c r="G426" t="s">
        <v>293</v>
      </c>
      <c r="H426" t="s">
        <v>957</v>
      </c>
      <c r="J426" t="str">
        <f>HYPERLINK("https://www.youtube.com/watch?v=XnF5-uLfaHg&amp;lc=UgwLPAFHWIhzB0PNPAF4AaABAg.A1RTjHxz7xyA1RcB_Iu5Id","https://www.youtube.com/watch?v=XnF5-uLfaHg&amp;lc=UgwLPAFHWIhzB0PNPAF4AaABAg.A1RTjHxz7xyA1RcB_Iu5Id")</f>
        <v>https://www.youtube.com/watch?v=XnF5-uLfaHg&amp;lc=UgwLPAFHWIhzB0PNPAF4AaABAg.A1RTjHxz7xyA1RcB_Iu5Id</v>
      </c>
      <c r="O426">
        <v>0</v>
      </c>
      <c r="P426">
        <v>0</v>
      </c>
      <c r="Q426">
        <v>0</v>
      </c>
      <c r="S426">
        <v>0</v>
      </c>
      <c r="T426">
        <v>0</v>
      </c>
      <c r="U426">
        <v>0</v>
      </c>
      <c r="W426" t="s">
        <v>52</v>
      </c>
    </row>
    <row r="427" spans="1:23" x14ac:dyDescent="0.35">
      <c r="A427" t="s">
        <v>45</v>
      </c>
      <c r="B427" t="s">
        <v>906</v>
      </c>
      <c r="C427" t="s">
        <v>47</v>
      </c>
      <c r="D427" t="s">
        <v>68</v>
      </c>
      <c r="E427" t="s">
        <v>68</v>
      </c>
      <c r="F427" t="s">
        <v>49</v>
      </c>
      <c r="G427" t="s">
        <v>293</v>
      </c>
      <c r="H427" t="s">
        <v>958</v>
      </c>
      <c r="J427" t="str">
        <f>HYPERLINK("https://www.youtube.com/watch?v=XnF5-uLfaHg&amp;lc=UgxVUu_3N8oI2xWVlEl4AaABAg.A1RTvBPMEGHA1Rc7V1v9KV","https://www.youtube.com/watch?v=XnF5-uLfaHg&amp;lc=UgxVUu_3N8oI2xWVlEl4AaABAg.A1RTvBPMEGHA1Rc7V1v9KV")</f>
        <v>https://www.youtube.com/watch?v=XnF5-uLfaHg&amp;lc=UgxVUu_3N8oI2xWVlEl4AaABAg.A1RTvBPMEGHA1Rc7V1v9KV</v>
      </c>
      <c r="O427">
        <v>0</v>
      </c>
      <c r="P427">
        <v>0</v>
      </c>
      <c r="Q427">
        <v>0</v>
      </c>
      <c r="S427">
        <v>0</v>
      </c>
      <c r="T427">
        <v>0</v>
      </c>
      <c r="U427">
        <v>0</v>
      </c>
      <c r="W427" t="s">
        <v>52</v>
      </c>
    </row>
    <row r="428" spans="1:23" x14ac:dyDescent="0.35">
      <c r="A428" t="s">
        <v>45</v>
      </c>
      <c r="B428" t="s">
        <v>906</v>
      </c>
      <c r="C428" t="s">
        <v>47</v>
      </c>
      <c r="D428" t="s">
        <v>68</v>
      </c>
      <c r="E428" t="s">
        <v>68</v>
      </c>
      <c r="F428" t="s">
        <v>49</v>
      </c>
      <c r="G428" t="s">
        <v>293</v>
      </c>
      <c r="H428" t="s">
        <v>959</v>
      </c>
      <c r="J428" t="str">
        <f>HYPERLINK("https://www.youtube.com/watch?v=XnF5-uLfaHg&amp;lc=Ugw6o6u080ShxXFmI0B4AaABAg.A1RTcl2t5rLA1Rc3grEz2Z","https://www.youtube.com/watch?v=XnF5-uLfaHg&amp;lc=Ugw6o6u080ShxXFmI0B4AaABAg.A1RTcl2t5rLA1Rc3grEz2Z")</f>
        <v>https://www.youtube.com/watch?v=XnF5-uLfaHg&amp;lc=Ugw6o6u080ShxXFmI0B4AaABAg.A1RTcl2t5rLA1Rc3grEz2Z</v>
      </c>
      <c r="O428">
        <v>0</v>
      </c>
      <c r="P428">
        <v>0</v>
      </c>
      <c r="Q428">
        <v>0</v>
      </c>
      <c r="S428">
        <v>0</v>
      </c>
      <c r="T428">
        <v>0</v>
      </c>
      <c r="U428">
        <v>0</v>
      </c>
      <c r="W428" t="s">
        <v>52</v>
      </c>
    </row>
    <row r="429" spans="1:23" x14ac:dyDescent="0.35">
      <c r="A429" t="s">
        <v>45</v>
      </c>
      <c r="B429" t="s">
        <v>906</v>
      </c>
      <c r="C429" t="s">
        <v>47</v>
      </c>
      <c r="D429" t="s">
        <v>68</v>
      </c>
      <c r="E429" t="s">
        <v>68</v>
      </c>
      <c r="F429" t="s">
        <v>49</v>
      </c>
      <c r="G429" t="s">
        <v>280</v>
      </c>
      <c r="H429" t="s">
        <v>960</v>
      </c>
      <c r="J429" t="str">
        <f>HYPERLINK("https://www.youtube.com/watch?v=XnF5-uLfaHg&amp;lc=Ugzq7rzgF6xojzZR1SJ4AaABAg.A1RRbktVYlcA1RbxDwFik7","https://www.youtube.com/watch?v=XnF5-uLfaHg&amp;lc=Ugzq7rzgF6xojzZR1SJ4AaABAg.A1RRbktVYlcA1RbxDwFik7")</f>
        <v>https://www.youtube.com/watch?v=XnF5-uLfaHg&amp;lc=Ugzq7rzgF6xojzZR1SJ4AaABAg.A1RRbktVYlcA1RbxDwFik7</v>
      </c>
      <c r="O429">
        <v>0</v>
      </c>
      <c r="P429">
        <v>0</v>
      </c>
      <c r="Q429">
        <v>0</v>
      </c>
      <c r="S429">
        <v>0</v>
      </c>
      <c r="T429">
        <v>0</v>
      </c>
      <c r="U429">
        <v>0</v>
      </c>
      <c r="W429" t="s">
        <v>52</v>
      </c>
    </row>
    <row r="430" spans="1:23" x14ac:dyDescent="0.35">
      <c r="A430" t="s">
        <v>45</v>
      </c>
      <c r="B430" t="s">
        <v>906</v>
      </c>
      <c r="C430" t="s">
        <v>60</v>
      </c>
      <c r="D430" t="s">
        <v>64</v>
      </c>
      <c r="E430" t="s">
        <v>64</v>
      </c>
      <c r="F430" t="s">
        <v>49</v>
      </c>
      <c r="G430" t="s">
        <v>961</v>
      </c>
      <c r="H430" t="s">
        <v>962</v>
      </c>
      <c r="J430" t="str">
        <f>HYPERLINK("https://www.facebook.com/634639855377280/posts/815513483956582?comment_id=432644145820128&amp;reply_comment_id=940690314312716","https://www.facebook.com/634639855377280/posts/815513483956582?comment_id=432644145820128&amp;reply_comment_id=940690314312716")</f>
        <v>https://www.facebook.com/634639855377280/posts/815513483956582?comment_id=432644145820128&amp;reply_comment_id=940690314312716</v>
      </c>
      <c r="K430" t="s">
        <v>67</v>
      </c>
      <c r="O430">
        <v>0</v>
      </c>
      <c r="P430">
        <v>0</v>
      </c>
      <c r="Q430">
        <v>0</v>
      </c>
      <c r="S430">
        <v>0</v>
      </c>
      <c r="T430">
        <v>0</v>
      </c>
      <c r="U430">
        <v>0</v>
      </c>
      <c r="W430" t="s">
        <v>52</v>
      </c>
    </row>
    <row r="431" spans="1:23" x14ac:dyDescent="0.35">
      <c r="A431" t="s">
        <v>45</v>
      </c>
      <c r="B431" t="s">
        <v>906</v>
      </c>
      <c r="C431" t="s">
        <v>47</v>
      </c>
      <c r="D431" t="s">
        <v>68</v>
      </c>
      <c r="E431" t="s">
        <v>68</v>
      </c>
      <c r="F431" t="s">
        <v>49</v>
      </c>
      <c r="G431" t="s">
        <v>502</v>
      </c>
      <c r="H431" t="s">
        <v>963</v>
      </c>
      <c r="J431" t="str">
        <f>HYPERLINK("https://www.youtube.com/watch?v=XnF5-uLfaHg&amp;lc=UgybwZcHD_16ABonr4p4AaABAg.A1RRZfXPgBjA1RX-N0FTZP","https://www.youtube.com/watch?v=XnF5-uLfaHg&amp;lc=UgybwZcHD_16ABonr4p4AaABAg.A1RRZfXPgBjA1RX-N0FTZP")</f>
        <v>https://www.youtube.com/watch?v=XnF5-uLfaHg&amp;lc=UgybwZcHD_16ABonr4p4AaABAg.A1RRZfXPgBjA1RX-N0FTZP</v>
      </c>
      <c r="O431">
        <v>0</v>
      </c>
      <c r="P431">
        <v>0</v>
      </c>
      <c r="Q431">
        <v>0</v>
      </c>
      <c r="S431">
        <v>0</v>
      </c>
      <c r="T431">
        <v>0</v>
      </c>
      <c r="U431">
        <v>0</v>
      </c>
      <c r="W431" t="s">
        <v>52</v>
      </c>
    </row>
    <row r="432" spans="1:23" x14ac:dyDescent="0.35">
      <c r="A432" t="s">
        <v>45</v>
      </c>
      <c r="B432" t="s">
        <v>906</v>
      </c>
      <c r="C432" t="s">
        <v>47</v>
      </c>
      <c r="D432" t="s">
        <v>68</v>
      </c>
      <c r="E432" t="s">
        <v>68</v>
      </c>
      <c r="F432" t="s">
        <v>49</v>
      </c>
      <c r="G432" t="s">
        <v>502</v>
      </c>
      <c r="H432" t="s">
        <v>964</v>
      </c>
      <c r="J432" t="str">
        <f>HYPERLINK("https://www.youtube.com/watch?v=XnF5-uLfaHg&amp;lc=Ugzq7rzgF6xojzZR1SJ4AaABAg.A1RRbktVYlcA1RWySCZXGI","https://www.youtube.com/watch?v=XnF5-uLfaHg&amp;lc=Ugzq7rzgF6xojzZR1SJ4AaABAg.A1RRbktVYlcA1RWySCZXGI")</f>
        <v>https://www.youtube.com/watch?v=XnF5-uLfaHg&amp;lc=Ugzq7rzgF6xojzZR1SJ4AaABAg.A1RRbktVYlcA1RWySCZXGI</v>
      </c>
      <c r="O432">
        <v>0</v>
      </c>
      <c r="P432">
        <v>0</v>
      </c>
      <c r="Q432">
        <v>0</v>
      </c>
      <c r="S432">
        <v>0</v>
      </c>
      <c r="T432">
        <v>0</v>
      </c>
      <c r="U432">
        <v>0</v>
      </c>
      <c r="W432" t="s">
        <v>52</v>
      </c>
    </row>
    <row r="433" spans="1:23" x14ac:dyDescent="0.35">
      <c r="A433" t="s">
        <v>45</v>
      </c>
      <c r="B433" t="s">
        <v>906</v>
      </c>
      <c r="C433" t="s">
        <v>47</v>
      </c>
      <c r="D433" t="s">
        <v>68</v>
      </c>
      <c r="E433" t="s">
        <v>68</v>
      </c>
      <c r="F433" t="s">
        <v>49</v>
      </c>
      <c r="G433" t="s">
        <v>293</v>
      </c>
      <c r="H433" t="s">
        <v>965</v>
      </c>
      <c r="J433" t="str">
        <f>HYPERLINK("https://www.youtube.com/watch?v=XnF5-uLfaHg&amp;lc=UgxCKR4RHTIUqRuEtep4AaABAg.A1RSHxjh78uA1RWQeh850d","https://www.youtube.com/watch?v=XnF5-uLfaHg&amp;lc=UgxCKR4RHTIUqRuEtep4AaABAg.A1RSHxjh78uA1RWQeh850d")</f>
        <v>https://www.youtube.com/watch?v=XnF5-uLfaHg&amp;lc=UgxCKR4RHTIUqRuEtep4AaABAg.A1RSHxjh78uA1RWQeh850d</v>
      </c>
      <c r="O433">
        <v>0</v>
      </c>
      <c r="P433">
        <v>0</v>
      </c>
      <c r="Q433">
        <v>0</v>
      </c>
      <c r="S433">
        <v>0</v>
      </c>
      <c r="T433">
        <v>0</v>
      </c>
      <c r="U433">
        <v>0</v>
      </c>
      <c r="W433" t="s">
        <v>52</v>
      </c>
    </row>
    <row r="434" spans="1:23" x14ac:dyDescent="0.35">
      <c r="A434" t="s">
        <v>45</v>
      </c>
      <c r="B434" t="s">
        <v>906</v>
      </c>
      <c r="C434" t="s">
        <v>47</v>
      </c>
      <c r="D434" t="s">
        <v>68</v>
      </c>
      <c r="E434" t="s">
        <v>68</v>
      </c>
      <c r="F434" t="s">
        <v>49</v>
      </c>
      <c r="G434" t="s">
        <v>293</v>
      </c>
      <c r="H434" t="s">
        <v>966</v>
      </c>
      <c r="J434" t="str">
        <f>HYPERLINK("https://www.youtube.com/watch?v=XnF5-uLfaHg&amp;lc=UgzPzGrDkNemtaNYV0h4AaABAg.A1RRbGRAVRcA1RVH7gZRRG","https://www.youtube.com/watch?v=XnF5-uLfaHg&amp;lc=UgzPzGrDkNemtaNYV0h4AaABAg.A1RRbGRAVRcA1RVH7gZRRG")</f>
        <v>https://www.youtube.com/watch?v=XnF5-uLfaHg&amp;lc=UgzPzGrDkNemtaNYV0h4AaABAg.A1RRbGRAVRcA1RVH7gZRRG</v>
      </c>
      <c r="O434">
        <v>0</v>
      </c>
      <c r="P434">
        <v>0</v>
      </c>
      <c r="Q434">
        <v>0</v>
      </c>
      <c r="S434">
        <v>0</v>
      </c>
      <c r="T434">
        <v>0</v>
      </c>
      <c r="U434">
        <v>0</v>
      </c>
      <c r="W434" t="s">
        <v>52</v>
      </c>
    </row>
    <row r="435" spans="1:23" x14ac:dyDescent="0.35">
      <c r="A435" t="s">
        <v>45</v>
      </c>
      <c r="B435" t="s">
        <v>906</v>
      </c>
      <c r="C435" t="s">
        <v>47</v>
      </c>
      <c r="D435" t="s">
        <v>967</v>
      </c>
      <c r="E435" t="s">
        <v>967</v>
      </c>
      <c r="F435" t="s">
        <v>54</v>
      </c>
      <c r="G435" t="s">
        <v>968</v>
      </c>
      <c r="H435" t="s">
        <v>969</v>
      </c>
      <c r="J435" t="str">
        <f>HYPERLINK("https://www.youtube.com/watch?v=XnF5-uLfaHg&amp;lc=UgxVUu_3N8oI2xWVlEl4AaABAg.A1RTvBPMEGHA1RUsIFQDOz","https://www.youtube.com/watch?v=XnF5-uLfaHg&amp;lc=UgxVUu_3N8oI2xWVlEl4AaABAg.A1RTvBPMEGHA1RUsIFQDOz")</f>
        <v>https://www.youtube.com/watch?v=XnF5-uLfaHg&amp;lc=UgxVUu_3N8oI2xWVlEl4AaABAg.A1RTvBPMEGHA1RUsIFQDOz</v>
      </c>
      <c r="O435">
        <v>0</v>
      </c>
      <c r="P435">
        <v>0</v>
      </c>
      <c r="Q435">
        <v>0</v>
      </c>
      <c r="S435">
        <v>0</v>
      </c>
      <c r="T435">
        <v>0</v>
      </c>
      <c r="U435">
        <v>0</v>
      </c>
      <c r="W435" t="s">
        <v>52</v>
      </c>
    </row>
    <row r="436" spans="1:23" x14ac:dyDescent="0.35">
      <c r="A436" t="s">
        <v>45</v>
      </c>
      <c r="B436" t="s">
        <v>906</v>
      </c>
      <c r="C436" t="s">
        <v>47</v>
      </c>
      <c r="D436" t="s">
        <v>970</v>
      </c>
      <c r="E436" t="s">
        <v>970</v>
      </c>
      <c r="F436" t="s">
        <v>49</v>
      </c>
      <c r="G436" t="s">
        <v>971</v>
      </c>
      <c r="H436" t="s">
        <v>972</v>
      </c>
      <c r="J436" t="str">
        <f>HYPERLINK("https://www.youtube.com/watch?v=XnF5-uLfaHg&amp;lc=UgxVUu_3N8oI2xWVlEl4AaABAg","https://www.youtube.com/watch?v=XnF5-uLfaHg&amp;lc=UgxVUu_3N8oI2xWVlEl4AaABAg")</f>
        <v>https://www.youtube.com/watch?v=XnF5-uLfaHg&amp;lc=UgxVUu_3N8oI2xWVlEl4AaABAg</v>
      </c>
      <c r="O436">
        <v>0</v>
      </c>
      <c r="P436">
        <v>0</v>
      </c>
      <c r="Q436">
        <v>0</v>
      </c>
      <c r="S436">
        <v>0</v>
      </c>
      <c r="T436">
        <v>0</v>
      </c>
      <c r="U436">
        <v>0</v>
      </c>
      <c r="W436" t="s">
        <v>52</v>
      </c>
    </row>
    <row r="437" spans="1:23" x14ac:dyDescent="0.35">
      <c r="A437" t="s">
        <v>45</v>
      </c>
      <c r="B437" t="s">
        <v>906</v>
      </c>
      <c r="C437" t="s">
        <v>47</v>
      </c>
      <c r="D437" t="s">
        <v>973</v>
      </c>
      <c r="E437" t="s">
        <v>973</v>
      </c>
      <c r="F437" t="s">
        <v>54</v>
      </c>
      <c r="G437" t="s">
        <v>974</v>
      </c>
      <c r="H437" t="s">
        <v>975</v>
      </c>
      <c r="J437" t="str">
        <f>HYPERLINK("https://www.youtube.com/watch?v=XnF5-uLfaHg&amp;lc=UgwLPAFHWIhzB0PNPAF4AaABAg","https://www.youtube.com/watch?v=XnF5-uLfaHg&amp;lc=UgwLPAFHWIhzB0PNPAF4AaABAg")</f>
        <v>https://www.youtube.com/watch?v=XnF5-uLfaHg&amp;lc=UgwLPAFHWIhzB0PNPAF4AaABAg</v>
      </c>
      <c r="O437">
        <v>0</v>
      </c>
      <c r="P437">
        <v>0</v>
      </c>
      <c r="Q437">
        <v>0</v>
      </c>
      <c r="S437">
        <v>0</v>
      </c>
      <c r="T437">
        <v>0</v>
      </c>
      <c r="U437">
        <v>0</v>
      </c>
      <c r="W437" t="s">
        <v>52</v>
      </c>
    </row>
    <row r="438" spans="1:23" x14ac:dyDescent="0.35">
      <c r="A438" t="s">
        <v>45</v>
      </c>
      <c r="B438" t="s">
        <v>906</v>
      </c>
      <c r="C438" t="s">
        <v>60</v>
      </c>
      <c r="D438" t="s">
        <v>64</v>
      </c>
      <c r="E438" t="s">
        <v>64</v>
      </c>
      <c r="F438" t="s">
        <v>49</v>
      </c>
      <c r="G438" t="s">
        <v>454</v>
      </c>
      <c r="H438" t="s">
        <v>976</v>
      </c>
      <c r="J438" t="str">
        <f>HYPERLINK("https://www.facebook.com/634639855377280/posts/815513483956582?comment_id=432644145820128&amp;reply_comment_id=25038367889144294","https://www.facebook.com/634639855377280/posts/815513483956582?comment_id=432644145820128&amp;reply_comment_id=25038367889144294")</f>
        <v>https://www.facebook.com/634639855377280/posts/815513483956582?comment_id=432644145820128&amp;reply_comment_id=25038367889144294</v>
      </c>
      <c r="K438" t="s">
        <v>67</v>
      </c>
      <c r="O438">
        <v>0</v>
      </c>
      <c r="P438">
        <v>0</v>
      </c>
      <c r="Q438">
        <v>0</v>
      </c>
      <c r="S438">
        <v>0</v>
      </c>
      <c r="T438">
        <v>0</v>
      </c>
      <c r="U438">
        <v>0</v>
      </c>
      <c r="W438" t="s">
        <v>52</v>
      </c>
    </row>
    <row r="439" spans="1:23" x14ac:dyDescent="0.35">
      <c r="A439" t="s">
        <v>45</v>
      </c>
      <c r="B439" t="s">
        <v>906</v>
      </c>
      <c r="C439" t="s">
        <v>47</v>
      </c>
      <c r="D439" t="s">
        <v>977</v>
      </c>
      <c r="E439" t="s">
        <v>977</v>
      </c>
      <c r="F439" t="s">
        <v>49</v>
      </c>
      <c r="G439" t="s">
        <v>978</v>
      </c>
      <c r="H439" t="s">
        <v>979</v>
      </c>
      <c r="J439" t="str">
        <f>HYPERLINK("https://www.youtube.com/watch?v=XnF5-uLfaHg&amp;lc=Ugw6o6u080ShxXFmI0B4AaABAg","https://www.youtube.com/watch?v=XnF5-uLfaHg&amp;lc=Ugw6o6u080ShxXFmI0B4AaABAg")</f>
        <v>https://www.youtube.com/watch?v=XnF5-uLfaHg&amp;lc=Ugw6o6u080ShxXFmI0B4AaABAg</v>
      </c>
      <c r="O439">
        <v>0</v>
      </c>
      <c r="P439">
        <v>0</v>
      </c>
      <c r="Q439">
        <v>0</v>
      </c>
      <c r="S439">
        <v>0</v>
      </c>
      <c r="T439">
        <v>0</v>
      </c>
      <c r="U439">
        <v>0</v>
      </c>
      <c r="W439" t="s">
        <v>52</v>
      </c>
    </row>
    <row r="440" spans="1:23" x14ac:dyDescent="0.35">
      <c r="A440" t="s">
        <v>45</v>
      </c>
      <c r="B440" t="s">
        <v>906</v>
      </c>
      <c r="C440" t="s">
        <v>47</v>
      </c>
      <c r="D440" t="s">
        <v>980</v>
      </c>
      <c r="E440" t="s">
        <v>980</v>
      </c>
      <c r="F440" t="s">
        <v>49</v>
      </c>
      <c r="G440" t="s">
        <v>981</v>
      </c>
      <c r="H440" t="s">
        <v>982</v>
      </c>
      <c r="J440" t="str">
        <f>HYPERLINK("https://www.youtube.com/watch?v=XnF5-uLfaHg&amp;lc=Ugzq7rzgF6xojzZR1SJ4AaABAg.A1RRbktVYlcA1RTZ_i78z2","https://www.youtube.com/watch?v=XnF5-uLfaHg&amp;lc=Ugzq7rzgF6xojzZR1SJ4AaABAg.A1RRbktVYlcA1RTZ_i78z2")</f>
        <v>https://www.youtube.com/watch?v=XnF5-uLfaHg&amp;lc=Ugzq7rzgF6xojzZR1SJ4AaABAg.A1RRbktVYlcA1RTZ_i78z2</v>
      </c>
      <c r="O440">
        <v>0</v>
      </c>
      <c r="P440">
        <v>0</v>
      </c>
      <c r="Q440">
        <v>0</v>
      </c>
      <c r="S440">
        <v>0</v>
      </c>
      <c r="T440">
        <v>0</v>
      </c>
      <c r="U440">
        <v>0</v>
      </c>
      <c r="W440" t="s">
        <v>52</v>
      </c>
    </row>
    <row r="441" spans="1:23" x14ac:dyDescent="0.35">
      <c r="A441" t="s">
        <v>45</v>
      </c>
      <c r="B441" t="s">
        <v>906</v>
      </c>
      <c r="C441" t="s">
        <v>47</v>
      </c>
      <c r="D441" t="s">
        <v>68</v>
      </c>
      <c r="E441" t="s">
        <v>68</v>
      </c>
      <c r="F441" t="s">
        <v>49</v>
      </c>
      <c r="G441" t="s">
        <v>859</v>
      </c>
      <c r="H441" t="s">
        <v>983</v>
      </c>
      <c r="J441" t="str">
        <f>HYPERLINK("https://www.youtube.com/watch?v=XnF5-uLfaHg&amp;lc=Ugy4j44tg6FTcyg2aaJ4AaABAg.A1RDzNLAynfA1RTKldQPmM","https://www.youtube.com/watch?v=XnF5-uLfaHg&amp;lc=Ugy4j44tg6FTcyg2aaJ4AaABAg.A1RDzNLAynfA1RTKldQPmM")</f>
        <v>https://www.youtube.com/watch?v=XnF5-uLfaHg&amp;lc=Ugy4j44tg6FTcyg2aaJ4AaABAg.A1RDzNLAynfA1RTKldQPmM</v>
      </c>
      <c r="O441">
        <v>0</v>
      </c>
      <c r="P441">
        <v>0</v>
      </c>
      <c r="Q441">
        <v>0</v>
      </c>
      <c r="S441">
        <v>0</v>
      </c>
      <c r="T441">
        <v>0</v>
      </c>
      <c r="U441">
        <v>0</v>
      </c>
      <c r="W441" t="s">
        <v>52</v>
      </c>
    </row>
    <row r="442" spans="1:23" x14ac:dyDescent="0.35">
      <c r="A442" t="s">
        <v>45</v>
      </c>
      <c r="B442" t="s">
        <v>906</v>
      </c>
      <c r="C442" t="s">
        <v>47</v>
      </c>
      <c r="D442" t="s">
        <v>984</v>
      </c>
      <c r="E442" t="s">
        <v>984</v>
      </c>
      <c r="F442" t="s">
        <v>49</v>
      </c>
      <c r="G442" t="s">
        <v>985</v>
      </c>
      <c r="H442" t="s">
        <v>986</v>
      </c>
      <c r="J442" t="str">
        <f>HYPERLINK("https://www.youtube.com/watch?v=XnF5-uLfaHg&amp;lc=UgxCKR4RHTIUqRuEtep4AaABAg","https://www.youtube.com/watch?v=XnF5-uLfaHg&amp;lc=UgxCKR4RHTIUqRuEtep4AaABAg")</f>
        <v>https://www.youtube.com/watch?v=XnF5-uLfaHg&amp;lc=UgxCKR4RHTIUqRuEtep4AaABAg</v>
      </c>
      <c r="O442">
        <v>0</v>
      </c>
      <c r="P442">
        <v>0</v>
      </c>
      <c r="Q442">
        <v>0</v>
      </c>
      <c r="S442">
        <v>0</v>
      </c>
      <c r="T442">
        <v>0</v>
      </c>
      <c r="U442">
        <v>0</v>
      </c>
      <c r="W442" t="s">
        <v>52</v>
      </c>
    </row>
    <row r="443" spans="1:23" x14ac:dyDescent="0.35">
      <c r="A443" t="s">
        <v>45</v>
      </c>
      <c r="B443" t="s">
        <v>906</v>
      </c>
      <c r="C443" t="s">
        <v>60</v>
      </c>
      <c r="D443" t="s">
        <v>61</v>
      </c>
      <c r="E443" t="s">
        <v>61</v>
      </c>
      <c r="F443" t="s">
        <v>49</v>
      </c>
      <c r="G443" t="s">
        <v>987</v>
      </c>
      <c r="H443" t="s">
        <v>988</v>
      </c>
      <c r="J443" t="str">
        <f>HYPERLINK("https://www.facebook.com/634639855377280/posts/815513483956582?comment_id=1398984490820927","https://www.facebook.com/634639855377280/posts/815513483956582?comment_id=1398984490820927")</f>
        <v>https://www.facebook.com/634639855377280/posts/815513483956582?comment_id=1398984490820927</v>
      </c>
      <c r="O443">
        <v>0</v>
      </c>
      <c r="P443">
        <v>0</v>
      </c>
      <c r="Q443">
        <v>0</v>
      </c>
      <c r="S443">
        <v>0</v>
      </c>
      <c r="T443">
        <v>0</v>
      </c>
      <c r="U443">
        <v>0</v>
      </c>
      <c r="W443" t="s">
        <v>52</v>
      </c>
    </row>
    <row r="444" spans="1:23" x14ac:dyDescent="0.35">
      <c r="A444" t="s">
        <v>45</v>
      </c>
      <c r="B444" t="s">
        <v>906</v>
      </c>
      <c r="C444" t="s">
        <v>60</v>
      </c>
      <c r="D444" t="s">
        <v>61</v>
      </c>
      <c r="E444" t="s">
        <v>61</v>
      </c>
      <c r="F444" t="s">
        <v>49</v>
      </c>
      <c r="G444" t="s">
        <v>987</v>
      </c>
      <c r="H444" t="s">
        <v>989</v>
      </c>
      <c r="J444" t="str">
        <f>HYPERLINK("https://www.facebook.com/634639855377280/posts/815513483956582?comment_id=432644145820128","https://www.facebook.com/634639855377280/posts/815513483956582?comment_id=432644145820128")</f>
        <v>https://www.facebook.com/634639855377280/posts/815513483956582?comment_id=432644145820128</v>
      </c>
      <c r="O444">
        <v>0</v>
      </c>
      <c r="P444">
        <v>0</v>
      </c>
      <c r="Q444">
        <v>0</v>
      </c>
      <c r="S444">
        <v>0</v>
      </c>
      <c r="T444">
        <v>0</v>
      </c>
      <c r="U444">
        <v>0</v>
      </c>
      <c r="W444" t="s">
        <v>52</v>
      </c>
    </row>
    <row r="445" spans="1:23" x14ac:dyDescent="0.35">
      <c r="A445" t="s">
        <v>45</v>
      </c>
      <c r="B445" t="s">
        <v>906</v>
      </c>
      <c r="C445" t="s">
        <v>60</v>
      </c>
      <c r="D445" t="s">
        <v>61</v>
      </c>
      <c r="E445" t="s">
        <v>61</v>
      </c>
      <c r="F445" t="s">
        <v>49</v>
      </c>
      <c r="G445" t="s">
        <v>987</v>
      </c>
      <c r="H445" t="s">
        <v>990</v>
      </c>
      <c r="J445" t="str">
        <f>HYPERLINK("https://www.facebook.com/634639855377280/posts/815513483956582?comment_id=941886023855314","https://www.facebook.com/634639855377280/posts/815513483956582?comment_id=941886023855314")</f>
        <v>https://www.facebook.com/634639855377280/posts/815513483956582?comment_id=941886023855314</v>
      </c>
      <c r="O445">
        <v>0</v>
      </c>
      <c r="P445">
        <v>0</v>
      </c>
      <c r="Q445">
        <v>0</v>
      </c>
      <c r="S445">
        <v>0</v>
      </c>
      <c r="T445">
        <v>0</v>
      </c>
      <c r="U445">
        <v>0</v>
      </c>
      <c r="W445" t="s">
        <v>52</v>
      </c>
    </row>
    <row r="446" spans="1:23" x14ac:dyDescent="0.35">
      <c r="A446" t="s">
        <v>45</v>
      </c>
      <c r="B446" t="s">
        <v>906</v>
      </c>
      <c r="C446" t="s">
        <v>47</v>
      </c>
      <c r="D446" t="s">
        <v>991</v>
      </c>
      <c r="E446" t="s">
        <v>991</v>
      </c>
      <c r="F446" t="s">
        <v>49</v>
      </c>
      <c r="G446" t="s">
        <v>992</v>
      </c>
      <c r="H446" t="s">
        <v>993</v>
      </c>
      <c r="J446" t="str">
        <f>HYPERLINK("https://www.youtube.com/watch?v=XnF5-uLfaHg&amp;lc=Ugzq7rzgF6xojzZR1SJ4AaABAg","https://www.youtube.com/watch?v=XnF5-uLfaHg&amp;lc=Ugzq7rzgF6xojzZR1SJ4AaABAg")</f>
        <v>https://www.youtube.com/watch?v=XnF5-uLfaHg&amp;lc=Ugzq7rzgF6xojzZR1SJ4AaABAg</v>
      </c>
      <c r="O446">
        <v>0</v>
      </c>
      <c r="P446">
        <v>0</v>
      </c>
      <c r="Q446">
        <v>0</v>
      </c>
      <c r="S446">
        <v>0</v>
      </c>
      <c r="T446">
        <v>0</v>
      </c>
      <c r="U446">
        <v>0</v>
      </c>
      <c r="W446" t="s">
        <v>52</v>
      </c>
    </row>
    <row r="447" spans="1:23" x14ac:dyDescent="0.35">
      <c r="A447" t="s">
        <v>45</v>
      </c>
      <c r="B447" t="s">
        <v>906</v>
      </c>
      <c r="C447" t="s">
        <v>47</v>
      </c>
      <c r="D447" t="s">
        <v>994</v>
      </c>
      <c r="E447" t="s">
        <v>994</v>
      </c>
      <c r="F447" t="s">
        <v>49</v>
      </c>
      <c r="G447" t="s">
        <v>995</v>
      </c>
      <c r="H447" t="s">
        <v>996</v>
      </c>
      <c r="J447" t="str">
        <f>HYPERLINK("https://www.youtube.com/watch?v=XnF5-uLfaHg&amp;lc=UgzPzGrDkNemtaNYV0h4AaABAg","https://www.youtube.com/watch?v=XnF5-uLfaHg&amp;lc=UgzPzGrDkNemtaNYV0h4AaABAg")</f>
        <v>https://www.youtube.com/watch?v=XnF5-uLfaHg&amp;lc=UgzPzGrDkNemtaNYV0h4AaABAg</v>
      </c>
      <c r="O447">
        <v>0</v>
      </c>
      <c r="P447">
        <v>0</v>
      </c>
      <c r="Q447">
        <v>0</v>
      </c>
      <c r="S447">
        <v>0</v>
      </c>
      <c r="T447">
        <v>0</v>
      </c>
      <c r="U447">
        <v>0</v>
      </c>
      <c r="W447" t="s">
        <v>52</v>
      </c>
    </row>
    <row r="448" spans="1:23" x14ac:dyDescent="0.35">
      <c r="A448" t="s">
        <v>45</v>
      </c>
      <c r="B448" t="s">
        <v>906</v>
      </c>
      <c r="C448" t="s">
        <v>47</v>
      </c>
      <c r="D448" t="s">
        <v>997</v>
      </c>
      <c r="E448" t="s">
        <v>997</v>
      </c>
      <c r="F448" t="s">
        <v>193</v>
      </c>
      <c r="G448" t="s">
        <v>998</v>
      </c>
      <c r="H448" t="s">
        <v>999</v>
      </c>
      <c r="J448" t="str">
        <f>HYPERLINK("https://www.youtube.com/watch?v=XnF5-uLfaHg&amp;lc=UgybwZcHD_16ABonr4p4AaABAg","https://www.youtube.com/watch?v=XnF5-uLfaHg&amp;lc=UgybwZcHD_16ABonr4p4AaABAg")</f>
        <v>https://www.youtube.com/watch?v=XnF5-uLfaHg&amp;lc=UgybwZcHD_16ABonr4p4AaABAg</v>
      </c>
      <c r="O448">
        <v>0</v>
      </c>
      <c r="P448">
        <v>0</v>
      </c>
      <c r="Q448">
        <v>0</v>
      </c>
      <c r="S448">
        <v>0</v>
      </c>
      <c r="T448">
        <v>0</v>
      </c>
      <c r="U448">
        <v>0</v>
      </c>
      <c r="W448" t="s">
        <v>52</v>
      </c>
    </row>
    <row r="449" spans="1:23" x14ac:dyDescent="0.35">
      <c r="A449" t="s">
        <v>45</v>
      </c>
      <c r="B449" t="s">
        <v>906</v>
      </c>
      <c r="C449" t="s">
        <v>47</v>
      </c>
      <c r="D449" t="s">
        <v>1000</v>
      </c>
      <c r="E449" t="s">
        <v>1000</v>
      </c>
      <c r="F449" t="s">
        <v>54</v>
      </c>
      <c r="G449" t="s">
        <v>1001</v>
      </c>
      <c r="H449" t="s">
        <v>1002</v>
      </c>
      <c r="J449" t="str">
        <f>HYPERLINK("https://www.youtube.com/watch?v=XnF5-uLfaHg&amp;lc=Ugxa-Z6obhcybfb0Sdx4AaABAg","https://www.youtube.com/watch?v=XnF5-uLfaHg&amp;lc=Ugxa-Z6obhcybfb0Sdx4AaABAg")</f>
        <v>https://www.youtube.com/watch?v=XnF5-uLfaHg&amp;lc=Ugxa-Z6obhcybfb0Sdx4AaABAg</v>
      </c>
      <c r="O449">
        <v>0</v>
      </c>
      <c r="P449">
        <v>0</v>
      </c>
      <c r="Q449">
        <v>0</v>
      </c>
      <c r="S449">
        <v>0</v>
      </c>
      <c r="T449">
        <v>0</v>
      </c>
      <c r="U449">
        <v>0</v>
      </c>
      <c r="W449" t="s">
        <v>52</v>
      </c>
    </row>
    <row r="450" spans="1:23" x14ac:dyDescent="0.35">
      <c r="A450" t="s">
        <v>45</v>
      </c>
      <c r="B450" t="s">
        <v>906</v>
      </c>
      <c r="C450" t="s">
        <v>47</v>
      </c>
      <c r="D450" t="s">
        <v>68</v>
      </c>
      <c r="E450" t="s">
        <v>68</v>
      </c>
      <c r="F450" t="s">
        <v>49</v>
      </c>
      <c r="G450" t="s">
        <v>1003</v>
      </c>
      <c r="H450" t="s">
        <v>1004</v>
      </c>
      <c r="J450" t="str">
        <f>HYPERLINK("https://www.youtube.com/watch?v=XnF5-uLfaHg&amp;lc=Ugx_G57-X6DiiZUBpmd4AaABAg.A1RKht_jDB6A1ROxA07nsY","https://www.youtube.com/watch?v=XnF5-uLfaHg&amp;lc=Ugx_G57-X6DiiZUBpmd4AaABAg.A1RKht_jDB6A1ROxA07nsY")</f>
        <v>https://www.youtube.com/watch?v=XnF5-uLfaHg&amp;lc=Ugx_G57-X6DiiZUBpmd4AaABAg.A1RKht_jDB6A1ROxA07nsY</v>
      </c>
      <c r="O450">
        <v>0</v>
      </c>
      <c r="P450">
        <v>0</v>
      </c>
      <c r="Q450">
        <v>0</v>
      </c>
      <c r="S450">
        <v>0</v>
      </c>
      <c r="T450">
        <v>0</v>
      </c>
      <c r="U450">
        <v>0</v>
      </c>
      <c r="W450" t="s">
        <v>52</v>
      </c>
    </row>
    <row r="451" spans="1:23" x14ac:dyDescent="0.35">
      <c r="A451" t="s">
        <v>45</v>
      </c>
      <c r="B451" t="s">
        <v>906</v>
      </c>
      <c r="C451" t="s">
        <v>60</v>
      </c>
      <c r="D451" t="s">
        <v>64</v>
      </c>
      <c r="E451" t="s">
        <v>64</v>
      </c>
      <c r="F451" t="s">
        <v>49</v>
      </c>
      <c r="G451" t="s">
        <v>824</v>
      </c>
      <c r="H451" t="s">
        <v>1005</v>
      </c>
      <c r="J451" t="str">
        <f>HYPERLINK("https://www.facebook.com/634639855377280/posts/813665024141428?comment_id=1403141580332266&amp;reply_comment_id=1150069936161721","https://www.facebook.com/634639855377280/posts/813665024141428?comment_id=1403141580332266&amp;reply_comment_id=1150069936161721")</f>
        <v>https://www.facebook.com/634639855377280/posts/813665024141428?comment_id=1403141580332266&amp;reply_comment_id=1150069936161721</v>
      </c>
      <c r="K451" t="s">
        <v>67</v>
      </c>
      <c r="O451">
        <v>0</v>
      </c>
      <c r="P451">
        <v>0</v>
      </c>
      <c r="Q451">
        <v>0</v>
      </c>
      <c r="S451">
        <v>0</v>
      </c>
      <c r="T451">
        <v>0</v>
      </c>
      <c r="U451">
        <v>0</v>
      </c>
      <c r="W451" t="s">
        <v>52</v>
      </c>
    </row>
    <row r="452" spans="1:23" x14ac:dyDescent="0.35">
      <c r="A452" t="s">
        <v>45</v>
      </c>
      <c r="B452" t="s">
        <v>906</v>
      </c>
      <c r="C452" t="s">
        <v>47</v>
      </c>
      <c r="D452" t="s">
        <v>68</v>
      </c>
      <c r="E452" t="s">
        <v>68</v>
      </c>
      <c r="F452" t="s">
        <v>49</v>
      </c>
      <c r="G452" t="s">
        <v>293</v>
      </c>
      <c r="H452" t="s">
        <v>1006</v>
      </c>
      <c r="J452" t="str">
        <f>HYPERLINK("https://www.youtube.com/watch?v=XnF5-uLfaHg&amp;lc=UgxfDUtPYwH_IV5mcHJ4AaABAg.A1RG9qWzdipA1RODShPYZH","https://www.youtube.com/watch?v=XnF5-uLfaHg&amp;lc=UgxfDUtPYwH_IV5mcHJ4AaABAg.A1RG9qWzdipA1RODShPYZH")</f>
        <v>https://www.youtube.com/watch?v=XnF5-uLfaHg&amp;lc=UgxfDUtPYwH_IV5mcHJ4AaABAg.A1RG9qWzdipA1RODShPYZH</v>
      </c>
      <c r="O452">
        <v>0</v>
      </c>
      <c r="P452">
        <v>0</v>
      </c>
      <c r="Q452">
        <v>0</v>
      </c>
      <c r="S452">
        <v>0</v>
      </c>
      <c r="T452">
        <v>0</v>
      </c>
      <c r="U452">
        <v>0</v>
      </c>
      <c r="W452" t="s">
        <v>52</v>
      </c>
    </row>
    <row r="453" spans="1:23" x14ac:dyDescent="0.35">
      <c r="A453" t="s">
        <v>45</v>
      </c>
      <c r="B453" t="s">
        <v>906</v>
      </c>
      <c r="C453" t="s">
        <v>47</v>
      </c>
      <c r="D453" t="s">
        <v>1007</v>
      </c>
      <c r="E453" t="s">
        <v>1007</v>
      </c>
      <c r="F453" t="s">
        <v>49</v>
      </c>
      <c r="G453" t="s">
        <v>1008</v>
      </c>
      <c r="H453" t="s">
        <v>1009</v>
      </c>
      <c r="J453" t="str">
        <f>HYPERLINK("https://www.youtube.com/watch?v=XnF5-uLfaHg&amp;lc=Ugx_G57-X6DiiZUBpmd4AaABAg","https://www.youtube.com/watch?v=XnF5-uLfaHg&amp;lc=Ugx_G57-X6DiiZUBpmd4AaABAg")</f>
        <v>https://www.youtube.com/watch?v=XnF5-uLfaHg&amp;lc=Ugx_G57-X6DiiZUBpmd4AaABAg</v>
      </c>
      <c r="O453">
        <v>0</v>
      </c>
      <c r="P453">
        <v>0</v>
      </c>
      <c r="Q453">
        <v>0</v>
      </c>
      <c r="S453">
        <v>0</v>
      </c>
      <c r="T453">
        <v>0</v>
      </c>
      <c r="U453">
        <v>0</v>
      </c>
      <c r="W453" t="s">
        <v>52</v>
      </c>
    </row>
    <row r="454" spans="1:23" x14ac:dyDescent="0.35">
      <c r="A454" t="s">
        <v>45</v>
      </c>
      <c r="B454" t="s">
        <v>906</v>
      </c>
      <c r="C454" t="s">
        <v>47</v>
      </c>
      <c r="D454" t="s">
        <v>68</v>
      </c>
      <c r="E454" t="s">
        <v>68</v>
      </c>
      <c r="F454" t="s">
        <v>49</v>
      </c>
      <c r="G454" t="s">
        <v>69</v>
      </c>
      <c r="H454" t="s">
        <v>1010</v>
      </c>
      <c r="J454" t="str">
        <f>HYPERLINK("https://www.youtube.com/watch?v=-_Y3df9Bpgc&amp;lc=UgwZwmM3GcgaO0RMxfF4AaABAg.A1OZOadc3AuA1RJgEBDquN","https://www.youtube.com/watch?v=-_Y3df9Bpgc&amp;lc=UgwZwmM3GcgaO0RMxfF4AaABAg.A1OZOadc3AuA1RJgEBDquN")</f>
        <v>https://www.youtube.com/watch?v=-_Y3df9Bpgc&amp;lc=UgwZwmM3GcgaO0RMxfF4AaABAg.A1OZOadc3AuA1RJgEBDquN</v>
      </c>
      <c r="O454">
        <v>0</v>
      </c>
      <c r="P454">
        <v>0</v>
      </c>
      <c r="Q454">
        <v>0</v>
      </c>
      <c r="S454">
        <v>0</v>
      </c>
      <c r="T454">
        <v>0</v>
      </c>
      <c r="U454">
        <v>0</v>
      </c>
      <c r="W454" t="s">
        <v>52</v>
      </c>
    </row>
    <row r="455" spans="1:23" x14ac:dyDescent="0.35">
      <c r="A455" t="s">
        <v>45</v>
      </c>
      <c r="B455" t="s">
        <v>906</v>
      </c>
      <c r="C455" t="s">
        <v>60</v>
      </c>
      <c r="D455" t="s">
        <v>64</v>
      </c>
      <c r="E455" t="s">
        <v>64</v>
      </c>
      <c r="F455" t="s">
        <v>49</v>
      </c>
      <c r="G455" t="s">
        <v>1011</v>
      </c>
      <c r="H455" t="s">
        <v>1012</v>
      </c>
      <c r="J455" t="str">
        <f>HYPERLINK("https://www.facebook.com/634639855377280/posts/813665024141428?comment_id=952891539755113&amp;reply_comment_id=449274840868407","https://www.facebook.com/634639855377280/posts/813665024141428?comment_id=952891539755113&amp;reply_comment_id=449274840868407")</f>
        <v>https://www.facebook.com/634639855377280/posts/813665024141428?comment_id=952891539755113&amp;reply_comment_id=449274840868407</v>
      </c>
      <c r="K455" t="s">
        <v>67</v>
      </c>
      <c r="O455">
        <v>0</v>
      </c>
      <c r="P455">
        <v>0</v>
      </c>
      <c r="Q455">
        <v>0</v>
      </c>
      <c r="S455">
        <v>0</v>
      </c>
      <c r="T455">
        <v>0</v>
      </c>
      <c r="U455">
        <v>0</v>
      </c>
      <c r="W455" t="s">
        <v>52</v>
      </c>
    </row>
    <row r="456" spans="1:23" x14ac:dyDescent="0.35">
      <c r="A456" t="s">
        <v>45</v>
      </c>
      <c r="B456" t="s">
        <v>906</v>
      </c>
      <c r="C456" t="s">
        <v>60</v>
      </c>
      <c r="D456" t="s">
        <v>64</v>
      </c>
      <c r="E456" t="s">
        <v>64</v>
      </c>
      <c r="F456" t="s">
        <v>49</v>
      </c>
      <c r="G456" t="s">
        <v>1013</v>
      </c>
      <c r="H456" t="s">
        <v>1014</v>
      </c>
      <c r="J456" t="str">
        <f>HYPERLINK("https://www.facebook.com/634639855377280/posts/815513483956582","https://www.facebook.com/634639855377280/posts/815513483956582")</f>
        <v>https://www.facebook.com/634639855377280/posts/815513483956582</v>
      </c>
      <c r="O456">
        <v>0</v>
      </c>
      <c r="P456">
        <v>0</v>
      </c>
      <c r="Q456">
        <v>0</v>
      </c>
      <c r="S456">
        <v>4</v>
      </c>
      <c r="T456">
        <v>42</v>
      </c>
      <c r="U456">
        <v>4</v>
      </c>
      <c r="W456" t="s">
        <v>346</v>
      </c>
    </row>
    <row r="457" spans="1:23" x14ac:dyDescent="0.35">
      <c r="A457" t="s">
        <v>45</v>
      </c>
      <c r="B457" t="s">
        <v>906</v>
      </c>
      <c r="C457" t="s">
        <v>93</v>
      </c>
      <c r="D457" t="s">
        <v>94</v>
      </c>
      <c r="E457" t="s">
        <v>45</v>
      </c>
      <c r="F457" t="s">
        <v>49</v>
      </c>
      <c r="G457" t="s">
        <v>430</v>
      </c>
      <c r="H457" t="s">
        <v>1015</v>
      </c>
      <c r="J457" t="str">
        <f>HYPERLINK("https://twitter.com/SpiceMoneyIndia/status/1772491647852417536","https://twitter.com/SpiceMoneyIndia/status/1772491647852417536")</f>
        <v>https://twitter.com/SpiceMoneyIndia/status/1772491647852417536</v>
      </c>
      <c r="K457" t="s">
        <v>67</v>
      </c>
      <c r="O457">
        <v>0</v>
      </c>
      <c r="P457">
        <v>0</v>
      </c>
      <c r="Q457">
        <v>6093</v>
      </c>
      <c r="R457" t="s">
        <v>97</v>
      </c>
      <c r="S457">
        <v>0</v>
      </c>
      <c r="T457">
        <v>0</v>
      </c>
      <c r="U457">
        <v>0</v>
      </c>
      <c r="V457" t="s">
        <v>98</v>
      </c>
      <c r="W457" t="s">
        <v>99</v>
      </c>
    </row>
    <row r="458" spans="1:23" x14ac:dyDescent="0.35">
      <c r="A458" t="s">
        <v>45</v>
      </c>
      <c r="B458" t="s">
        <v>906</v>
      </c>
      <c r="C458" t="s">
        <v>47</v>
      </c>
      <c r="D458" t="s">
        <v>1016</v>
      </c>
      <c r="E458" t="s">
        <v>1016</v>
      </c>
      <c r="F458" t="s">
        <v>193</v>
      </c>
      <c r="G458" t="s">
        <v>1017</v>
      </c>
      <c r="H458" t="s">
        <v>1018</v>
      </c>
      <c r="J458" t="str">
        <f>HYPERLINK("https://www.youtube.com/watch?v=XnF5-uLfaHg&amp;lc=UgxfDUtPYwH_IV5mcHJ4AaABAg","https://www.youtube.com/watch?v=XnF5-uLfaHg&amp;lc=UgxfDUtPYwH_IV5mcHJ4AaABAg")</f>
        <v>https://www.youtube.com/watch?v=XnF5-uLfaHg&amp;lc=UgxfDUtPYwH_IV5mcHJ4AaABAg</v>
      </c>
      <c r="O458">
        <v>0</v>
      </c>
      <c r="P458">
        <v>0</v>
      </c>
      <c r="Q458">
        <v>0</v>
      </c>
      <c r="S458">
        <v>0</v>
      </c>
      <c r="T458">
        <v>0</v>
      </c>
      <c r="U458">
        <v>0</v>
      </c>
      <c r="W458" t="s">
        <v>52</v>
      </c>
    </row>
    <row r="459" spans="1:23" x14ac:dyDescent="0.35">
      <c r="A459" t="s">
        <v>45</v>
      </c>
      <c r="B459" t="s">
        <v>906</v>
      </c>
      <c r="C459" t="s">
        <v>93</v>
      </c>
      <c r="D459" t="s">
        <v>94</v>
      </c>
      <c r="E459" t="s">
        <v>45</v>
      </c>
      <c r="F459" t="s">
        <v>49</v>
      </c>
      <c r="G459" t="s">
        <v>1019</v>
      </c>
      <c r="H459" t="s">
        <v>1020</v>
      </c>
      <c r="J459" t="str">
        <f>HYPERLINK("https://twitter.com/SpiceMoneyIndia/status/1772487682788143481","https://twitter.com/SpiceMoneyIndia/status/1772487682788143481")</f>
        <v>https://twitter.com/SpiceMoneyIndia/status/1772487682788143481</v>
      </c>
      <c r="K459" t="s">
        <v>67</v>
      </c>
      <c r="O459">
        <v>0</v>
      </c>
      <c r="P459">
        <v>0</v>
      </c>
      <c r="Q459">
        <v>6093</v>
      </c>
      <c r="R459" t="s">
        <v>97</v>
      </c>
      <c r="S459">
        <v>0</v>
      </c>
      <c r="T459">
        <v>0</v>
      </c>
      <c r="U459">
        <v>0</v>
      </c>
      <c r="V459" t="s">
        <v>98</v>
      </c>
      <c r="W459" t="s">
        <v>99</v>
      </c>
    </row>
    <row r="460" spans="1:23" x14ac:dyDescent="0.35">
      <c r="A460" t="s">
        <v>45</v>
      </c>
      <c r="B460" t="s">
        <v>906</v>
      </c>
      <c r="C460" t="s">
        <v>93</v>
      </c>
      <c r="D460" t="s">
        <v>94</v>
      </c>
      <c r="E460" t="s">
        <v>45</v>
      </c>
      <c r="F460" t="s">
        <v>49</v>
      </c>
      <c r="G460" t="s">
        <v>1021</v>
      </c>
      <c r="H460" t="s">
        <v>1022</v>
      </c>
      <c r="J460" t="str">
        <f>HYPERLINK("https://twitter.com/SpiceMoneyIndia/status/1772486864747819281","https://twitter.com/SpiceMoneyIndia/status/1772486864747819281")</f>
        <v>https://twitter.com/SpiceMoneyIndia/status/1772486864747819281</v>
      </c>
      <c r="K460" t="s">
        <v>67</v>
      </c>
      <c r="O460">
        <v>0</v>
      </c>
      <c r="P460">
        <v>0</v>
      </c>
      <c r="Q460">
        <v>6093</v>
      </c>
      <c r="R460" t="s">
        <v>97</v>
      </c>
      <c r="S460">
        <v>0</v>
      </c>
      <c r="T460">
        <v>0</v>
      </c>
      <c r="U460">
        <v>0</v>
      </c>
      <c r="V460" t="s">
        <v>98</v>
      </c>
      <c r="W460" t="s">
        <v>99</v>
      </c>
    </row>
    <row r="461" spans="1:23" x14ac:dyDescent="0.35">
      <c r="A461" t="s">
        <v>45</v>
      </c>
      <c r="B461" t="s">
        <v>906</v>
      </c>
      <c r="C461" t="s">
        <v>60</v>
      </c>
      <c r="D461" t="s">
        <v>64</v>
      </c>
      <c r="E461" t="s">
        <v>64</v>
      </c>
      <c r="F461" t="s">
        <v>49</v>
      </c>
      <c r="G461" t="s">
        <v>1011</v>
      </c>
      <c r="H461" t="s">
        <v>1023</v>
      </c>
      <c r="J461" t="str">
        <f>HYPERLINK("https://www.facebook.com/634639855377280/posts/812296230944974?comment_id=756206999908658&amp;reply_comment_id=904334638105524","https://www.facebook.com/634639855377280/posts/812296230944974?comment_id=756206999908658&amp;reply_comment_id=904334638105524")</f>
        <v>https://www.facebook.com/634639855377280/posts/812296230944974?comment_id=756206999908658&amp;reply_comment_id=904334638105524</v>
      </c>
      <c r="K461" t="s">
        <v>67</v>
      </c>
      <c r="O461">
        <v>0</v>
      </c>
      <c r="P461">
        <v>0</v>
      </c>
      <c r="Q461">
        <v>0</v>
      </c>
      <c r="S461">
        <v>0</v>
      </c>
      <c r="T461">
        <v>0</v>
      </c>
      <c r="U461">
        <v>0</v>
      </c>
      <c r="W461" t="s">
        <v>52</v>
      </c>
    </row>
    <row r="462" spans="1:23" x14ac:dyDescent="0.35">
      <c r="A462" t="s">
        <v>45</v>
      </c>
      <c r="B462" t="s">
        <v>906</v>
      </c>
      <c r="C462" t="s">
        <v>60</v>
      </c>
      <c r="D462" t="s">
        <v>64</v>
      </c>
      <c r="E462" t="s">
        <v>64</v>
      </c>
      <c r="F462" t="s">
        <v>49</v>
      </c>
      <c r="G462" t="s">
        <v>162</v>
      </c>
      <c r="H462" t="s">
        <v>1024</v>
      </c>
      <c r="J462" t="str">
        <f>HYPERLINK("https://www.facebook.com/634639855377280/posts/814811307360133?comment_id=412558428052254&amp;reply_comment_id=434452512478153","https://www.facebook.com/634639855377280/posts/814811307360133?comment_id=412558428052254&amp;reply_comment_id=434452512478153")</f>
        <v>https://www.facebook.com/634639855377280/posts/814811307360133?comment_id=412558428052254&amp;reply_comment_id=434452512478153</v>
      </c>
      <c r="K462" t="s">
        <v>67</v>
      </c>
      <c r="O462">
        <v>0</v>
      </c>
      <c r="P462">
        <v>0</v>
      </c>
      <c r="Q462">
        <v>0</v>
      </c>
      <c r="S462">
        <v>0</v>
      </c>
      <c r="T462">
        <v>0</v>
      </c>
      <c r="U462">
        <v>0</v>
      </c>
      <c r="W462" t="s">
        <v>52</v>
      </c>
    </row>
    <row r="463" spans="1:23" x14ac:dyDescent="0.35">
      <c r="A463" t="s">
        <v>45</v>
      </c>
      <c r="B463" t="s">
        <v>906</v>
      </c>
      <c r="C463" t="s">
        <v>60</v>
      </c>
      <c r="D463" t="s">
        <v>64</v>
      </c>
      <c r="E463" t="s">
        <v>64</v>
      </c>
      <c r="F463" t="s">
        <v>49</v>
      </c>
      <c r="G463" t="s">
        <v>293</v>
      </c>
      <c r="H463" t="s">
        <v>1025</v>
      </c>
      <c r="J463" t="str">
        <f>HYPERLINK("https://www.facebook.com/634639855377280/posts/813665024141428?comment_id=291564010486757&amp;reply_comment_id=732248602362318","https://www.facebook.com/634639855377280/posts/813665024141428?comment_id=291564010486757&amp;reply_comment_id=732248602362318")</f>
        <v>https://www.facebook.com/634639855377280/posts/813665024141428?comment_id=291564010486757&amp;reply_comment_id=732248602362318</v>
      </c>
      <c r="K463" t="s">
        <v>67</v>
      </c>
      <c r="O463">
        <v>0</v>
      </c>
      <c r="P463">
        <v>0</v>
      </c>
      <c r="Q463">
        <v>0</v>
      </c>
      <c r="S463">
        <v>0</v>
      </c>
      <c r="T463">
        <v>0</v>
      </c>
      <c r="U463">
        <v>0</v>
      </c>
      <c r="W463" t="s">
        <v>52</v>
      </c>
    </row>
    <row r="464" spans="1:23" x14ac:dyDescent="0.35">
      <c r="A464" t="s">
        <v>45</v>
      </c>
      <c r="B464" t="s">
        <v>906</v>
      </c>
      <c r="C464" t="s">
        <v>60</v>
      </c>
      <c r="D464" t="s">
        <v>64</v>
      </c>
      <c r="E464" t="s">
        <v>64</v>
      </c>
      <c r="F464" t="s">
        <v>49</v>
      </c>
      <c r="G464" t="s">
        <v>266</v>
      </c>
      <c r="H464" t="s">
        <v>1026</v>
      </c>
      <c r="J464" t="str">
        <f>HYPERLINK("https://www.facebook.com/634639855377280/posts/813665024141428?comment_id=1475175976710527&amp;reply_comment_id=788241646160481","https://www.facebook.com/634639855377280/posts/813665024141428?comment_id=1475175976710527&amp;reply_comment_id=788241646160481")</f>
        <v>https://www.facebook.com/634639855377280/posts/813665024141428?comment_id=1475175976710527&amp;reply_comment_id=788241646160481</v>
      </c>
      <c r="K464" t="s">
        <v>67</v>
      </c>
      <c r="O464">
        <v>0</v>
      </c>
      <c r="P464">
        <v>0</v>
      </c>
      <c r="Q464">
        <v>0</v>
      </c>
      <c r="S464">
        <v>0</v>
      </c>
      <c r="T464">
        <v>0</v>
      </c>
      <c r="U464">
        <v>0</v>
      </c>
      <c r="W464" t="s">
        <v>52</v>
      </c>
    </row>
    <row r="465" spans="1:23" x14ac:dyDescent="0.35">
      <c r="A465" t="s">
        <v>45</v>
      </c>
      <c r="B465" t="s">
        <v>906</v>
      </c>
      <c r="C465" t="s">
        <v>47</v>
      </c>
      <c r="D465" t="s">
        <v>1027</v>
      </c>
      <c r="E465" t="s">
        <v>1027</v>
      </c>
      <c r="F465" t="s">
        <v>49</v>
      </c>
      <c r="G465" t="s">
        <v>1028</v>
      </c>
      <c r="H465" t="s">
        <v>1029</v>
      </c>
      <c r="J465" t="str">
        <f>HYPERLINK("https://www.youtube.com/watch?v=XnF5-uLfaHg&amp;lc=Ugy4j44tg6FTcyg2aaJ4AaABAg","https://www.youtube.com/watch?v=XnF5-uLfaHg&amp;lc=Ugy4j44tg6FTcyg2aaJ4AaABAg")</f>
        <v>https://www.youtube.com/watch?v=XnF5-uLfaHg&amp;lc=Ugy4j44tg6FTcyg2aaJ4AaABAg</v>
      </c>
      <c r="O465">
        <v>0</v>
      </c>
      <c r="P465">
        <v>0</v>
      </c>
      <c r="Q465">
        <v>0</v>
      </c>
      <c r="S465">
        <v>0</v>
      </c>
      <c r="T465">
        <v>0</v>
      </c>
      <c r="U465">
        <v>0</v>
      </c>
      <c r="W465" t="s">
        <v>52</v>
      </c>
    </row>
    <row r="466" spans="1:23" x14ac:dyDescent="0.35">
      <c r="A466" t="s">
        <v>45</v>
      </c>
      <c r="B466" t="s">
        <v>906</v>
      </c>
      <c r="C466" t="s">
        <v>47</v>
      </c>
      <c r="D466" t="s">
        <v>45</v>
      </c>
      <c r="E466" t="s">
        <v>45</v>
      </c>
      <c r="F466" t="s">
        <v>49</v>
      </c>
      <c r="G466" t="s">
        <v>1030</v>
      </c>
      <c r="H466" t="s">
        <v>1031</v>
      </c>
      <c r="J466" t="str">
        <f>HYPERLINK("https://www.youtube.com/watch?v=XnF5-uLfaHg","https://www.youtube.com/watch?v=XnF5-uLfaHg")</f>
        <v>https://www.youtube.com/watch?v=XnF5-uLfaHg</v>
      </c>
      <c r="O466">
        <v>0</v>
      </c>
      <c r="P466">
        <v>0</v>
      </c>
      <c r="Q466">
        <v>0</v>
      </c>
      <c r="S466">
        <v>0</v>
      </c>
      <c r="T466">
        <v>0</v>
      </c>
      <c r="U466">
        <v>0</v>
      </c>
      <c r="W466" t="s">
        <v>346</v>
      </c>
    </row>
    <row r="467" spans="1:23" x14ac:dyDescent="0.35">
      <c r="A467" t="s">
        <v>45</v>
      </c>
      <c r="B467" t="s">
        <v>906</v>
      </c>
      <c r="C467" t="s">
        <v>47</v>
      </c>
      <c r="D467" t="s">
        <v>68</v>
      </c>
      <c r="E467" t="s">
        <v>68</v>
      </c>
      <c r="F467" t="s">
        <v>49</v>
      </c>
      <c r="G467" t="s">
        <v>1032</v>
      </c>
      <c r="H467" t="s">
        <v>1033</v>
      </c>
      <c r="J467" t="str">
        <f>HYPERLINK("https://www.youtube.com/watch?v=mywlDWI77_k&amp;lc=UgyjwYk2VPBsPsExTqp4AaABAg.A1OhpQLe3n0A1RDVmtWM9k","https://www.youtube.com/watch?v=mywlDWI77_k&amp;lc=UgyjwYk2VPBsPsExTqp4AaABAg.A1OhpQLe3n0A1RDVmtWM9k")</f>
        <v>https://www.youtube.com/watch?v=mywlDWI77_k&amp;lc=UgyjwYk2VPBsPsExTqp4AaABAg.A1OhpQLe3n0A1RDVmtWM9k</v>
      </c>
      <c r="O467">
        <v>0</v>
      </c>
      <c r="P467">
        <v>0</v>
      </c>
      <c r="Q467">
        <v>0</v>
      </c>
      <c r="S467">
        <v>0</v>
      </c>
      <c r="T467">
        <v>0</v>
      </c>
      <c r="U467">
        <v>0</v>
      </c>
      <c r="W467" t="s">
        <v>52</v>
      </c>
    </row>
    <row r="468" spans="1:23" x14ac:dyDescent="0.35">
      <c r="A468" t="s">
        <v>45</v>
      </c>
      <c r="B468" t="s">
        <v>906</v>
      </c>
      <c r="C468" t="s">
        <v>47</v>
      </c>
      <c r="D468" t="s">
        <v>68</v>
      </c>
      <c r="E468" t="s">
        <v>68</v>
      </c>
      <c r="F468" t="s">
        <v>49</v>
      </c>
      <c r="G468" t="s">
        <v>293</v>
      </c>
      <c r="H468" t="s">
        <v>1034</v>
      </c>
      <c r="J468" t="str">
        <f>HYPERLINK("https://www.youtube.com/watch?v=fi0KMSdJZZY&amp;lc=Ugwt9fpRVLantvwR6Kx4AaABAg.A1Qm5iBbug_A1RBOvbWiUy","https://www.youtube.com/watch?v=fi0KMSdJZZY&amp;lc=Ugwt9fpRVLantvwR6Kx4AaABAg.A1Qm5iBbug_A1RBOvbWiUy")</f>
        <v>https://www.youtube.com/watch?v=fi0KMSdJZZY&amp;lc=Ugwt9fpRVLantvwR6Kx4AaABAg.A1Qm5iBbug_A1RBOvbWiUy</v>
      </c>
      <c r="O468">
        <v>0</v>
      </c>
      <c r="P468">
        <v>0</v>
      </c>
      <c r="Q468">
        <v>0</v>
      </c>
      <c r="S468">
        <v>0</v>
      </c>
      <c r="T468">
        <v>0</v>
      </c>
      <c r="U468">
        <v>0</v>
      </c>
      <c r="W468" t="s">
        <v>52</v>
      </c>
    </row>
    <row r="469" spans="1:23" x14ac:dyDescent="0.35">
      <c r="A469" t="s">
        <v>45</v>
      </c>
      <c r="B469" t="s">
        <v>906</v>
      </c>
      <c r="C469" t="s">
        <v>60</v>
      </c>
      <c r="D469" t="s">
        <v>61</v>
      </c>
      <c r="E469" t="s">
        <v>61</v>
      </c>
      <c r="F469" t="s">
        <v>49</v>
      </c>
      <c r="G469" t="s">
        <v>987</v>
      </c>
      <c r="H469" t="s">
        <v>1035</v>
      </c>
      <c r="J469" t="str">
        <f>HYPERLINK("https://www.facebook.com/634639855377280/posts/812296230944974?comment_id=756206999908658","https://www.facebook.com/634639855377280/posts/812296230944974?comment_id=756206999908658")</f>
        <v>https://www.facebook.com/634639855377280/posts/812296230944974?comment_id=756206999908658</v>
      </c>
      <c r="O469">
        <v>0</v>
      </c>
      <c r="P469">
        <v>0</v>
      </c>
      <c r="Q469">
        <v>0</v>
      </c>
      <c r="S469">
        <v>0</v>
      </c>
      <c r="T469">
        <v>0</v>
      </c>
      <c r="U469">
        <v>0</v>
      </c>
      <c r="W469" t="s">
        <v>52</v>
      </c>
    </row>
    <row r="470" spans="1:23" x14ac:dyDescent="0.35">
      <c r="A470" t="s">
        <v>45</v>
      </c>
      <c r="B470" t="s">
        <v>906</v>
      </c>
      <c r="C470" t="s">
        <v>60</v>
      </c>
      <c r="D470" t="s">
        <v>61</v>
      </c>
      <c r="E470" t="s">
        <v>61</v>
      </c>
      <c r="F470" t="s">
        <v>49</v>
      </c>
      <c r="G470" t="s">
        <v>1036</v>
      </c>
      <c r="H470" t="s">
        <v>1037</v>
      </c>
      <c r="J470" t="str">
        <f>HYPERLINK("https://www.facebook.com/634639855377280/posts/814811307360133?comment_id=385395830939297","https://www.facebook.com/634639855377280/posts/814811307360133?comment_id=385395830939297")</f>
        <v>https://www.facebook.com/634639855377280/posts/814811307360133?comment_id=385395830939297</v>
      </c>
      <c r="O470">
        <v>0</v>
      </c>
      <c r="P470">
        <v>0</v>
      </c>
      <c r="Q470">
        <v>0</v>
      </c>
      <c r="S470">
        <v>0</v>
      </c>
      <c r="T470">
        <v>0</v>
      </c>
      <c r="U470">
        <v>0</v>
      </c>
      <c r="W470" t="s">
        <v>52</v>
      </c>
    </row>
    <row r="471" spans="1:23" x14ac:dyDescent="0.35">
      <c r="A471" t="s">
        <v>45</v>
      </c>
      <c r="B471" t="s">
        <v>906</v>
      </c>
      <c r="C471" t="s">
        <v>47</v>
      </c>
      <c r="D471" t="s">
        <v>1038</v>
      </c>
      <c r="E471" t="s">
        <v>1038</v>
      </c>
      <c r="F471" t="s">
        <v>54</v>
      </c>
      <c r="G471" t="s">
        <v>1039</v>
      </c>
      <c r="H471" t="s">
        <v>1040</v>
      </c>
      <c r="J471" t="str">
        <f>HYPERLINK("https://www.youtube.com/watch?v=-_Y3df9Bpgc&amp;lc=UgwvEVTJ32oQb-wBWr14AaABAg","https://www.youtube.com/watch?v=-_Y3df9Bpgc&amp;lc=UgwvEVTJ32oQb-wBWr14AaABAg")</f>
        <v>https://www.youtube.com/watch?v=-_Y3df9Bpgc&amp;lc=UgwvEVTJ32oQb-wBWr14AaABAg</v>
      </c>
      <c r="O471">
        <v>0</v>
      </c>
      <c r="P471">
        <v>0</v>
      </c>
      <c r="Q471">
        <v>0</v>
      </c>
      <c r="S471">
        <v>0</v>
      </c>
      <c r="T471">
        <v>0</v>
      </c>
      <c r="U471">
        <v>0</v>
      </c>
      <c r="W471" t="s">
        <v>52</v>
      </c>
    </row>
    <row r="472" spans="1:23" x14ac:dyDescent="0.35">
      <c r="A472" t="s">
        <v>45</v>
      </c>
      <c r="B472" t="s">
        <v>906</v>
      </c>
      <c r="C472" t="s">
        <v>47</v>
      </c>
      <c r="D472" t="s">
        <v>1041</v>
      </c>
      <c r="E472" t="s">
        <v>1041</v>
      </c>
      <c r="F472" t="s">
        <v>49</v>
      </c>
      <c r="G472" t="s">
        <v>1042</v>
      </c>
      <c r="H472" t="s">
        <v>1043</v>
      </c>
      <c r="J472" t="str">
        <f>HYPERLINK("https://www.youtube.com/watch?v=fi0KMSdJZZY&amp;lc=Ugwt9fpRVLantvwR6Kx4AaABAg","https://www.youtube.com/watch?v=fi0KMSdJZZY&amp;lc=Ugwt9fpRVLantvwR6Kx4AaABAg")</f>
        <v>https://www.youtube.com/watch?v=fi0KMSdJZZY&amp;lc=Ugwt9fpRVLantvwR6Kx4AaABAg</v>
      </c>
      <c r="O472">
        <v>0</v>
      </c>
      <c r="P472">
        <v>0</v>
      </c>
      <c r="Q472">
        <v>0</v>
      </c>
      <c r="S472">
        <v>0</v>
      </c>
      <c r="T472">
        <v>0</v>
      </c>
      <c r="U472">
        <v>0</v>
      </c>
      <c r="W472" t="s">
        <v>52</v>
      </c>
    </row>
    <row r="473" spans="1:23" x14ac:dyDescent="0.35">
      <c r="A473" t="s">
        <v>45</v>
      </c>
      <c r="B473" t="s">
        <v>906</v>
      </c>
      <c r="C473" t="s">
        <v>93</v>
      </c>
      <c r="D473" t="s">
        <v>867</v>
      </c>
      <c r="E473" t="s">
        <v>868</v>
      </c>
      <c r="F473" t="s">
        <v>49</v>
      </c>
      <c r="G473" t="s">
        <v>1044</v>
      </c>
      <c r="H473" t="s">
        <v>1045</v>
      </c>
      <c r="J473" t="str">
        <f>HYPERLINK("https://twitter.com/samyaduvanshi2/status/1772383319893692656","https://twitter.com/samyaduvanshi2/status/1772383319893692656")</f>
        <v>https://twitter.com/samyaduvanshi2/status/1772383319893692656</v>
      </c>
      <c r="K473" t="s">
        <v>67</v>
      </c>
      <c r="O473">
        <v>0</v>
      </c>
      <c r="P473">
        <v>0</v>
      </c>
      <c r="Q473">
        <v>41</v>
      </c>
      <c r="R473" t="s">
        <v>871</v>
      </c>
      <c r="S473">
        <v>0</v>
      </c>
      <c r="T473">
        <v>0</v>
      </c>
      <c r="U473">
        <v>0</v>
      </c>
      <c r="W473" t="s">
        <v>99</v>
      </c>
    </row>
    <row r="474" spans="1:23" x14ac:dyDescent="0.35">
      <c r="A474" t="s">
        <v>45</v>
      </c>
      <c r="B474" t="s">
        <v>1046</v>
      </c>
      <c r="C474" t="s">
        <v>60</v>
      </c>
      <c r="D474" t="s">
        <v>61</v>
      </c>
      <c r="E474" t="s">
        <v>61</v>
      </c>
      <c r="F474" t="s">
        <v>49</v>
      </c>
      <c r="G474" t="s">
        <v>1047</v>
      </c>
      <c r="H474" t="s">
        <v>1048</v>
      </c>
      <c r="J474" t="str">
        <f>HYPERLINK("https://www.facebook.com/634639855377280/posts/813665024141428?comment_id=804472211573751&amp;reply_comment_id=444137211365892","https://www.facebook.com/634639855377280/posts/813665024141428?comment_id=804472211573751&amp;reply_comment_id=444137211365892")</f>
        <v>https://www.facebook.com/634639855377280/posts/813665024141428?comment_id=804472211573751&amp;reply_comment_id=444137211365892</v>
      </c>
      <c r="O474">
        <v>0</v>
      </c>
      <c r="P474">
        <v>0</v>
      </c>
      <c r="Q474">
        <v>0</v>
      </c>
      <c r="S474">
        <v>0</v>
      </c>
      <c r="T474">
        <v>0</v>
      </c>
      <c r="U474">
        <v>0</v>
      </c>
      <c r="W474" t="s">
        <v>52</v>
      </c>
    </row>
    <row r="475" spans="1:23" x14ac:dyDescent="0.35">
      <c r="A475" t="s">
        <v>45</v>
      </c>
      <c r="B475" t="s">
        <v>1046</v>
      </c>
      <c r="C475" t="s">
        <v>60</v>
      </c>
      <c r="D475" t="s">
        <v>61</v>
      </c>
      <c r="E475" t="s">
        <v>61</v>
      </c>
      <c r="F475" t="s">
        <v>49</v>
      </c>
      <c r="G475" t="s">
        <v>1049</v>
      </c>
      <c r="H475" t="s">
        <v>1050</v>
      </c>
      <c r="J475" t="str">
        <f>HYPERLINK("https://www.facebook.com/634639855377280/posts/813665024141428?comment_id=952891539755113","https://www.facebook.com/634639855377280/posts/813665024141428?comment_id=952891539755113")</f>
        <v>https://www.facebook.com/634639855377280/posts/813665024141428?comment_id=952891539755113</v>
      </c>
      <c r="O475">
        <v>0</v>
      </c>
      <c r="P475">
        <v>0</v>
      </c>
      <c r="Q475">
        <v>0</v>
      </c>
      <c r="S475">
        <v>0</v>
      </c>
      <c r="T475">
        <v>0</v>
      </c>
      <c r="U475">
        <v>0</v>
      </c>
      <c r="W475" t="s">
        <v>52</v>
      </c>
    </row>
    <row r="476" spans="1:23" x14ac:dyDescent="0.35">
      <c r="A476" t="s">
        <v>45</v>
      </c>
      <c r="B476" t="s">
        <v>1046</v>
      </c>
      <c r="C476" t="s">
        <v>60</v>
      </c>
      <c r="D476" t="s">
        <v>61</v>
      </c>
      <c r="E476" t="s">
        <v>61</v>
      </c>
      <c r="F476" t="s">
        <v>49</v>
      </c>
      <c r="G476" t="s">
        <v>1051</v>
      </c>
      <c r="H476" t="s">
        <v>1052</v>
      </c>
      <c r="J476" t="str">
        <f>HYPERLINK("https://www.facebook.com/634639855377280/posts/813665024141428?comment_id=1475175976710527","https://www.facebook.com/634639855377280/posts/813665024141428?comment_id=1475175976710527")</f>
        <v>https://www.facebook.com/634639855377280/posts/813665024141428?comment_id=1475175976710527</v>
      </c>
      <c r="O476">
        <v>0</v>
      </c>
      <c r="P476">
        <v>0</v>
      </c>
      <c r="Q476">
        <v>0</v>
      </c>
      <c r="S476">
        <v>0</v>
      </c>
      <c r="T476">
        <v>0</v>
      </c>
      <c r="U476">
        <v>0</v>
      </c>
      <c r="W476" t="s">
        <v>52</v>
      </c>
    </row>
    <row r="477" spans="1:23" x14ac:dyDescent="0.35">
      <c r="A477" t="s">
        <v>45</v>
      </c>
      <c r="B477" t="s">
        <v>1046</v>
      </c>
      <c r="C477" t="s">
        <v>47</v>
      </c>
      <c r="D477" t="s">
        <v>1053</v>
      </c>
      <c r="E477" t="s">
        <v>1053</v>
      </c>
      <c r="F477" t="s">
        <v>49</v>
      </c>
      <c r="G477" t="s">
        <v>1054</v>
      </c>
      <c r="H477" t="s">
        <v>1055</v>
      </c>
      <c r="J477" t="str">
        <f>HYPERLINK("https://www.youtube.com/watch?v=mywlDWI77_k&amp;lc=UgyjwYk2VPBsPsExTqp4AaABAg.A1OhpQLe3n0A1PCORGWXkg","https://www.youtube.com/watch?v=mywlDWI77_k&amp;lc=UgyjwYk2VPBsPsExTqp4AaABAg.A1OhpQLe3n0A1PCORGWXkg")</f>
        <v>https://www.youtube.com/watch?v=mywlDWI77_k&amp;lc=UgyjwYk2VPBsPsExTqp4AaABAg.A1OhpQLe3n0A1PCORGWXkg</v>
      </c>
      <c r="O477">
        <v>0</v>
      </c>
      <c r="P477">
        <v>0</v>
      </c>
      <c r="Q477">
        <v>0</v>
      </c>
      <c r="S477">
        <v>0</v>
      </c>
      <c r="T477">
        <v>0</v>
      </c>
      <c r="U477">
        <v>0</v>
      </c>
      <c r="W477" t="s">
        <v>52</v>
      </c>
    </row>
    <row r="478" spans="1:23" x14ac:dyDescent="0.35">
      <c r="A478" t="s">
        <v>45</v>
      </c>
      <c r="B478" t="s">
        <v>1046</v>
      </c>
      <c r="C478" t="s">
        <v>60</v>
      </c>
      <c r="D478" t="s">
        <v>61</v>
      </c>
      <c r="E478" t="s">
        <v>61</v>
      </c>
      <c r="F478" t="s">
        <v>54</v>
      </c>
      <c r="G478" t="s">
        <v>1056</v>
      </c>
      <c r="H478" t="s">
        <v>1057</v>
      </c>
      <c r="J478" t="str">
        <f>HYPERLINK("https://www.facebook.com/634639855377280/posts/814811307360133?comment_id=412558428052254","https://www.facebook.com/634639855377280/posts/814811307360133?comment_id=412558428052254")</f>
        <v>https://www.facebook.com/634639855377280/posts/814811307360133?comment_id=412558428052254</v>
      </c>
      <c r="O478">
        <v>0</v>
      </c>
      <c r="P478">
        <v>0</v>
      </c>
      <c r="Q478">
        <v>0</v>
      </c>
      <c r="S478">
        <v>0</v>
      </c>
      <c r="T478">
        <v>0</v>
      </c>
      <c r="U478">
        <v>0</v>
      </c>
      <c r="W478" t="s">
        <v>52</v>
      </c>
    </row>
    <row r="479" spans="1:23" x14ac:dyDescent="0.35">
      <c r="A479" t="s">
        <v>45</v>
      </c>
      <c r="B479" t="s">
        <v>1046</v>
      </c>
      <c r="C479" t="s">
        <v>60</v>
      </c>
      <c r="D479" t="s">
        <v>64</v>
      </c>
      <c r="E479" t="s">
        <v>64</v>
      </c>
      <c r="F479" t="s">
        <v>49</v>
      </c>
      <c r="G479" t="s">
        <v>1058</v>
      </c>
      <c r="H479" t="s">
        <v>1059</v>
      </c>
      <c r="J479" t="str">
        <f>HYPERLINK("https://www.facebook.com/634639855377280/posts/814811307360133?comment_id=380673874842234&amp;reply_comment_id=1088624728853508","https://www.facebook.com/634639855377280/posts/814811307360133?comment_id=380673874842234&amp;reply_comment_id=1088624728853508")</f>
        <v>https://www.facebook.com/634639855377280/posts/814811307360133?comment_id=380673874842234&amp;reply_comment_id=1088624728853508</v>
      </c>
      <c r="K479" t="s">
        <v>67</v>
      </c>
      <c r="O479">
        <v>0</v>
      </c>
      <c r="P479">
        <v>0</v>
      </c>
      <c r="Q479">
        <v>0</v>
      </c>
      <c r="S479">
        <v>0</v>
      </c>
      <c r="T479">
        <v>0</v>
      </c>
      <c r="U479">
        <v>0</v>
      </c>
      <c r="W479" t="s">
        <v>52</v>
      </c>
    </row>
    <row r="480" spans="1:23" x14ac:dyDescent="0.35">
      <c r="A480" t="s">
        <v>45</v>
      </c>
      <c r="B480" t="s">
        <v>1046</v>
      </c>
      <c r="C480" t="s">
        <v>60</v>
      </c>
      <c r="D480" t="s">
        <v>64</v>
      </c>
      <c r="E480" t="s">
        <v>64</v>
      </c>
      <c r="F480" t="s">
        <v>49</v>
      </c>
      <c r="G480" t="s">
        <v>100</v>
      </c>
      <c r="H480" t="s">
        <v>1060</v>
      </c>
      <c r="J480" t="str">
        <f>HYPERLINK("https://www.facebook.com/634639855377280/posts/813665024141428?comment_id=804472211573751&amp;reply_comment_id=1586738652106929","https://www.facebook.com/634639855377280/posts/813665024141428?comment_id=804472211573751&amp;reply_comment_id=1586738652106929")</f>
        <v>https://www.facebook.com/634639855377280/posts/813665024141428?comment_id=804472211573751&amp;reply_comment_id=1586738652106929</v>
      </c>
      <c r="K480" t="s">
        <v>67</v>
      </c>
      <c r="O480">
        <v>0</v>
      </c>
      <c r="P480">
        <v>0</v>
      </c>
      <c r="Q480">
        <v>0</v>
      </c>
      <c r="S480">
        <v>0</v>
      </c>
      <c r="T480">
        <v>0</v>
      </c>
      <c r="U480">
        <v>0</v>
      </c>
      <c r="W480" t="s">
        <v>52</v>
      </c>
    </row>
    <row r="481" spans="1:23" x14ac:dyDescent="0.35">
      <c r="A481" t="s">
        <v>45</v>
      </c>
      <c r="B481" t="s">
        <v>1046</v>
      </c>
      <c r="C481" t="s">
        <v>47</v>
      </c>
      <c r="D481" t="s">
        <v>68</v>
      </c>
      <c r="E481" t="s">
        <v>68</v>
      </c>
      <c r="F481" t="s">
        <v>49</v>
      </c>
      <c r="G481" t="s">
        <v>1061</v>
      </c>
      <c r="H481" t="s">
        <v>1062</v>
      </c>
      <c r="J481" t="str">
        <f>HYPERLINK("https://www.youtube.com/watch?v=-_Y3df9Bpgc&amp;lc=UgxphRiRQY8bW2P4rgh4AaABAg.A1NG33dVvg7A1P9WsenZz2","https://www.youtube.com/watch?v=-_Y3df9Bpgc&amp;lc=UgxphRiRQY8bW2P4rgh4AaABAg.A1NG33dVvg7A1P9WsenZz2")</f>
        <v>https://www.youtube.com/watch?v=-_Y3df9Bpgc&amp;lc=UgxphRiRQY8bW2P4rgh4AaABAg.A1NG33dVvg7A1P9WsenZz2</v>
      </c>
      <c r="O481">
        <v>0</v>
      </c>
      <c r="P481">
        <v>0</v>
      </c>
      <c r="Q481">
        <v>0</v>
      </c>
      <c r="S481">
        <v>0</v>
      </c>
      <c r="T481">
        <v>0</v>
      </c>
      <c r="U481">
        <v>0</v>
      </c>
      <c r="W481" t="s">
        <v>52</v>
      </c>
    </row>
    <row r="482" spans="1:23" x14ac:dyDescent="0.35">
      <c r="A482" t="s">
        <v>45</v>
      </c>
      <c r="B482" t="s">
        <v>1046</v>
      </c>
      <c r="C482" t="s">
        <v>47</v>
      </c>
      <c r="D482" t="s">
        <v>68</v>
      </c>
      <c r="E482" t="s">
        <v>68</v>
      </c>
      <c r="F482" t="s">
        <v>49</v>
      </c>
      <c r="G482" t="s">
        <v>1061</v>
      </c>
      <c r="H482" t="s">
        <v>1063</v>
      </c>
      <c r="J482" t="str">
        <f>HYPERLINK("https://www.youtube.com/watch?v=mywlDWI77_k&amp;lc=UgyjwYk2VPBsPsExTqp4AaABAg.A1OhpQLe3n0A1P9OlERmLG","https://www.youtube.com/watch?v=mywlDWI77_k&amp;lc=UgyjwYk2VPBsPsExTqp4AaABAg.A1OhpQLe3n0A1P9OlERmLG")</f>
        <v>https://www.youtube.com/watch?v=mywlDWI77_k&amp;lc=UgyjwYk2VPBsPsExTqp4AaABAg.A1OhpQLe3n0A1P9OlERmLG</v>
      </c>
      <c r="O482">
        <v>0</v>
      </c>
      <c r="P482">
        <v>0</v>
      </c>
      <c r="Q482">
        <v>0</v>
      </c>
      <c r="S482">
        <v>0</v>
      </c>
      <c r="T482">
        <v>0</v>
      </c>
      <c r="U482">
        <v>0</v>
      </c>
      <c r="W482" t="s">
        <v>52</v>
      </c>
    </row>
    <row r="483" spans="1:23" x14ac:dyDescent="0.35">
      <c r="A483" t="s">
        <v>45</v>
      </c>
      <c r="B483" t="s">
        <v>1046</v>
      </c>
      <c r="C483" t="s">
        <v>47</v>
      </c>
      <c r="D483" t="s">
        <v>1016</v>
      </c>
      <c r="E483" t="s">
        <v>1016</v>
      </c>
      <c r="F483" t="s">
        <v>49</v>
      </c>
      <c r="G483" t="s">
        <v>1064</v>
      </c>
      <c r="H483" t="s">
        <v>1065</v>
      </c>
      <c r="J483" t="str">
        <f>HYPERLINK("https://www.youtube.com/watch?v=-_Y3df9Bpgc&amp;lc=UgwZwmM3GcgaO0RMxfF4AaABAg.A1OZOadc3AuA1P6xPeiGcp","https://www.youtube.com/watch?v=-_Y3df9Bpgc&amp;lc=UgwZwmM3GcgaO0RMxfF4AaABAg.A1OZOadc3AuA1P6xPeiGcp")</f>
        <v>https://www.youtube.com/watch?v=-_Y3df9Bpgc&amp;lc=UgwZwmM3GcgaO0RMxfF4AaABAg.A1OZOadc3AuA1P6xPeiGcp</v>
      </c>
      <c r="O483">
        <v>0</v>
      </c>
      <c r="P483">
        <v>0</v>
      </c>
      <c r="Q483">
        <v>0</v>
      </c>
      <c r="S483">
        <v>0</v>
      </c>
      <c r="T483">
        <v>0</v>
      </c>
      <c r="U483">
        <v>0</v>
      </c>
      <c r="W483" t="s">
        <v>52</v>
      </c>
    </row>
    <row r="484" spans="1:23" x14ac:dyDescent="0.35">
      <c r="A484" t="s">
        <v>45</v>
      </c>
      <c r="B484" t="s">
        <v>1046</v>
      </c>
      <c r="C484" t="s">
        <v>47</v>
      </c>
      <c r="D484" t="s">
        <v>1053</v>
      </c>
      <c r="E484" t="s">
        <v>1053</v>
      </c>
      <c r="F484" t="s">
        <v>49</v>
      </c>
      <c r="G484" t="s">
        <v>1066</v>
      </c>
      <c r="H484" t="s">
        <v>1067</v>
      </c>
      <c r="J484" t="str">
        <f>HYPERLINK("https://www.youtube.com/watch?v=mywlDWI77_k&amp;lc=UgyjwYk2VPBsPsExTqp4AaABAg","https://www.youtube.com/watch?v=mywlDWI77_k&amp;lc=UgyjwYk2VPBsPsExTqp4AaABAg")</f>
        <v>https://www.youtube.com/watch?v=mywlDWI77_k&amp;lc=UgyjwYk2VPBsPsExTqp4AaABAg</v>
      </c>
      <c r="O484">
        <v>0</v>
      </c>
      <c r="P484">
        <v>0</v>
      </c>
      <c r="Q484">
        <v>0</v>
      </c>
      <c r="S484">
        <v>0</v>
      </c>
      <c r="T484">
        <v>0</v>
      </c>
      <c r="U484">
        <v>0</v>
      </c>
      <c r="W484" t="s">
        <v>52</v>
      </c>
    </row>
    <row r="485" spans="1:23" x14ac:dyDescent="0.35">
      <c r="A485" t="s">
        <v>45</v>
      </c>
      <c r="B485" t="s">
        <v>1046</v>
      </c>
      <c r="C485" t="s">
        <v>60</v>
      </c>
      <c r="D485" t="s">
        <v>61</v>
      </c>
      <c r="E485" t="s">
        <v>61</v>
      </c>
      <c r="F485" t="s">
        <v>49</v>
      </c>
      <c r="G485" t="s">
        <v>1068</v>
      </c>
      <c r="H485" t="s">
        <v>1069</v>
      </c>
      <c r="J485" t="str">
        <f>HYPERLINK("https://www.facebook.com/634639855377280/posts/814811307360133?comment_id=768580735248076","https://www.facebook.com/634639855377280/posts/814811307360133?comment_id=768580735248076")</f>
        <v>https://www.facebook.com/634639855377280/posts/814811307360133?comment_id=768580735248076</v>
      </c>
      <c r="O485">
        <v>0</v>
      </c>
      <c r="P485">
        <v>0</v>
      </c>
      <c r="Q485">
        <v>0</v>
      </c>
      <c r="S485">
        <v>0</v>
      </c>
      <c r="T485">
        <v>0</v>
      </c>
      <c r="U485">
        <v>0</v>
      </c>
      <c r="W485" t="s">
        <v>52</v>
      </c>
    </row>
    <row r="486" spans="1:23" x14ac:dyDescent="0.35">
      <c r="A486" t="s">
        <v>45</v>
      </c>
      <c r="B486" t="s">
        <v>1046</v>
      </c>
      <c r="C486" t="s">
        <v>47</v>
      </c>
      <c r="D486" t="s">
        <v>351</v>
      </c>
      <c r="E486" t="s">
        <v>351</v>
      </c>
      <c r="F486" t="s">
        <v>49</v>
      </c>
      <c r="G486" t="s">
        <v>1070</v>
      </c>
      <c r="H486" t="s">
        <v>1071</v>
      </c>
      <c r="J486" t="str">
        <f>HYPERLINK("https://www.youtube.com/watch?v=-_Y3df9Bpgc&amp;lc=UgwZwmM3GcgaO0RMxfF4AaABAg","https://www.youtube.com/watch?v=-_Y3df9Bpgc&amp;lc=UgwZwmM3GcgaO0RMxfF4AaABAg")</f>
        <v>https://www.youtube.com/watch?v=-_Y3df9Bpgc&amp;lc=UgwZwmM3GcgaO0RMxfF4AaABAg</v>
      </c>
      <c r="O486">
        <v>0</v>
      </c>
      <c r="P486">
        <v>0</v>
      </c>
      <c r="Q486">
        <v>0</v>
      </c>
      <c r="S486">
        <v>0</v>
      </c>
      <c r="T486">
        <v>0</v>
      </c>
      <c r="U486">
        <v>0</v>
      </c>
      <c r="W486" t="s">
        <v>52</v>
      </c>
    </row>
    <row r="487" spans="1:23" x14ac:dyDescent="0.35">
      <c r="A487" t="s">
        <v>45</v>
      </c>
      <c r="B487" t="s">
        <v>1046</v>
      </c>
      <c r="C487" t="s">
        <v>60</v>
      </c>
      <c r="D487" t="s">
        <v>61</v>
      </c>
      <c r="E487" t="s">
        <v>61</v>
      </c>
      <c r="F487" t="s">
        <v>49</v>
      </c>
      <c r="G487" t="s">
        <v>1072</v>
      </c>
      <c r="H487" t="s">
        <v>1073</v>
      </c>
      <c r="J487" t="str">
        <f>HYPERLINK("https://www.facebook.com/634639855377280/posts/814811307360133?comment_id=380673874842234","https://www.facebook.com/634639855377280/posts/814811307360133?comment_id=380673874842234")</f>
        <v>https://www.facebook.com/634639855377280/posts/814811307360133?comment_id=380673874842234</v>
      </c>
      <c r="O487">
        <v>0</v>
      </c>
      <c r="P487">
        <v>0</v>
      </c>
      <c r="Q487">
        <v>0</v>
      </c>
      <c r="S487">
        <v>0</v>
      </c>
      <c r="T487">
        <v>0</v>
      </c>
      <c r="U487">
        <v>0</v>
      </c>
      <c r="W487" t="s">
        <v>52</v>
      </c>
    </row>
    <row r="488" spans="1:23" x14ac:dyDescent="0.35">
      <c r="A488" t="s">
        <v>45</v>
      </c>
      <c r="B488" t="s">
        <v>1046</v>
      </c>
      <c r="C488" t="s">
        <v>60</v>
      </c>
      <c r="D488" t="s">
        <v>61</v>
      </c>
      <c r="E488" t="s">
        <v>61</v>
      </c>
      <c r="F488" t="s">
        <v>54</v>
      </c>
      <c r="G488" t="s">
        <v>1074</v>
      </c>
      <c r="H488" t="s">
        <v>1075</v>
      </c>
      <c r="J488" t="str">
        <f>HYPERLINK("https://www.facebook.com/634639855377280/posts/814811307360133?comment_id=386913100872051","https://www.facebook.com/634639855377280/posts/814811307360133?comment_id=386913100872051")</f>
        <v>https://www.facebook.com/634639855377280/posts/814811307360133?comment_id=386913100872051</v>
      </c>
      <c r="O488">
        <v>0</v>
      </c>
      <c r="P488">
        <v>0</v>
      </c>
      <c r="Q488">
        <v>0</v>
      </c>
      <c r="S488">
        <v>0</v>
      </c>
      <c r="T488">
        <v>0</v>
      </c>
      <c r="U488">
        <v>0</v>
      </c>
      <c r="W488" t="s">
        <v>52</v>
      </c>
    </row>
    <row r="489" spans="1:23" x14ac:dyDescent="0.35">
      <c r="A489" t="s">
        <v>45</v>
      </c>
      <c r="B489" t="s">
        <v>1046</v>
      </c>
      <c r="C489" t="s">
        <v>60</v>
      </c>
      <c r="D489" t="s">
        <v>61</v>
      </c>
      <c r="E489" t="s">
        <v>61</v>
      </c>
      <c r="F489" t="s">
        <v>54</v>
      </c>
      <c r="G489" t="s">
        <v>1076</v>
      </c>
      <c r="H489" t="s">
        <v>1077</v>
      </c>
      <c r="J489" t="str">
        <f>HYPERLINK("https://www.facebook.com/634639855377280/posts/814811307360133?comment_id=1082746716148872","https://www.facebook.com/634639855377280/posts/814811307360133?comment_id=1082746716148872")</f>
        <v>https://www.facebook.com/634639855377280/posts/814811307360133?comment_id=1082746716148872</v>
      </c>
      <c r="O489">
        <v>0</v>
      </c>
      <c r="P489">
        <v>0</v>
      </c>
      <c r="Q489">
        <v>0</v>
      </c>
      <c r="S489">
        <v>0</v>
      </c>
      <c r="T489">
        <v>0</v>
      </c>
      <c r="U489">
        <v>0</v>
      </c>
      <c r="W489" t="s">
        <v>52</v>
      </c>
    </row>
    <row r="490" spans="1:23" x14ac:dyDescent="0.35">
      <c r="A490" t="s">
        <v>45</v>
      </c>
      <c r="B490" t="s">
        <v>1046</v>
      </c>
      <c r="C490" t="s">
        <v>60</v>
      </c>
      <c r="D490" t="s">
        <v>64</v>
      </c>
      <c r="E490" t="s">
        <v>64</v>
      </c>
      <c r="F490" t="s">
        <v>49</v>
      </c>
      <c r="G490" t="s">
        <v>1078</v>
      </c>
      <c r="H490" t="s">
        <v>1079</v>
      </c>
      <c r="J490" t="str">
        <f>HYPERLINK("https://www.facebook.com/634639855377280/posts/814811307360133","https://www.facebook.com/634639855377280/posts/814811307360133")</f>
        <v>https://www.facebook.com/634639855377280/posts/814811307360133</v>
      </c>
      <c r="O490">
        <v>0</v>
      </c>
      <c r="P490">
        <v>0</v>
      </c>
      <c r="Q490">
        <v>0</v>
      </c>
      <c r="S490">
        <v>8</v>
      </c>
      <c r="T490">
        <v>128</v>
      </c>
      <c r="U490">
        <v>12</v>
      </c>
      <c r="W490" t="s">
        <v>346</v>
      </c>
    </row>
    <row r="491" spans="1:23" x14ac:dyDescent="0.35">
      <c r="A491" t="s">
        <v>45</v>
      </c>
      <c r="B491" t="s">
        <v>1080</v>
      </c>
      <c r="C491" t="s">
        <v>47</v>
      </c>
      <c r="D491" t="s">
        <v>1081</v>
      </c>
      <c r="E491" t="s">
        <v>1081</v>
      </c>
      <c r="F491" t="s">
        <v>49</v>
      </c>
      <c r="G491" t="s">
        <v>1082</v>
      </c>
      <c r="H491" t="s">
        <v>1083</v>
      </c>
      <c r="J491" t="str">
        <f>HYPERLINK("https://www.youtube.com/watch?v=-_Y3df9Bpgc&amp;lc=UgwqePQaYr87oOReGVB4AaABAg","https://www.youtube.com/watch?v=-_Y3df9Bpgc&amp;lc=UgwqePQaYr87oOReGVB4AaABAg")</f>
        <v>https://www.youtube.com/watch?v=-_Y3df9Bpgc&amp;lc=UgwqePQaYr87oOReGVB4AaABAg</v>
      </c>
      <c r="O491">
        <v>0</v>
      </c>
      <c r="P491">
        <v>0</v>
      </c>
      <c r="Q491">
        <v>0</v>
      </c>
      <c r="S491">
        <v>0</v>
      </c>
      <c r="T491">
        <v>0</v>
      </c>
      <c r="U491">
        <v>0</v>
      </c>
      <c r="W491" t="s">
        <v>52</v>
      </c>
    </row>
    <row r="492" spans="1:23" x14ac:dyDescent="0.35">
      <c r="A492" t="s">
        <v>45</v>
      </c>
      <c r="B492" t="s">
        <v>1080</v>
      </c>
      <c r="C492" t="s">
        <v>47</v>
      </c>
      <c r="D492" t="s">
        <v>1016</v>
      </c>
      <c r="E492" t="s">
        <v>1016</v>
      </c>
      <c r="F492" t="s">
        <v>49</v>
      </c>
      <c r="G492" t="s">
        <v>1084</v>
      </c>
      <c r="H492" t="s">
        <v>1085</v>
      </c>
      <c r="J492" t="str">
        <f>HYPERLINK("https://www.youtube.com/watch?v=-_Y3df9Bpgc&amp;lc=UgxphRiRQY8bW2P4rgh4AaABAg","https://www.youtube.com/watch?v=-_Y3df9Bpgc&amp;lc=UgxphRiRQY8bW2P4rgh4AaABAg")</f>
        <v>https://www.youtube.com/watch?v=-_Y3df9Bpgc&amp;lc=UgxphRiRQY8bW2P4rgh4AaABAg</v>
      </c>
      <c r="O492">
        <v>0</v>
      </c>
      <c r="P492">
        <v>0</v>
      </c>
      <c r="Q492">
        <v>0</v>
      </c>
      <c r="S492">
        <v>0</v>
      </c>
      <c r="T492">
        <v>0</v>
      </c>
      <c r="U492">
        <v>0</v>
      </c>
      <c r="W492" t="s">
        <v>52</v>
      </c>
    </row>
    <row r="493" spans="1:23" x14ac:dyDescent="0.35">
      <c r="A493" t="s">
        <v>45</v>
      </c>
      <c r="B493" t="s">
        <v>1080</v>
      </c>
      <c r="C493" t="s">
        <v>60</v>
      </c>
      <c r="D493" t="s">
        <v>61</v>
      </c>
      <c r="E493" t="s">
        <v>61</v>
      </c>
      <c r="F493" t="s">
        <v>49</v>
      </c>
      <c r="G493" t="s">
        <v>1086</v>
      </c>
      <c r="H493" t="s">
        <v>1087</v>
      </c>
      <c r="J493" t="str">
        <f>HYPERLINK("https://www.facebook.com/634639855377280/posts/813665024141428?comment_id=719708513373557","https://www.facebook.com/634639855377280/posts/813665024141428?comment_id=719708513373557")</f>
        <v>https://www.facebook.com/634639855377280/posts/813665024141428?comment_id=719708513373557</v>
      </c>
      <c r="O493">
        <v>0</v>
      </c>
      <c r="P493">
        <v>0</v>
      </c>
      <c r="Q493">
        <v>0</v>
      </c>
      <c r="S493">
        <v>0</v>
      </c>
      <c r="T493">
        <v>0</v>
      </c>
      <c r="U493">
        <v>0</v>
      </c>
      <c r="W493" t="s">
        <v>52</v>
      </c>
    </row>
    <row r="494" spans="1:23" x14ac:dyDescent="0.35">
      <c r="A494" t="s">
        <v>45</v>
      </c>
      <c r="B494" t="s">
        <v>1080</v>
      </c>
      <c r="C494" t="s">
        <v>47</v>
      </c>
      <c r="D494" t="s">
        <v>846</v>
      </c>
      <c r="E494" t="s">
        <v>846</v>
      </c>
      <c r="F494" t="s">
        <v>54</v>
      </c>
      <c r="G494" t="s">
        <v>1088</v>
      </c>
      <c r="H494" t="s">
        <v>1089</v>
      </c>
      <c r="J494" t="str">
        <f>HYPERLINK("https://www.youtube.com/watch?v=-_Y3df9Bpgc&amp;lc=Ugzd_GbiN7s88xRM43V4AaABAg","https://www.youtube.com/watch?v=-_Y3df9Bpgc&amp;lc=Ugzd_GbiN7s88xRM43V4AaABAg")</f>
        <v>https://www.youtube.com/watch?v=-_Y3df9Bpgc&amp;lc=Ugzd_GbiN7s88xRM43V4AaABAg</v>
      </c>
      <c r="O494">
        <v>0</v>
      </c>
      <c r="P494">
        <v>0</v>
      </c>
      <c r="Q494">
        <v>0</v>
      </c>
      <c r="S494">
        <v>0</v>
      </c>
      <c r="T494">
        <v>0</v>
      </c>
      <c r="U494">
        <v>0</v>
      </c>
      <c r="W494" t="s">
        <v>52</v>
      </c>
    </row>
    <row r="495" spans="1:23" x14ac:dyDescent="0.35">
      <c r="A495" t="s">
        <v>45</v>
      </c>
      <c r="B495" t="s">
        <v>1080</v>
      </c>
      <c r="C495" t="s">
        <v>60</v>
      </c>
      <c r="D495" t="s">
        <v>61</v>
      </c>
      <c r="E495" t="s">
        <v>61</v>
      </c>
      <c r="F495" t="s">
        <v>49</v>
      </c>
      <c r="G495" t="s">
        <v>1090</v>
      </c>
      <c r="H495" t="s">
        <v>1091</v>
      </c>
      <c r="J495" t="str">
        <f>HYPERLINK("https://www.facebook.com/634639855377280/posts/813665024141428?comment_id=1403141580332266","https://www.facebook.com/634639855377280/posts/813665024141428?comment_id=1403141580332266")</f>
        <v>https://www.facebook.com/634639855377280/posts/813665024141428?comment_id=1403141580332266</v>
      </c>
      <c r="O495">
        <v>0</v>
      </c>
      <c r="P495">
        <v>0</v>
      </c>
      <c r="Q495">
        <v>0</v>
      </c>
      <c r="S495">
        <v>0</v>
      </c>
      <c r="T495">
        <v>0</v>
      </c>
      <c r="U495">
        <v>0</v>
      </c>
      <c r="W495" t="s">
        <v>52</v>
      </c>
    </row>
    <row r="496" spans="1:23" x14ac:dyDescent="0.35">
      <c r="A496" t="s">
        <v>45</v>
      </c>
      <c r="B496" t="s">
        <v>1080</v>
      </c>
      <c r="C496" t="s">
        <v>60</v>
      </c>
      <c r="D496" t="s">
        <v>61</v>
      </c>
      <c r="E496" t="s">
        <v>61</v>
      </c>
      <c r="F496" t="s">
        <v>49</v>
      </c>
      <c r="G496" t="s">
        <v>1092</v>
      </c>
      <c r="H496" t="s">
        <v>1093</v>
      </c>
      <c r="J496" t="str">
        <f>HYPERLINK("https://www.facebook.com/634639855377280/posts/813665024141428?comment_id=804472211573751&amp;reply_comment_id=1910830072652661","https://www.facebook.com/634639855377280/posts/813665024141428?comment_id=804472211573751&amp;reply_comment_id=1910830072652661")</f>
        <v>https://www.facebook.com/634639855377280/posts/813665024141428?comment_id=804472211573751&amp;reply_comment_id=1910830072652661</v>
      </c>
      <c r="O496">
        <v>0</v>
      </c>
      <c r="P496">
        <v>0</v>
      </c>
      <c r="Q496">
        <v>0</v>
      </c>
      <c r="S496">
        <v>0</v>
      </c>
      <c r="T496">
        <v>0</v>
      </c>
      <c r="U496">
        <v>0</v>
      </c>
      <c r="W496" t="s">
        <v>52</v>
      </c>
    </row>
    <row r="497" spans="1:23" x14ac:dyDescent="0.35">
      <c r="A497" t="s">
        <v>45</v>
      </c>
      <c r="B497" t="s">
        <v>1080</v>
      </c>
      <c r="C497" t="s">
        <v>47</v>
      </c>
      <c r="D497" t="s">
        <v>45</v>
      </c>
      <c r="E497" t="s">
        <v>45</v>
      </c>
      <c r="F497" t="s">
        <v>49</v>
      </c>
      <c r="G497" t="s">
        <v>1094</v>
      </c>
      <c r="H497" t="s">
        <v>1095</v>
      </c>
      <c r="J497" t="str">
        <f>HYPERLINK("https://www.youtube.com/watch?v=-_Y3df9Bpgc","https://www.youtube.com/watch?v=-_Y3df9Bpgc")</f>
        <v>https://www.youtube.com/watch?v=-_Y3df9Bpgc</v>
      </c>
      <c r="O497">
        <v>0</v>
      </c>
      <c r="P497">
        <v>0</v>
      </c>
      <c r="Q497">
        <v>0</v>
      </c>
      <c r="S497">
        <v>0</v>
      </c>
      <c r="T497">
        <v>0</v>
      </c>
      <c r="U497">
        <v>0</v>
      </c>
      <c r="W497" t="s">
        <v>346</v>
      </c>
    </row>
    <row r="498" spans="1:23" x14ac:dyDescent="0.35">
      <c r="A498" t="s">
        <v>45</v>
      </c>
      <c r="B498" t="s">
        <v>1080</v>
      </c>
      <c r="C498" t="s">
        <v>47</v>
      </c>
      <c r="D498" t="s">
        <v>1096</v>
      </c>
      <c r="E498" t="s">
        <v>1096</v>
      </c>
      <c r="F498" t="s">
        <v>49</v>
      </c>
      <c r="G498" t="s">
        <v>1097</v>
      </c>
      <c r="H498" t="s">
        <v>1098</v>
      </c>
      <c r="J498" t="str">
        <f>HYPERLINK("https://www.youtube.com/watch?v=RVtpJMJYdwA","https://www.youtube.com/watch?v=RVtpJMJYdwA")</f>
        <v>https://www.youtube.com/watch?v=RVtpJMJYdwA</v>
      </c>
      <c r="O498">
        <v>0</v>
      </c>
      <c r="P498">
        <v>0</v>
      </c>
      <c r="Q498">
        <v>0</v>
      </c>
      <c r="S498">
        <v>0</v>
      </c>
      <c r="T498">
        <v>0</v>
      </c>
      <c r="U498">
        <v>0</v>
      </c>
      <c r="W498" t="s">
        <v>346</v>
      </c>
    </row>
    <row r="499" spans="1:23" x14ac:dyDescent="0.35">
      <c r="A499" t="s">
        <v>45</v>
      </c>
      <c r="B499" t="s">
        <v>1080</v>
      </c>
      <c r="C499" t="s">
        <v>47</v>
      </c>
      <c r="D499" t="s">
        <v>1099</v>
      </c>
      <c r="E499" t="s">
        <v>1099</v>
      </c>
      <c r="F499" t="s">
        <v>49</v>
      </c>
      <c r="G499" t="s">
        <v>1100</v>
      </c>
      <c r="H499" t="s">
        <v>1101</v>
      </c>
      <c r="J499" t="str">
        <f>HYPERLINK("https://www.youtube.com/watch?v=eZM6KpJpw0Y&amp;lc=Ugw-jhmLJYQLn9jwCut4AaABAg.A195-Q8K2fgA1Muyf6ioBp","https://www.youtube.com/watch?v=eZM6KpJpw0Y&amp;lc=Ugw-jhmLJYQLn9jwCut4AaABAg.A195-Q8K2fgA1Muyf6ioBp")</f>
        <v>https://www.youtube.com/watch?v=eZM6KpJpw0Y&amp;lc=Ugw-jhmLJYQLn9jwCut4AaABAg.A195-Q8K2fgA1Muyf6ioBp</v>
      </c>
      <c r="O499">
        <v>0</v>
      </c>
      <c r="P499">
        <v>0</v>
      </c>
      <c r="Q499">
        <v>0</v>
      </c>
      <c r="S499">
        <v>0</v>
      </c>
      <c r="T499">
        <v>0</v>
      </c>
      <c r="U499">
        <v>0</v>
      </c>
      <c r="W499" t="s">
        <v>52</v>
      </c>
    </row>
    <row r="500" spans="1:23" x14ac:dyDescent="0.35">
      <c r="A500" t="s">
        <v>45</v>
      </c>
      <c r="B500" t="s">
        <v>1080</v>
      </c>
      <c r="C500" t="s">
        <v>60</v>
      </c>
      <c r="D500" t="s">
        <v>61</v>
      </c>
      <c r="E500" t="s">
        <v>61</v>
      </c>
      <c r="F500" t="s">
        <v>49</v>
      </c>
      <c r="G500" t="s">
        <v>1102</v>
      </c>
      <c r="H500" t="s">
        <v>1103</v>
      </c>
      <c r="J500" t="str">
        <f>HYPERLINK("https://www.facebook.com/634639855377280/posts/813665024141428?comment_id=291564010486757","https://www.facebook.com/634639855377280/posts/813665024141428?comment_id=291564010486757")</f>
        <v>https://www.facebook.com/634639855377280/posts/813665024141428?comment_id=291564010486757</v>
      </c>
      <c r="O500">
        <v>0</v>
      </c>
      <c r="P500">
        <v>0</v>
      </c>
      <c r="Q500">
        <v>0</v>
      </c>
      <c r="S500">
        <v>0</v>
      </c>
      <c r="T500">
        <v>0</v>
      </c>
      <c r="U500">
        <v>0</v>
      </c>
      <c r="W500" t="s">
        <v>52</v>
      </c>
    </row>
    <row r="501" spans="1:23" x14ac:dyDescent="0.35">
      <c r="A501" t="s">
        <v>45</v>
      </c>
      <c r="B501" t="s">
        <v>1080</v>
      </c>
      <c r="C501" t="s">
        <v>60</v>
      </c>
      <c r="D501" t="s">
        <v>64</v>
      </c>
      <c r="E501" t="s">
        <v>64</v>
      </c>
      <c r="F501" t="s">
        <v>49</v>
      </c>
      <c r="G501" t="s">
        <v>1032</v>
      </c>
      <c r="H501" t="s">
        <v>1104</v>
      </c>
      <c r="J501" t="str">
        <f>HYPERLINK("https://www.facebook.com/634639855377280/posts/813665024141428?comment_id=804472211573751&amp;reply_comment_id=1094581878446442","https://www.facebook.com/634639855377280/posts/813665024141428?comment_id=804472211573751&amp;reply_comment_id=1094581878446442")</f>
        <v>https://www.facebook.com/634639855377280/posts/813665024141428?comment_id=804472211573751&amp;reply_comment_id=1094581878446442</v>
      </c>
      <c r="K501" t="s">
        <v>67</v>
      </c>
      <c r="O501">
        <v>0</v>
      </c>
      <c r="P501">
        <v>0</v>
      </c>
      <c r="Q501">
        <v>0</v>
      </c>
      <c r="S501">
        <v>0</v>
      </c>
      <c r="T501">
        <v>0</v>
      </c>
      <c r="U501">
        <v>0</v>
      </c>
      <c r="W501" t="s">
        <v>52</v>
      </c>
    </row>
    <row r="502" spans="1:23" x14ac:dyDescent="0.35">
      <c r="A502" t="s">
        <v>45</v>
      </c>
      <c r="B502" t="s">
        <v>1080</v>
      </c>
      <c r="C502" t="s">
        <v>60</v>
      </c>
      <c r="D502" t="s">
        <v>64</v>
      </c>
      <c r="E502" t="s">
        <v>64</v>
      </c>
      <c r="F502" t="s">
        <v>49</v>
      </c>
      <c r="G502" t="s">
        <v>454</v>
      </c>
      <c r="H502" t="s">
        <v>1105</v>
      </c>
      <c r="J502" t="str">
        <f>HYPERLINK("https://www.facebook.com/634639855377280/posts/813665024141428?comment_id=968772368582134&amp;reply_comment_id=1108592453812704","https://www.facebook.com/634639855377280/posts/813665024141428?comment_id=968772368582134&amp;reply_comment_id=1108592453812704")</f>
        <v>https://www.facebook.com/634639855377280/posts/813665024141428?comment_id=968772368582134&amp;reply_comment_id=1108592453812704</v>
      </c>
      <c r="K502" t="s">
        <v>67</v>
      </c>
      <c r="O502">
        <v>0</v>
      </c>
      <c r="P502">
        <v>0</v>
      </c>
      <c r="Q502">
        <v>0</v>
      </c>
      <c r="S502">
        <v>0</v>
      </c>
      <c r="T502">
        <v>0</v>
      </c>
      <c r="U502">
        <v>0</v>
      </c>
      <c r="W502" t="s">
        <v>52</v>
      </c>
    </row>
    <row r="503" spans="1:23" x14ac:dyDescent="0.35">
      <c r="A503" t="s">
        <v>45</v>
      </c>
      <c r="B503" t="s">
        <v>1080</v>
      </c>
      <c r="C503" t="s">
        <v>47</v>
      </c>
      <c r="D503" t="s">
        <v>68</v>
      </c>
      <c r="E503" t="s">
        <v>68</v>
      </c>
      <c r="F503" t="s">
        <v>49</v>
      </c>
      <c r="G503" t="s">
        <v>1106</v>
      </c>
      <c r="H503" t="s">
        <v>1107</v>
      </c>
      <c r="J503" t="str">
        <f>HYPERLINK("https://www.youtube.com/watch?v=DJMPsDYdRYk&amp;lc=Ugx9nJRONJuik8dlcaF4AaABAg.A1Md6GdOh4tA1MsZCJtklR","https://www.youtube.com/watch?v=DJMPsDYdRYk&amp;lc=Ugx9nJRONJuik8dlcaF4AaABAg.A1Md6GdOh4tA1MsZCJtklR")</f>
        <v>https://www.youtube.com/watch?v=DJMPsDYdRYk&amp;lc=Ugx9nJRONJuik8dlcaF4AaABAg.A1Md6GdOh4tA1MsZCJtklR</v>
      </c>
      <c r="O503">
        <v>0</v>
      </c>
      <c r="P503">
        <v>0</v>
      </c>
      <c r="Q503">
        <v>0</v>
      </c>
      <c r="S503">
        <v>0</v>
      </c>
      <c r="T503">
        <v>0</v>
      </c>
      <c r="U503">
        <v>0</v>
      </c>
      <c r="W503" t="s">
        <v>52</v>
      </c>
    </row>
    <row r="504" spans="1:23" x14ac:dyDescent="0.35">
      <c r="A504" t="s">
        <v>45</v>
      </c>
      <c r="B504" t="s">
        <v>1080</v>
      </c>
      <c r="C504" t="s">
        <v>60</v>
      </c>
      <c r="D504" t="s">
        <v>61</v>
      </c>
      <c r="E504" t="s">
        <v>61</v>
      </c>
      <c r="F504" t="s">
        <v>49</v>
      </c>
      <c r="G504" t="s">
        <v>1108</v>
      </c>
      <c r="H504" t="s">
        <v>1109</v>
      </c>
      <c r="J504" t="str">
        <f>HYPERLINK("https://www.facebook.com/634639855377280/posts/813665024141428?comment_id=968772368582134&amp;reply_comment_id=830404618912498","https://www.facebook.com/634639855377280/posts/813665024141428?comment_id=968772368582134&amp;reply_comment_id=830404618912498")</f>
        <v>https://www.facebook.com/634639855377280/posts/813665024141428?comment_id=968772368582134&amp;reply_comment_id=830404618912498</v>
      </c>
      <c r="O504">
        <v>0</v>
      </c>
      <c r="P504">
        <v>0</v>
      </c>
      <c r="Q504">
        <v>0</v>
      </c>
      <c r="S504">
        <v>0</v>
      </c>
      <c r="T504">
        <v>0</v>
      </c>
      <c r="U504">
        <v>0</v>
      </c>
      <c r="W504" t="s">
        <v>52</v>
      </c>
    </row>
    <row r="505" spans="1:23" x14ac:dyDescent="0.35">
      <c r="A505" t="s">
        <v>45</v>
      </c>
      <c r="B505" t="s">
        <v>1080</v>
      </c>
      <c r="C505" t="s">
        <v>60</v>
      </c>
      <c r="D505" t="s">
        <v>61</v>
      </c>
      <c r="E505" t="s">
        <v>61</v>
      </c>
      <c r="F505" t="s">
        <v>49</v>
      </c>
      <c r="G505" t="s">
        <v>1110</v>
      </c>
      <c r="H505" t="s">
        <v>1111</v>
      </c>
      <c r="J505" t="str">
        <f>HYPERLINK("https://www.facebook.com/634639855377280/posts/813665024141428?comment_id=804472211573751&amp;reply_comment_id=2052627698427666","https://www.facebook.com/634639855377280/posts/813665024141428?comment_id=804472211573751&amp;reply_comment_id=2052627698427666")</f>
        <v>https://www.facebook.com/634639855377280/posts/813665024141428?comment_id=804472211573751&amp;reply_comment_id=2052627698427666</v>
      </c>
      <c r="O505">
        <v>0</v>
      </c>
      <c r="P505">
        <v>0</v>
      </c>
      <c r="Q505">
        <v>0</v>
      </c>
      <c r="S505">
        <v>0</v>
      </c>
      <c r="T505">
        <v>0</v>
      </c>
      <c r="U505">
        <v>0</v>
      </c>
      <c r="W505" t="s">
        <v>52</v>
      </c>
    </row>
    <row r="506" spans="1:23" x14ac:dyDescent="0.35">
      <c r="A506" t="s">
        <v>45</v>
      </c>
      <c r="B506" t="s">
        <v>1080</v>
      </c>
      <c r="C506" t="s">
        <v>60</v>
      </c>
      <c r="D506" t="s">
        <v>64</v>
      </c>
      <c r="E506" t="s">
        <v>64</v>
      </c>
      <c r="F506" t="s">
        <v>49</v>
      </c>
      <c r="G506" t="s">
        <v>454</v>
      </c>
      <c r="H506" t="s">
        <v>1112</v>
      </c>
      <c r="J506" t="str">
        <f>HYPERLINK("https://www.facebook.com/634639855377280/posts/813665024141428?comment_id=804472211573751&amp;reply_comment_id=1127309035063680","https://www.facebook.com/634639855377280/posts/813665024141428?comment_id=804472211573751&amp;reply_comment_id=1127309035063680")</f>
        <v>https://www.facebook.com/634639855377280/posts/813665024141428?comment_id=804472211573751&amp;reply_comment_id=1127309035063680</v>
      </c>
      <c r="K506" t="s">
        <v>67</v>
      </c>
      <c r="O506">
        <v>0</v>
      </c>
      <c r="P506">
        <v>0</v>
      </c>
      <c r="Q506">
        <v>0</v>
      </c>
      <c r="S506">
        <v>0</v>
      </c>
      <c r="T506">
        <v>0</v>
      </c>
      <c r="U506">
        <v>0</v>
      </c>
      <c r="W506" t="s">
        <v>52</v>
      </c>
    </row>
    <row r="507" spans="1:23" x14ac:dyDescent="0.35">
      <c r="A507" t="s">
        <v>45</v>
      </c>
      <c r="B507" t="s">
        <v>1080</v>
      </c>
      <c r="C507" t="s">
        <v>47</v>
      </c>
      <c r="D507" t="s">
        <v>1113</v>
      </c>
      <c r="E507" t="s">
        <v>1113</v>
      </c>
      <c r="F507" t="s">
        <v>49</v>
      </c>
      <c r="G507" t="s">
        <v>1114</v>
      </c>
      <c r="H507" t="s">
        <v>1115</v>
      </c>
      <c r="J507" t="str">
        <f>HYPERLINK("https://www.youtube.com/watch?v=DJMPsDYdRYk&amp;lc=Ugx9nJRONJuik8dlcaF4AaABAg","https://www.youtube.com/watch?v=DJMPsDYdRYk&amp;lc=Ugx9nJRONJuik8dlcaF4AaABAg")</f>
        <v>https://www.youtube.com/watch?v=DJMPsDYdRYk&amp;lc=Ugx9nJRONJuik8dlcaF4AaABAg</v>
      </c>
      <c r="O507">
        <v>0</v>
      </c>
      <c r="P507">
        <v>0</v>
      </c>
      <c r="Q507">
        <v>0</v>
      </c>
      <c r="S507">
        <v>0</v>
      </c>
      <c r="T507">
        <v>0</v>
      </c>
      <c r="U507">
        <v>0</v>
      </c>
      <c r="W507" t="s">
        <v>52</v>
      </c>
    </row>
    <row r="508" spans="1:23" x14ac:dyDescent="0.35">
      <c r="A508" t="s">
        <v>45</v>
      </c>
      <c r="B508" t="s">
        <v>1080</v>
      </c>
      <c r="C508" t="s">
        <v>60</v>
      </c>
      <c r="D508" t="s">
        <v>61</v>
      </c>
      <c r="E508" t="s">
        <v>61</v>
      </c>
      <c r="F508" t="s">
        <v>193</v>
      </c>
      <c r="G508" t="s">
        <v>1116</v>
      </c>
      <c r="H508" t="s">
        <v>1117</v>
      </c>
      <c r="J508" t="str">
        <f>HYPERLINK("https://www.facebook.com/634639855377280/posts/813665024141428?comment_id=804472211573751","https://www.facebook.com/634639855377280/posts/813665024141428?comment_id=804472211573751")</f>
        <v>https://www.facebook.com/634639855377280/posts/813665024141428?comment_id=804472211573751</v>
      </c>
      <c r="O508">
        <v>0</v>
      </c>
      <c r="P508">
        <v>0</v>
      </c>
      <c r="Q508">
        <v>0</v>
      </c>
      <c r="S508">
        <v>0</v>
      </c>
      <c r="T508">
        <v>0</v>
      </c>
      <c r="U508">
        <v>0</v>
      </c>
      <c r="W508" t="s">
        <v>52</v>
      </c>
    </row>
    <row r="509" spans="1:23" x14ac:dyDescent="0.35">
      <c r="A509" t="s">
        <v>45</v>
      </c>
      <c r="B509" t="s">
        <v>1080</v>
      </c>
      <c r="C509" t="s">
        <v>60</v>
      </c>
      <c r="D509" t="s">
        <v>64</v>
      </c>
      <c r="E509" t="s">
        <v>64</v>
      </c>
      <c r="F509" t="s">
        <v>49</v>
      </c>
      <c r="G509" t="s">
        <v>1118</v>
      </c>
      <c r="H509" t="s">
        <v>1119</v>
      </c>
      <c r="J509" t="str">
        <f>HYPERLINK("https://www.facebook.com/634639855377280/posts/812296230944974?comment_id=357511730611627&amp;reply_comment_id=1360257521355761","https://www.facebook.com/634639855377280/posts/812296230944974?comment_id=357511730611627&amp;reply_comment_id=1360257521355761")</f>
        <v>https://www.facebook.com/634639855377280/posts/812296230944974?comment_id=357511730611627&amp;reply_comment_id=1360257521355761</v>
      </c>
      <c r="K509" t="s">
        <v>67</v>
      </c>
      <c r="O509">
        <v>0</v>
      </c>
      <c r="P509">
        <v>0</v>
      </c>
      <c r="Q509">
        <v>0</v>
      </c>
      <c r="S509">
        <v>0</v>
      </c>
      <c r="T509">
        <v>0</v>
      </c>
      <c r="U509">
        <v>0</v>
      </c>
      <c r="W509" t="s">
        <v>52</v>
      </c>
    </row>
    <row r="510" spans="1:23" x14ac:dyDescent="0.35">
      <c r="A510" t="s">
        <v>45</v>
      </c>
      <c r="B510" t="s">
        <v>1080</v>
      </c>
      <c r="C510" t="s">
        <v>60</v>
      </c>
      <c r="D510" t="s">
        <v>61</v>
      </c>
      <c r="E510" t="s">
        <v>61</v>
      </c>
      <c r="F510" t="s">
        <v>49</v>
      </c>
      <c r="G510" t="s">
        <v>987</v>
      </c>
      <c r="H510" t="s">
        <v>1120</v>
      </c>
      <c r="J510" t="str">
        <f>HYPERLINK("https://www.facebook.com/634639855377280/posts/812296230944974?comment_id=357511730611627","https://www.facebook.com/634639855377280/posts/812296230944974?comment_id=357511730611627")</f>
        <v>https://www.facebook.com/634639855377280/posts/812296230944974?comment_id=357511730611627</v>
      </c>
      <c r="O510">
        <v>0</v>
      </c>
      <c r="P510">
        <v>0</v>
      </c>
      <c r="Q510">
        <v>0</v>
      </c>
      <c r="S510">
        <v>0</v>
      </c>
      <c r="T510">
        <v>0</v>
      </c>
      <c r="U510">
        <v>0</v>
      </c>
      <c r="W510" t="s">
        <v>52</v>
      </c>
    </row>
    <row r="511" spans="1:23" x14ac:dyDescent="0.35">
      <c r="A511" t="s">
        <v>45</v>
      </c>
      <c r="B511" t="s">
        <v>1080</v>
      </c>
      <c r="C511" t="s">
        <v>93</v>
      </c>
      <c r="D511" t="s">
        <v>94</v>
      </c>
      <c r="E511" t="s">
        <v>45</v>
      </c>
      <c r="F511" t="s">
        <v>49</v>
      </c>
      <c r="G511" t="s">
        <v>1121</v>
      </c>
      <c r="H511" t="s">
        <v>1122</v>
      </c>
      <c r="J511" t="str">
        <f>HYPERLINK("https://twitter.com/SpiceMoneyIndia/status/1771772924405379452","https://twitter.com/SpiceMoneyIndia/status/1771772924405379452")</f>
        <v>https://twitter.com/SpiceMoneyIndia/status/1771772924405379452</v>
      </c>
      <c r="K511" t="s">
        <v>67</v>
      </c>
      <c r="O511">
        <v>0</v>
      </c>
      <c r="P511">
        <v>0</v>
      </c>
      <c r="Q511">
        <v>6090</v>
      </c>
      <c r="R511" t="s">
        <v>97</v>
      </c>
      <c r="S511">
        <v>0</v>
      </c>
      <c r="T511">
        <v>0</v>
      </c>
      <c r="U511">
        <v>0</v>
      </c>
      <c r="V511" t="s">
        <v>98</v>
      </c>
      <c r="W511" t="s">
        <v>99</v>
      </c>
    </row>
    <row r="512" spans="1:23" x14ac:dyDescent="0.35">
      <c r="A512" t="s">
        <v>45</v>
      </c>
      <c r="B512" t="s">
        <v>1080</v>
      </c>
      <c r="C512" t="s">
        <v>60</v>
      </c>
      <c r="D512" t="s">
        <v>64</v>
      </c>
      <c r="E512" t="s">
        <v>64</v>
      </c>
      <c r="F512" t="s">
        <v>49</v>
      </c>
      <c r="G512" t="s">
        <v>824</v>
      </c>
      <c r="H512" t="s">
        <v>1123</v>
      </c>
      <c r="J512" t="str">
        <f>HYPERLINK("https://www.facebook.com/634639855377280/posts/813665024141428?comment_id=968772368582134&amp;reply_comment_id=841837381039147","https://www.facebook.com/634639855377280/posts/813665024141428?comment_id=968772368582134&amp;reply_comment_id=841837381039147")</f>
        <v>https://www.facebook.com/634639855377280/posts/813665024141428?comment_id=968772368582134&amp;reply_comment_id=841837381039147</v>
      </c>
      <c r="K512" t="s">
        <v>67</v>
      </c>
      <c r="O512">
        <v>0</v>
      </c>
      <c r="P512">
        <v>0</v>
      </c>
      <c r="Q512">
        <v>0</v>
      </c>
      <c r="S512">
        <v>0</v>
      </c>
      <c r="T512">
        <v>0</v>
      </c>
      <c r="U512">
        <v>0</v>
      </c>
      <c r="W512" t="s">
        <v>52</v>
      </c>
    </row>
    <row r="513" spans="1:23" x14ac:dyDescent="0.35">
      <c r="A513" t="s">
        <v>45</v>
      </c>
      <c r="B513" t="s">
        <v>1080</v>
      </c>
      <c r="C513" t="s">
        <v>60</v>
      </c>
      <c r="D513" t="s">
        <v>64</v>
      </c>
      <c r="E513" t="s">
        <v>64</v>
      </c>
      <c r="F513" t="s">
        <v>49</v>
      </c>
      <c r="G513" t="s">
        <v>1011</v>
      </c>
      <c r="H513" t="s">
        <v>1124</v>
      </c>
      <c r="J513" t="str">
        <f>HYPERLINK("https://www.facebook.com/634639855377280/posts/812296230944974?comment_id=427979956358972&amp;reply_comment_id=934178554815091","https://www.facebook.com/634639855377280/posts/812296230944974?comment_id=427979956358972&amp;reply_comment_id=934178554815091")</f>
        <v>https://www.facebook.com/634639855377280/posts/812296230944974?comment_id=427979956358972&amp;reply_comment_id=934178554815091</v>
      </c>
      <c r="K513" t="s">
        <v>67</v>
      </c>
      <c r="O513">
        <v>0</v>
      </c>
      <c r="P513">
        <v>0</v>
      </c>
      <c r="Q513">
        <v>0</v>
      </c>
      <c r="S513">
        <v>0</v>
      </c>
      <c r="T513">
        <v>0</v>
      </c>
      <c r="U513">
        <v>0</v>
      </c>
      <c r="W513" t="s">
        <v>52</v>
      </c>
    </row>
    <row r="514" spans="1:23" x14ac:dyDescent="0.35">
      <c r="A514" t="s">
        <v>45</v>
      </c>
      <c r="B514" t="s">
        <v>1080</v>
      </c>
      <c r="C514" t="s">
        <v>60</v>
      </c>
      <c r="D514" t="s">
        <v>61</v>
      </c>
      <c r="E514" t="s">
        <v>61</v>
      </c>
      <c r="F514" t="s">
        <v>49</v>
      </c>
      <c r="G514" t="s">
        <v>1125</v>
      </c>
      <c r="H514" t="s">
        <v>1126</v>
      </c>
      <c r="J514" t="str">
        <f>HYPERLINK("https://www.facebook.com/634639855377280/posts/812296230944974?comment_id=427979956358972","https://www.facebook.com/634639855377280/posts/812296230944974?comment_id=427979956358972")</f>
        <v>https://www.facebook.com/634639855377280/posts/812296230944974?comment_id=427979956358972</v>
      </c>
      <c r="O514">
        <v>0</v>
      </c>
      <c r="P514">
        <v>0</v>
      </c>
      <c r="Q514">
        <v>0</v>
      </c>
      <c r="S514">
        <v>0</v>
      </c>
      <c r="T514">
        <v>0</v>
      </c>
      <c r="U514">
        <v>0</v>
      </c>
      <c r="W514" t="s">
        <v>52</v>
      </c>
    </row>
    <row r="515" spans="1:23" x14ac:dyDescent="0.35">
      <c r="A515" t="s">
        <v>45</v>
      </c>
      <c r="B515" t="s">
        <v>1080</v>
      </c>
      <c r="C515" t="s">
        <v>93</v>
      </c>
      <c r="D515" t="s">
        <v>94</v>
      </c>
      <c r="E515" t="s">
        <v>45</v>
      </c>
      <c r="F515" t="s">
        <v>49</v>
      </c>
      <c r="G515" t="s">
        <v>1127</v>
      </c>
      <c r="H515" t="s">
        <v>1128</v>
      </c>
      <c r="J515" t="str">
        <f>HYPERLINK("https://twitter.com/SpiceMoneyIndia/status/1771767932453835032","https://twitter.com/SpiceMoneyIndia/status/1771767932453835032")</f>
        <v>https://twitter.com/SpiceMoneyIndia/status/1771767932453835032</v>
      </c>
      <c r="K515" t="s">
        <v>67</v>
      </c>
      <c r="O515">
        <v>0</v>
      </c>
      <c r="P515">
        <v>0</v>
      </c>
      <c r="Q515">
        <v>6090</v>
      </c>
      <c r="R515" t="s">
        <v>97</v>
      </c>
      <c r="S515">
        <v>0</v>
      </c>
      <c r="T515">
        <v>0</v>
      </c>
      <c r="U515">
        <v>0</v>
      </c>
      <c r="V515" t="s">
        <v>98</v>
      </c>
      <c r="W515" t="s">
        <v>99</v>
      </c>
    </row>
    <row r="516" spans="1:23" x14ac:dyDescent="0.35">
      <c r="A516" t="s">
        <v>45</v>
      </c>
      <c r="B516" t="s">
        <v>1080</v>
      </c>
      <c r="C516" t="s">
        <v>93</v>
      </c>
      <c r="D516" t="s">
        <v>94</v>
      </c>
      <c r="E516" t="s">
        <v>45</v>
      </c>
      <c r="F516" t="s">
        <v>49</v>
      </c>
      <c r="G516" t="s">
        <v>1129</v>
      </c>
      <c r="H516" t="s">
        <v>1130</v>
      </c>
      <c r="J516" t="str">
        <f>HYPERLINK("https://twitter.com/SpiceMoneyIndia/status/1771765994630852882","https://twitter.com/SpiceMoneyIndia/status/1771765994630852882")</f>
        <v>https://twitter.com/SpiceMoneyIndia/status/1771765994630852882</v>
      </c>
      <c r="K516" t="s">
        <v>67</v>
      </c>
      <c r="O516">
        <v>0</v>
      </c>
      <c r="P516">
        <v>0</v>
      </c>
      <c r="Q516">
        <v>6090</v>
      </c>
      <c r="R516" t="s">
        <v>97</v>
      </c>
      <c r="S516">
        <v>0</v>
      </c>
      <c r="T516">
        <v>0</v>
      </c>
      <c r="U516">
        <v>0</v>
      </c>
      <c r="V516" t="s">
        <v>98</v>
      </c>
      <c r="W516" t="s">
        <v>99</v>
      </c>
    </row>
    <row r="517" spans="1:23" x14ac:dyDescent="0.35">
      <c r="A517" t="s">
        <v>45</v>
      </c>
      <c r="B517" t="s">
        <v>1080</v>
      </c>
      <c r="C517" t="s">
        <v>93</v>
      </c>
      <c r="D517" t="s">
        <v>94</v>
      </c>
      <c r="E517" t="s">
        <v>45</v>
      </c>
      <c r="F517" t="s">
        <v>49</v>
      </c>
      <c r="G517" t="s">
        <v>1131</v>
      </c>
      <c r="H517" t="s">
        <v>1132</v>
      </c>
      <c r="J517" t="str">
        <f>HYPERLINK("https://twitter.com/SpiceMoneyIndia/status/1771764989721768421","https://twitter.com/SpiceMoneyIndia/status/1771764989721768421")</f>
        <v>https://twitter.com/SpiceMoneyIndia/status/1771764989721768421</v>
      </c>
      <c r="K517" t="s">
        <v>67</v>
      </c>
      <c r="O517">
        <v>0</v>
      </c>
      <c r="P517">
        <v>0</v>
      </c>
      <c r="Q517">
        <v>6090</v>
      </c>
      <c r="R517" t="s">
        <v>97</v>
      </c>
      <c r="S517">
        <v>0</v>
      </c>
      <c r="T517">
        <v>0</v>
      </c>
      <c r="U517">
        <v>0</v>
      </c>
      <c r="V517" t="s">
        <v>98</v>
      </c>
      <c r="W517" t="s">
        <v>99</v>
      </c>
    </row>
    <row r="518" spans="1:23" x14ac:dyDescent="0.35">
      <c r="A518" t="s">
        <v>45</v>
      </c>
      <c r="B518" t="s">
        <v>1080</v>
      </c>
      <c r="C518" t="s">
        <v>93</v>
      </c>
      <c r="D518" t="s">
        <v>94</v>
      </c>
      <c r="E518" t="s">
        <v>45</v>
      </c>
      <c r="F518" t="s">
        <v>49</v>
      </c>
      <c r="G518" t="s">
        <v>1133</v>
      </c>
      <c r="H518" t="s">
        <v>1134</v>
      </c>
      <c r="J518" t="str">
        <f>HYPERLINK("https://twitter.com/SpiceMoneyIndia/status/1771761479655608391","https://twitter.com/SpiceMoneyIndia/status/1771761479655608391")</f>
        <v>https://twitter.com/SpiceMoneyIndia/status/1771761479655608391</v>
      </c>
      <c r="K518" t="s">
        <v>67</v>
      </c>
      <c r="O518">
        <v>0</v>
      </c>
      <c r="P518">
        <v>0</v>
      </c>
      <c r="Q518">
        <v>6090</v>
      </c>
      <c r="R518" t="s">
        <v>97</v>
      </c>
      <c r="S518">
        <v>0</v>
      </c>
      <c r="T518">
        <v>0</v>
      </c>
      <c r="U518">
        <v>0</v>
      </c>
      <c r="V518" t="s">
        <v>98</v>
      </c>
      <c r="W518" t="s">
        <v>99</v>
      </c>
    </row>
    <row r="519" spans="1:23" x14ac:dyDescent="0.35">
      <c r="A519" t="s">
        <v>45</v>
      </c>
      <c r="B519" t="s">
        <v>1080</v>
      </c>
      <c r="C519" t="s">
        <v>60</v>
      </c>
      <c r="D519" t="s">
        <v>64</v>
      </c>
      <c r="E519" t="s">
        <v>64</v>
      </c>
      <c r="F519" t="s">
        <v>49</v>
      </c>
      <c r="G519" t="s">
        <v>162</v>
      </c>
      <c r="H519" t="s">
        <v>1135</v>
      </c>
      <c r="J519" t="str">
        <f>HYPERLINK("https://www.facebook.com/634639855377280/posts/812296230944974?comment_id=961286652259164&amp;reply_comment_id=432255769163475","https://www.facebook.com/634639855377280/posts/812296230944974?comment_id=961286652259164&amp;reply_comment_id=432255769163475")</f>
        <v>https://www.facebook.com/634639855377280/posts/812296230944974?comment_id=961286652259164&amp;reply_comment_id=432255769163475</v>
      </c>
      <c r="K519" t="s">
        <v>67</v>
      </c>
      <c r="O519">
        <v>0</v>
      </c>
      <c r="P519">
        <v>0</v>
      </c>
      <c r="Q519">
        <v>0</v>
      </c>
      <c r="S519">
        <v>0</v>
      </c>
      <c r="T519">
        <v>0</v>
      </c>
      <c r="U519">
        <v>0</v>
      </c>
      <c r="W519" t="s">
        <v>52</v>
      </c>
    </row>
    <row r="520" spans="1:23" x14ac:dyDescent="0.35">
      <c r="A520" t="s">
        <v>45</v>
      </c>
      <c r="B520" t="s">
        <v>1080</v>
      </c>
      <c r="C520" t="s">
        <v>93</v>
      </c>
      <c r="D520" t="s">
        <v>722</v>
      </c>
      <c r="E520" t="s">
        <v>723</v>
      </c>
      <c r="F520" t="s">
        <v>49</v>
      </c>
      <c r="G520" t="s">
        <v>1136</v>
      </c>
      <c r="H520" t="s">
        <v>1137</v>
      </c>
      <c r="J520" t="str">
        <f>HYPERLINK("https://twitter.com/Mohit_5355/status/1771757088194117724","https://twitter.com/Mohit_5355/status/1771757088194117724")</f>
        <v>https://twitter.com/Mohit_5355/status/1771757088194117724</v>
      </c>
      <c r="K520" t="s">
        <v>67</v>
      </c>
      <c r="O520">
        <v>0</v>
      </c>
      <c r="P520">
        <v>0</v>
      </c>
      <c r="Q520">
        <v>4</v>
      </c>
      <c r="S520">
        <v>0</v>
      </c>
      <c r="T520">
        <v>0</v>
      </c>
      <c r="U520">
        <v>0</v>
      </c>
      <c r="W520" t="s">
        <v>99</v>
      </c>
    </row>
    <row r="521" spans="1:23" x14ac:dyDescent="0.35">
      <c r="A521" t="s">
        <v>45</v>
      </c>
      <c r="B521" t="s">
        <v>1080</v>
      </c>
      <c r="C521" t="s">
        <v>93</v>
      </c>
      <c r="D521" t="s">
        <v>94</v>
      </c>
      <c r="E521" t="s">
        <v>45</v>
      </c>
      <c r="F521" t="s">
        <v>49</v>
      </c>
      <c r="G521" t="s">
        <v>1127</v>
      </c>
      <c r="H521" t="s">
        <v>1138</v>
      </c>
      <c r="J521" t="str">
        <f>HYPERLINK("https://twitter.com/SpiceMoneyIndia/status/1771756741866205423","https://twitter.com/SpiceMoneyIndia/status/1771756741866205423")</f>
        <v>https://twitter.com/SpiceMoneyIndia/status/1771756741866205423</v>
      </c>
      <c r="K521" t="s">
        <v>67</v>
      </c>
      <c r="O521">
        <v>0</v>
      </c>
      <c r="P521">
        <v>0</v>
      </c>
      <c r="Q521">
        <v>6090</v>
      </c>
      <c r="R521" t="s">
        <v>97</v>
      </c>
      <c r="S521">
        <v>0</v>
      </c>
      <c r="T521">
        <v>0</v>
      </c>
      <c r="U521">
        <v>0</v>
      </c>
      <c r="V521" t="s">
        <v>98</v>
      </c>
      <c r="W521" t="s">
        <v>99</v>
      </c>
    </row>
    <row r="522" spans="1:23" x14ac:dyDescent="0.35">
      <c r="A522" t="s">
        <v>45</v>
      </c>
      <c r="B522" t="s">
        <v>1080</v>
      </c>
      <c r="C522" t="s">
        <v>47</v>
      </c>
      <c r="D522" t="s">
        <v>68</v>
      </c>
      <c r="E522" t="s">
        <v>68</v>
      </c>
      <c r="F522" t="s">
        <v>49</v>
      </c>
      <c r="G522" t="s">
        <v>293</v>
      </c>
      <c r="H522" t="s">
        <v>1139</v>
      </c>
      <c r="J522" t="str">
        <f>HYPERLINK("https://www.youtube.com/watch?v=v2B6zy7K-iI&amp;lc=UgxQJEaMaNqJqLNMqnV4AaABAg.A1HfhGJKZkqA1M08CLxACj","https://www.youtube.com/watch?v=v2B6zy7K-iI&amp;lc=UgxQJEaMaNqJqLNMqnV4AaABAg.A1HfhGJKZkqA1M08CLxACj")</f>
        <v>https://www.youtube.com/watch?v=v2B6zy7K-iI&amp;lc=UgxQJEaMaNqJqLNMqnV4AaABAg.A1HfhGJKZkqA1M08CLxACj</v>
      </c>
      <c r="O522">
        <v>0</v>
      </c>
      <c r="P522">
        <v>0</v>
      </c>
      <c r="Q522">
        <v>0</v>
      </c>
      <c r="S522">
        <v>0</v>
      </c>
      <c r="T522">
        <v>0</v>
      </c>
      <c r="U522">
        <v>0</v>
      </c>
      <c r="W522" t="s">
        <v>52</v>
      </c>
    </row>
    <row r="523" spans="1:23" x14ac:dyDescent="0.35">
      <c r="A523" t="s">
        <v>45</v>
      </c>
      <c r="B523" t="s">
        <v>1080</v>
      </c>
      <c r="C523" t="s">
        <v>60</v>
      </c>
      <c r="D523" t="s">
        <v>61</v>
      </c>
      <c r="E523" t="s">
        <v>61</v>
      </c>
      <c r="F523" t="s">
        <v>193</v>
      </c>
      <c r="G523" t="s">
        <v>1140</v>
      </c>
      <c r="H523" t="s">
        <v>1141</v>
      </c>
      <c r="J523" t="str">
        <f>HYPERLINK("https://www.facebook.com/634639855377280/posts/813665024141428?comment_id=968772368582134","https://www.facebook.com/634639855377280/posts/813665024141428?comment_id=968772368582134")</f>
        <v>https://www.facebook.com/634639855377280/posts/813665024141428?comment_id=968772368582134</v>
      </c>
      <c r="O523">
        <v>0</v>
      </c>
      <c r="P523">
        <v>0</v>
      </c>
      <c r="Q523">
        <v>0</v>
      </c>
      <c r="S523">
        <v>0</v>
      </c>
      <c r="T523">
        <v>0</v>
      </c>
      <c r="U523">
        <v>0</v>
      </c>
      <c r="W523" t="s">
        <v>52</v>
      </c>
    </row>
    <row r="524" spans="1:23" x14ac:dyDescent="0.35">
      <c r="A524" t="s">
        <v>45</v>
      </c>
      <c r="B524" t="s">
        <v>1142</v>
      </c>
      <c r="C524" t="s">
        <v>93</v>
      </c>
      <c r="D524" t="s">
        <v>1143</v>
      </c>
      <c r="E524" t="s">
        <v>1144</v>
      </c>
      <c r="F524" t="s">
        <v>49</v>
      </c>
      <c r="G524" t="s">
        <v>1145</v>
      </c>
      <c r="H524" t="s">
        <v>1146</v>
      </c>
      <c r="J524" t="str">
        <f>HYPERLINK("https://twitter.com/VirendraYa7136/status/1771547335018913939","https://twitter.com/VirendraYa7136/status/1771547335018913939")</f>
        <v>https://twitter.com/VirendraYa7136/status/1771547335018913939</v>
      </c>
      <c r="K524" t="s">
        <v>67</v>
      </c>
      <c r="O524">
        <v>0</v>
      </c>
      <c r="P524">
        <v>0</v>
      </c>
      <c r="Q524">
        <v>0</v>
      </c>
      <c r="S524">
        <v>0</v>
      </c>
      <c r="T524">
        <v>0</v>
      </c>
      <c r="U524">
        <v>0</v>
      </c>
      <c r="W524" t="s">
        <v>99</v>
      </c>
    </row>
    <row r="525" spans="1:23" x14ac:dyDescent="0.35">
      <c r="A525" t="s">
        <v>45</v>
      </c>
      <c r="B525" t="s">
        <v>1142</v>
      </c>
      <c r="C525" t="s">
        <v>93</v>
      </c>
      <c r="D525" t="s">
        <v>1143</v>
      </c>
      <c r="E525" t="s">
        <v>1144</v>
      </c>
      <c r="F525" t="s">
        <v>49</v>
      </c>
      <c r="G525" t="s">
        <v>1147</v>
      </c>
      <c r="H525" t="s">
        <v>1148</v>
      </c>
      <c r="J525" t="str">
        <f>HYPERLINK("https://twitter.com/VirendraYa7136/status/1771544840301400262","https://twitter.com/VirendraYa7136/status/1771544840301400262")</f>
        <v>https://twitter.com/VirendraYa7136/status/1771544840301400262</v>
      </c>
      <c r="K525" t="s">
        <v>67</v>
      </c>
      <c r="O525">
        <v>0</v>
      </c>
      <c r="P525">
        <v>0</v>
      </c>
      <c r="Q525">
        <v>0</v>
      </c>
      <c r="S525">
        <v>0</v>
      </c>
      <c r="T525">
        <v>0</v>
      </c>
      <c r="U525">
        <v>0</v>
      </c>
      <c r="W525" t="s">
        <v>99</v>
      </c>
    </row>
    <row r="526" spans="1:23" x14ac:dyDescent="0.35">
      <c r="A526" t="s">
        <v>45</v>
      </c>
      <c r="B526" t="s">
        <v>1142</v>
      </c>
      <c r="C526" t="s">
        <v>93</v>
      </c>
      <c r="D526" t="s">
        <v>762</v>
      </c>
      <c r="E526" t="s">
        <v>763</v>
      </c>
      <c r="F526" t="s">
        <v>49</v>
      </c>
      <c r="G526" t="s">
        <v>1149</v>
      </c>
      <c r="H526" t="s">
        <v>1150</v>
      </c>
      <c r="J526" t="str">
        <f>HYPERLINK("https://twitter.com/jitendra261988/status/1771538635545887212","https://twitter.com/jitendra261988/status/1771538635545887212")</f>
        <v>https://twitter.com/jitendra261988/status/1771538635545887212</v>
      </c>
      <c r="K526" t="s">
        <v>67</v>
      </c>
      <c r="O526">
        <v>0</v>
      </c>
      <c r="P526">
        <v>0</v>
      </c>
      <c r="Q526">
        <v>18</v>
      </c>
      <c r="S526">
        <v>0</v>
      </c>
      <c r="T526">
        <v>0</v>
      </c>
      <c r="U526">
        <v>0</v>
      </c>
      <c r="W526" t="s">
        <v>99</v>
      </c>
    </row>
    <row r="527" spans="1:23" x14ac:dyDescent="0.35">
      <c r="A527" t="s">
        <v>45</v>
      </c>
      <c r="B527" t="s">
        <v>1142</v>
      </c>
      <c r="C527" t="s">
        <v>93</v>
      </c>
      <c r="D527" t="s">
        <v>762</v>
      </c>
      <c r="E527" t="s">
        <v>763</v>
      </c>
      <c r="F527" t="s">
        <v>49</v>
      </c>
      <c r="G527" t="s">
        <v>1151</v>
      </c>
      <c r="H527" t="s">
        <v>1152</v>
      </c>
      <c r="J527" t="str">
        <f>HYPERLINK("https://twitter.com/jitendra261988/status/1771538158510850497","https://twitter.com/jitendra261988/status/1771538158510850497")</f>
        <v>https://twitter.com/jitendra261988/status/1771538158510850497</v>
      </c>
      <c r="K527" t="s">
        <v>67</v>
      </c>
      <c r="O527">
        <v>0</v>
      </c>
      <c r="P527">
        <v>0</v>
      </c>
      <c r="Q527">
        <v>18</v>
      </c>
      <c r="S527">
        <v>0</v>
      </c>
      <c r="T527">
        <v>0</v>
      </c>
      <c r="U527">
        <v>0</v>
      </c>
      <c r="W527" t="s">
        <v>99</v>
      </c>
    </row>
    <row r="528" spans="1:23" x14ac:dyDescent="0.35">
      <c r="A528" t="s">
        <v>45</v>
      </c>
      <c r="B528" t="s">
        <v>1142</v>
      </c>
      <c r="C528" t="s">
        <v>93</v>
      </c>
      <c r="D528" t="s">
        <v>752</v>
      </c>
      <c r="E528" t="s">
        <v>753</v>
      </c>
      <c r="F528" t="s">
        <v>49</v>
      </c>
      <c r="G528" t="s">
        <v>1153</v>
      </c>
      <c r="H528" t="s">
        <v>1154</v>
      </c>
      <c r="J528" t="str">
        <f>HYPERLINK("https://twitter.com/PayNearby/status/1771473888326590743","https://twitter.com/PayNearby/status/1771473888326590743")</f>
        <v>https://twitter.com/PayNearby/status/1771473888326590743</v>
      </c>
      <c r="O528">
        <v>0</v>
      </c>
      <c r="P528">
        <v>0</v>
      </c>
      <c r="Q528">
        <v>6036</v>
      </c>
      <c r="R528" t="s">
        <v>756</v>
      </c>
      <c r="S528">
        <v>0</v>
      </c>
      <c r="T528">
        <v>0</v>
      </c>
      <c r="U528">
        <v>0</v>
      </c>
      <c r="W528" t="s">
        <v>99</v>
      </c>
    </row>
    <row r="529" spans="1:23" x14ac:dyDescent="0.35">
      <c r="A529" t="s">
        <v>45</v>
      </c>
      <c r="B529" t="s">
        <v>1142</v>
      </c>
      <c r="C529" t="s">
        <v>47</v>
      </c>
      <c r="D529" t="s">
        <v>45</v>
      </c>
      <c r="E529" t="s">
        <v>45</v>
      </c>
      <c r="F529" t="s">
        <v>49</v>
      </c>
      <c r="G529" t="s">
        <v>1094</v>
      </c>
      <c r="H529" t="s">
        <v>1155</v>
      </c>
      <c r="J529" t="str">
        <f>HYPERLINK("https://www.youtube.com/watch?v=-_Y3df9Bpgc","https://www.youtube.com/watch?v=-_Y3df9Bpgc")</f>
        <v>https://www.youtube.com/watch?v=-_Y3df9Bpgc</v>
      </c>
      <c r="O529">
        <v>0</v>
      </c>
      <c r="P529">
        <v>0</v>
      </c>
      <c r="Q529">
        <v>0</v>
      </c>
      <c r="S529">
        <v>0</v>
      </c>
      <c r="T529">
        <v>0</v>
      </c>
      <c r="U529">
        <v>0</v>
      </c>
      <c r="W529" t="s">
        <v>346</v>
      </c>
    </row>
    <row r="530" spans="1:23" x14ac:dyDescent="0.35">
      <c r="A530" t="s">
        <v>45</v>
      </c>
      <c r="B530" t="s">
        <v>1142</v>
      </c>
      <c r="C530" t="s">
        <v>60</v>
      </c>
      <c r="D530" t="s">
        <v>61</v>
      </c>
      <c r="E530" t="s">
        <v>61</v>
      </c>
      <c r="F530" t="s">
        <v>49</v>
      </c>
      <c r="G530" t="s">
        <v>1156</v>
      </c>
      <c r="H530" t="s">
        <v>1157</v>
      </c>
      <c r="J530" t="str">
        <f>HYPERLINK("https://www.facebook.com/634639855377280/posts/813665024141428?comment_id=1512094729662050","https://www.facebook.com/634639855377280/posts/813665024141428?comment_id=1512094729662050")</f>
        <v>https://www.facebook.com/634639855377280/posts/813665024141428?comment_id=1512094729662050</v>
      </c>
      <c r="O530">
        <v>0</v>
      </c>
      <c r="P530">
        <v>0</v>
      </c>
      <c r="Q530">
        <v>0</v>
      </c>
      <c r="S530">
        <v>0</v>
      </c>
      <c r="T530">
        <v>0</v>
      </c>
      <c r="U530">
        <v>0</v>
      </c>
      <c r="W530" t="s">
        <v>52</v>
      </c>
    </row>
    <row r="531" spans="1:23" x14ac:dyDescent="0.35">
      <c r="A531" t="s">
        <v>45</v>
      </c>
      <c r="B531" t="s">
        <v>1142</v>
      </c>
      <c r="C531" t="s">
        <v>60</v>
      </c>
      <c r="D531" t="s">
        <v>64</v>
      </c>
      <c r="E531" t="s">
        <v>64</v>
      </c>
      <c r="F531" t="s">
        <v>49</v>
      </c>
      <c r="G531" t="s">
        <v>1158</v>
      </c>
      <c r="H531" t="s">
        <v>1159</v>
      </c>
      <c r="J531" t="str">
        <f>HYPERLINK("https://www.facebook.com/634639855377280/posts/813665024141428","https://www.facebook.com/634639855377280/posts/813665024141428")</f>
        <v>https://www.facebook.com/634639855377280/posts/813665024141428</v>
      </c>
      <c r="O531">
        <v>0</v>
      </c>
      <c r="P531">
        <v>0</v>
      </c>
      <c r="Q531">
        <v>0</v>
      </c>
      <c r="S531">
        <v>10</v>
      </c>
      <c r="T531">
        <v>109</v>
      </c>
      <c r="U531">
        <v>4</v>
      </c>
      <c r="W531" t="s">
        <v>346</v>
      </c>
    </row>
    <row r="532" spans="1:23" x14ac:dyDescent="0.35">
      <c r="A532" t="s">
        <v>45</v>
      </c>
      <c r="B532" t="s">
        <v>1142</v>
      </c>
      <c r="C532" t="s">
        <v>93</v>
      </c>
      <c r="D532" t="s">
        <v>762</v>
      </c>
      <c r="E532" t="s">
        <v>763</v>
      </c>
      <c r="F532" t="s">
        <v>49</v>
      </c>
      <c r="G532" t="s">
        <v>1160</v>
      </c>
      <c r="H532" t="s">
        <v>1161</v>
      </c>
      <c r="J532" t="str">
        <f>HYPERLINK("https://twitter.com/jitendra261988/status/1771402470373429540","https://twitter.com/jitendra261988/status/1771402470373429540")</f>
        <v>https://twitter.com/jitendra261988/status/1771402470373429540</v>
      </c>
      <c r="K532" t="s">
        <v>67</v>
      </c>
      <c r="O532">
        <v>0</v>
      </c>
      <c r="P532">
        <v>0</v>
      </c>
      <c r="Q532">
        <v>19</v>
      </c>
      <c r="S532">
        <v>0</v>
      </c>
      <c r="T532">
        <v>0</v>
      </c>
      <c r="U532">
        <v>0</v>
      </c>
      <c r="W532" t="s">
        <v>99</v>
      </c>
    </row>
    <row r="533" spans="1:23" x14ac:dyDescent="0.35">
      <c r="A533" t="s">
        <v>45</v>
      </c>
      <c r="B533" t="s">
        <v>1142</v>
      </c>
      <c r="C533" t="s">
        <v>93</v>
      </c>
      <c r="D533" t="s">
        <v>722</v>
      </c>
      <c r="E533" t="s">
        <v>723</v>
      </c>
      <c r="F533" t="s">
        <v>193</v>
      </c>
      <c r="G533" t="s">
        <v>1162</v>
      </c>
      <c r="H533" t="s">
        <v>1163</v>
      </c>
      <c r="J533" t="str">
        <f>HYPERLINK("https://twitter.com/Mohit_5355/status/1771357828823056561","https://twitter.com/Mohit_5355/status/1771357828823056561")</f>
        <v>https://twitter.com/Mohit_5355/status/1771357828823056561</v>
      </c>
      <c r="K533" t="s">
        <v>67</v>
      </c>
      <c r="O533">
        <v>0</v>
      </c>
      <c r="P533">
        <v>0</v>
      </c>
      <c r="Q533">
        <v>4</v>
      </c>
      <c r="S533">
        <v>0</v>
      </c>
      <c r="T533">
        <v>0</v>
      </c>
      <c r="U533">
        <v>0</v>
      </c>
      <c r="W533" t="s">
        <v>99</v>
      </c>
    </row>
    <row r="534" spans="1:23" x14ac:dyDescent="0.35">
      <c r="A534" t="s">
        <v>45</v>
      </c>
      <c r="B534" t="s">
        <v>1142</v>
      </c>
      <c r="C534" t="s">
        <v>93</v>
      </c>
      <c r="D534" t="s">
        <v>722</v>
      </c>
      <c r="E534" t="s">
        <v>723</v>
      </c>
      <c r="F534" t="s">
        <v>49</v>
      </c>
      <c r="G534" t="s">
        <v>724</v>
      </c>
      <c r="H534" t="s">
        <v>1164</v>
      </c>
      <c r="J534" t="str">
        <f>HYPERLINK("https://twitter.com/Mohit_5355/status/1771352478346616894","https://twitter.com/Mohit_5355/status/1771352478346616894")</f>
        <v>https://twitter.com/Mohit_5355/status/1771352478346616894</v>
      </c>
      <c r="K534" t="s">
        <v>67</v>
      </c>
      <c r="O534">
        <v>0</v>
      </c>
      <c r="P534">
        <v>0</v>
      </c>
      <c r="Q534">
        <v>4</v>
      </c>
      <c r="S534">
        <v>0</v>
      </c>
      <c r="T534">
        <v>0</v>
      </c>
      <c r="U534">
        <v>0</v>
      </c>
      <c r="W534" t="s">
        <v>99</v>
      </c>
    </row>
    <row r="535" spans="1:23" x14ac:dyDescent="0.35">
      <c r="A535" t="s">
        <v>45</v>
      </c>
      <c r="B535" t="s">
        <v>1165</v>
      </c>
      <c r="C535" t="s">
        <v>60</v>
      </c>
      <c r="D535" t="s">
        <v>61</v>
      </c>
      <c r="E535" t="s">
        <v>61</v>
      </c>
      <c r="F535" t="s">
        <v>49</v>
      </c>
      <c r="G535" t="s">
        <v>1166</v>
      </c>
      <c r="H535" t="s">
        <v>1167</v>
      </c>
      <c r="J535" t="str">
        <f>HYPERLINK("https://www.facebook.com/634639855377280/posts/812296230944974?comment_id=434960818934593","https://www.facebook.com/634639855377280/posts/812296230944974?comment_id=434960818934593")</f>
        <v>https://www.facebook.com/634639855377280/posts/812296230944974?comment_id=434960818934593</v>
      </c>
      <c r="O535">
        <v>0</v>
      </c>
      <c r="P535">
        <v>0</v>
      </c>
      <c r="Q535">
        <v>0</v>
      </c>
      <c r="S535">
        <v>0</v>
      </c>
      <c r="T535">
        <v>0</v>
      </c>
      <c r="U535">
        <v>0</v>
      </c>
      <c r="W535" t="s">
        <v>52</v>
      </c>
    </row>
    <row r="536" spans="1:23" x14ac:dyDescent="0.35">
      <c r="A536" t="s">
        <v>45</v>
      </c>
      <c r="B536" t="s">
        <v>1165</v>
      </c>
      <c r="C536" t="s">
        <v>60</v>
      </c>
      <c r="D536" t="s">
        <v>61</v>
      </c>
      <c r="E536" t="s">
        <v>61</v>
      </c>
      <c r="F536" t="s">
        <v>54</v>
      </c>
      <c r="G536" t="s">
        <v>1168</v>
      </c>
      <c r="H536" t="s">
        <v>1169</v>
      </c>
      <c r="J536" t="str">
        <f>HYPERLINK("https://www.facebook.com/634639855377280/posts/812296230944974?comment_id=961286652259164","https://www.facebook.com/634639855377280/posts/812296230944974?comment_id=961286652259164")</f>
        <v>https://www.facebook.com/634639855377280/posts/812296230944974?comment_id=961286652259164</v>
      </c>
      <c r="O536">
        <v>0</v>
      </c>
      <c r="P536">
        <v>0</v>
      </c>
      <c r="Q536">
        <v>0</v>
      </c>
      <c r="S536">
        <v>0</v>
      </c>
      <c r="T536">
        <v>0</v>
      </c>
      <c r="U536">
        <v>0</v>
      </c>
      <c r="W536" t="s">
        <v>52</v>
      </c>
    </row>
    <row r="537" spans="1:23" x14ac:dyDescent="0.35">
      <c r="A537" t="s">
        <v>45</v>
      </c>
      <c r="B537" t="s">
        <v>1165</v>
      </c>
      <c r="C537" t="s">
        <v>93</v>
      </c>
      <c r="D537" t="s">
        <v>1143</v>
      </c>
      <c r="E537" t="s">
        <v>1144</v>
      </c>
      <c r="F537" t="s">
        <v>54</v>
      </c>
      <c r="G537" t="s">
        <v>1170</v>
      </c>
      <c r="H537" t="s">
        <v>1171</v>
      </c>
      <c r="J537" t="str">
        <f>HYPERLINK("https://twitter.com/VirendraYa7136/status/1771215539676823875","https://twitter.com/VirendraYa7136/status/1771215539676823875")</f>
        <v>https://twitter.com/VirendraYa7136/status/1771215539676823875</v>
      </c>
      <c r="K537" t="s">
        <v>67</v>
      </c>
      <c r="O537">
        <v>0</v>
      </c>
      <c r="P537">
        <v>0</v>
      </c>
      <c r="Q537">
        <v>0</v>
      </c>
      <c r="S537">
        <v>0</v>
      </c>
      <c r="T537">
        <v>0</v>
      </c>
      <c r="U537">
        <v>0</v>
      </c>
      <c r="W537" t="s">
        <v>99</v>
      </c>
    </row>
    <row r="538" spans="1:23" x14ac:dyDescent="0.35">
      <c r="A538" t="s">
        <v>45</v>
      </c>
      <c r="B538" t="s">
        <v>1165</v>
      </c>
      <c r="C538" t="s">
        <v>93</v>
      </c>
      <c r="D538" t="s">
        <v>1143</v>
      </c>
      <c r="E538" t="s">
        <v>1144</v>
      </c>
      <c r="F538" t="s">
        <v>49</v>
      </c>
      <c r="G538" t="s">
        <v>1172</v>
      </c>
      <c r="H538" t="s">
        <v>1173</v>
      </c>
      <c r="J538" t="str">
        <f>HYPERLINK("https://twitter.com/VirendraYa7136/status/1771212679371211292","https://twitter.com/VirendraYa7136/status/1771212679371211292")</f>
        <v>https://twitter.com/VirendraYa7136/status/1771212679371211292</v>
      </c>
      <c r="K538" t="s">
        <v>67</v>
      </c>
      <c r="O538">
        <v>0</v>
      </c>
      <c r="P538">
        <v>0</v>
      </c>
      <c r="Q538">
        <v>0</v>
      </c>
      <c r="S538">
        <v>0</v>
      </c>
      <c r="T538">
        <v>0</v>
      </c>
      <c r="U538">
        <v>0</v>
      </c>
      <c r="W538" t="s">
        <v>99</v>
      </c>
    </row>
    <row r="539" spans="1:23" x14ac:dyDescent="0.35">
      <c r="A539" t="s">
        <v>45</v>
      </c>
      <c r="B539" t="s">
        <v>1165</v>
      </c>
      <c r="C539" t="s">
        <v>93</v>
      </c>
      <c r="D539" t="s">
        <v>1143</v>
      </c>
      <c r="E539" t="s">
        <v>1144</v>
      </c>
      <c r="F539" t="s">
        <v>49</v>
      </c>
      <c r="G539" t="s">
        <v>1174</v>
      </c>
      <c r="H539" t="s">
        <v>1175</v>
      </c>
      <c r="J539" t="str">
        <f>HYPERLINK("https://twitter.com/VirendraYa7136/status/1771208129742586065","https://twitter.com/VirendraYa7136/status/1771208129742586065")</f>
        <v>https://twitter.com/VirendraYa7136/status/1771208129742586065</v>
      </c>
      <c r="K539" t="s">
        <v>67</v>
      </c>
      <c r="O539">
        <v>0</v>
      </c>
      <c r="P539">
        <v>0</v>
      </c>
      <c r="Q539">
        <v>0</v>
      </c>
      <c r="S539">
        <v>0</v>
      </c>
      <c r="T539">
        <v>0</v>
      </c>
      <c r="U539">
        <v>0</v>
      </c>
      <c r="W539" t="s">
        <v>99</v>
      </c>
    </row>
    <row r="540" spans="1:23" x14ac:dyDescent="0.35">
      <c r="A540" t="s">
        <v>45</v>
      </c>
      <c r="B540" t="s">
        <v>1165</v>
      </c>
      <c r="C540" t="s">
        <v>93</v>
      </c>
      <c r="D540" t="s">
        <v>1143</v>
      </c>
      <c r="E540" t="s">
        <v>1144</v>
      </c>
      <c r="F540" t="s">
        <v>49</v>
      </c>
      <c r="G540" t="s">
        <v>1176</v>
      </c>
      <c r="H540" t="s">
        <v>1177</v>
      </c>
      <c r="J540" t="str">
        <f>HYPERLINK("https://twitter.com/VirendraYa7136/status/1771205552497971645","https://twitter.com/VirendraYa7136/status/1771205552497971645")</f>
        <v>https://twitter.com/VirendraYa7136/status/1771205552497971645</v>
      </c>
      <c r="K540" t="s">
        <v>67</v>
      </c>
      <c r="O540">
        <v>0</v>
      </c>
      <c r="P540">
        <v>0</v>
      </c>
      <c r="Q540">
        <v>0</v>
      </c>
      <c r="S540">
        <v>0</v>
      </c>
      <c r="T540">
        <v>0</v>
      </c>
      <c r="U540">
        <v>0</v>
      </c>
      <c r="W540" t="s">
        <v>99</v>
      </c>
    </row>
    <row r="541" spans="1:23" x14ac:dyDescent="0.35">
      <c r="A541" t="s">
        <v>45</v>
      </c>
      <c r="B541" t="s">
        <v>1165</v>
      </c>
      <c r="C541" t="s">
        <v>93</v>
      </c>
      <c r="D541" t="s">
        <v>1143</v>
      </c>
      <c r="E541" t="s">
        <v>1144</v>
      </c>
      <c r="F541" t="s">
        <v>49</v>
      </c>
      <c r="G541" t="s">
        <v>1178</v>
      </c>
      <c r="H541" t="s">
        <v>1179</v>
      </c>
      <c r="J541" t="str">
        <f>HYPERLINK("https://twitter.com/VirendraYa7136/status/1771204247394128216","https://twitter.com/VirendraYa7136/status/1771204247394128216")</f>
        <v>https://twitter.com/VirendraYa7136/status/1771204247394128216</v>
      </c>
      <c r="K541" t="s">
        <v>67</v>
      </c>
      <c r="O541">
        <v>0</v>
      </c>
      <c r="P541">
        <v>0</v>
      </c>
      <c r="Q541">
        <v>0</v>
      </c>
      <c r="S541">
        <v>0</v>
      </c>
      <c r="T541">
        <v>0</v>
      </c>
      <c r="U541">
        <v>0</v>
      </c>
      <c r="W541" t="s">
        <v>99</v>
      </c>
    </row>
    <row r="542" spans="1:23" x14ac:dyDescent="0.35">
      <c r="A542" t="s">
        <v>45</v>
      </c>
      <c r="B542" t="s">
        <v>1165</v>
      </c>
      <c r="C542" t="s">
        <v>93</v>
      </c>
      <c r="D542" t="s">
        <v>762</v>
      </c>
      <c r="E542" t="s">
        <v>763</v>
      </c>
      <c r="F542" t="s">
        <v>193</v>
      </c>
      <c r="G542" t="s">
        <v>1180</v>
      </c>
      <c r="H542" t="s">
        <v>1181</v>
      </c>
      <c r="J542" t="str">
        <f>HYPERLINK("https://twitter.com/jitendra261988/status/1771174528720203787","https://twitter.com/jitendra261988/status/1771174528720203787")</f>
        <v>https://twitter.com/jitendra261988/status/1771174528720203787</v>
      </c>
      <c r="K542" t="s">
        <v>67</v>
      </c>
      <c r="O542">
        <v>0</v>
      </c>
      <c r="P542">
        <v>0</v>
      </c>
      <c r="Q542">
        <v>19</v>
      </c>
      <c r="S542">
        <v>0</v>
      </c>
      <c r="T542">
        <v>0</v>
      </c>
      <c r="U542">
        <v>0</v>
      </c>
      <c r="W542" t="s">
        <v>99</v>
      </c>
    </row>
    <row r="543" spans="1:23" x14ac:dyDescent="0.35">
      <c r="A543" t="s">
        <v>45</v>
      </c>
      <c r="B543" t="s">
        <v>1165</v>
      </c>
      <c r="C543" t="s">
        <v>47</v>
      </c>
      <c r="D543" t="s">
        <v>1182</v>
      </c>
      <c r="E543" t="s">
        <v>1182</v>
      </c>
      <c r="F543" t="s">
        <v>49</v>
      </c>
      <c r="G543" t="s">
        <v>1183</v>
      </c>
      <c r="H543" t="s">
        <v>1184</v>
      </c>
      <c r="J543" t="str">
        <f>HYPERLINK("https://www.youtube.com/watch?v=v2B6zy7K-iI&amp;lc=UgxQJEaMaNqJqLNMqnV4AaABAg","https://www.youtube.com/watch?v=v2B6zy7K-iI&amp;lc=UgxQJEaMaNqJqLNMqnV4AaABAg")</f>
        <v>https://www.youtube.com/watch?v=v2B6zy7K-iI&amp;lc=UgxQJEaMaNqJqLNMqnV4AaABAg</v>
      </c>
      <c r="O543">
        <v>0</v>
      </c>
      <c r="P543">
        <v>0</v>
      </c>
      <c r="Q543">
        <v>0</v>
      </c>
      <c r="S543">
        <v>0</v>
      </c>
      <c r="T543">
        <v>0</v>
      </c>
      <c r="U543">
        <v>0</v>
      </c>
      <c r="W543" t="s">
        <v>52</v>
      </c>
    </row>
    <row r="544" spans="1:23" x14ac:dyDescent="0.35">
      <c r="A544" t="s">
        <v>45</v>
      </c>
      <c r="B544" t="s">
        <v>1165</v>
      </c>
      <c r="C544" t="s">
        <v>93</v>
      </c>
      <c r="D544" t="s">
        <v>94</v>
      </c>
      <c r="E544" t="s">
        <v>45</v>
      </c>
      <c r="F544" t="s">
        <v>49</v>
      </c>
      <c r="G544" t="s">
        <v>1185</v>
      </c>
      <c r="H544" t="s">
        <v>1186</v>
      </c>
      <c r="J544" t="str">
        <f>HYPERLINK("https://twitter.com/SpiceMoneyIndia/status/1771132987532361875","https://twitter.com/SpiceMoneyIndia/status/1771132987532361875")</f>
        <v>https://twitter.com/SpiceMoneyIndia/status/1771132987532361875</v>
      </c>
      <c r="K544" t="s">
        <v>67</v>
      </c>
      <c r="O544">
        <v>0</v>
      </c>
      <c r="P544">
        <v>0</v>
      </c>
      <c r="Q544">
        <v>6090</v>
      </c>
      <c r="R544" t="s">
        <v>97</v>
      </c>
      <c r="S544">
        <v>0</v>
      </c>
      <c r="T544">
        <v>0</v>
      </c>
      <c r="U544">
        <v>0</v>
      </c>
      <c r="V544" t="s">
        <v>98</v>
      </c>
      <c r="W544" t="s">
        <v>99</v>
      </c>
    </row>
    <row r="545" spans="1:23" x14ac:dyDescent="0.35">
      <c r="A545" t="s">
        <v>45</v>
      </c>
      <c r="B545" t="s">
        <v>1165</v>
      </c>
      <c r="C545" t="s">
        <v>93</v>
      </c>
      <c r="D545" t="s">
        <v>94</v>
      </c>
      <c r="E545" t="s">
        <v>45</v>
      </c>
      <c r="F545" t="s">
        <v>49</v>
      </c>
      <c r="G545" t="s">
        <v>1187</v>
      </c>
      <c r="H545" t="s">
        <v>1188</v>
      </c>
      <c r="J545" t="str">
        <f>HYPERLINK("https://twitter.com/SpiceMoneyIndia/status/1771120031817957765","https://twitter.com/SpiceMoneyIndia/status/1771120031817957765")</f>
        <v>https://twitter.com/SpiceMoneyIndia/status/1771120031817957765</v>
      </c>
      <c r="K545" t="s">
        <v>67</v>
      </c>
      <c r="O545">
        <v>0</v>
      </c>
      <c r="P545">
        <v>0</v>
      </c>
      <c r="Q545">
        <v>6089</v>
      </c>
      <c r="R545" t="s">
        <v>97</v>
      </c>
      <c r="S545">
        <v>0</v>
      </c>
      <c r="T545">
        <v>0</v>
      </c>
      <c r="U545">
        <v>0</v>
      </c>
      <c r="V545" t="s">
        <v>98</v>
      </c>
      <c r="W545" t="s">
        <v>99</v>
      </c>
    </row>
    <row r="546" spans="1:23" x14ac:dyDescent="0.35">
      <c r="A546" t="s">
        <v>45</v>
      </c>
      <c r="B546" t="s">
        <v>1165</v>
      </c>
      <c r="C546" t="s">
        <v>47</v>
      </c>
      <c r="D546" t="s">
        <v>45</v>
      </c>
      <c r="E546" t="s">
        <v>45</v>
      </c>
      <c r="F546" t="s">
        <v>49</v>
      </c>
      <c r="G546" t="s">
        <v>1030</v>
      </c>
      <c r="H546" t="s">
        <v>1189</v>
      </c>
      <c r="J546" t="str">
        <f>HYPERLINK("https://www.youtube.com/watch?v=XnF5-uLfaHg","https://www.youtube.com/watch?v=XnF5-uLfaHg")</f>
        <v>https://www.youtube.com/watch?v=XnF5-uLfaHg</v>
      </c>
      <c r="O546">
        <v>0</v>
      </c>
      <c r="P546">
        <v>0</v>
      </c>
      <c r="Q546">
        <v>0</v>
      </c>
      <c r="S546">
        <v>0</v>
      </c>
      <c r="T546">
        <v>0</v>
      </c>
      <c r="U546">
        <v>0</v>
      </c>
      <c r="W546" t="s">
        <v>346</v>
      </c>
    </row>
    <row r="547" spans="1:23" x14ac:dyDescent="0.35">
      <c r="A547" t="s">
        <v>45</v>
      </c>
      <c r="B547" t="s">
        <v>1165</v>
      </c>
      <c r="C547" t="s">
        <v>93</v>
      </c>
      <c r="D547" t="s">
        <v>223</v>
      </c>
      <c r="E547" t="s">
        <v>224</v>
      </c>
      <c r="F547" t="s">
        <v>49</v>
      </c>
      <c r="G547" t="s">
        <v>1190</v>
      </c>
      <c r="H547" t="s">
        <v>1191</v>
      </c>
      <c r="J547" t="str">
        <f>HYPERLINK("https://twitter.com/MdSec63/status/1771046678188974509","https://twitter.com/MdSec63/status/1771046678188974509")</f>
        <v>https://twitter.com/MdSec63/status/1771046678188974509</v>
      </c>
      <c r="O547">
        <v>0</v>
      </c>
      <c r="P547">
        <v>0</v>
      </c>
      <c r="Q547">
        <v>0</v>
      </c>
      <c r="S547">
        <v>0</v>
      </c>
      <c r="T547">
        <v>0</v>
      </c>
      <c r="U547">
        <v>0</v>
      </c>
      <c r="W547" t="s">
        <v>99</v>
      </c>
    </row>
    <row r="548" spans="1:23" x14ac:dyDescent="0.35">
      <c r="A548" t="s">
        <v>45</v>
      </c>
      <c r="B548" t="s">
        <v>1165</v>
      </c>
      <c r="C548" t="s">
        <v>93</v>
      </c>
      <c r="D548" t="s">
        <v>762</v>
      </c>
      <c r="E548" t="s">
        <v>763</v>
      </c>
      <c r="F548" t="s">
        <v>193</v>
      </c>
      <c r="G548" t="s">
        <v>1192</v>
      </c>
      <c r="H548" t="s">
        <v>1193</v>
      </c>
      <c r="J548" t="str">
        <f>HYPERLINK("https://twitter.com/jitendra261988/status/1771041162255565197","https://twitter.com/jitendra261988/status/1771041162255565197")</f>
        <v>https://twitter.com/jitendra261988/status/1771041162255565197</v>
      </c>
      <c r="K548" t="s">
        <v>67</v>
      </c>
      <c r="O548">
        <v>0</v>
      </c>
      <c r="P548">
        <v>0</v>
      </c>
      <c r="Q548">
        <v>19</v>
      </c>
      <c r="S548">
        <v>0</v>
      </c>
      <c r="T548">
        <v>0</v>
      </c>
      <c r="U548">
        <v>0</v>
      </c>
      <c r="W548" t="s">
        <v>99</v>
      </c>
    </row>
    <row r="549" spans="1:23" x14ac:dyDescent="0.35">
      <c r="A549" t="s">
        <v>45</v>
      </c>
      <c r="B549" t="s">
        <v>1165</v>
      </c>
      <c r="C549" t="s">
        <v>93</v>
      </c>
      <c r="D549" t="s">
        <v>762</v>
      </c>
      <c r="E549" t="s">
        <v>763</v>
      </c>
      <c r="F549" t="s">
        <v>193</v>
      </c>
      <c r="G549" t="s">
        <v>1192</v>
      </c>
      <c r="H549" t="s">
        <v>1194</v>
      </c>
      <c r="J549" t="str">
        <f>HYPERLINK("https://twitter.com/jitendra261988/status/1771040981695058267","https://twitter.com/jitendra261988/status/1771040981695058267")</f>
        <v>https://twitter.com/jitendra261988/status/1771040981695058267</v>
      </c>
      <c r="K549" t="s">
        <v>67</v>
      </c>
      <c r="O549">
        <v>0</v>
      </c>
      <c r="P549">
        <v>0</v>
      </c>
      <c r="Q549">
        <v>19</v>
      </c>
      <c r="S549">
        <v>0</v>
      </c>
      <c r="T549">
        <v>0</v>
      </c>
      <c r="U549">
        <v>0</v>
      </c>
      <c r="W549" t="s">
        <v>99</v>
      </c>
    </row>
    <row r="550" spans="1:23" x14ac:dyDescent="0.35">
      <c r="A550" t="s">
        <v>45</v>
      </c>
      <c r="B550" t="s">
        <v>1165</v>
      </c>
      <c r="C550" t="s">
        <v>93</v>
      </c>
      <c r="D550" t="s">
        <v>762</v>
      </c>
      <c r="E550" t="s">
        <v>763</v>
      </c>
      <c r="F550" t="s">
        <v>193</v>
      </c>
      <c r="G550" t="s">
        <v>1192</v>
      </c>
      <c r="H550" t="s">
        <v>1195</v>
      </c>
      <c r="J550" t="str">
        <f>HYPERLINK("https://twitter.com/jitendra261988/status/1771040947142324575","https://twitter.com/jitendra261988/status/1771040947142324575")</f>
        <v>https://twitter.com/jitendra261988/status/1771040947142324575</v>
      </c>
      <c r="K550" t="s">
        <v>67</v>
      </c>
      <c r="O550">
        <v>0</v>
      </c>
      <c r="P550">
        <v>0</v>
      </c>
      <c r="Q550">
        <v>19</v>
      </c>
      <c r="S550">
        <v>0</v>
      </c>
      <c r="T550">
        <v>0</v>
      </c>
      <c r="U550">
        <v>0</v>
      </c>
      <c r="W550" t="s">
        <v>99</v>
      </c>
    </row>
    <row r="551" spans="1:23" x14ac:dyDescent="0.35">
      <c r="A551" t="s">
        <v>45</v>
      </c>
      <c r="B551" t="s">
        <v>1165</v>
      </c>
      <c r="C551" t="s">
        <v>93</v>
      </c>
      <c r="D551" t="s">
        <v>762</v>
      </c>
      <c r="E551" t="s">
        <v>763</v>
      </c>
      <c r="F551" t="s">
        <v>193</v>
      </c>
      <c r="G551" t="s">
        <v>1192</v>
      </c>
      <c r="H551" t="s">
        <v>1196</v>
      </c>
      <c r="J551" t="str">
        <f>HYPERLINK("https://twitter.com/jitendra261988/status/1771040913654997454","https://twitter.com/jitendra261988/status/1771040913654997454")</f>
        <v>https://twitter.com/jitendra261988/status/1771040913654997454</v>
      </c>
      <c r="K551" t="s">
        <v>67</v>
      </c>
      <c r="O551">
        <v>0</v>
      </c>
      <c r="P551">
        <v>0</v>
      </c>
      <c r="Q551">
        <v>19</v>
      </c>
      <c r="S551">
        <v>0</v>
      </c>
      <c r="T551">
        <v>0</v>
      </c>
      <c r="U551">
        <v>0</v>
      </c>
      <c r="W551" t="s">
        <v>99</v>
      </c>
    </row>
    <row r="552" spans="1:23" x14ac:dyDescent="0.35">
      <c r="A552" t="s">
        <v>45</v>
      </c>
      <c r="B552" t="s">
        <v>1165</v>
      </c>
      <c r="C552" t="s">
        <v>93</v>
      </c>
      <c r="D552" t="s">
        <v>762</v>
      </c>
      <c r="E552" t="s">
        <v>763</v>
      </c>
      <c r="F552" t="s">
        <v>193</v>
      </c>
      <c r="G552" t="s">
        <v>1192</v>
      </c>
      <c r="H552" t="s">
        <v>1197</v>
      </c>
      <c r="J552" t="str">
        <f>HYPERLINK("https://twitter.com/jitendra261988/status/1771040543696372194","https://twitter.com/jitendra261988/status/1771040543696372194")</f>
        <v>https://twitter.com/jitendra261988/status/1771040543696372194</v>
      </c>
      <c r="K552" t="s">
        <v>67</v>
      </c>
      <c r="O552">
        <v>0</v>
      </c>
      <c r="P552">
        <v>0</v>
      </c>
      <c r="Q552">
        <v>19</v>
      </c>
      <c r="S552">
        <v>0</v>
      </c>
      <c r="T552">
        <v>0</v>
      </c>
      <c r="U552">
        <v>0</v>
      </c>
      <c r="W552" t="s">
        <v>99</v>
      </c>
    </row>
    <row r="553" spans="1:23" x14ac:dyDescent="0.35">
      <c r="A553" t="s">
        <v>45</v>
      </c>
      <c r="B553" t="s">
        <v>1165</v>
      </c>
      <c r="C553" t="s">
        <v>93</v>
      </c>
      <c r="D553" t="s">
        <v>762</v>
      </c>
      <c r="E553" t="s">
        <v>763</v>
      </c>
      <c r="F553" t="s">
        <v>193</v>
      </c>
      <c r="G553" t="s">
        <v>1198</v>
      </c>
      <c r="H553" t="s">
        <v>1199</v>
      </c>
      <c r="J553" t="str">
        <f>HYPERLINK("https://twitter.com/jitendra261988/status/1771040428554399756","https://twitter.com/jitendra261988/status/1771040428554399756")</f>
        <v>https://twitter.com/jitendra261988/status/1771040428554399756</v>
      </c>
      <c r="K553" t="s">
        <v>67</v>
      </c>
      <c r="O553">
        <v>0</v>
      </c>
      <c r="P553">
        <v>0</v>
      </c>
      <c r="Q553">
        <v>19</v>
      </c>
      <c r="S553">
        <v>0</v>
      </c>
      <c r="T553">
        <v>0</v>
      </c>
      <c r="U553">
        <v>0</v>
      </c>
      <c r="W553" t="s">
        <v>99</v>
      </c>
    </row>
    <row r="554" spans="1:23" x14ac:dyDescent="0.35">
      <c r="A554" t="s">
        <v>45</v>
      </c>
      <c r="B554" t="s">
        <v>1165</v>
      </c>
      <c r="C554" t="s">
        <v>47</v>
      </c>
      <c r="D554" t="s">
        <v>1200</v>
      </c>
      <c r="E554" t="s">
        <v>1200</v>
      </c>
      <c r="F554" t="s">
        <v>49</v>
      </c>
      <c r="G554" t="s">
        <v>1201</v>
      </c>
      <c r="H554" t="s">
        <v>1202</v>
      </c>
      <c r="J554" t="str">
        <f>HYPERLINK("https://www.youtube.com/watch?v=x_edJYwCqlo","https://www.youtube.com/watch?v=x_edJYwCqlo")</f>
        <v>https://www.youtube.com/watch?v=x_edJYwCqlo</v>
      </c>
      <c r="O554">
        <v>0</v>
      </c>
      <c r="P554">
        <v>0</v>
      </c>
      <c r="Q554">
        <v>0</v>
      </c>
      <c r="S554">
        <v>0</v>
      </c>
      <c r="T554">
        <v>0</v>
      </c>
      <c r="U554">
        <v>0</v>
      </c>
      <c r="W554" t="s">
        <v>346</v>
      </c>
    </row>
    <row r="555" spans="1:23" x14ac:dyDescent="0.35">
      <c r="A555" t="s">
        <v>45</v>
      </c>
      <c r="B555" t="s">
        <v>1203</v>
      </c>
      <c r="C555" t="s">
        <v>60</v>
      </c>
      <c r="D555" t="s">
        <v>61</v>
      </c>
      <c r="E555" t="s">
        <v>61</v>
      </c>
      <c r="F555" t="s">
        <v>49</v>
      </c>
      <c r="G555" t="s">
        <v>1204</v>
      </c>
      <c r="H555" t="s">
        <v>1205</v>
      </c>
      <c r="J555" t="str">
        <f>HYPERLINK("https://www.facebook.com/634639855377280/posts/812296230944974?comment_id=911860834018002&amp;reply_comment_id=2104719899891357","https://www.facebook.com/634639855377280/posts/812296230944974?comment_id=911860834018002&amp;reply_comment_id=2104719899891357")</f>
        <v>https://www.facebook.com/634639855377280/posts/812296230944974?comment_id=911860834018002&amp;reply_comment_id=2104719899891357</v>
      </c>
      <c r="O555">
        <v>0</v>
      </c>
      <c r="P555">
        <v>0</v>
      </c>
      <c r="Q555">
        <v>0</v>
      </c>
      <c r="S555">
        <v>0</v>
      </c>
      <c r="T555">
        <v>0</v>
      </c>
      <c r="U555">
        <v>0</v>
      </c>
      <c r="W555" t="s">
        <v>52</v>
      </c>
    </row>
    <row r="556" spans="1:23" x14ac:dyDescent="0.35">
      <c r="A556" t="s">
        <v>45</v>
      </c>
      <c r="B556" t="s">
        <v>1203</v>
      </c>
      <c r="C556" t="s">
        <v>60</v>
      </c>
      <c r="D556" t="s">
        <v>64</v>
      </c>
      <c r="E556" t="s">
        <v>64</v>
      </c>
      <c r="F556" t="s">
        <v>49</v>
      </c>
      <c r="G556" t="s">
        <v>102</v>
      </c>
      <c r="H556" t="s">
        <v>1206</v>
      </c>
      <c r="J556" t="str">
        <f>HYPERLINK("https://www.facebook.com/634639855377280/posts/812296230944974?comment_id=911860834018002&amp;reply_comment_id=1454082905518712","https://www.facebook.com/634639855377280/posts/812296230944974?comment_id=911860834018002&amp;reply_comment_id=1454082905518712")</f>
        <v>https://www.facebook.com/634639855377280/posts/812296230944974?comment_id=911860834018002&amp;reply_comment_id=1454082905518712</v>
      </c>
      <c r="K556" t="s">
        <v>67</v>
      </c>
      <c r="O556">
        <v>0</v>
      </c>
      <c r="P556">
        <v>0</v>
      </c>
      <c r="Q556">
        <v>0</v>
      </c>
      <c r="S556">
        <v>0</v>
      </c>
      <c r="T556">
        <v>0</v>
      </c>
      <c r="U556">
        <v>0</v>
      </c>
      <c r="W556" t="s">
        <v>52</v>
      </c>
    </row>
    <row r="557" spans="1:23" x14ac:dyDescent="0.35">
      <c r="A557" t="s">
        <v>45</v>
      </c>
      <c r="B557" t="s">
        <v>1203</v>
      </c>
      <c r="C557" t="s">
        <v>93</v>
      </c>
      <c r="D557" t="s">
        <v>1207</v>
      </c>
      <c r="E557" t="s">
        <v>1208</v>
      </c>
      <c r="F557" t="s">
        <v>49</v>
      </c>
      <c r="G557" t="s">
        <v>1209</v>
      </c>
      <c r="H557" t="s">
        <v>1210</v>
      </c>
      <c r="J557" t="str">
        <f>HYPERLINK("https://twitter.com/UP44100682/status/1770795300736663701","https://twitter.com/UP44100682/status/1770795300736663701")</f>
        <v>https://twitter.com/UP44100682/status/1770795300736663701</v>
      </c>
      <c r="K557" t="s">
        <v>67</v>
      </c>
      <c r="O557">
        <v>0</v>
      </c>
      <c r="P557">
        <v>0</v>
      </c>
      <c r="Q557">
        <v>161</v>
      </c>
      <c r="R557" t="s">
        <v>1211</v>
      </c>
      <c r="S557">
        <v>0</v>
      </c>
      <c r="T557">
        <v>0</v>
      </c>
      <c r="U557">
        <v>0</v>
      </c>
      <c r="W557" t="s">
        <v>99</v>
      </c>
    </row>
    <row r="558" spans="1:23" x14ac:dyDescent="0.35">
      <c r="A558" t="s">
        <v>45</v>
      </c>
      <c r="B558" t="s">
        <v>1203</v>
      </c>
      <c r="C558" t="s">
        <v>60</v>
      </c>
      <c r="D558" t="s">
        <v>64</v>
      </c>
      <c r="E558" t="s">
        <v>64</v>
      </c>
      <c r="F558" t="s">
        <v>49</v>
      </c>
      <c r="G558" t="s">
        <v>1212</v>
      </c>
      <c r="H558" t="s">
        <v>1213</v>
      </c>
      <c r="J558" t="str">
        <f>HYPERLINK("https://www.facebook.com/634639855377280/posts/812296230944974?comment_id=330204353365707&amp;reply_comment_id=1630737977466204","https://www.facebook.com/634639855377280/posts/812296230944974?comment_id=330204353365707&amp;reply_comment_id=1630737977466204")</f>
        <v>https://www.facebook.com/634639855377280/posts/812296230944974?comment_id=330204353365707&amp;reply_comment_id=1630737977466204</v>
      </c>
      <c r="K558" t="s">
        <v>67</v>
      </c>
      <c r="O558">
        <v>0</v>
      </c>
      <c r="P558">
        <v>0</v>
      </c>
      <c r="Q558">
        <v>0</v>
      </c>
      <c r="S558">
        <v>0</v>
      </c>
      <c r="T558">
        <v>0</v>
      </c>
      <c r="U558">
        <v>0</v>
      </c>
      <c r="W558" t="s">
        <v>52</v>
      </c>
    </row>
    <row r="559" spans="1:23" x14ac:dyDescent="0.35">
      <c r="A559" t="s">
        <v>45</v>
      </c>
      <c r="B559" t="s">
        <v>1203</v>
      </c>
      <c r="C559" t="s">
        <v>93</v>
      </c>
      <c r="D559" t="s">
        <v>94</v>
      </c>
      <c r="E559" t="s">
        <v>45</v>
      </c>
      <c r="F559" t="s">
        <v>49</v>
      </c>
      <c r="G559" t="s">
        <v>1214</v>
      </c>
      <c r="H559" t="s">
        <v>1215</v>
      </c>
      <c r="J559" t="str">
        <f>HYPERLINK("https://twitter.com/SpiceMoneyIndia/status/1770794928571916675","https://twitter.com/SpiceMoneyIndia/status/1770794928571916675")</f>
        <v>https://twitter.com/SpiceMoneyIndia/status/1770794928571916675</v>
      </c>
      <c r="K559" t="s">
        <v>67</v>
      </c>
      <c r="O559">
        <v>0</v>
      </c>
      <c r="P559">
        <v>0</v>
      </c>
      <c r="Q559">
        <v>6086</v>
      </c>
      <c r="R559" t="s">
        <v>97</v>
      </c>
      <c r="S559">
        <v>0</v>
      </c>
      <c r="T559">
        <v>0</v>
      </c>
      <c r="U559">
        <v>0</v>
      </c>
      <c r="V559" t="s">
        <v>98</v>
      </c>
      <c r="W559" t="s">
        <v>99</v>
      </c>
    </row>
    <row r="560" spans="1:23" x14ac:dyDescent="0.35">
      <c r="A560" t="s">
        <v>45</v>
      </c>
      <c r="B560" t="s">
        <v>1203</v>
      </c>
      <c r="C560" t="s">
        <v>60</v>
      </c>
      <c r="D560" t="s">
        <v>64</v>
      </c>
      <c r="E560" t="s">
        <v>64</v>
      </c>
      <c r="F560" t="s">
        <v>49</v>
      </c>
      <c r="G560" t="s">
        <v>100</v>
      </c>
      <c r="H560" t="s">
        <v>1216</v>
      </c>
      <c r="J560" t="str">
        <f>HYPERLINK("https://www.facebook.com/634639855377280/posts/812296230944974?comment_id=947853149987840&amp;reply_comment_id=3669105646699388","https://www.facebook.com/634639855377280/posts/812296230944974?comment_id=947853149987840&amp;reply_comment_id=3669105646699388")</f>
        <v>https://www.facebook.com/634639855377280/posts/812296230944974?comment_id=947853149987840&amp;reply_comment_id=3669105646699388</v>
      </c>
      <c r="K560" t="s">
        <v>67</v>
      </c>
      <c r="O560">
        <v>0</v>
      </c>
      <c r="P560">
        <v>0</v>
      </c>
      <c r="Q560">
        <v>0</v>
      </c>
      <c r="S560">
        <v>0</v>
      </c>
      <c r="T560">
        <v>0</v>
      </c>
      <c r="U560">
        <v>0</v>
      </c>
      <c r="W560" t="s">
        <v>52</v>
      </c>
    </row>
    <row r="561" spans="1:23" x14ac:dyDescent="0.35">
      <c r="A561" t="s">
        <v>45</v>
      </c>
      <c r="B561" t="s">
        <v>1203</v>
      </c>
      <c r="C561" t="s">
        <v>93</v>
      </c>
      <c r="D561" t="s">
        <v>94</v>
      </c>
      <c r="E561" t="s">
        <v>45</v>
      </c>
      <c r="F561" t="s">
        <v>49</v>
      </c>
      <c r="G561" t="s">
        <v>1217</v>
      </c>
      <c r="H561" t="s">
        <v>1218</v>
      </c>
      <c r="J561" t="str">
        <f>HYPERLINK("https://twitter.com/SpiceMoneyIndia/status/1770793803282079928","https://twitter.com/SpiceMoneyIndia/status/1770793803282079928")</f>
        <v>https://twitter.com/SpiceMoneyIndia/status/1770793803282079928</v>
      </c>
      <c r="K561" t="s">
        <v>67</v>
      </c>
      <c r="O561">
        <v>0</v>
      </c>
      <c r="P561">
        <v>0</v>
      </c>
      <c r="Q561">
        <v>6086</v>
      </c>
      <c r="R561" t="s">
        <v>97</v>
      </c>
      <c r="S561">
        <v>0</v>
      </c>
      <c r="T561">
        <v>0</v>
      </c>
      <c r="U561">
        <v>0</v>
      </c>
      <c r="V561" t="s">
        <v>98</v>
      </c>
      <c r="W561" t="s">
        <v>99</v>
      </c>
    </row>
    <row r="562" spans="1:23" x14ac:dyDescent="0.35">
      <c r="A562" t="s">
        <v>45</v>
      </c>
      <c r="B562" t="s">
        <v>1203</v>
      </c>
      <c r="C562" t="s">
        <v>93</v>
      </c>
      <c r="D562" t="s">
        <v>94</v>
      </c>
      <c r="E562" t="s">
        <v>45</v>
      </c>
      <c r="F562" t="s">
        <v>49</v>
      </c>
      <c r="G562" t="s">
        <v>1219</v>
      </c>
      <c r="H562" t="s">
        <v>1220</v>
      </c>
      <c r="J562" t="str">
        <f>HYPERLINK("https://twitter.com/SpiceMoneyIndia/status/1770792368976912621","https://twitter.com/SpiceMoneyIndia/status/1770792368976912621")</f>
        <v>https://twitter.com/SpiceMoneyIndia/status/1770792368976912621</v>
      </c>
      <c r="K562" t="s">
        <v>67</v>
      </c>
      <c r="O562">
        <v>0</v>
      </c>
      <c r="P562">
        <v>0</v>
      </c>
      <c r="Q562">
        <v>6086</v>
      </c>
      <c r="R562" t="s">
        <v>97</v>
      </c>
      <c r="S562">
        <v>0</v>
      </c>
      <c r="T562">
        <v>0</v>
      </c>
      <c r="U562">
        <v>0</v>
      </c>
      <c r="V562" t="s">
        <v>98</v>
      </c>
      <c r="W562" t="s">
        <v>99</v>
      </c>
    </row>
    <row r="563" spans="1:23" x14ac:dyDescent="0.35">
      <c r="A563" t="s">
        <v>45</v>
      </c>
      <c r="B563" t="s">
        <v>1203</v>
      </c>
      <c r="C563" t="s">
        <v>60</v>
      </c>
      <c r="D563" t="s">
        <v>61</v>
      </c>
      <c r="E563" t="s">
        <v>61</v>
      </c>
      <c r="F563" t="s">
        <v>49</v>
      </c>
      <c r="G563" t="s">
        <v>1221</v>
      </c>
      <c r="H563" t="s">
        <v>1222</v>
      </c>
      <c r="J563" t="str">
        <f>HYPERLINK("https://www.facebook.com/634639855377280/posts/812296230944974?comment_id=911860834018002","https://www.facebook.com/634639855377280/posts/812296230944974?comment_id=911860834018002")</f>
        <v>https://www.facebook.com/634639855377280/posts/812296230944974?comment_id=911860834018002</v>
      </c>
      <c r="O563">
        <v>0</v>
      </c>
      <c r="P563">
        <v>0</v>
      </c>
      <c r="Q563">
        <v>0</v>
      </c>
      <c r="S563">
        <v>0</v>
      </c>
      <c r="T563">
        <v>0</v>
      </c>
      <c r="U563">
        <v>0</v>
      </c>
      <c r="W563" t="s">
        <v>52</v>
      </c>
    </row>
    <row r="564" spans="1:23" x14ac:dyDescent="0.35">
      <c r="A564" t="s">
        <v>45</v>
      </c>
      <c r="B564" t="s">
        <v>1203</v>
      </c>
      <c r="C564" t="s">
        <v>60</v>
      </c>
      <c r="D564" t="s">
        <v>61</v>
      </c>
      <c r="E564" t="s">
        <v>61</v>
      </c>
      <c r="F564" t="s">
        <v>49</v>
      </c>
      <c r="G564" t="s">
        <v>1223</v>
      </c>
      <c r="H564" t="s">
        <v>1224</v>
      </c>
      <c r="J564" t="str">
        <f>HYPERLINK("https://www.facebook.com/634639855377280/posts/812296230944974?comment_id=330204353365707","https://www.facebook.com/634639855377280/posts/812296230944974?comment_id=330204353365707")</f>
        <v>https://www.facebook.com/634639855377280/posts/812296230944974?comment_id=330204353365707</v>
      </c>
      <c r="O564">
        <v>0</v>
      </c>
      <c r="P564">
        <v>0</v>
      </c>
      <c r="Q564">
        <v>0</v>
      </c>
      <c r="S564">
        <v>0</v>
      </c>
      <c r="T564">
        <v>0</v>
      </c>
      <c r="U564">
        <v>0</v>
      </c>
      <c r="W564" t="s">
        <v>52</v>
      </c>
    </row>
    <row r="565" spans="1:23" x14ac:dyDescent="0.35">
      <c r="A565" t="s">
        <v>45</v>
      </c>
      <c r="B565" t="s">
        <v>1203</v>
      </c>
      <c r="C565" t="s">
        <v>93</v>
      </c>
      <c r="D565" t="s">
        <v>1225</v>
      </c>
      <c r="E565" t="s">
        <v>1226</v>
      </c>
      <c r="F565" t="s">
        <v>193</v>
      </c>
      <c r="G565" t="s">
        <v>1227</v>
      </c>
      <c r="H565" t="s">
        <v>1228</v>
      </c>
      <c r="J565" t="str">
        <f>HYPERLINK("https://twitter.com/pijushkantimal/status/1770790046645235769","https://twitter.com/pijushkantimal/status/1770790046645235769")</f>
        <v>https://twitter.com/pijushkantimal/status/1770790046645235769</v>
      </c>
      <c r="K565" t="s">
        <v>67</v>
      </c>
      <c r="O565">
        <v>0</v>
      </c>
      <c r="P565">
        <v>0</v>
      </c>
      <c r="Q565">
        <v>17</v>
      </c>
      <c r="R565" t="s">
        <v>1229</v>
      </c>
      <c r="S565">
        <v>0</v>
      </c>
      <c r="T565">
        <v>0</v>
      </c>
      <c r="U565">
        <v>0</v>
      </c>
      <c r="W565" t="s">
        <v>99</v>
      </c>
    </row>
    <row r="566" spans="1:23" x14ac:dyDescent="0.35">
      <c r="A566" t="s">
        <v>45</v>
      </c>
      <c r="B566" t="s">
        <v>1203</v>
      </c>
      <c r="C566" t="s">
        <v>93</v>
      </c>
      <c r="D566" t="s">
        <v>94</v>
      </c>
      <c r="E566" t="s">
        <v>45</v>
      </c>
      <c r="F566" t="s">
        <v>49</v>
      </c>
      <c r="G566" t="s">
        <v>1230</v>
      </c>
      <c r="H566" t="s">
        <v>1231</v>
      </c>
      <c r="J566" t="str">
        <f>HYPERLINK("https://twitter.com/SpiceMoneyIndia/status/1770783886689100009","https://twitter.com/SpiceMoneyIndia/status/1770783886689100009")</f>
        <v>https://twitter.com/SpiceMoneyIndia/status/1770783886689100009</v>
      </c>
      <c r="K566" t="s">
        <v>67</v>
      </c>
      <c r="O566">
        <v>0</v>
      </c>
      <c r="P566">
        <v>0</v>
      </c>
      <c r="Q566">
        <v>6087</v>
      </c>
      <c r="R566" t="s">
        <v>97</v>
      </c>
      <c r="S566">
        <v>0</v>
      </c>
      <c r="T566">
        <v>0</v>
      </c>
      <c r="U566">
        <v>0</v>
      </c>
      <c r="V566" t="s">
        <v>98</v>
      </c>
      <c r="W566" t="s">
        <v>99</v>
      </c>
    </row>
    <row r="567" spans="1:23" x14ac:dyDescent="0.35">
      <c r="A567" t="s">
        <v>45</v>
      </c>
      <c r="B567" t="s">
        <v>1203</v>
      </c>
      <c r="C567" t="s">
        <v>60</v>
      </c>
      <c r="D567" t="s">
        <v>61</v>
      </c>
      <c r="E567" t="s">
        <v>61</v>
      </c>
      <c r="F567" t="s">
        <v>49</v>
      </c>
      <c r="G567">
        <v>9102014442</v>
      </c>
      <c r="H567" t="s">
        <v>1232</v>
      </c>
      <c r="J567" t="str">
        <f>HYPERLINK("https://www.facebook.com/634639855377280/posts/812296230944974?comment_id=947853149987840&amp;reply_comment_id=751440407087939","https://www.facebook.com/634639855377280/posts/812296230944974?comment_id=947853149987840&amp;reply_comment_id=751440407087939")</f>
        <v>https://www.facebook.com/634639855377280/posts/812296230944974?comment_id=947853149987840&amp;reply_comment_id=751440407087939</v>
      </c>
      <c r="O567">
        <v>0</v>
      </c>
      <c r="P567">
        <v>0</v>
      </c>
      <c r="Q567">
        <v>0</v>
      </c>
      <c r="S567">
        <v>0</v>
      </c>
      <c r="T567">
        <v>0</v>
      </c>
      <c r="U567">
        <v>0</v>
      </c>
      <c r="W567" t="s">
        <v>52</v>
      </c>
    </row>
    <row r="568" spans="1:23" x14ac:dyDescent="0.35">
      <c r="A568" t="s">
        <v>45</v>
      </c>
      <c r="B568" t="s">
        <v>1203</v>
      </c>
      <c r="C568" t="s">
        <v>60</v>
      </c>
      <c r="D568" t="s">
        <v>61</v>
      </c>
      <c r="E568" t="s">
        <v>61</v>
      </c>
      <c r="F568" t="s">
        <v>49</v>
      </c>
      <c r="G568" t="s">
        <v>1233</v>
      </c>
      <c r="H568" t="s">
        <v>1234</v>
      </c>
      <c r="J568" t="str">
        <f>HYPERLINK("https://www.facebook.com/634639855377280/posts/812296230944974?comment_id=947853149987840&amp;reply_comment_id=2794000910761593","https://www.facebook.com/634639855377280/posts/812296230944974?comment_id=947853149987840&amp;reply_comment_id=2794000910761593")</f>
        <v>https://www.facebook.com/634639855377280/posts/812296230944974?comment_id=947853149987840&amp;reply_comment_id=2794000910761593</v>
      </c>
      <c r="O568">
        <v>0</v>
      </c>
      <c r="P568">
        <v>0</v>
      </c>
      <c r="Q568">
        <v>0</v>
      </c>
      <c r="S568">
        <v>0</v>
      </c>
      <c r="T568">
        <v>0</v>
      </c>
      <c r="U568">
        <v>0</v>
      </c>
      <c r="W568" t="s">
        <v>52</v>
      </c>
    </row>
    <row r="569" spans="1:23" x14ac:dyDescent="0.35">
      <c r="A569" t="s">
        <v>45</v>
      </c>
      <c r="B569" t="s">
        <v>1203</v>
      </c>
      <c r="C569" t="s">
        <v>60</v>
      </c>
      <c r="D569" t="s">
        <v>64</v>
      </c>
      <c r="E569" t="s">
        <v>64</v>
      </c>
      <c r="F569" t="s">
        <v>49</v>
      </c>
      <c r="G569" t="s">
        <v>83</v>
      </c>
      <c r="H569" t="s">
        <v>1235</v>
      </c>
      <c r="J569" t="str">
        <f>HYPERLINK("https://www.facebook.com/634639855377280/posts/812296230944974?comment_id=947853149987840&amp;reply_comment_id=1402123447086947","https://www.facebook.com/634639855377280/posts/812296230944974?comment_id=947853149987840&amp;reply_comment_id=1402123447086947")</f>
        <v>https://www.facebook.com/634639855377280/posts/812296230944974?comment_id=947853149987840&amp;reply_comment_id=1402123447086947</v>
      </c>
      <c r="K569" t="s">
        <v>67</v>
      </c>
      <c r="O569">
        <v>0</v>
      </c>
      <c r="P569">
        <v>0</v>
      </c>
      <c r="Q569">
        <v>0</v>
      </c>
      <c r="S569">
        <v>0</v>
      </c>
      <c r="T569">
        <v>0</v>
      </c>
      <c r="U569">
        <v>0</v>
      </c>
      <c r="W569" t="s">
        <v>52</v>
      </c>
    </row>
    <row r="570" spans="1:23" x14ac:dyDescent="0.35">
      <c r="A570" t="s">
        <v>45</v>
      </c>
      <c r="B570" t="s">
        <v>1203</v>
      </c>
      <c r="C570" t="s">
        <v>60</v>
      </c>
      <c r="D570" t="s">
        <v>61</v>
      </c>
      <c r="E570" t="s">
        <v>61</v>
      </c>
      <c r="F570" t="s">
        <v>49</v>
      </c>
      <c r="G570" t="s">
        <v>1236</v>
      </c>
      <c r="H570" t="s">
        <v>1237</v>
      </c>
      <c r="J570" t="str">
        <f>HYPERLINK("https://www.facebook.com/634639855377280/posts/812296230944974?comment_id=2286880598318537","https://www.facebook.com/634639855377280/posts/812296230944974?comment_id=2286880598318537")</f>
        <v>https://www.facebook.com/634639855377280/posts/812296230944974?comment_id=2286880598318537</v>
      </c>
      <c r="O570">
        <v>0</v>
      </c>
      <c r="P570">
        <v>0</v>
      </c>
      <c r="Q570">
        <v>0</v>
      </c>
      <c r="S570">
        <v>0</v>
      </c>
      <c r="T570">
        <v>0</v>
      </c>
      <c r="U570">
        <v>0</v>
      </c>
      <c r="W570" t="s">
        <v>52</v>
      </c>
    </row>
    <row r="571" spans="1:23" x14ac:dyDescent="0.35">
      <c r="A571" t="s">
        <v>45</v>
      </c>
      <c r="B571" t="s">
        <v>1203</v>
      </c>
      <c r="C571" t="s">
        <v>47</v>
      </c>
      <c r="D571" t="s">
        <v>68</v>
      </c>
      <c r="E571" t="s">
        <v>68</v>
      </c>
      <c r="F571" t="s">
        <v>49</v>
      </c>
      <c r="G571" t="s">
        <v>1238</v>
      </c>
      <c r="H571" t="s">
        <v>1239</v>
      </c>
      <c r="J571" t="str">
        <f>HYPERLINK("https://www.youtube.com/watch?v=otifGXuH01E&amp;lc=UgyRg2HS6cZLpoU-lo54AaABAg.A1ETIUssIrcA1F7NrDb-sI","https://www.youtube.com/watch?v=otifGXuH01E&amp;lc=UgyRg2HS6cZLpoU-lo54AaABAg.A1ETIUssIrcA1F7NrDb-sI")</f>
        <v>https://www.youtube.com/watch?v=otifGXuH01E&amp;lc=UgyRg2HS6cZLpoU-lo54AaABAg.A1ETIUssIrcA1F7NrDb-sI</v>
      </c>
      <c r="O571">
        <v>0</v>
      </c>
      <c r="P571">
        <v>0</v>
      </c>
      <c r="Q571">
        <v>0</v>
      </c>
      <c r="S571">
        <v>0</v>
      </c>
      <c r="T571">
        <v>0</v>
      </c>
      <c r="U571">
        <v>0</v>
      </c>
      <c r="W571" t="s">
        <v>52</v>
      </c>
    </row>
    <row r="572" spans="1:23" x14ac:dyDescent="0.35">
      <c r="A572" t="s">
        <v>45</v>
      </c>
      <c r="B572" t="s">
        <v>1203</v>
      </c>
      <c r="C572" t="s">
        <v>47</v>
      </c>
      <c r="D572" t="s">
        <v>68</v>
      </c>
      <c r="E572" t="s">
        <v>68</v>
      </c>
      <c r="F572" t="s">
        <v>49</v>
      </c>
      <c r="G572" t="s">
        <v>492</v>
      </c>
      <c r="H572" t="s">
        <v>1240</v>
      </c>
      <c r="J572" t="str">
        <f>HYPERLINK("https://www.youtube.com/watch?v=0jM8DQER-qY&amp;lc=Ugz3eKMpR8CngWYzogl4AaABAg.A1EHAwLHTBoA1F6z5yt1tj","https://www.youtube.com/watch?v=0jM8DQER-qY&amp;lc=Ugz3eKMpR8CngWYzogl4AaABAg.A1EHAwLHTBoA1F6z5yt1tj")</f>
        <v>https://www.youtube.com/watch?v=0jM8DQER-qY&amp;lc=Ugz3eKMpR8CngWYzogl4AaABAg.A1EHAwLHTBoA1F6z5yt1tj</v>
      </c>
      <c r="O572">
        <v>0</v>
      </c>
      <c r="P572">
        <v>0</v>
      </c>
      <c r="Q572">
        <v>0</v>
      </c>
      <c r="S572">
        <v>0</v>
      </c>
      <c r="T572">
        <v>0</v>
      </c>
      <c r="U572">
        <v>0</v>
      </c>
      <c r="W572" t="s">
        <v>52</v>
      </c>
    </row>
    <row r="573" spans="1:23" x14ac:dyDescent="0.35">
      <c r="A573" t="s">
        <v>45</v>
      </c>
      <c r="B573" t="s">
        <v>1203</v>
      </c>
      <c r="C573" t="s">
        <v>93</v>
      </c>
      <c r="D573" t="s">
        <v>94</v>
      </c>
      <c r="E573" t="s">
        <v>45</v>
      </c>
      <c r="F573" t="s">
        <v>49</v>
      </c>
      <c r="G573" t="s">
        <v>1241</v>
      </c>
      <c r="H573" t="s">
        <v>1242</v>
      </c>
      <c r="J573" t="str">
        <f>HYPERLINK("https://twitter.com/SpiceMoneyIndia/status/1770778273657610399","https://twitter.com/SpiceMoneyIndia/status/1770778273657610399")</f>
        <v>https://twitter.com/SpiceMoneyIndia/status/1770778273657610399</v>
      </c>
      <c r="K573" t="s">
        <v>67</v>
      </c>
      <c r="O573">
        <v>0</v>
      </c>
      <c r="P573">
        <v>0</v>
      </c>
      <c r="Q573">
        <v>6087</v>
      </c>
      <c r="R573" t="s">
        <v>97</v>
      </c>
      <c r="S573">
        <v>0</v>
      </c>
      <c r="T573">
        <v>0</v>
      </c>
      <c r="U573">
        <v>0</v>
      </c>
      <c r="V573" t="s">
        <v>98</v>
      </c>
      <c r="W573" t="s">
        <v>99</v>
      </c>
    </row>
    <row r="574" spans="1:23" x14ac:dyDescent="0.35">
      <c r="A574" t="s">
        <v>45</v>
      </c>
      <c r="B574" t="s">
        <v>1203</v>
      </c>
      <c r="C574" t="s">
        <v>93</v>
      </c>
      <c r="D574" t="s">
        <v>94</v>
      </c>
      <c r="E574" t="s">
        <v>45</v>
      </c>
      <c r="F574" t="s">
        <v>49</v>
      </c>
      <c r="G574" t="s">
        <v>1243</v>
      </c>
      <c r="H574" t="s">
        <v>1244</v>
      </c>
      <c r="J574" t="str">
        <f>HYPERLINK("https://twitter.com/SpiceMoneyIndia/status/1770777375933948079","https://twitter.com/SpiceMoneyIndia/status/1770777375933948079")</f>
        <v>https://twitter.com/SpiceMoneyIndia/status/1770777375933948079</v>
      </c>
      <c r="K574" t="s">
        <v>67</v>
      </c>
      <c r="O574">
        <v>0</v>
      </c>
      <c r="P574">
        <v>0</v>
      </c>
      <c r="Q574">
        <v>6087</v>
      </c>
      <c r="R574" t="s">
        <v>97</v>
      </c>
      <c r="S574">
        <v>0</v>
      </c>
      <c r="T574">
        <v>0</v>
      </c>
      <c r="U574">
        <v>0</v>
      </c>
      <c r="V574" t="s">
        <v>98</v>
      </c>
      <c r="W574" t="s">
        <v>99</v>
      </c>
    </row>
    <row r="575" spans="1:23" x14ac:dyDescent="0.35">
      <c r="A575" t="s">
        <v>45</v>
      </c>
      <c r="B575" t="s">
        <v>1203</v>
      </c>
      <c r="C575" t="s">
        <v>93</v>
      </c>
      <c r="D575" t="s">
        <v>94</v>
      </c>
      <c r="E575" t="s">
        <v>45</v>
      </c>
      <c r="F575" t="s">
        <v>49</v>
      </c>
      <c r="G575" t="s">
        <v>1245</v>
      </c>
      <c r="H575" t="s">
        <v>1246</v>
      </c>
      <c r="J575" t="str">
        <f>HYPERLINK("https://twitter.com/SpiceMoneyIndia/status/1770776708192317683","https://twitter.com/SpiceMoneyIndia/status/1770776708192317683")</f>
        <v>https://twitter.com/SpiceMoneyIndia/status/1770776708192317683</v>
      </c>
      <c r="K575" t="s">
        <v>67</v>
      </c>
      <c r="O575">
        <v>0</v>
      </c>
      <c r="P575">
        <v>0</v>
      </c>
      <c r="Q575">
        <v>6087</v>
      </c>
      <c r="R575" t="s">
        <v>97</v>
      </c>
      <c r="S575">
        <v>0</v>
      </c>
      <c r="T575">
        <v>0</v>
      </c>
      <c r="U575">
        <v>0</v>
      </c>
      <c r="V575" t="s">
        <v>98</v>
      </c>
      <c r="W575" t="s">
        <v>99</v>
      </c>
    </row>
    <row r="576" spans="1:23" x14ac:dyDescent="0.35">
      <c r="A576" t="s">
        <v>45</v>
      </c>
      <c r="B576" t="s">
        <v>1203</v>
      </c>
      <c r="C576" t="s">
        <v>60</v>
      </c>
      <c r="D576" t="s">
        <v>64</v>
      </c>
      <c r="E576" t="s">
        <v>64</v>
      </c>
      <c r="F576" t="s">
        <v>49</v>
      </c>
      <c r="G576" t="s">
        <v>266</v>
      </c>
      <c r="H576" t="s">
        <v>1247</v>
      </c>
      <c r="J576" t="str">
        <f>HYPERLINK("https://www.facebook.com/634639855377280/posts/810720524435878?comment_id=418989337380529&amp;reply_comment_id=953772079445727","https://www.facebook.com/634639855377280/posts/810720524435878?comment_id=418989337380529&amp;reply_comment_id=953772079445727")</f>
        <v>https://www.facebook.com/634639855377280/posts/810720524435878?comment_id=418989337380529&amp;reply_comment_id=953772079445727</v>
      </c>
      <c r="K576" t="s">
        <v>67</v>
      </c>
      <c r="O576">
        <v>0</v>
      </c>
      <c r="P576">
        <v>0</v>
      </c>
      <c r="Q576">
        <v>0</v>
      </c>
      <c r="S576">
        <v>0</v>
      </c>
      <c r="T576">
        <v>0</v>
      </c>
      <c r="U576">
        <v>0</v>
      </c>
      <c r="W576" t="s">
        <v>52</v>
      </c>
    </row>
    <row r="577" spans="1:23" x14ac:dyDescent="0.35">
      <c r="A577" t="s">
        <v>45</v>
      </c>
      <c r="B577" t="s">
        <v>1203</v>
      </c>
      <c r="C577" t="s">
        <v>60</v>
      </c>
      <c r="D577" t="s">
        <v>61</v>
      </c>
      <c r="E577" t="s">
        <v>61</v>
      </c>
      <c r="F577" t="s">
        <v>49</v>
      </c>
      <c r="G577" t="s">
        <v>1248</v>
      </c>
      <c r="H577" t="s">
        <v>1249</v>
      </c>
      <c r="J577" t="str">
        <f>HYPERLINK("https://www.facebook.com/634639855377280/posts/812296230944974?comment_id=947853149987840","https://www.facebook.com/634639855377280/posts/812296230944974?comment_id=947853149987840")</f>
        <v>https://www.facebook.com/634639855377280/posts/812296230944974?comment_id=947853149987840</v>
      </c>
      <c r="O577">
        <v>0</v>
      </c>
      <c r="P577">
        <v>0</v>
      </c>
      <c r="Q577">
        <v>0</v>
      </c>
      <c r="S577">
        <v>0</v>
      </c>
      <c r="T577">
        <v>0</v>
      </c>
      <c r="U577">
        <v>0</v>
      </c>
      <c r="W577" t="s">
        <v>52</v>
      </c>
    </row>
    <row r="578" spans="1:23" x14ac:dyDescent="0.35">
      <c r="A578" t="s">
        <v>45</v>
      </c>
      <c r="B578" t="s">
        <v>1203</v>
      </c>
      <c r="C578" t="s">
        <v>60</v>
      </c>
      <c r="D578" t="s">
        <v>61</v>
      </c>
      <c r="E578" t="s">
        <v>61</v>
      </c>
      <c r="F578" t="s">
        <v>49</v>
      </c>
      <c r="G578" t="s">
        <v>1250</v>
      </c>
      <c r="H578" t="s">
        <v>1251</v>
      </c>
      <c r="J578" t="str">
        <f>HYPERLINK("https://www.facebook.com/634639855377280/posts/812296230944974?comment_id=346701691704877","https://www.facebook.com/634639855377280/posts/812296230944974?comment_id=346701691704877")</f>
        <v>https://www.facebook.com/634639855377280/posts/812296230944974?comment_id=346701691704877</v>
      </c>
      <c r="O578">
        <v>0</v>
      </c>
      <c r="P578">
        <v>0</v>
      </c>
      <c r="Q578">
        <v>0</v>
      </c>
      <c r="S578">
        <v>0</v>
      </c>
      <c r="T578">
        <v>0</v>
      </c>
      <c r="U578">
        <v>0</v>
      </c>
      <c r="W578" t="s">
        <v>52</v>
      </c>
    </row>
    <row r="579" spans="1:23" x14ac:dyDescent="0.35">
      <c r="A579" t="s">
        <v>45</v>
      </c>
      <c r="B579" t="s">
        <v>1203</v>
      </c>
      <c r="C579" t="s">
        <v>60</v>
      </c>
      <c r="D579" t="s">
        <v>64</v>
      </c>
      <c r="E579" t="s">
        <v>64</v>
      </c>
      <c r="F579" t="s">
        <v>49</v>
      </c>
      <c r="G579" t="s">
        <v>162</v>
      </c>
      <c r="H579" t="s">
        <v>1252</v>
      </c>
      <c r="J579" t="str">
        <f>HYPERLINK("https://www.facebook.com/634639855377280/posts/812296230944974?comment_id=392400896871682&amp;reply_comment_id=7297557136987520","https://www.facebook.com/634639855377280/posts/812296230944974?comment_id=392400896871682&amp;reply_comment_id=7297557136987520")</f>
        <v>https://www.facebook.com/634639855377280/posts/812296230944974?comment_id=392400896871682&amp;reply_comment_id=7297557136987520</v>
      </c>
      <c r="K579" t="s">
        <v>67</v>
      </c>
      <c r="O579">
        <v>0</v>
      </c>
      <c r="P579">
        <v>0</v>
      </c>
      <c r="Q579">
        <v>0</v>
      </c>
      <c r="S579">
        <v>0</v>
      </c>
      <c r="T579">
        <v>0</v>
      </c>
      <c r="U579">
        <v>0</v>
      </c>
      <c r="W579" t="s">
        <v>52</v>
      </c>
    </row>
    <row r="580" spans="1:23" x14ac:dyDescent="0.35">
      <c r="A580" t="s">
        <v>45</v>
      </c>
      <c r="B580" t="s">
        <v>1203</v>
      </c>
      <c r="C580" t="s">
        <v>93</v>
      </c>
      <c r="D580" t="s">
        <v>1253</v>
      </c>
      <c r="E580" t="s">
        <v>1254</v>
      </c>
      <c r="F580" t="s">
        <v>54</v>
      </c>
      <c r="G580" t="s">
        <v>1255</v>
      </c>
      <c r="H580" t="s">
        <v>1256</v>
      </c>
      <c r="J580" t="str">
        <f>HYPERLINK("https://twitter.com/itsDeepanshu24/status/1770748547626885476","https://twitter.com/itsDeepanshu24/status/1770748547626885476")</f>
        <v>https://twitter.com/itsDeepanshu24/status/1770748547626885476</v>
      </c>
      <c r="K580" t="s">
        <v>67</v>
      </c>
      <c r="O580">
        <v>0</v>
      </c>
      <c r="P580">
        <v>0</v>
      </c>
      <c r="Q580">
        <v>0</v>
      </c>
      <c r="S580">
        <v>0</v>
      </c>
      <c r="T580">
        <v>0</v>
      </c>
      <c r="U580">
        <v>0</v>
      </c>
      <c r="W580" t="s">
        <v>99</v>
      </c>
    </row>
    <row r="581" spans="1:23" x14ac:dyDescent="0.35">
      <c r="A581" t="s">
        <v>45</v>
      </c>
      <c r="B581" t="s">
        <v>1203</v>
      </c>
      <c r="C581" t="s">
        <v>93</v>
      </c>
      <c r="D581" t="s">
        <v>1253</v>
      </c>
      <c r="E581" t="s">
        <v>1254</v>
      </c>
      <c r="F581" t="s">
        <v>193</v>
      </c>
      <c r="G581" t="s">
        <v>1257</v>
      </c>
      <c r="H581" t="s">
        <v>1258</v>
      </c>
      <c r="J581" t="str">
        <f>HYPERLINK("https://twitter.com/itsDeepanshu24/status/1770747643318170039","https://twitter.com/itsDeepanshu24/status/1770747643318170039")</f>
        <v>https://twitter.com/itsDeepanshu24/status/1770747643318170039</v>
      </c>
      <c r="K581" t="s">
        <v>67</v>
      </c>
      <c r="O581">
        <v>0</v>
      </c>
      <c r="P581">
        <v>0</v>
      </c>
      <c r="Q581">
        <v>0</v>
      </c>
      <c r="S581">
        <v>0</v>
      </c>
      <c r="T581">
        <v>0</v>
      </c>
      <c r="U581">
        <v>0</v>
      </c>
      <c r="W581" t="s">
        <v>99</v>
      </c>
    </row>
    <row r="582" spans="1:23" x14ac:dyDescent="0.35">
      <c r="A582" t="s">
        <v>45</v>
      </c>
      <c r="B582" t="s">
        <v>1203</v>
      </c>
      <c r="C582" t="s">
        <v>93</v>
      </c>
      <c r="D582" t="s">
        <v>1259</v>
      </c>
      <c r="E582" t="s">
        <v>1260</v>
      </c>
      <c r="F582" t="s">
        <v>49</v>
      </c>
      <c r="G582" t="s">
        <v>1261</v>
      </c>
      <c r="H582" t="s">
        <v>1262</v>
      </c>
      <c r="J582" t="str">
        <f>HYPERLINK("https://twitter.com/sharwanlukkad/status/1770742950957371771","https://twitter.com/sharwanlukkad/status/1770742950957371771")</f>
        <v>https://twitter.com/sharwanlukkad/status/1770742950957371771</v>
      </c>
      <c r="O582">
        <v>0</v>
      </c>
      <c r="P582">
        <v>0</v>
      </c>
      <c r="Q582">
        <v>2</v>
      </c>
      <c r="S582">
        <v>0</v>
      </c>
      <c r="T582">
        <v>0</v>
      </c>
      <c r="U582">
        <v>0</v>
      </c>
      <c r="W582" t="s">
        <v>99</v>
      </c>
    </row>
    <row r="583" spans="1:23" x14ac:dyDescent="0.35">
      <c r="A583" t="s">
        <v>45</v>
      </c>
      <c r="B583" t="s">
        <v>1203</v>
      </c>
      <c r="C583" t="s">
        <v>93</v>
      </c>
      <c r="D583" t="s">
        <v>1225</v>
      </c>
      <c r="E583" t="s">
        <v>1226</v>
      </c>
      <c r="F583" t="s">
        <v>54</v>
      </c>
      <c r="G583" t="s">
        <v>1263</v>
      </c>
      <c r="H583" t="s">
        <v>1264</v>
      </c>
      <c r="J583" t="str">
        <f>HYPERLINK("https://twitter.com/pijushkantimal/status/1770714767100940640","https://twitter.com/pijushkantimal/status/1770714767100940640")</f>
        <v>https://twitter.com/pijushkantimal/status/1770714767100940640</v>
      </c>
      <c r="K583" t="s">
        <v>67</v>
      </c>
      <c r="O583">
        <v>0</v>
      </c>
      <c r="P583">
        <v>0</v>
      </c>
      <c r="Q583">
        <v>17</v>
      </c>
      <c r="R583" t="s">
        <v>1229</v>
      </c>
      <c r="S583">
        <v>0</v>
      </c>
      <c r="T583">
        <v>0</v>
      </c>
      <c r="U583">
        <v>0</v>
      </c>
      <c r="W583" t="s">
        <v>99</v>
      </c>
    </row>
    <row r="584" spans="1:23" x14ac:dyDescent="0.35">
      <c r="A584" t="s">
        <v>45</v>
      </c>
      <c r="B584" t="s">
        <v>1203</v>
      </c>
      <c r="C584" t="s">
        <v>60</v>
      </c>
      <c r="D584" t="s">
        <v>61</v>
      </c>
      <c r="E584" t="s">
        <v>61</v>
      </c>
      <c r="F584" t="s">
        <v>193</v>
      </c>
      <c r="G584" t="s">
        <v>1265</v>
      </c>
      <c r="H584" t="s">
        <v>1266</v>
      </c>
      <c r="J584" t="str">
        <f>HYPERLINK("https://www.facebook.com/634639855377280/posts/810720524435878?comment_id=418989337380529&amp;reply_comment_id=1170839604327254","https://www.facebook.com/634639855377280/posts/810720524435878?comment_id=418989337380529&amp;reply_comment_id=1170839604327254")</f>
        <v>https://www.facebook.com/634639855377280/posts/810720524435878?comment_id=418989337380529&amp;reply_comment_id=1170839604327254</v>
      </c>
      <c r="O584">
        <v>0</v>
      </c>
      <c r="P584">
        <v>0</v>
      </c>
      <c r="Q584">
        <v>0</v>
      </c>
      <c r="S584">
        <v>0</v>
      </c>
      <c r="T584">
        <v>0</v>
      </c>
      <c r="U584">
        <v>0</v>
      </c>
      <c r="W584" t="s">
        <v>52</v>
      </c>
    </row>
    <row r="585" spans="1:23" x14ac:dyDescent="0.35">
      <c r="A585" t="s">
        <v>45</v>
      </c>
      <c r="B585" t="s">
        <v>1203</v>
      </c>
      <c r="C585" t="s">
        <v>60</v>
      </c>
      <c r="D585" t="s">
        <v>61</v>
      </c>
      <c r="E585" t="s">
        <v>61</v>
      </c>
      <c r="F585" t="s">
        <v>49</v>
      </c>
      <c r="G585" t="s">
        <v>1267</v>
      </c>
      <c r="H585" t="s">
        <v>1268</v>
      </c>
      <c r="J585" t="str">
        <f>HYPERLINK("https://www.facebook.com/634639855377280/posts/810720524435878?comment_id=1361415848587041","https://www.facebook.com/634639855377280/posts/810720524435878?comment_id=1361415848587041")</f>
        <v>https://www.facebook.com/634639855377280/posts/810720524435878?comment_id=1361415848587041</v>
      </c>
      <c r="O585">
        <v>0</v>
      </c>
      <c r="P585">
        <v>0</v>
      </c>
      <c r="Q585">
        <v>0</v>
      </c>
      <c r="S585">
        <v>0</v>
      </c>
      <c r="T585">
        <v>0</v>
      </c>
      <c r="U585">
        <v>0</v>
      </c>
      <c r="W585" t="s">
        <v>52</v>
      </c>
    </row>
    <row r="586" spans="1:23" x14ac:dyDescent="0.35">
      <c r="A586" t="s">
        <v>45</v>
      </c>
      <c r="B586" t="s">
        <v>1203</v>
      </c>
      <c r="C586" t="s">
        <v>60</v>
      </c>
      <c r="D586" t="s">
        <v>61</v>
      </c>
      <c r="E586" t="s">
        <v>61</v>
      </c>
      <c r="F586" t="s">
        <v>49</v>
      </c>
      <c r="G586" t="s">
        <v>1269</v>
      </c>
      <c r="H586" t="s">
        <v>1270</v>
      </c>
      <c r="J586" t="str">
        <f>HYPERLINK("https://www.facebook.com/634639855377280/posts/812296230944974?comment_id=392400896871682","https://www.facebook.com/634639855377280/posts/812296230944974?comment_id=392400896871682")</f>
        <v>https://www.facebook.com/634639855377280/posts/812296230944974?comment_id=392400896871682</v>
      </c>
      <c r="O586">
        <v>0</v>
      </c>
      <c r="P586">
        <v>0</v>
      </c>
      <c r="Q586">
        <v>0</v>
      </c>
      <c r="S586">
        <v>0</v>
      </c>
      <c r="T586">
        <v>0</v>
      </c>
      <c r="U586">
        <v>0</v>
      </c>
      <c r="W586" t="s">
        <v>52</v>
      </c>
    </row>
    <row r="587" spans="1:23" x14ac:dyDescent="0.35">
      <c r="A587" t="s">
        <v>45</v>
      </c>
      <c r="B587" t="s">
        <v>1203</v>
      </c>
      <c r="C587" t="s">
        <v>47</v>
      </c>
      <c r="D587" t="s">
        <v>1271</v>
      </c>
      <c r="E587" t="s">
        <v>1271</v>
      </c>
      <c r="F587" t="s">
        <v>49</v>
      </c>
      <c r="G587" t="s">
        <v>1272</v>
      </c>
      <c r="H587" t="s">
        <v>1273</v>
      </c>
      <c r="J587" t="str">
        <f>HYPERLINK("https://www.youtube.com/watch?v=otifGXuH01E&amp;lc=UgyRg2HS6cZLpoU-lo54AaABAg","https://www.youtube.com/watch?v=otifGXuH01E&amp;lc=UgyRg2HS6cZLpoU-lo54AaABAg")</f>
        <v>https://www.youtube.com/watch?v=otifGXuH01E&amp;lc=UgyRg2HS6cZLpoU-lo54AaABAg</v>
      </c>
      <c r="O587">
        <v>0</v>
      </c>
      <c r="P587">
        <v>0</v>
      </c>
      <c r="Q587">
        <v>0</v>
      </c>
      <c r="S587">
        <v>0</v>
      </c>
      <c r="T587">
        <v>0</v>
      </c>
      <c r="U587">
        <v>0</v>
      </c>
      <c r="W587" t="s">
        <v>52</v>
      </c>
    </row>
    <row r="588" spans="1:23" x14ac:dyDescent="0.35">
      <c r="A588" t="s">
        <v>45</v>
      </c>
      <c r="B588" t="s">
        <v>1203</v>
      </c>
      <c r="C588" t="s">
        <v>60</v>
      </c>
      <c r="D588" t="s">
        <v>64</v>
      </c>
      <c r="E588" t="s">
        <v>64</v>
      </c>
      <c r="F588" t="s">
        <v>49</v>
      </c>
      <c r="G588" t="s">
        <v>1274</v>
      </c>
      <c r="H588" t="s">
        <v>1275</v>
      </c>
      <c r="J588" t="str">
        <f>HYPERLINK("https://www.facebook.com/634639855377280/posts/812296230944974","https://www.facebook.com/634639855377280/posts/812296230944974")</f>
        <v>https://www.facebook.com/634639855377280/posts/812296230944974</v>
      </c>
      <c r="O588">
        <v>0</v>
      </c>
      <c r="P588">
        <v>0</v>
      </c>
      <c r="Q588">
        <v>0</v>
      </c>
      <c r="S588">
        <v>12</v>
      </c>
      <c r="T588">
        <v>88</v>
      </c>
      <c r="U588">
        <v>10</v>
      </c>
      <c r="W588" t="s">
        <v>346</v>
      </c>
    </row>
    <row r="589" spans="1:23" x14ac:dyDescent="0.35">
      <c r="A589" t="s">
        <v>45</v>
      </c>
      <c r="B589" t="s">
        <v>1203</v>
      </c>
      <c r="C589" t="s">
        <v>47</v>
      </c>
      <c r="D589" t="s">
        <v>68</v>
      </c>
      <c r="E589" t="s">
        <v>68</v>
      </c>
      <c r="F589" t="s">
        <v>49</v>
      </c>
      <c r="G589" t="s">
        <v>1276</v>
      </c>
      <c r="H589" t="s">
        <v>1277</v>
      </c>
      <c r="J589" t="str">
        <f>HYPERLINK("https://www.youtube.com/watch?v=lgTr6XT0s8g&amp;lc=UgyOKkUbV0v1wHnOPz54AaABAg.A1DBLZZvpB3A1EKV87Bsro","https://www.youtube.com/watch?v=lgTr6XT0s8g&amp;lc=UgyOKkUbV0v1wHnOPz54AaABAg.A1DBLZZvpB3A1EKV87Bsro")</f>
        <v>https://www.youtube.com/watch?v=lgTr6XT0s8g&amp;lc=UgyOKkUbV0v1wHnOPz54AaABAg.A1DBLZZvpB3A1EKV87Bsro</v>
      </c>
      <c r="O589">
        <v>0</v>
      </c>
      <c r="P589">
        <v>0</v>
      </c>
      <c r="Q589">
        <v>0</v>
      </c>
      <c r="S589">
        <v>0</v>
      </c>
      <c r="T589">
        <v>0</v>
      </c>
      <c r="U589">
        <v>0</v>
      </c>
      <c r="W589" t="s">
        <v>52</v>
      </c>
    </row>
    <row r="590" spans="1:23" x14ac:dyDescent="0.35">
      <c r="A590" t="s">
        <v>45</v>
      </c>
      <c r="B590" t="s">
        <v>1203</v>
      </c>
      <c r="C590" t="s">
        <v>47</v>
      </c>
      <c r="D590" t="s">
        <v>1278</v>
      </c>
      <c r="E590" t="s">
        <v>1278</v>
      </c>
      <c r="F590" t="s">
        <v>49</v>
      </c>
      <c r="G590" t="s">
        <v>1279</v>
      </c>
      <c r="H590" t="s">
        <v>1280</v>
      </c>
      <c r="J590" t="str">
        <f>HYPERLINK("https://www.youtube.com/watch?v=0jM8DQER-qY&amp;lc=Ugz3eKMpR8CngWYzogl4AaABAg","https://www.youtube.com/watch?v=0jM8DQER-qY&amp;lc=Ugz3eKMpR8CngWYzogl4AaABAg")</f>
        <v>https://www.youtube.com/watch?v=0jM8DQER-qY&amp;lc=Ugz3eKMpR8CngWYzogl4AaABAg</v>
      </c>
      <c r="O590">
        <v>0</v>
      </c>
      <c r="P590">
        <v>0</v>
      </c>
      <c r="Q590">
        <v>0</v>
      </c>
      <c r="S590">
        <v>0</v>
      </c>
      <c r="T590">
        <v>0</v>
      </c>
      <c r="U590">
        <v>0</v>
      </c>
      <c r="W590" t="s">
        <v>52</v>
      </c>
    </row>
    <row r="591" spans="1:23" x14ac:dyDescent="0.35">
      <c r="A591" t="s">
        <v>45</v>
      </c>
      <c r="B591" t="s">
        <v>1203</v>
      </c>
      <c r="C591" t="s">
        <v>47</v>
      </c>
      <c r="D591" t="s">
        <v>68</v>
      </c>
      <c r="E591" t="s">
        <v>68</v>
      </c>
      <c r="F591" t="s">
        <v>49</v>
      </c>
      <c r="G591" t="s">
        <v>162</v>
      </c>
      <c r="H591" t="s">
        <v>1281</v>
      </c>
      <c r="J591" t="str">
        <f>HYPERLINK("https://www.youtube.com/watch?v=fi0KMSdJZZY&amp;lc=UgyePvMa9fG-2trHD654AaABAg.A1CeSQj4maCA1EE2BWo3ql","https://www.youtube.com/watch?v=fi0KMSdJZZY&amp;lc=UgyePvMa9fG-2trHD654AaABAg.A1CeSQj4maCA1EE2BWo3ql")</f>
        <v>https://www.youtube.com/watch?v=fi0KMSdJZZY&amp;lc=UgyePvMa9fG-2trHD654AaABAg.A1CeSQj4maCA1EE2BWo3ql</v>
      </c>
      <c r="O591">
        <v>0</v>
      </c>
      <c r="P591">
        <v>0</v>
      </c>
      <c r="Q591">
        <v>0</v>
      </c>
      <c r="S591">
        <v>0</v>
      </c>
      <c r="T591">
        <v>0</v>
      </c>
      <c r="U591">
        <v>0</v>
      </c>
      <c r="W591" t="s">
        <v>52</v>
      </c>
    </row>
    <row r="592" spans="1:23" x14ac:dyDescent="0.35">
      <c r="A592" t="s">
        <v>45</v>
      </c>
      <c r="B592" t="s">
        <v>1203</v>
      </c>
      <c r="C592" t="s">
        <v>47</v>
      </c>
      <c r="D592" t="s">
        <v>68</v>
      </c>
      <c r="E592" t="s">
        <v>68</v>
      </c>
      <c r="F592" t="s">
        <v>49</v>
      </c>
      <c r="G592" t="s">
        <v>102</v>
      </c>
      <c r="H592" t="s">
        <v>1282</v>
      </c>
      <c r="J592" t="str">
        <f>HYPERLINK("https://www.youtube.com/watch?v=fi0KMSdJZZY&amp;lc=UgyNDsY_kjwk_cLIQMR4AaABAg.A1CxziJZk37A1EDErBtTsO","https://www.youtube.com/watch?v=fi0KMSdJZZY&amp;lc=UgyNDsY_kjwk_cLIQMR4AaABAg.A1CxziJZk37A1EDErBtTsO")</f>
        <v>https://www.youtube.com/watch?v=fi0KMSdJZZY&amp;lc=UgyNDsY_kjwk_cLIQMR4AaABAg.A1CxziJZk37A1EDErBtTsO</v>
      </c>
      <c r="O592">
        <v>0</v>
      </c>
      <c r="P592">
        <v>0</v>
      </c>
      <c r="Q592">
        <v>0</v>
      </c>
      <c r="S592">
        <v>0</v>
      </c>
      <c r="T592">
        <v>0</v>
      </c>
      <c r="U592">
        <v>0</v>
      </c>
      <c r="W592" t="s">
        <v>52</v>
      </c>
    </row>
    <row r="593" spans="1:42" x14ac:dyDescent="0.35">
      <c r="A593" t="s">
        <v>45</v>
      </c>
      <c r="B593" t="s">
        <v>1203</v>
      </c>
      <c r="C593" t="s">
        <v>93</v>
      </c>
      <c r="D593" t="s">
        <v>94</v>
      </c>
      <c r="E593" t="s">
        <v>45</v>
      </c>
      <c r="F593" t="s">
        <v>49</v>
      </c>
      <c r="G593" t="s">
        <v>1283</v>
      </c>
      <c r="H593" t="s">
        <v>1284</v>
      </c>
      <c r="J593" t="str">
        <f>HYPERLINK("https://twitter.com/SpiceMoneyIndia/status/1770649176046530998","https://twitter.com/SpiceMoneyIndia/status/1770649176046530998")</f>
        <v>https://twitter.com/SpiceMoneyIndia/status/1770649176046530998</v>
      </c>
      <c r="K593" t="s">
        <v>67</v>
      </c>
      <c r="O593">
        <v>0</v>
      </c>
      <c r="P593">
        <v>0</v>
      </c>
      <c r="Q593">
        <v>6084</v>
      </c>
      <c r="R593" t="s">
        <v>97</v>
      </c>
      <c r="S593">
        <v>0</v>
      </c>
      <c r="T593">
        <v>0</v>
      </c>
      <c r="U593">
        <v>0</v>
      </c>
      <c r="V593" t="s">
        <v>98</v>
      </c>
      <c r="W593" t="s">
        <v>99</v>
      </c>
    </row>
    <row r="594" spans="1:42" x14ac:dyDescent="0.35">
      <c r="A594" t="s">
        <v>45</v>
      </c>
      <c r="B594" t="s">
        <v>1285</v>
      </c>
      <c r="C594" t="s">
        <v>47</v>
      </c>
      <c r="D594" t="s">
        <v>736</v>
      </c>
      <c r="E594" t="s">
        <v>736</v>
      </c>
      <c r="F594" t="s">
        <v>49</v>
      </c>
      <c r="G594" t="s">
        <v>1286</v>
      </c>
      <c r="H594" t="s">
        <v>1287</v>
      </c>
      <c r="J594" t="str">
        <f>HYPERLINK("https://www.youtube.com/watch?v=ZhnubNNzNvI","https://www.youtube.com/watch?v=ZhnubNNzNvI")</f>
        <v>https://www.youtube.com/watch?v=ZhnubNNzNvI</v>
      </c>
      <c r="O594">
        <v>0</v>
      </c>
      <c r="P594">
        <v>0</v>
      </c>
      <c r="Q594">
        <v>0</v>
      </c>
      <c r="S594">
        <v>0</v>
      </c>
      <c r="T594">
        <v>0</v>
      </c>
      <c r="U594">
        <v>0</v>
      </c>
      <c r="W594" t="s">
        <v>346</v>
      </c>
      <c r="AP594" t="s">
        <v>1288</v>
      </c>
    </row>
    <row r="595" spans="1:42" x14ac:dyDescent="0.35">
      <c r="A595" t="s">
        <v>45</v>
      </c>
      <c r="B595" t="s">
        <v>1285</v>
      </c>
      <c r="C595" t="s">
        <v>47</v>
      </c>
      <c r="D595" t="s">
        <v>1289</v>
      </c>
      <c r="E595" t="s">
        <v>1289</v>
      </c>
      <c r="F595" t="s">
        <v>54</v>
      </c>
      <c r="G595" t="s">
        <v>1290</v>
      </c>
      <c r="H595" t="s">
        <v>1291</v>
      </c>
      <c r="J595" t="str">
        <f>HYPERLINK("https://www.youtube.com/watch?v=lgTr6XT0s8g&amp;lc=UgyOKkUbV0v1wHnOPz54AaABAg","https://www.youtube.com/watch?v=lgTr6XT0s8g&amp;lc=UgyOKkUbV0v1wHnOPz54AaABAg")</f>
        <v>https://www.youtube.com/watch?v=lgTr6XT0s8g&amp;lc=UgyOKkUbV0v1wHnOPz54AaABAg</v>
      </c>
      <c r="O595">
        <v>0</v>
      </c>
      <c r="P595">
        <v>0</v>
      </c>
      <c r="Q595">
        <v>0</v>
      </c>
      <c r="S595">
        <v>0</v>
      </c>
      <c r="T595">
        <v>0</v>
      </c>
      <c r="U595">
        <v>0</v>
      </c>
      <c r="W595" t="s">
        <v>52</v>
      </c>
    </row>
    <row r="596" spans="1:42" x14ac:dyDescent="0.35">
      <c r="A596" t="s">
        <v>45</v>
      </c>
      <c r="B596" t="s">
        <v>1285</v>
      </c>
      <c r="C596" t="s">
        <v>93</v>
      </c>
      <c r="D596" t="s">
        <v>1253</v>
      </c>
      <c r="E596" t="s">
        <v>1254</v>
      </c>
      <c r="F596" t="s">
        <v>49</v>
      </c>
      <c r="G596" t="s">
        <v>1292</v>
      </c>
      <c r="H596" t="s">
        <v>1293</v>
      </c>
      <c r="J596" t="str">
        <f>HYPERLINK("https://twitter.com/itsDeepanshu24/status/1770491612948312192","https://twitter.com/itsDeepanshu24/status/1770491612948312192")</f>
        <v>https://twitter.com/itsDeepanshu24/status/1770491612948312192</v>
      </c>
      <c r="K596" t="s">
        <v>67</v>
      </c>
      <c r="O596">
        <v>0</v>
      </c>
      <c r="P596">
        <v>0</v>
      </c>
      <c r="Q596">
        <v>0</v>
      </c>
      <c r="S596">
        <v>0</v>
      </c>
      <c r="T596">
        <v>0</v>
      </c>
      <c r="U596">
        <v>0</v>
      </c>
      <c r="W596" t="s">
        <v>99</v>
      </c>
    </row>
    <row r="597" spans="1:42" x14ac:dyDescent="0.35">
      <c r="A597" t="s">
        <v>45</v>
      </c>
      <c r="B597" t="s">
        <v>1285</v>
      </c>
      <c r="C597" t="s">
        <v>47</v>
      </c>
      <c r="D597" t="s">
        <v>1294</v>
      </c>
      <c r="E597" t="s">
        <v>1294</v>
      </c>
      <c r="F597" t="s">
        <v>193</v>
      </c>
      <c r="G597" t="s">
        <v>1295</v>
      </c>
      <c r="H597" t="s">
        <v>1296</v>
      </c>
      <c r="J597" t="str">
        <f>HYPERLINK("https://www.youtube.com/watch?v=fi0KMSdJZZY&amp;lc=UgyNDsY_kjwk_cLIQMR4AaABAg","https://www.youtube.com/watch?v=fi0KMSdJZZY&amp;lc=UgyNDsY_kjwk_cLIQMR4AaABAg")</f>
        <v>https://www.youtube.com/watch?v=fi0KMSdJZZY&amp;lc=UgyNDsY_kjwk_cLIQMR4AaABAg</v>
      </c>
      <c r="O597">
        <v>0</v>
      </c>
      <c r="P597">
        <v>0</v>
      </c>
      <c r="Q597">
        <v>0</v>
      </c>
      <c r="S597">
        <v>0</v>
      </c>
      <c r="T597">
        <v>0</v>
      </c>
      <c r="U597">
        <v>0</v>
      </c>
      <c r="W597" t="s">
        <v>52</v>
      </c>
    </row>
    <row r="598" spans="1:42" x14ac:dyDescent="0.35">
      <c r="A598" t="s">
        <v>45</v>
      </c>
      <c r="B598" t="s">
        <v>1285</v>
      </c>
      <c r="C598" t="s">
        <v>47</v>
      </c>
      <c r="D598" t="s">
        <v>1297</v>
      </c>
      <c r="E598" t="s">
        <v>1297</v>
      </c>
      <c r="F598" t="s">
        <v>54</v>
      </c>
      <c r="G598" t="s">
        <v>1298</v>
      </c>
      <c r="H598" t="s">
        <v>1299</v>
      </c>
      <c r="J598" t="str">
        <f>HYPERLINK("https://www.youtube.com/watch?v=fi0KMSdJZZY&amp;lc=UgyePvMa9fG-2trHD654AaABAg","https://www.youtube.com/watch?v=fi0KMSdJZZY&amp;lc=UgyePvMa9fG-2trHD654AaABAg")</f>
        <v>https://www.youtube.com/watch?v=fi0KMSdJZZY&amp;lc=UgyePvMa9fG-2trHD654AaABAg</v>
      </c>
      <c r="O598">
        <v>0</v>
      </c>
      <c r="P598">
        <v>0</v>
      </c>
      <c r="Q598">
        <v>0</v>
      </c>
      <c r="S598">
        <v>0</v>
      </c>
      <c r="T598">
        <v>0</v>
      </c>
      <c r="U598">
        <v>0</v>
      </c>
      <c r="W598" t="s">
        <v>52</v>
      </c>
    </row>
    <row r="599" spans="1:42" x14ac:dyDescent="0.35">
      <c r="A599" t="s">
        <v>45</v>
      </c>
      <c r="B599" t="s">
        <v>1285</v>
      </c>
      <c r="C599" t="s">
        <v>93</v>
      </c>
      <c r="D599" t="s">
        <v>867</v>
      </c>
      <c r="E599" t="s">
        <v>868</v>
      </c>
      <c r="F599" t="s">
        <v>49</v>
      </c>
      <c r="G599" t="s">
        <v>1300</v>
      </c>
      <c r="H599" t="s">
        <v>1301</v>
      </c>
      <c r="J599" t="str">
        <f>HYPERLINK("https://twitter.com/samyaduvanshi2/status/1770409907214508179","https://twitter.com/samyaduvanshi2/status/1770409907214508179")</f>
        <v>https://twitter.com/samyaduvanshi2/status/1770409907214508179</v>
      </c>
      <c r="K599" t="s">
        <v>67</v>
      </c>
      <c r="O599">
        <v>0</v>
      </c>
      <c r="P599">
        <v>0</v>
      </c>
      <c r="Q599">
        <v>41</v>
      </c>
      <c r="R599" t="s">
        <v>871</v>
      </c>
      <c r="S599">
        <v>0</v>
      </c>
      <c r="T599">
        <v>0</v>
      </c>
      <c r="U599">
        <v>0</v>
      </c>
      <c r="W599" t="s">
        <v>99</v>
      </c>
    </row>
    <row r="600" spans="1:42" x14ac:dyDescent="0.35">
      <c r="A600" t="s">
        <v>45</v>
      </c>
      <c r="B600" t="s">
        <v>1285</v>
      </c>
      <c r="C600" t="s">
        <v>93</v>
      </c>
      <c r="D600" t="s">
        <v>1302</v>
      </c>
      <c r="E600" t="s">
        <v>1303</v>
      </c>
      <c r="F600" t="s">
        <v>49</v>
      </c>
      <c r="G600" t="s">
        <v>1304</v>
      </c>
      <c r="H600" t="s">
        <v>1305</v>
      </c>
      <c r="J600" t="str">
        <f>HYPERLINK("https://twitter.com/ETBrandEquity/status/1770407373527539732","https://twitter.com/ETBrandEquity/status/1770407373527539732")</f>
        <v>https://twitter.com/ETBrandEquity/status/1770407373527539732</v>
      </c>
      <c r="O600">
        <v>0</v>
      </c>
      <c r="P600">
        <v>0</v>
      </c>
      <c r="Q600">
        <v>31658</v>
      </c>
      <c r="R600" t="s">
        <v>1306</v>
      </c>
      <c r="S600">
        <v>0</v>
      </c>
      <c r="T600">
        <v>0</v>
      </c>
      <c r="U600">
        <v>0</v>
      </c>
      <c r="W600" t="s">
        <v>99</v>
      </c>
    </row>
    <row r="601" spans="1:42" x14ac:dyDescent="0.35">
      <c r="A601" t="s">
        <v>45</v>
      </c>
      <c r="B601" t="s">
        <v>1285</v>
      </c>
      <c r="C601" t="s">
        <v>93</v>
      </c>
      <c r="D601" t="s">
        <v>94</v>
      </c>
      <c r="E601" t="s">
        <v>45</v>
      </c>
      <c r="F601" t="s">
        <v>49</v>
      </c>
      <c r="G601" t="s">
        <v>1307</v>
      </c>
      <c r="H601" t="s">
        <v>1308</v>
      </c>
      <c r="J601" t="str">
        <f>HYPERLINK("https://twitter.com/SpiceMoneyIndia/status/1770400005766934904","https://twitter.com/SpiceMoneyIndia/status/1770400005766934904")</f>
        <v>https://twitter.com/SpiceMoneyIndia/status/1770400005766934904</v>
      </c>
      <c r="K601" t="s">
        <v>67</v>
      </c>
      <c r="O601">
        <v>0</v>
      </c>
      <c r="P601">
        <v>0</v>
      </c>
      <c r="Q601">
        <v>6082</v>
      </c>
      <c r="R601" t="s">
        <v>97</v>
      </c>
      <c r="S601">
        <v>0</v>
      </c>
      <c r="T601">
        <v>0</v>
      </c>
      <c r="U601">
        <v>0</v>
      </c>
      <c r="V601" t="s">
        <v>98</v>
      </c>
      <c r="W601" t="s">
        <v>99</v>
      </c>
    </row>
    <row r="602" spans="1:42" x14ac:dyDescent="0.35">
      <c r="A602" t="s">
        <v>45</v>
      </c>
      <c r="B602" t="s">
        <v>1285</v>
      </c>
      <c r="C602" t="s">
        <v>60</v>
      </c>
      <c r="D602" t="s">
        <v>1309</v>
      </c>
      <c r="E602" t="s">
        <v>1309</v>
      </c>
      <c r="F602" t="s">
        <v>49</v>
      </c>
      <c r="G602" t="s">
        <v>1310</v>
      </c>
      <c r="H602" t="s">
        <v>1311</v>
      </c>
      <c r="J602" t="str">
        <f>HYPERLINK("https://www.facebook.com/634639855377280/posts/811194214388509?comment_id=942347387624155&amp;reply_comment_id=394356926644576","https://www.facebook.com/634639855377280/posts/811194214388509?comment_id=942347387624155&amp;reply_comment_id=394356926644576")</f>
        <v>https://www.facebook.com/634639855377280/posts/811194214388509?comment_id=942347387624155&amp;reply_comment_id=394356926644576</v>
      </c>
      <c r="K602" t="s">
        <v>67</v>
      </c>
      <c r="O602">
        <v>0</v>
      </c>
      <c r="P602">
        <v>0</v>
      </c>
      <c r="Q602">
        <v>0</v>
      </c>
      <c r="S602">
        <v>0</v>
      </c>
      <c r="T602">
        <v>0</v>
      </c>
      <c r="U602">
        <v>0</v>
      </c>
      <c r="W602" t="s">
        <v>52</v>
      </c>
    </row>
    <row r="603" spans="1:42" x14ac:dyDescent="0.35">
      <c r="A603" t="s">
        <v>45</v>
      </c>
      <c r="B603" t="s">
        <v>1285</v>
      </c>
      <c r="C603" t="s">
        <v>60</v>
      </c>
      <c r="D603" t="s">
        <v>1309</v>
      </c>
      <c r="E603" t="s">
        <v>1309</v>
      </c>
      <c r="F603" t="s">
        <v>49</v>
      </c>
      <c r="G603" t="s">
        <v>1312</v>
      </c>
      <c r="H603" t="s">
        <v>1313</v>
      </c>
      <c r="J603" t="str">
        <f>HYPERLINK("https://www.facebook.com/634639855377280/posts/811194214388509?comment_id=942347387624155&amp;reply_comment_id=934521004830898","https://www.facebook.com/634639855377280/posts/811194214388509?comment_id=942347387624155&amp;reply_comment_id=934521004830898")</f>
        <v>https://www.facebook.com/634639855377280/posts/811194214388509?comment_id=942347387624155&amp;reply_comment_id=934521004830898</v>
      </c>
      <c r="K603" t="s">
        <v>67</v>
      </c>
      <c r="O603">
        <v>0</v>
      </c>
      <c r="P603">
        <v>0</v>
      </c>
      <c r="Q603">
        <v>0</v>
      </c>
      <c r="S603">
        <v>0</v>
      </c>
      <c r="T603">
        <v>0</v>
      </c>
      <c r="U603">
        <v>0</v>
      </c>
      <c r="W603" t="s">
        <v>52</v>
      </c>
    </row>
    <row r="604" spans="1:42" x14ac:dyDescent="0.35">
      <c r="A604" t="s">
        <v>45</v>
      </c>
      <c r="B604" t="s">
        <v>1285</v>
      </c>
      <c r="C604" t="s">
        <v>47</v>
      </c>
      <c r="D604" t="s">
        <v>68</v>
      </c>
      <c r="E604" t="s">
        <v>68</v>
      </c>
      <c r="F604" t="s">
        <v>49</v>
      </c>
      <c r="G604" t="s">
        <v>102</v>
      </c>
      <c r="H604" t="s">
        <v>1314</v>
      </c>
      <c r="J604" t="str">
        <f>HYPERLINK("https://www.youtube.com/watch?v=lgTr6XT0s8g&amp;lc=Ugxy5Eelul0uOtjeyRt4AaABAg.A1C7jLqP6AYA1CCAWdMho3","https://www.youtube.com/watch?v=lgTr6XT0s8g&amp;lc=Ugxy5Eelul0uOtjeyRt4AaABAg.A1C7jLqP6AYA1CCAWdMho3")</f>
        <v>https://www.youtube.com/watch?v=lgTr6XT0s8g&amp;lc=Ugxy5Eelul0uOtjeyRt4AaABAg.A1C7jLqP6AYA1CCAWdMho3</v>
      </c>
      <c r="O604">
        <v>0</v>
      </c>
      <c r="P604">
        <v>0</v>
      </c>
      <c r="Q604">
        <v>0</v>
      </c>
      <c r="S604">
        <v>0</v>
      </c>
      <c r="T604">
        <v>0</v>
      </c>
      <c r="U604">
        <v>0</v>
      </c>
      <c r="W604" t="s">
        <v>52</v>
      </c>
    </row>
    <row r="605" spans="1:42" x14ac:dyDescent="0.35">
      <c r="A605" t="s">
        <v>45</v>
      </c>
      <c r="B605" t="s">
        <v>1285</v>
      </c>
      <c r="C605" t="s">
        <v>60</v>
      </c>
      <c r="D605" t="s">
        <v>64</v>
      </c>
      <c r="E605" t="s">
        <v>64</v>
      </c>
      <c r="F605" t="s">
        <v>49</v>
      </c>
      <c r="G605" t="s">
        <v>1315</v>
      </c>
      <c r="H605" t="s">
        <v>1316</v>
      </c>
      <c r="J605" t="str">
        <f>HYPERLINK("https://www.facebook.com/634639855377280/posts/811194214388509?comment_id=349227154139289&amp;reply_comment_id=1340413813275070","https://www.facebook.com/634639855377280/posts/811194214388509?comment_id=349227154139289&amp;reply_comment_id=1340413813275070")</f>
        <v>https://www.facebook.com/634639855377280/posts/811194214388509?comment_id=349227154139289&amp;reply_comment_id=1340413813275070</v>
      </c>
      <c r="K605" t="s">
        <v>67</v>
      </c>
      <c r="O605">
        <v>0</v>
      </c>
      <c r="P605">
        <v>0</v>
      </c>
      <c r="Q605">
        <v>0</v>
      </c>
      <c r="S605">
        <v>0</v>
      </c>
      <c r="T605">
        <v>0</v>
      </c>
      <c r="U605">
        <v>0</v>
      </c>
      <c r="W605" t="s">
        <v>52</v>
      </c>
    </row>
    <row r="606" spans="1:42" x14ac:dyDescent="0.35">
      <c r="A606" t="s">
        <v>45</v>
      </c>
      <c r="B606" t="s">
        <v>1285</v>
      </c>
      <c r="C606" t="s">
        <v>60</v>
      </c>
      <c r="D606" t="s">
        <v>61</v>
      </c>
      <c r="E606" t="s">
        <v>61</v>
      </c>
      <c r="F606" t="s">
        <v>49</v>
      </c>
      <c r="G606" t="s">
        <v>1317</v>
      </c>
      <c r="H606" t="s">
        <v>1318</v>
      </c>
      <c r="J606" t="str">
        <f>HYPERLINK("https://www.facebook.com/634639855377280/posts/809482441226353?comment_id=940218700675144","https://www.facebook.com/634639855377280/posts/809482441226353?comment_id=940218700675144")</f>
        <v>https://www.facebook.com/634639855377280/posts/809482441226353?comment_id=940218700675144</v>
      </c>
      <c r="O606">
        <v>0</v>
      </c>
      <c r="P606">
        <v>0</v>
      </c>
      <c r="Q606">
        <v>0</v>
      </c>
      <c r="S606">
        <v>0</v>
      </c>
      <c r="T606">
        <v>0</v>
      </c>
      <c r="U606">
        <v>0</v>
      </c>
      <c r="W606" t="s">
        <v>52</v>
      </c>
    </row>
    <row r="607" spans="1:42" x14ac:dyDescent="0.35">
      <c r="A607" t="s">
        <v>45</v>
      </c>
      <c r="B607" t="s">
        <v>1285</v>
      </c>
      <c r="C607" t="s">
        <v>93</v>
      </c>
      <c r="D607" t="s">
        <v>1319</v>
      </c>
      <c r="E607" t="s">
        <v>1320</v>
      </c>
      <c r="F607" t="s">
        <v>49</v>
      </c>
      <c r="G607" t="s">
        <v>1321</v>
      </c>
      <c r="H607" t="s">
        <v>1322</v>
      </c>
      <c r="J607" t="str">
        <f>HYPERLINK("https://twitter.com/ashukm/status/1770364435141713980","https://twitter.com/ashukm/status/1770364435141713980")</f>
        <v>https://twitter.com/ashukm/status/1770364435141713980</v>
      </c>
      <c r="K607" t="s">
        <v>67</v>
      </c>
      <c r="O607">
        <v>0</v>
      </c>
      <c r="P607">
        <v>0</v>
      </c>
      <c r="Q607">
        <v>172</v>
      </c>
      <c r="S607">
        <v>0</v>
      </c>
      <c r="T607">
        <v>0</v>
      </c>
      <c r="U607">
        <v>0</v>
      </c>
      <c r="W607" t="s">
        <v>99</v>
      </c>
    </row>
    <row r="608" spans="1:42" x14ac:dyDescent="0.35">
      <c r="A608" t="s">
        <v>45</v>
      </c>
      <c r="B608" t="s">
        <v>1285</v>
      </c>
      <c r="C608" t="s">
        <v>93</v>
      </c>
      <c r="D608" t="s">
        <v>752</v>
      </c>
      <c r="E608" t="s">
        <v>753</v>
      </c>
      <c r="F608" t="s">
        <v>49</v>
      </c>
      <c r="G608" t="s">
        <v>1323</v>
      </c>
      <c r="H608" t="s">
        <v>1324</v>
      </c>
      <c r="J608" t="str">
        <f>HYPERLINK("https://twitter.com/PayNearby/status/1770362831369592931","https://twitter.com/PayNearby/status/1770362831369592931")</f>
        <v>https://twitter.com/PayNearby/status/1770362831369592931</v>
      </c>
      <c r="O608">
        <v>0</v>
      </c>
      <c r="P608">
        <v>0</v>
      </c>
      <c r="Q608">
        <v>6036</v>
      </c>
      <c r="R608" t="s">
        <v>756</v>
      </c>
      <c r="S608">
        <v>0</v>
      </c>
      <c r="T608">
        <v>0</v>
      </c>
      <c r="U608">
        <v>0</v>
      </c>
      <c r="W608" t="s">
        <v>99</v>
      </c>
    </row>
    <row r="609" spans="1:23" x14ac:dyDescent="0.35">
      <c r="A609" t="s">
        <v>45</v>
      </c>
      <c r="B609" t="s">
        <v>1285</v>
      </c>
      <c r="C609" t="s">
        <v>47</v>
      </c>
      <c r="D609" t="s">
        <v>1325</v>
      </c>
      <c r="E609" t="s">
        <v>1325</v>
      </c>
      <c r="F609" t="s">
        <v>49</v>
      </c>
      <c r="G609" t="s">
        <v>1326</v>
      </c>
      <c r="H609" t="s">
        <v>1327</v>
      </c>
      <c r="J609" t="str">
        <f>HYPERLINK("https://www.youtube.com/watch?v=lgTr6XT0s8g&amp;lc=Ugxy5Eelul0uOtjeyRt4AaABAg","https://www.youtube.com/watch?v=lgTr6XT0s8g&amp;lc=Ugxy5Eelul0uOtjeyRt4AaABAg")</f>
        <v>https://www.youtube.com/watch?v=lgTr6XT0s8g&amp;lc=Ugxy5Eelul0uOtjeyRt4AaABAg</v>
      </c>
      <c r="O609">
        <v>0</v>
      </c>
      <c r="P609">
        <v>0</v>
      </c>
      <c r="Q609">
        <v>0</v>
      </c>
      <c r="S609">
        <v>0</v>
      </c>
      <c r="T609">
        <v>0</v>
      </c>
      <c r="U609">
        <v>0</v>
      </c>
      <c r="W609" t="s">
        <v>52</v>
      </c>
    </row>
    <row r="610" spans="1:23" x14ac:dyDescent="0.35">
      <c r="A610" t="s">
        <v>45</v>
      </c>
      <c r="B610" t="s">
        <v>1285</v>
      </c>
      <c r="C610" t="s">
        <v>93</v>
      </c>
      <c r="D610" t="s">
        <v>762</v>
      </c>
      <c r="E610" t="s">
        <v>763</v>
      </c>
      <c r="F610" t="s">
        <v>54</v>
      </c>
      <c r="G610" t="s">
        <v>1328</v>
      </c>
      <c r="H610" t="s">
        <v>1329</v>
      </c>
      <c r="J610" t="str">
        <f>HYPERLINK("https://twitter.com/jitendra261988/status/1770348963180261402","https://twitter.com/jitendra261988/status/1770348963180261402")</f>
        <v>https://twitter.com/jitendra261988/status/1770348963180261402</v>
      </c>
      <c r="K610" t="s">
        <v>67</v>
      </c>
      <c r="O610">
        <v>0</v>
      </c>
      <c r="P610">
        <v>0</v>
      </c>
      <c r="Q610">
        <v>19</v>
      </c>
      <c r="S610">
        <v>0</v>
      </c>
      <c r="T610">
        <v>0</v>
      </c>
      <c r="U610">
        <v>0</v>
      </c>
      <c r="W610" t="s">
        <v>99</v>
      </c>
    </row>
    <row r="611" spans="1:23" x14ac:dyDescent="0.35">
      <c r="A611" t="s">
        <v>45</v>
      </c>
      <c r="B611" t="s">
        <v>1285</v>
      </c>
      <c r="C611" t="s">
        <v>93</v>
      </c>
      <c r="D611" t="s">
        <v>752</v>
      </c>
      <c r="E611" t="s">
        <v>753</v>
      </c>
      <c r="F611" t="s">
        <v>49</v>
      </c>
      <c r="G611" t="s">
        <v>1330</v>
      </c>
      <c r="H611" t="s">
        <v>1331</v>
      </c>
      <c r="J611" t="str">
        <f>HYPERLINK("https://twitter.com/PayNearby/status/1770345262285730258","https://twitter.com/PayNearby/status/1770345262285730258")</f>
        <v>https://twitter.com/PayNearby/status/1770345262285730258</v>
      </c>
      <c r="O611">
        <v>0</v>
      </c>
      <c r="P611">
        <v>0</v>
      </c>
      <c r="Q611">
        <v>6037</v>
      </c>
      <c r="R611" t="s">
        <v>756</v>
      </c>
      <c r="S611">
        <v>0</v>
      </c>
      <c r="T611">
        <v>0</v>
      </c>
      <c r="U611">
        <v>0</v>
      </c>
      <c r="W611" t="s">
        <v>99</v>
      </c>
    </row>
    <row r="612" spans="1:23" x14ac:dyDescent="0.35">
      <c r="A612" t="s">
        <v>45</v>
      </c>
      <c r="B612" t="s">
        <v>1285</v>
      </c>
      <c r="C612" t="s">
        <v>93</v>
      </c>
      <c r="D612" t="s">
        <v>1332</v>
      </c>
      <c r="E612" t="s">
        <v>1333</v>
      </c>
      <c r="F612" t="s">
        <v>54</v>
      </c>
      <c r="G612" t="s">
        <v>1334</v>
      </c>
      <c r="H612" t="s">
        <v>1335</v>
      </c>
      <c r="J612" t="str">
        <f>HYPERLINK("https://twitter.com/IamDilipModi/status/1770339405321982424","https://twitter.com/IamDilipModi/status/1770339405321982424")</f>
        <v>https://twitter.com/IamDilipModi/status/1770339405321982424</v>
      </c>
      <c r="K612" t="s">
        <v>67</v>
      </c>
      <c r="O612">
        <v>0</v>
      </c>
      <c r="P612">
        <v>0</v>
      </c>
      <c r="Q612">
        <v>1876</v>
      </c>
      <c r="S612">
        <v>0</v>
      </c>
      <c r="T612">
        <v>0</v>
      </c>
      <c r="U612">
        <v>0</v>
      </c>
      <c r="V612" t="s">
        <v>98</v>
      </c>
      <c r="W612" t="s">
        <v>99</v>
      </c>
    </row>
    <row r="613" spans="1:23" x14ac:dyDescent="0.35">
      <c r="A613" t="s">
        <v>45</v>
      </c>
      <c r="B613" t="s">
        <v>1285</v>
      </c>
      <c r="C613" t="s">
        <v>93</v>
      </c>
      <c r="D613" t="s">
        <v>1332</v>
      </c>
      <c r="E613" t="s">
        <v>1333</v>
      </c>
      <c r="F613" t="s">
        <v>54</v>
      </c>
      <c r="G613" t="s">
        <v>1336</v>
      </c>
      <c r="H613" t="s">
        <v>1337</v>
      </c>
      <c r="J613" t="str">
        <f>HYPERLINK("https://twitter.com/IamDilipModi/status/1770339082222104757","https://twitter.com/IamDilipModi/status/1770339082222104757")</f>
        <v>https://twitter.com/IamDilipModi/status/1770339082222104757</v>
      </c>
      <c r="K613" t="s">
        <v>67</v>
      </c>
      <c r="O613">
        <v>0</v>
      </c>
      <c r="P613">
        <v>0</v>
      </c>
      <c r="Q613">
        <v>1876</v>
      </c>
      <c r="S613">
        <v>0</v>
      </c>
      <c r="T613">
        <v>0</v>
      </c>
      <c r="U613">
        <v>0</v>
      </c>
      <c r="V613" t="s">
        <v>98</v>
      </c>
      <c r="W613" t="s">
        <v>99</v>
      </c>
    </row>
    <row r="614" spans="1:23" x14ac:dyDescent="0.35">
      <c r="A614" t="s">
        <v>45</v>
      </c>
      <c r="B614" t="s">
        <v>1285</v>
      </c>
      <c r="C614" t="s">
        <v>93</v>
      </c>
      <c r="D614" t="s">
        <v>762</v>
      </c>
      <c r="E614" t="s">
        <v>763</v>
      </c>
      <c r="F614" t="s">
        <v>193</v>
      </c>
      <c r="G614" t="s">
        <v>1338</v>
      </c>
      <c r="H614" t="s">
        <v>1339</v>
      </c>
      <c r="J614" t="str">
        <f>HYPERLINK("https://twitter.com/jitendra261988/status/1770335023712915848","https://twitter.com/jitendra261988/status/1770335023712915848")</f>
        <v>https://twitter.com/jitendra261988/status/1770335023712915848</v>
      </c>
      <c r="K614" t="s">
        <v>67</v>
      </c>
      <c r="O614">
        <v>0</v>
      </c>
      <c r="P614">
        <v>0</v>
      </c>
      <c r="Q614">
        <v>19</v>
      </c>
      <c r="S614">
        <v>0</v>
      </c>
      <c r="T614">
        <v>0</v>
      </c>
      <c r="U614">
        <v>0</v>
      </c>
      <c r="W614" t="s">
        <v>99</v>
      </c>
    </row>
    <row r="615" spans="1:23" x14ac:dyDescent="0.35">
      <c r="A615" t="s">
        <v>45</v>
      </c>
      <c r="B615" t="s">
        <v>1285</v>
      </c>
      <c r="C615" t="s">
        <v>60</v>
      </c>
      <c r="D615" t="s">
        <v>64</v>
      </c>
      <c r="E615" t="s">
        <v>64</v>
      </c>
      <c r="F615" t="s">
        <v>49</v>
      </c>
      <c r="G615" t="s">
        <v>1340</v>
      </c>
      <c r="H615" t="s">
        <v>1341</v>
      </c>
      <c r="J615" t="str">
        <f>HYPERLINK("https://www.facebook.com/634639855377280/posts/810720524435878?comment_id=418989337380529&amp;reply_comment_id=422722170292811","https://www.facebook.com/634639855377280/posts/810720524435878?comment_id=418989337380529&amp;reply_comment_id=422722170292811")</f>
        <v>https://www.facebook.com/634639855377280/posts/810720524435878?comment_id=418989337380529&amp;reply_comment_id=422722170292811</v>
      </c>
      <c r="K615" t="s">
        <v>67</v>
      </c>
      <c r="O615">
        <v>0</v>
      </c>
      <c r="P615">
        <v>0</v>
      </c>
      <c r="Q615">
        <v>0</v>
      </c>
      <c r="S615">
        <v>0</v>
      </c>
      <c r="T615">
        <v>0</v>
      </c>
      <c r="U615">
        <v>0</v>
      </c>
      <c r="W615" t="s">
        <v>52</v>
      </c>
    </row>
    <row r="616" spans="1:23" x14ac:dyDescent="0.35">
      <c r="A616" t="s">
        <v>45</v>
      </c>
      <c r="B616" t="s">
        <v>1285</v>
      </c>
      <c r="C616" t="s">
        <v>60</v>
      </c>
      <c r="D616" t="s">
        <v>64</v>
      </c>
      <c r="E616" t="s">
        <v>64</v>
      </c>
      <c r="F616" t="s">
        <v>49</v>
      </c>
      <c r="G616" t="s">
        <v>1342</v>
      </c>
      <c r="H616" t="s">
        <v>1343</v>
      </c>
      <c r="J616" t="str">
        <f>HYPERLINK("https://www.facebook.com/634639855377280/posts/811194214388509?comment_id=942347387624155&amp;reply_comment_id=942387894082786","https://www.facebook.com/634639855377280/posts/811194214388509?comment_id=942347387624155&amp;reply_comment_id=942387894082786")</f>
        <v>https://www.facebook.com/634639855377280/posts/811194214388509?comment_id=942347387624155&amp;reply_comment_id=942387894082786</v>
      </c>
      <c r="K616" t="s">
        <v>67</v>
      </c>
      <c r="O616">
        <v>0</v>
      </c>
      <c r="P616">
        <v>0</v>
      </c>
      <c r="Q616">
        <v>0</v>
      </c>
      <c r="S616">
        <v>0</v>
      </c>
      <c r="T616">
        <v>0</v>
      </c>
      <c r="U616">
        <v>0</v>
      </c>
      <c r="W616" t="s">
        <v>52</v>
      </c>
    </row>
    <row r="617" spans="1:23" x14ac:dyDescent="0.35">
      <c r="A617" t="s">
        <v>45</v>
      </c>
      <c r="B617" t="s">
        <v>1285</v>
      </c>
      <c r="C617" t="s">
        <v>60</v>
      </c>
      <c r="D617" t="s">
        <v>1309</v>
      </c>
      <c r="E617" t="s">
        <v>1309</v>
      </c>
      <c r="F617" t="s">
        <v>54</v>
      </c>
      <c r="G617" t="s">
        <v>1344</v>
      </c>
      <c r="H617" t="s">
        <v>1345</v>
      </c>
      <c r="J617" t="str">
        <f>HYPERLINK("https://www.facebook.com/634639855377280/posts/811194214388509?comment_id=942347387624155","https://www.facebook.com/634639855377280/posts/811194214388509?comment_id=942347387624155")</f>
        <v>https://www.facebook.com/634639855377280/posts/811194214388509?comment_id=942347387624155</v>
      </c>
      <c r="K617" t="s">
        <v>67</v>
      </c>
      <c r="O617">
        <v>0</v>
      </c>
      <c r="P617">
        <v>0</v>
      </c>
      <c r="Q617">
        <v>0</v>
      </c>
      <c r="S617">
        <v>0</v>
      </c>
      <c r="T617">
        <v>0</v>
      </c>
      <c r="U617">
        <v>0</v>
      </c>
      <c r="W617" t="s">
        <v>52</v>
      </c>
    </row>
    <row r="618" spans="1:23" x14ac:dyDescent="0.35">
      <c r="A618" t="s">
        <v>45</v>
      </c>
      <c r="B618" t="s">
        <v>1285</v>
      </c>
      <c r="C618" t="s">
        <v>47</v>
      </c>
      <c r="D618" t="s">
        <v>68</v>
      </c>
      <c r="E618" t="s">
        <v>68</v>
      </c>
      <c r="F618" t="s">
        <v>49</v>
      </c>
      <c r="G618" t="s">
        <v>253</v>
      </c>
      <c r="H618" t="s">
        <v>1346</v>
      </c>
      <c r="J618" t="str">
        <f>HYPERLINK("https://www.youtube.com/watch?v=lgTr6XT0s8g&amp;lc=Ugwjqd8qRwhDbzDV_Wx4AaABAg.A0lXqKeYI2aA1BpHl3_Cfx","https://www.youtube.com/watch?v=lgTr6XT0s8g&amp;lc=Ugwjqd8qRwhDbzDV_Wx4AaABAg.A0lXqKeYI2aA1BpHl3_Cfx")</f>
        <v>https://www.youtube.com/watch?v=lgTr6XT0s8g&amp;lc=Ugwjqd8qRwhDbzDV_Wx4AaABAg.A0lXqKeYI2aA1BpHl3_Cfx</v>
      </c>
      <c r="O618">
        <v>0</v>
      </c>
      <c r="P618">
        <v>0</v>
      </c>
      <c r="Q618">
        <v>0</v>
      </c>
      <c r="S618">
        <v>0</v>
      </c>
      <c r="T618">
        <v>0</v>
      </c>
      <c r="U618">
        <v>0</v>
      </c>
      <c r="W618" t="s">
        <v>52</v>
      </c>
    </row>
    <row r="619" spans="1:23" x14ac:dyDescent="0.35">
      <c r="A619" t="s">
        <v>45</v>
      </c>
      <c r="B619" t="s">
        <v>1285</v>
      </c>
      <c r="C619" t="s">
        <v>47</v>
      </c>
      <c r="D619" t="s">
        <v>68</v>
      </c>
      <c r="E619" t="s">
        <v>68</v>
      </c>
      <c r="F619" t="s">
        <v>49</v>
      </c>
      <c r="G619" t="s">
        <v>102</v>
      </c>
      <c r="H619" t="s">
        <v>1347</v>
      </c>
      <c r="J619" t="str">
        <f>HYPERLINK("https://www.youtube.com/watch?v=lgTr6XT0s8g&amp;lc=Ugx4OSwbcpH0VXCuDSZ4AaABAg.A0isRKGqc_cA1BoMQk0Ala","https://www.youtube.com/watch?v=lgTr6XT0s8g&amp;lc=Ugx4OSwbcpH0VXCuDSZ4AaABAg.A0isRKGqc_cA1BoMQk0Ala")</f>
        <v>https://www.youtube.com/watch?v=lgTr6XT0s8g&amp;lc=Ugx4OSwbcpH0VXCuDSZ4AaABAg.A0isRKGqc_cA1BoMQk0Ala</v>
      </c>
      <c r="O619">
        <v>0</v>
      </c>
      <c r="P619">
        <v>0</v>
      </c>
      <c r="Q619">
        <v>0</v>
      </c>
      <c r="S619">
        <v>0</v>
      </c>
      <c r="T619">
        <v>0</v>
      </c>
      <c r="U619">
        <v>0</v>
      </c>
      <c r="W619" t="s">
        <v>52</v>
      </c>
    </row>
    <row r="620" spans="1:23" x14ac:dyDescent="0.35">
      <c r="A620" t="s">
        <v>45</v>
      </c>
      <c r="B620" t="s">
        <v>1285</v>
      </c>
      <c r="C620" t="s">
        <v>93</v>
      </c>
      <c r="D620" t="s">
        <v>94</v>
      </c>
      <c r="E620" t="s">
        <v>45</v>
      </c>
      <c r="F620" t="s">
        <v>49</v>
      </c>
      <c r="G620" t="s">
        <v>1348</v>
      </c>
      <c r="H620" t="s">
        <v>1349</v>
      </c>
      <c r="J620" t="str">
        <f>HYPERLINK("https://twitter.com/SpiceMoneyIndia/status/1770313376406569081","https://twitter.com/SpiceMoneyIndia/status/1770313376406569081")</f>
        <v>https://twitter.com/SpiceMoneyIndia/status/1770313376406569081</v>
      </c>
      <c r="K620" t="s">
        <v>67</v>
      </c>
      <c r="O620">
        <v>0</v>
      </c>
      <c r="P620">
        <v>0</v>
      </c>
      <c r="Q620">
        <v>6080</v>
      </c>
      <c r="R620" t="s">
        <v>97</v>
      </c>
      <c r="S620">
        <v>0</v>
      </c>
      <c r="T620">
        <v>0</v>
      </c>
      <c r="U620">
        <v>0</v>
      </c>
      <c r="V620" t="s">
        <v>98</v>
      </c>
      <c r="W620" t="s">
        <v>99</v>
      </c>
    </row>
    <row r="621" spans="1:23" x14ac:dyDescent="0.35">
      <c r="A621" t="s">
        <v>45</v>
      </c>
      <c r="B621" t="s">
        <v>1285</v>
      </c>
      <c r="C621" t="s">
        <v>60</v>
      </c>
      <c r="D621" t="s">
        <v>64</v>
      </c>
      <c r="E621" t="s">
        <v>64</v>
      </c>
      <c r="F621" t="s">
        <v>49</v>
      </c>
      <c r="G621" t="s">
        <v>83</v>
      </c>
      <c r="H621" t="s">
        <v>1350</v>
      </c>
      <c r="J621" t="str">
        <f>HYPERLINK("https://www.facebook.com/634639855377280/posts/810720524435878?comment_id=725589243061732&amp;reply_comment_id=1148832006553297","https://www.facebook.com/634639855377280/posts/810720524435878?comment_id=725589243061732&amp;reply_comment_id=1148832006553297")</f>
        <v>https://www.facebook.com/634639855377280/posts/810720524435878?comment_id=725589243061732&amp;reply_comment_id=1148832006553297</v>
      </c>
      <c r="K621" t="s">
        <v>67</v>
      </c>
      <c r="O621">
        <v>0</v>
      </c>
      <c r="P621">
        <v>0</v>
      </c>
      <c r="Q621">
        <v>0</v>
      </c>
      <c r="S621">
        <v>0</v>
      </c>
      <c r="T621">
        <v>0</v>
      </c>
      <c r="U621">
        <v>0</v>
      </c>
      <c r="W621" t="s">
        <v>52</v>
      </c>
    </row>
    <row r="622" spans="1:23" x14ac:dyDescent="0.35">
      <c r="A622" t="s">
        <v>45</v>
      </c>
      <c r="B622" t="s">
        <v>1285</v>
      </c>
      <c r="C622" t="s">
        <v>60</v>
      </c>
      <c r="D622" t="s">
        <v>64</v>
      </c>
      <c r="E622" t="s">
        <v>64</v>
      </c>
      <c r="F622" t="s">
        <v>49</v>
      </c>
      <c r="G622" t="s">
        <v>100</v>
      </c>
      <c r="H622" t="s">
        <v>1351</v>
      </c>
      <c r="J622" t="str">
        <f>HYPERLINK("https://www.facebook.com/634639855377280/posts/810720524435878?comment_id=7227360744013153&amp;reply_comment_id=288795894242543","https://www.facebook.com/634639855377280/posts/810720524435878?comment_id=7227360744013153&amp;reply_comment_id=288795894242543")</f>
        <v>https://www.facebook.com/634639855377280/posts/810720524435878?comment_id=7227360744013153&amp;reply_comment_id=288795894242543</v>
      </c>
      <c r="K622" t="s">
        <v>67</v>
      </c>
      <c r="O622">
        <v>0</v>
      </c>
      <c r="P622">
        <v>0</v>
      </c>
      <c r="Q622">
        <v>0</v>
      </c>
      <c r="S622">
        <v>0</v>
      </c>
      <c r="T622">
        <v>0</v>
      </c>
      <c r="U622">
        <v>0</v>
      </c>
      <c r="W622" t="s">
        <v>52</v>
      </c>
    </row>
    <row r="623" spans="1:23" x14ac:dyDescent="0.35">
      <c r="A623" t="s">
        <v>45</v>
      </c>
      <c r="B623" t="s">
        <v>1285</v>
      </c>
      <c r="C623" t="s">
        <v>93</v>
      </c>
      <c r="D623" t="s">
        <v>1225</v>
      </c>
      <c r="E623" t="s">
        <v>1226</v>
      </c>
      <c r="F623" t="s">
        <v>193</v>
      </c>
      <c r="G623" t="s">
        <v>1352</v>
      </c>
      <c r="H623" t="s">
        <v>1353</v>
      </c>
      <c r="J623" t="str">
        <f>HYPERLINK("https://twitter.com/pijushkantimal/status/1770293326119657852","https://twitter.com/pijushkantimal/status/1770293326119657852")</f>
        <v>https://twitter.com/pijushkantimal/status/1770293326119657852</v>
      </c>
      <c r="K623" t="s">
        <v>67</v>
      </c>
      <c r="O623">
        <v>0</v>
      </c>
      <c r="P623">
        <v>0</v>
      </c>
      <c r="Q623">
        <v>17</v>
      </c>
      <c r="R623" t="s">
        <v>1229</v>
      </c>
      <c r="S623">
        <v>0</v>
      </c>
      <c r="T623">
        <v>0</v>
      </c>
      <c r="U623">
        <v>0</v>
      </c>
      <c r="W623" t="s">
        <v>99</v>
      </c>
    </row>
    <row r="624" spans="1:23" x14ac:dyDescent="0.35">
      <c r="A624" t="s">
        <v>45</v>
      </c>
      <c r="B624" t="s">
        <v>1285</v>
      </c>
      <c r="C624" t="s">
        <v>93</v>
      </c>
      <c r="D624" t="s">
        <v>1225</v>
      </c>
      <c r="E624" t="s">
        <v>1226</v>
      </c>
      <c r="F624" t="s">
        <v>49</v>
      </c>
      <c r="G624" t="s">
        <v>1354</v>
      </c>
      <c r="H624" t="s">
        <v>1355</v>
      </c>
      <c r="J624" t="str">
        <f>HYPERLINK("https://twitter.com/pijushkantimal/status/1770293147572244748","https://twitter.com/pijushkantimal/status/1770293147572244748")</f>
        <v>https://twitter.com/pijushkantimal/status/1770293147572244748</v>
      </c>
      <c r="K624" t="s">
        <v>67</v>
      </c>
      <c r="O624">
        <v>0</v>
      </c>
      <c r="P624">
        <v>0</v>
      </c>
      <c r="Q624">
        <v>17</v>
      </c>
      <c r="R624" t="s">
        <v>1229</v>
      </c>
      <c r="S624">
        <v>0</v>
      </c>
      <c r="T624">
        <v>0</v>
      </c>
      <c r="U624">
        <v>0</v>
      </c>
      <c r="W624" t="s">
        <v>99</v>
      </c>
    </row>
    <row r="625" spans="1:23" x14ac:dyDescent="0.35">
      <c r="A625" t="s">
        <v>45</v>
      </c>
      <c r="B625" t="s">
        <v>1285</v>
      </c>
      <c r="C625" t="s">
        <v>60</v>
      </c>
      <c r="D625" t="s">
        <v>64</v>
      </c>
      <c r="E625" t="s">
        <v>64</v>
      </c>
      <c r="F625" t="s">
        <v>49</v>
      </c>
      <c r="G625" t="s">
        <v>83</v>
      </c>
      <c r="H625" t="s">
        <v>1356</v>
      </c>
      <c r="J625" t="str">
        <f>HYPERLINK("https://www.facebook.com/634639855377280/posts/810720524435878?comment_id=280553831737570&amp;reply_comment_id=769667678434676","https://www.facebook.com/634639855377280/posts/810720524435878?comment_id=280553831737570&amp;reply_comment_id=769667678434676")</f>
        <v>https://www.facebook.com/634639855377280/posts/810720524435878?comment_id=280553831737570&amp;reply_comment_id=769667678434676</v>
      </c>
      <c r="K625" t="s">
        <v>67</v>
      </c>
      <c r="O625">
        <v>0</v>
      </c>
      <c r="P625">
        <v>0</v>
      </c>
      <c r="Q625">
        <v>0</v>
      </c>
      <c r="S625">
        <v>0</v>
      </c>
      <c r="T625">
        <v>0</v>
      </c>
      <c r="U625">
        <v>0</v>
      </c>
      <c r="W625" t="s">
        <v>52</v>
      </c>
    </row>
    <row r="626" spans="1:23" x14ac:dyDescent="0.35">
      <c r="A626" t="s">
        <v>45</v>
      </c>
      <c r="B626" t="s">
        <v>1285</v>
      </c>
      <c r="C626" t="s">
        <v>60</v>
      </c>
      <c r="D626" t="s">
        <v>64</v>
      </c>
      <c r="E626" t="s">
        <v>64</v>
      </c>
      <c r="F626" t="s">
        <v>49</v>
      </c>
      <c r="G626" t="s">
        <v>100</v>
      </c>
      <c r="H626" t="s">
        <v>1357</v>
      </c>
      <c r="J626" t="str">
        <f>HYPERLINK("https://www.facebook.com/634639855377280/posts/810720524435878?comment_id=376048571913897&amp;reply_comment_id=1085321109407856","https://www.facebook.com/634639855377280/posts/810720524435878?comment_id=376048571913897&amp;reply_comment_id=1085321109407856")</f>
        <v>https://www.facebook.com/634639855377280/posts/810720524435878?comment_id=376048571913897&amp;reply_comment_id=1085321109407856</v>
      </c>
      <c r="K626" t="s">
        <v>67</v>
      </c>
      <c r="O626">
        <v>0</v>
      </c>
      <c r="P626">
        <v>0</v>
      </c>
      <c r="Q626">
        <v>0</v>
      </c>
      <c r="S626">
        <v>0</v>
      </c>
      <c r="T626">
        <v>0</v>
      </c>
      <c r="U626">
        <v>0</v>
      </c>
      <c r="W626" t="s">
        <v>52</v>
      </c>
    </row>
    <row r="627" spans="1:23" x14ac:dyDescent="0.35">
      <c r="A627" t="s">
        <v>45</v>
      </c>
      <c r="B627" t="s">
        <v>1285</v>
      </c>
      <c r="C627" t="s">
        <v>47</v>
      </c>
      <c r="D627" t="s">
        <v>68</v>
      </c>
      <c r="E627" t="s">
        <v>68</v>
      </c>
      <c r="F627" t="s">
        <v>49</v>
      </c>
      <c r="G627" t="s">
        <v>102</v>
      </c>
      <c r="H627" t="s">
        <v>1358</v>
      </c>
      <c r="J627" t="str">
        <f>HYPERLINK("https://www.youtube.com/watch?v=5DADCSRiE3A&amp;lc=UgyFv7kalVHWPaiN9rl4AaABAg.A1ATe3D4YSkA1BcBLf0qgQ","https://www.youtube.com/watch?v=5DADCSRiE3A&amp;lc=UgyFv7kalVHWPaiN9rl4AaABAg.A1ATe3D4YSkA1BcBLf0qgQ")</f>
        <v>https://www.youtube.com/watch?v=5DADCSRiE3A&amp;lc=UgyFv7kalVHWPaiN9rl4AaABAg.A1ATe3D4YSkA1BcBLf0qgQ</v>
      </c>
      <c r="O627">
        <v>0</v>
      </c>
      <c r="P627">
        <v>0</v>
      </c>
      <c r="Q627">
        <v>0</v>
      </c>
      <c r="S627">
        <v>0</v>
      </c>
      <c r="T627">
        <v>0</v>
      </c>
      <c r="U627">
        <v>0</v>
      </c>
      <c r="W627" t="s">
        <v>52</v>
      </c>
    </row>
    <row r="628" spans="1:23" x14ac:dyDescent="0.35">
      <c r="A628" t="s">
        <v>45</v>
      </c>
      <c r="B628" t="s">
        <v>1285</v>
      </c>
      <c r="C628" t="s">
        <v>47</v>
      </c>
      <c r="D628" t="s">
        <v>1016</v>
      </c>
      <c r="E628" t="s">
        <v>1016</v>
      </c>
      <c r="F628" t="s">
        <v>49</v>
      </c>
      <c r="G628" t="s">
        <v>1359</v>
      </c>
      <c r="H628" t="s">
        <v>1360</v>
      </c>
      <c r="J628" t="str">
        <f>HYPERLINK("https://www.youtube.com/watch?v=lgTr6XT0s8g&amp;lc=Ugwjqd8qRwhDbzDV_Wx4AaABAg.A0lXqKeYI2aA1BT-WFDAwu","https://www.youtube.com/watch?v=lgTr6XT0s8g&amp;lc=Ugwjqd8qRwhDbzDV_Wx4AaABAg.A0lXqKeYI2aA1BT-WFDAwu")</f>
        <v>https://www.youtube.com/watch?v=lgTr6XT0s8g&amp;lc=Ugwjqd8qRwhDbzDV_Wx4AaABAg.A0lXqKeYI2aA1BT-WFDAwu</v>
      </c>
      <c r="O628">
        <v>0</v>
      </c>
      <c r="P628">
        <v>0</v>
      </c>
      <c r="Q628">
        <v>0</v>
      </c>
      <c r="S628">
        <v>0</v>
      </c>
      <c r="T628">
        <v>0</v>
      </c>
      <c r="U628">
        <v>0</v>
      </c>
      <c r="W628" t="s">
        <v>52</v>
      </c>
    </row>
    <row r="629" spans="1:23" x14ac:dyDescent="0.35">
      <c r="A629" t="s">
        <v>45</v>
      </c>
      <c r="B629" t="s">
        <v>1285</v>
      </c>
      <c r="C629" t="s">
        <v>47</v>
      </c>
      <c r="D629" t="s">
        <v>1361</v>
      </c>
      <c r="E629" t="s">
        <v>1361</v>
      </c>
      <c r="F629" t="s">
        <v>49</v>
      </c>
      <c r="G629" t="s">
        <v>1362</v>
      </c>
      <c r="H629" t="s">
        <v>1363</v>
      </c>
      <c r="J629" t="str">
        <f>HYPERLINK("https://www.youtube.com/watch?v=lgTr6XT0s8g&amp;lc=Ugx4OSwbcpH0VXCuDSZ4AaABAg.A0isRKGqc_cA1BS5xgj--Z","https://www.youtube.com/watch?v=lgTr6XT0s8g&amp;lc=Ugx4OSwbcpH0VXCuDSZ4AaABAg.A0isRKGqc_cA1BS5xgj--Z")</f>
        <v>https://www.youtube.com/watch?v=lgTr6XT0s8g&amp;lc=Ugx4OSwbcpH0VXCuDSZ4AaABAg.A0isRKGqc_cA1BS5xgj--Z</v>
      </c>
      <c r="O629">
        <v>0</v>
      </c>
      <c r="P629">
        <v>0</v>
      </c>
      <c r="Q629">
        <v>0</v>
      </c>
      <c r="S629">
        <v>0</v>
      </c>
      <c r="T629">
        <v>0</v>
      </c>
      <c r="U629">
        <v>0</v>
      </c>
      <c r="W629" t="s">
        <v>52</v>
      </c>
    </row>
    <row r="630" spans="1:23" x14ac:dyDescent="0.35">
      <c r="A630" t="s">
        <v>45</v>
      </c>
      <c r="B630" t="s">
        <v>1364</v>
      </c>
      <c r="C630" t="s">
        <v>47</v>
      </c>
      <c r="D630" t="s">
        <v>1365</v>
      </c>
      <c r="E630" t="s">
        <v>1365</v>
      </c>
      <c r="F630" t="s">
        <v>49</v>
      </c>
      <c r="G630" t="s">
        <v>1366</v>
      </c>
      <c r="H630" t="s">
        <v>1367</v>
      </c>
      <c r="J630" t="str">
        <f>HYPERLINK("https://www.youtube.com/watch?v=5DADCSRiE3A&amp;lc=UgyFv7kalVHWPaiN9rl4AaABAg","https://www.youtube.com/watch?v=5DADCSRiE3A&amp;lc=UgyFv7kalVHWPaiN9rl4AaABAg")</f>
        <v>https://www.youtube.com/watch?v=5DADCSRiE3A&amp;lc=UgyFv7kalVHWPaiN9rl4AaABAg</v>
      </c>
      <c r="O630">
        <v>0</v>
      </c>
      <c r="P630">
        <v>0</v>
      </c>
      <c r="Q630">
        <v>0</v>
      </c>
      <c r="S630">
        <v>0</v>
      </c>
      <c r="T630">
        <v>0</v>
      </c>
      <c r="U630">
        <v>0</v>
      </c>
      <c r="W630" t="s">
        <v>52</v>
      </c>
    </row>
    <row r="631" spans="1:23" x14ac:dyDescent="0.35">
      <c r="A631" t="s">
        <v>45</v>
      </c>
      <c r="B631" t="s">
        <v>1364</v>
      </c>
      <c r="C631" t="s">
        <v>60</v>
      </c>
      <c r="D631" t="s">
        <v>61</v>
      </c>
      <c r="E631" t="s">
        <v>61</v>
      </c>
      <c r="F631" t="s">
        <v>193</v>
      </c>
      <c r="G631" t="s">
        <v>1368</v>
      </c>
      <c r="H631" t="s">
        <v>1369</v>
      </c>
      <c r="J631" t="str">
        <f>HYPERLINK("https://www.facebook.com/634639855377280/posts/811194214388509?comment_id=349227154139289","https://www.facebook.com/634639855377280/posts/811194214388509?comment_id=349227154139289")</f>
        <v>https://www.facebook.com/634639855377280/posts/811194214388509?comment_id=349227154139289</v>
      </c>
      <c r="O631">
        <v>0</v>
      </c>
      <c r="P631">
        <v>0</v>
      </c>
      <c r="Q631">
        <v>0</v>
      </c>
      <c r="S631">
        <v>0</v>
      </c>
      <c r="T631">
        <v>0</v>
      </c>
      <c r="U631">
        <v>0</v>
      </c>
      <c r="W631" t="s">
        <v>52</v>
      </c>
    </row>
    <row r="632" spans="1:23" x14ac:dyDescent="0.35">
      <c r="A632" t="s">
        <v>45</v>
      </c>
      <c r="B632" t="s">
        <v>1364</v>
      </c>
      <c r="C632" t="s">
        <v>60</v>
      </c>
      <c r="D632" t="s">
        <v>61</v>
      </c>
      <c r="E632" t="s">
        <v>61</v>
      </c>
      <c r="F632" t="s">
        <v>49</v>
      </c>
      <c r="G632" t="s">
        <v>1370</v>
      </c>
      <c r="H632" t="s">
        <v>1371</v>
      </c>
      <c r="J632" t="str">
        <f>HYPERLINK("https://www.facebook.com/634639855377280/posts/810720524435878?comment_id=376048571913897&amp;reply_comment_id=1139945610775037","https://www.facebook.com/634639855377280/posts/810720524435878?comment_id=376048571913897&amp;reply_comment_id=1139945610775037")</f>
        <v>https://www.facebook.com/634639855377280/posts/810720524435878?comment_id=376048571913897&amp;reply_comment_id=1139945610775037</v>
      </c>
      <c r="O632">
        <v>0</v>
      </c>
      <c r="P632">
        <v>0</v>
      </c>
      <c r="Q632">
        <v>0</v>
      </c>
      <c r="S632">
        <v>0</v>
      </c>
      <c r="T632">
        <v>0</v>
      </c>
      <c r="U632">
        <v>0</v>
      </c>
      <c r="W632" t="s">
        <v>52</v>
      </c>
    </row>
    <row r="633" spans="1:23" x14ac:dyDescent="0.35">
      <c r="A633" t="s">
        <v>45</v>
      </c>
      <c r="B633" t="s">
        <v>1364</v>
      </c>
      <c r="C633" t="s">
        <v>60</v>
      </c>
      <c r="D633" t="s">
        <v>61</v>
      </c>
      <c r="E633" t="s">
        <v>61</v>
      </c>
      <c r="F633" t="s">
        <v>49</v>
      </c>
      <c r="G633" t="s">
        <v>1372</v>
      </c>
      <c r="H633" t="s">
        <v>1373</v>
      </c>
      <c r="J633" t="str">
        <f>HYPERLINK("https://www.facebook.com/634639855377280/posts/810720524435878?comment_id=280553831737570","https://www.facebook.com/634639855377280/posts/810720524435878?comment_id=280553831737570")</f>
        <v>https://www.facebook.com/634639855377280/posts/810720524435878?comment_id=280553831737570</v>
      </c>
      <c r="O633">
        <v>0</v>
      </c>
      <c r="P633">
        <v>0</v>
      </c>
      <c r="Q633">
        <v>0</v>
      </c>
      <c r="S633">
        <v>0</v>
      </c>
      <c r="T633">
        <v>0</v>
      </c>
      <c r="U633">
        <v>0</v>
      </c>
      <c r="W633" t="s">
        <v>52</v>
      </c>
    </row>
    <row r="634" spans="1:23" x14ac:dyDescent="0.35">
      <c r="A634" t="s">
        <v>45</v>
      </c>
      <c r="B634" t="s">
        <v>1364</v>
      </c>
      <c r="C634" t="s">
        <v>60</v>
      </c>
      <c r="D634" t="s">
        <v>61</v>
      </c>
      <c r="E634" t="s">
        <v>61</v>
      </c>
      <c r="F634" t="s">
        <v>49</v>
      </c>
      <c r="G634" t="s">
        <v>1374</v>
      </c>
      <c r="H634" t="s">
        <v>1375</v>
      </c>
      <c r="J634" t="str">
        <f>HYPERLINK("https://www.facebook.com/634639855377280/posts/810720524435878?comment_id=1426942308208360","https://www.facebook.com/634639855377280/posts/810720524435878?comment_id=1426942308208360")</f>
        <v>https://www.facebook.com/634639855377280/posts/810720524435878?comment_id=1426942308208360</v>
      </c>
      <c r="O634">
        <v>0</v>
      </c>
      <c r="P634">
        <v>0</v>
      </c>
      <c r="Q634">
        <v>0</v>
      </c>
      <c r="S634">
        <v>0</v>
      </c>
      <c r="T634">
        <v>0</v>
      </c>
      <c r="U634">
        <v>0</v>
      </c>
      <c r="W634" t="s">
        <v>52</v>
      </c>
    </row>
    <row r="635" spans="1:23" x14ac:dyDescent="0.35">
      <c r="A635" t="s">
        <v>45</v>
      </c>
      <c r="B635" t="s">
        <v>1364</v>
      </c>
      <c r="C635" t="s">
        <v>60</v>
      </c>
      <c r="D635" t="s">
        <v>61</v>
      </c>
      <c r="E635" t="s">
        <v>61</v>
      </c>
      <c r="F635" t="s">
        <v>54</v>
      </c>
      <c r="G635" t="s">
        <v>1376</v>
      </c>
      <c r="H635" t="s">
        <v>1377</v>
      </c>
      <c r="J635" t="str">
        <f>HYPERLINK("https://www.facebook.com/634639855377280/posts/810720524435878?comment_id=418989337380529","https://www.facebook.com/634639855377280/posts/810720524435878?comment_id=418989337380529")</f>
        <v>https://www.facebook.com/634639855377280/posts/810720524435878?comment_id=418989337380529</v>
      </c>
      <c r="O635">
        <v>0</v>
      </c>
      <c r="P635">
        <v>0</v>
      </c>
      <c r="Q635">
        <v>0</v>
      </c>
      <c r="S635">
        <v>0</v>
      </c>
      <c r="T635">
        <v>0</v>
      </c>
      <c r="U635">
        <v>0</v>
      </c>
      <c r="W635" t="s">
        <v>52</v>
      </c>
    </row>
    <row r="636" spans="1:23" x14ac:dyDescent="0.35">
      <c r="A636" t="s">
        <v>45</v>
      </c>
      <c r="B636" t="s">
        <v>1364</v>
      </c>
      <c r="C636" t="s">
        <v>60</v>
      </c>
      <c r="D636" t="s">
        <v>61</v>
      </c>
      <c r="E636" t="s">
        <v>61</v>
      </c>
      <c r="F636" t="s">
        <v>49</v>
      </c>
      <c r="G636" t="s">
        <v>1378</v>
      </c>
      <c r="H636" t="s">
        <v>1379</v>
      </c>
      <c r="J636" t="str">
        <f>HYPERLINK("https://www.facebook.com/634639855377280/posts/810720524435878?comment_id=1199011987731758&amp;reply_comment_id=836500144905835","https://www.facebook.com/634639855377280/posts/810720524435878?comment_id=1199011987731758&amp;reply_comment_id=836500144905835")</f>
        <v>https://www.facebook.com/634639855377280/posts/810720524435878?comment_id=1199011987731758&amp;reply_comment_id=836500144905835</v>
      </c>
      <c r="O636">
        <v>0</v>
      </c>
      <c r="P636">
        <v>0</v>
      </c>
      <c r="Q636">
        <v>0</v>
      </c>
      <c r="S636">
        <v>0</v>
      </c>
      <c r="T636">
        <v>0</v>
      </c>
      <c r="U636">
        <v>0</v>
      </c>
      <c r="W636" t="s">
        <v>52</v>
      </c>
    </row>
    <row r="637" spans="1:23" x14ac:dyDescent="0.35">
      <c r="A637" t="s">
        <v>45</v>
      </c>
      <c r="B637" t="s">
        <v>1364</v>
      </c>
      <c r="C637" t="s">
        <v>60</v>
      </c>
      <c r="D637" t="s">
        <v>61</v>
      </c>
      <c r="E637" t="s">
        <v>61</v>
      </c>
      <c r="F637" t="s">
        <v>54</v>
      </c>
      <c r="G637" t="s">
        <v>1380</v>
      </c>
      <c r="H637" t="s">
        <v>1381</v>
      </c>
      <c r="J637" t="str">
        <f>HYPERLINK("https://www.facebook.com/634639855377280/posts/810720524435878?comment_id=938015007953702&amp;reply_comment_id=956070782900800","https://www.facebook.com/634639855377280/posts/810720524435878?comment_id=938015007953702&amp;reply_comment_id=956070782900800")</f>
        <v>https://www.facebook.com/634639855377280/posts/810720524435878?comment_id=938015007953702&amp;reply_comment_id=956070782900800</v>
      </c>
      <c r="O637">
        <v>0</v>
      </c>
      <c r="P637">
        <v>0</v>
      </c>
      <c r="Q637">
        <v>0</v>
      </c>
      <c r="S637">
        <v>0</v>
      </c>
      <c r="T637">
        <v>0</v>
      </c>
      <c r="U637">
        <v>0</v>
      </c>
      <c r="W637" t="s">
        <v>52</v>
      </c>
    </row>
    <row r="638" spans="1:23" x14ac:dyDescent="0.35">
      <c r="A638" t="s">
        <v>45</v>
      </c>
      <c r="B638" t="s">
        <v>1364</v>
      </c>
      <c r="C638" t="s">
        <v>60</v>
      </c>
      <c r="D638" t="s">
        <v>61</v>
      </c>
      <c r="E638" t="s">
        <v>61</v>
      </c>
      <c r="F638" t="s">
        <v>193</v>
      </c>
      <c r="G638" t="s">
        <v>1382</v>
      </c>
      <c r="H638" t="s">
        <v>1383</v>
      </c>
      <c r="J638" t="str">
        <f>HYPERLINK("https://www.facebook.com/634639855377280/posts/810720524435878?comment_id=725589243061732","https://www.facebook.com/634639855377280/posts/810720524435878?comment_id=725589243061732")</f>
        <v>https://www.facebook.com/634639855377280/posts/810720524435878?comment_id=725589243061732</v>
      </c>
      <c r="O638">
        <v>0</v>
      </c>
      <c r="P638">
        <v>0</v>
      </c>
      <c r="Q638">
        <v>0</v>
      </c>
      <c r="S638">
        <v>0</v>
      </c>
      <c r="T638">
        <v>0</v>
      </c>
      <c r="U638">
        <v>0</v>
      </c>
      <c r="W638" t="s">
        <v>52</v>
      </c>
    </row>
    <row r="639" spans="1:23" x14ac:dyDescent="0.35">
      <c r="A639" t="s">
        <v>45</v>
      </c>
      <c r="B639" t="s">
        <v>1364</v>
      </c>
      <c r="C639" t="s">
        <v>60</v>
      </c>
      <c r="D639" t="s">
        <v>61</v>
      </c>
      <c r="E639" t="s">
        <v>61</v>
      </c>
      <c r="F639" t="s">
        <v>49</v>
      </c>
      <c r="G639" t="s">
        <v>1384</v>
      </c>
      <c r="H639" t="s">
        <v>1385</v>
      </c>
      <c r="J639" t="str">
        <f>HYPERLINK("https://www.facebook.com/634639855377280/posts/810720524435878?comment_id=7227360744013153&amp;reply_comment_id=1135447280928847","https://www.facebook.com/634639855377280/posts/810720524435878?comment_id=7227360744013153&amp;reply_comment_id=1135447280928847")</f>
        <v>https://www.facebook.com/634639855377280/posts/810720524435878?comment_id=7227360744013153&amp;reply_comment_id=1135447280928847</v>
      </c>
      <c r="O639">
        <v>0</v>
      </c>
      <c r="P639">
        <v>0</v>
      </c>
      <c r="Q639">
        <v>0</v>
      </c>
      <c r="S639">
        <v>0</v>
      </c>
      <c r="T639">
        <v>0</v>
      </c>
      <c r="U639">
        <v>0</v>
      </c>
      <c r="W639" t="s">
        <v>52</v>
      </c>
    </row>
    <row r="640" spans="1:23" x14ac:dyDescent="0.35">
      <c r="A640" t="s">
        <v>45</v>
      </c>
      <c r="B640" t="s">
        <v>1364</v>
      </c>
      <c r="C640" t="s">
        <v>60</v>
      </c>
      <c r="D640" t="s">
        <v>61</v>
      </c>
      <c r="E640" t="s">
        <v>61</v>
      </c>
      <c r="F640" t="s">
        <v>49</v>
      </c>
      <c r="G640" t="s">
        <v>1386</v>
      </c>
      <c r="H640" t="s">
        <v>1387</v>
      </c>
      <c r="J640" t="str">
        <f>HYPERLINK("https://www.facebook.com/634639855377280/posts/810720524435878?comment_id=1083200576286243&amp;reply_comment_id=430056092923774","https://www.facebook.com/634639855377280/posts/810720524435878?comment_id=1083200576286243&amp;reply_comment_id=430056092923774")</f>
        <v>https://www.facebook.com/634639855377280/posts/810720524435878?comment_id=1083200576286243&amp;reply_comment_id=430056092923774</v>
      </c>
      <c r="O640">
        <v>0</v>
      </c>
      <c r="P640">
        <v>0</v>
      </c>
      <c r="Q640">
        <v>0</v>
      </c>
      <c r="S640">
        <v>0</v>
      </c>
      <c r="T640">
        <v>0</v>
      </c>
      <c r="U640">
        <v>0</v>
      </c>
      <c r="W640" t="s">
        <v>52</v>
      </c>
    </row>
    <row r="641" spans="1:23" x14ac:dyDescent="0.35">
      <c r="A641" t="s">
        <v>45</v>
      </c>
      <c r="B641" t="s">
        <v>1364</v>
      </c>
      <c r="C641" t="s">
        <v>60</v>
      </c>
      <c r="D641" t="s">
        <v>64</v>
      </c>
      <c r="E641" t="s">
        <v>64</v>
      </c>
      <c r="F641" t="s">
        <v>49</v>
      </c>
      <c r="G641" t="s">
        <v>100</v>
      </c>
      <c r="H641" t="s">
        <v>1388</v>
      </c>
      <c r="J641" t="str">
        <f>HYPERLINK("https://www.facebook.com/634639855377280/posts/810720524435878?comment_id=1083200576286243&amp;reply_comment_id=325875223817879","https://www.facebook.com/634639855377280/posts/810720524435878?comment_id=1083200576286243&amp;reply_comment_id=325875223817879")</f>
        <v>https://www.facebook.com/634639855377280/posts/810720524435878?comment_id=1083200576286243&amp;reply_comment_id=325875223817879</v>
      </c>
      <c r="K641" t="s">
        <v>67</v>
      </c>
      <c r="O641">
        <v>0</v>
      </c>
      <c r="P641">
        <v>0</v>
      </c>
      <c r="Q641">
        <v>0</v>
      </c>
      <c r="S641">
        <v>0</v>
      </c>
      <c r="T641">
        <v>0</v>
      </c>
      <c r="U641">
        <v>0</v>
      </c>
      <c r="W641" t="s">
        <v>52</v>
      </c>
    </row>
    <row r="642" spans="1:23" x14ac:dyDescent="0.35">
      <c r="A642" t="s">
        <v>45</v>
      </c>
      <c r="B642" t="s">
        <v>1364</v>
      </c>
      <c r="C642" t="s">
        <v>60</v>
      </c>
      <c r="D642" t="s">
        <v>64</v>
      </c>
      <c r="E642" t="s">
        <v>64</v>
      </c>
      <c r="F642" t="s">
        <v>49</v>
      </c>
      <c r="G642" t="s">
        <v>83</v>
      </c>
      <c r="H642" t="s">
        <v>1389</v>
      </c>
      <c r="J642" t="str">
        <f>HYPERLINK("https://www.facebook.com/634639855377280/posts/810720524435878?comment_id=7227360744013153&amp;reply_comment_id=953295422734512","https://www.facebook.com/634639855377280/posts/810720524435878?comment_id=7227360744013153&amp;reply_comment_id=953295422734512")</f>
        <v>https://www.facebook.com/634639855377280/posts/810720524435878?comment_id=7227360744013153&amp;reply_comment_id=953295422734512</v>
      </c>
      <c r="K642" t="s">
        <v>67</v>
      </c>
      <c r="O642">
        <v>0</v>
      </c>
      <c r="P642">
        <v>0</v>
      </c>
      <c r="Q642">
        <v>0</v>
      </c>
      <c r="S642">
        <v>0</v>
      </c>
      <c r="T642">
        <v>0</v>
      </c>
      <c r="U642">
        <v>0</v>
      </c>
      <c r="W642" t="s">
        <v>52</v>
      </c>
    </row>
    <row r="643" spans="1:23" x14ac:dyDescent="0.35">
      <c r="A643" t="s">
        <v>45</v>
      </c>
      <c r="B643" t="s">
        <v>1364</v>
      </c>
      <c r="C643" t="s">
        <v>60</v>
      </c>
      <c r="D643" t="s">
        <v>61</v>
      </c>
      <c r="E643" t="s">
        <v>61</v>
      </c>
      <c r="F643" t="s">
        <v>49</v>
      </c>
      <c r="G643" t="s">
        <v>1390</v>
      </c>
      <c r="H643" t="s">
        <v>1391</v>
      </c>
      <c r="J643" t="str">
        <f>HYPERLINK("https://www.facebook.com/634639855377280/posts/810720524435878?comment_id=7227360744013153","https://www.facebook.com/634639855377280/posts/810720524435878?comment_id=7227360744013153")</f>
        <v>https://www.facebook.com/634639855377280/posts/810720524435878?comment_id=7227360744013153</v>
      </c>
      <c r="O643">
        <v>0</v>
      </c>
      <c r="P643">
        <v>0</v>
      </c>
      <c r="Q643">
        <v>0</v>
      </c>
      <c r="S643">
        <v>0</v>
      </c>
      <c r="T643">
        <v>0</v>
      </c>
      <c r="U643">
        <v>0</v>
      </c>
      <c r="W643" t="s">
        <v>52</v>
      </c>
    </row>
    <row r="644" spans="1:23" x14ac:dyDescent="0.35">
      <c r="A644" t="s">
        <v>45</v>
      </c>
      <c r="B644" t="s">
        <v>1364</v>
      </c>
      <c r="C644" t="s">
        <v>60</v>
      </c>
      <c r="D644" t="s">
        <v>61</v>
      </c>
      <c r="E644" t="s">
        <v>61</v>
      </c>
      <c r="F644" t="s">
        <v>49</v>
      </c>
      <c r="G644" t="s">
        <v>1392</v>
      </c>
      <c r="H644" t="s">
        <v>1393</v>
      </c>
      <c r="J644" t="str">
        <f>HYPERLINK("https://www.facebook.com/634639855377280/posts/810720524435878?comment_id=1083200576286243","https://www.facebook.com/634639855377280/posts/810720524435878?comment_id=1083200576286243")</f>
        <v>https://www.facebook.com/634639855377280/posts/810720524435878?comment_id=1083200576286243</v>
      </c>
      <c r="O644">
        <v>0</v>
      </c>
      <c r="P644">
        <v>0</v>
      </c>
      <c r="Q644">
        <v>0</v>
      </c>
      <c r="S644">
        <v>0</v>
      </c>
      <c r="T644">
        <v>0</v>
      </c>
      <c r="U644">
        <v>0</v>
      </c>
      <c r="W644" t="s">
        <v>52</v>
      </c>
    </row>
    <row r="645" spans="1:23" x14ac:dyDescent="0.35">
      <c r="A645" t="s">
        <v>45</v>
      </c>
      <c r="B645" t="s">
        <v>1364</v>
      </c>
      <c r="C645" t="s">
        <v>60</v>
      </c>
      <c r="D645" t="s">
        <v>64</v>
      </c>
      <c r="E645" t="s">
        <v>64</v>
      </c>
      <c r="F645" t="s">
        <v>49</v>
      </c>
      <c r="G645" t="s">
        <v>266</v>
      </c>
      <c r="H645" t="s">
        <v>1394</v>
      </c>
      <c r="J645" t="str">
        <f>HYPERLINK("https://www.facebook.com/634639855377280/posts/810720524435878?comment_id=432240499221524&amp;reply_comment_id=707987014572545","https://www.facebook.com/634639855377280/posts/810720524435878?comment_id=432240499221524&amp;reply_comment_id=707987014572545")</f>
        <v>https://www.facebook.com/634639855377280/posts/810720524435878?comment_id=432240499221524&amp;reply_comment_id=707987014572545</v>
      </c>
      <c r="K645" t="s">
        <v>67</v>
      </c>
      <c r="O645">
        <v>0</v>
      </c>
      <c r="P645">
        <v>0</v>
      </c>
      <c r="Q645">
        <v>0</v>
      </c>
      <c r="S645">
        <v>0</v>
      </c>
      <c r="T645">
        <v>0</v>
      </c>
      <c r="U645">
        <v>0</v>
      </c>
      <c r="W645" t="s">
        <v>52</v>
      </c>
    </row>
    <row r="646" spans="1:23" x14ac:dyDescent="0.35">
      <c r="A646" t="s">
        <v>45</v>
      </c>
      <c r="B646" t="s">
        <v>1364</v>
      </c>
      <c r="C646" t="s">
        <v>60</v>
      </c>
      <c r="D646" t="s">
        <v>64</v>
      </c>
      <c r="E646" t="s">
        <v>64</v>
      </c>
      <c r="F646" t="s">
        <v>49</v>
      </c>
      <c r="G646" t="s">
        <v>266</v>
      </c>
      <c r="H646" t="s">
        <v>1395</v>
      </c>
      <c r="J646" t="str">
        <f>HYPERLINK("https://www.facebook.com/634639855377280/posts/810720524435878?comment_id=376048571913897&amp;reply_comment_id=395995256562281","https://www.facebook.com/634639855377280/posts/810720524435878?comment_id=376048571913897&amp;reply_comment_id=395995256562281")</f>
        <v>https://www.facebook.com/634639855377280/posts/810720524435878?comment_id=376048571913897&amp;reply_comment_id=395995256562281</v>
      </c>
      <c r="K646" t="s">
        <v>67</v>
      </c>
      <c r="O646">
        <v>0</v>
      </c>
      <c r="P646">
        <v>0</v>
      </c>
      <c r="Q646">
        <v>0</v>
      </c>
      <c r="S646">
        <v>0</v>
      </c>
      <c r="T646">
        <v>0</v>
      </c>
      <c r="U646">
        <v>0</v>
      </c>
      <c r="W646" t="s">
        <v>52</v>
      </c>
    </row>
    <row r="647" spans="1:23" x14ac:dyDescent="0.35">
      <c r="A647" t="s">
        <v>45</v>
      </c>
      <c r="B647" t="s">
        <v>1364</v>
      </c>
      <c r="C647" t="s">
        <v>60</v>
      </c>
      <c r="D647" t="s">
        <v>64</v>
      </c>
      <c r="E647" t="s">
        <v>64</v>
      </c>
      <c r="F647" t="s">
        <v>49</v>
      </c>
      <c r="G647" t="s">
        <v>266</v>
      </c>
      <c r="H647" t="s">
        <v>1396</v>
      </c>
      <c r="J647" t="str">
        <f>HYPERLINK("https://www.facebook.com/634639855377280/posts/810720524435878?comment_id=938015007953702&amp;reply_comment_id=357902030574055","https://www.facebook.com/634639855377280/posts/810720524435878?comment_id=938015007953702&amp;reply_comment_id=357902030574055")</f>
        <v>https://www.facebook.com/634639855377280/posts/810720524435878?comment_id=938015007953702&amp;reply_comment_id=357902030574055</v>
      </c>
      <c r="K647" t="s">
        <v>67</v>
      </c>
      <c r="O647">
        <v>0</v>
      </c>
      <c r="P647">
        <v>0</v>
      </c>
      <c r="Q647">
        <v>0</v>
      </c>
      <c r="S647">
        <v>0</v>
      </c>
      <c r="T647">
        <v>0</v>
      </c>
      <c r="U647">
        <v>0</v>
      </c>
      <c r="W647" t="s">
        <v>52</v>
      </c>
    </row>
    <row r="648" spans="1:23" x14ac:dyDescent="0.35">
      <c r="A648" t="s">
        <v>45</v>
      </c>
      <c r="B648" t="s">
        <v>1364</v>
      </c>
      <c r="C648" t="s">
        <v>60</v>
      </c>
      <c r="D648" t="s">
        <v>64</v>
      </c>
      <c r="E648" t="s">
        <v>64</v>
      </c>
      <c r="F648" t="s">
        <v>49</v>
      </c>
      <c r="G648" t="s">
        <v>454</v>
      </c>
      <c r="H648" t="s">
        <v>1397</v>
      </c>
      <c r="J648" t="str">
        <f>HYPERLINK("https://www.facebook.com/634639855377280/posts/810720524435878?comment_id=1199011987731758&amp;reply_comment_id=931986165303208","https://www.facebook.com/634639855377280/posts/810720524435878?comment_id=1199011987731758&amp;reply_comment_id=931986165303208")</f>
        <v>https://www.facebook.com/634639855377280/posts/810720524435878?comment_id=1199011987731758&amp;reply_comment_id=931986165303208</v>
      </c>
      <c r="K648" t="s">
        <v>67</v>
      </c>
      <c r="O648">
        <v>0</v>
      </c>
      <c r="P648">
        <v>0</v>
      </c>
      <c r="Q648">
        <v>0</v>
      </c>
      <c r="S648">
        <v>0</v>
      </c>
      <c r="T648">
        <v>0</v>
      </c>
      <c r="U648">
        <v>0</v>
      </c>
      <c r="W648" t="s">
        <v>52</v>
      </c>
    </row>
    <row r="649" spans="1:23" x14ac:dyDescent="0.35">
      <c r="A649" t="s">
        <v>45</v>
      </c>
      <c r="B649" t="s">
        <v>1364</v>
      </c>
      <c r="C649" t="s">
        <v>60</v>
      </c>
      <c r="D649" t="s">
        <v>64</v>
      </c>
      <c r="E649" t="s">
        <v>64</v>
      </c>
      <c r="F649" t="s">
        <v>49</v>
      </c>
      <c r="G649" t="s">
        <v>266</v>
      </c>
      <c r="H649" t="s">
        <v>1398</v>
      </c>
      <c r="J649" t="str">
        <f>HYPERLINK("https://www.facebook.com/634639855377280/posts/810720524435878?comment_id=2862921033848166&amp;reply_comment_id=398459402903148","https://www.facebook.com/634639855377280/posts/810720524435878?comment_id=2862921033848166&amp;reply_comment_id=398459402903148")</f>
        <v>https://www.facebook.com/634639855377280/posts/810720524435878?comment_id=2862921033848166&amp;reply_comment_id=398459402903148</v>
      </c>
      <c r="K649" t="s">
        <v>67</v>
      </c>
      <c r="O649">
        <v>0</v>
      </c>
      <c r="P649">
        <v>0</v>
      </c>
      <c r="Q649">
        <v>0</v>
      </c>
      <c r="S649">
        <v>0</v>
      </c>
      <c r="T649">
        <v>0</v>
      </c>
      <c r="U649">
        <v>0</v>
      </c>
      <c r="W649" t="s">
        <v>52</v>
      </c>
    </row>
    <row r="650" spans="1:23" x14ac:dyDescent="0.35">
      <c r="A650" t="s">
        <v>45</v>
      </c>
      <c r="B650" t="s">
        <v>1364</v>
      </c>
      <c r="C650" t="s">
        <v>60</v>
      </c>
      <c r="D650" t="s">
        <v>64</v>
      </c>
      <c r="E650" t="s">
        <v>64</v>
      </c>
      <c r="F650" t="s">
        <v>49</v>
      </c>
      <c r="G650" t="s">
        <v>266</v>
      </c>
      <c r="H650" t="s">
        <v>1399</v>
      </c>
      <c r="J650" t="str">
        <f>HYPERLINK("https://www.facebook.com/634639855377280/posts/810720524435878?comment_id=1077846470148799&amp;reply_comment_id=1060101691766901","https://www.facebook.com/634639855377280/posts/810720524435878?comment_id=1077846470148799&amp;reply_comment_id=1060101691766901")</f>
        <v>https://www.facebook.com/634639855377280/posts/810720524435878?comment_id=1077846470148799&amp;reply_comment_id=1060101691766901</v>
      </c>
      <c r="K650" t="s">
        <v>67</v>
      </c>
      <c r="O650">
        <v>0</v>
      </c>
      <c r="P650">
        <v>0</v>
      </c>
      <c r="Q650">
        <v>0</v>
      </c>
      <c r="S650">
        <v>0</v>
      </c>
      <c r="T650">
        <v>0</v>
      </c>
      <c r="U650">
        <v>0</v>
      </c>
      <c r="W650" t="s">
        <v>52</v>
      </c>
    </row>
    <row r="651" spans="1:23" x14ac:dyDescent="0.35">
      <c r="A651" t="s">
        <v>45</v>
      </c>
      <c r="B651" t="s">
        <v>1364</v>
      </c>
      <c r="C651" t="s">
        <v>93</v>
      </c>
      <c r="D651" t="s">
        <v>94</v>
      </c>
      <c r="E651" t="s">
        <v>45</v>
      </c>
      <c r="F651" t="s">
        <v>49</v>
      </c>
      <c r="G651" t="s">
        <v>1400</v>
      </c>
      <c r="H651" t="s">
        <v>1401</v>
      </c>
      <c r="J651" t="str">
        <f>HYPERLINK("https://twitter.com/SpiceMoneyIndia/status/1770043122417901897","https://twitter.com/SpiceMoneyIndia/status/1770043122417901897")</f>
        <v>https://twitter.com/SpiceMoneyIndia/status/1770043122417901897</v>
      </c>
      <c r="K651" t="s">
        <v>67</v>
      </c>
      <c r="O651">
        <v>0</v>
      </c>
      <c r="P651">
        <v>0</v>
      </c>
      <c r="Q651">
        <v>6080</v>
      </c>
      <c r="R651" t="s">
        <v>97</v>
      </c>
      <c r="S651">
        <v>0</v>
      </c>
      <c r="T651">
        <v>0</v>
      </c>
      <c r="U651">
        <v>0</v>
      </c>
      <c r="V651" t="s">
        <v>98</v>
      </c>
      <c r="W651" t="s">
        <v>99</v>
      </c>
    </row>
    <row r="652" spans="1:23" x14ac:dyDescent="0.35">
      <c r="A652" t="s">
        <v>45</v>
      </c>
      <c r="B652" t="s">
        <v>1364</v>
      </c>
      <c r="C652" t="s">
        <v>60</v>
      </c>
      <c r="D652" t="s">
        <v>61</v>
      </c>
      <c r="E652" t="s">
        <v>61</v>
      </c>
      <c r="F652" t="s">
        <v>49</v>
      </c>
      <c r="G652" t="s">
        <v>1402</v>
      </c>
      <c r="H652" t="s">
        <v>1403</v>
      </c>
      <c r="J652" t="str">
        <f>HYPERLINK("https://www.facebook.com/634639855377280/posts/810720524435878?comment_id=1122170842535633&amp;reply_comment_id=314835068280590","https://www.facebook.com/634639855377280/posts/810720524435878?comment_id=1122170842535633&amp;reply_comment_id=314835068280590")</f>
        <v>https://www.facebook.com/634639855377280/posts/810720524435878?comment_id=1122170842535633&amp;reply_comment_id=314835068280590</v>
      </c>
      <c r="O652">
        <v>0</v>
      </c>
      <c r="P652">
        <v>0</v>
      </c>
      <c r="Q652">
        <v>0</v>
      </c>
      <c r="S652">
        <v>0</v>
      </c>
      <c r="T652">
        <v>0</v>
      </c>
      <c r="U652">
        <v>0</v>
      </c>
      <c r="W652" t="s">
        <v>52</v>
      </c>
    </row>
    <row r="653" spans="1:23" x14ac:dyDescent="0.35">
      <c r="A653" t="s">
        <v>45</v>
      </c>
      <c r="B653" t="s">
        <v>1364</v>
      </c>
      <c r="C653" t="s">
        <v>60</v>
      </c>
      <c r="D653" t="s">
        <v>64</v>
      </c>
      <c r="E653" t="s">
        <v>64</v>
      </c>
      <c r="F653" t="s">
        <v>49</v>
      </c>
      <c r="G653" t="s">
        <v>1404</v>
      </c>
      <c r="H653" t="s">
        <v>1405</v>
      </c>
      <c r="J653" t="str">
        <f>HYPERLINK("https://www.facebook.com/634639855377280/posts/810720524435878?comment_id=1122170842535633&amp;reply_comment_id=1578079642988098","https://www.facebook.com/634639855377280/posts/810720524435878?comment_id=1122170842535633&amp;reply_comment_id=1578079642988098")</f>
        <v>https://www.facebook.com/634639855377280/posts/810720524435878?comment_id=1122170842535633&amp;reply_comment_id=1578079642988098</v>
      </c>
      <c r="K653" t="s">
        <v>67</v>
      </c>
      <c r="O653">
        <v>0</v>
      </c>
      <c r="P653">
        <v>0</v>
      </c>
      <c r="Q653">
        <v>0</v>
      </c>
      <c r="S653">
        <v>0</v>
      </c>
      <c r="T653">
        <v>0</v>
      </c>
      <c r="U653">
        <v>0</v>
      </c>
      <c r="W653" t="s">
        <v>52</v>
      </c>
    </row>
    <row r="654" spans="1:23" x14ac:dyDescent="0.35">
      <c r="A654" t="s">
        <v>45</v>
      </c>
      <c r="B654" t="s">
        <v>1364</v>
      </c>
      <c r="C654" t="s">
        <v>47</v>
      </c>
      <c r="D654" t="s">
        <v>68</v>
      </c>
      <c r="E654" t="s">
        <v>68</v>
      </c>
      <c r="F654" t="s">
        <v>49</v>
      </c>
      <c r="G654" t="s">
        <v>102</v>
      </c>
      <c r="H654" t="s">
        <v>1406</v>
      </c>
      <c r="J654" t="str">
        <f>HYPERLINK("https://www.youtube.com/watch?v=rDvS2xihcsk&amp;lc=UgxoP-tLh_k2uvrKkYx4AaABAg.A17t6C63W1HA19sSmPLTvi","https://www.youtube.com/watch?v=rDvS2xihcsk&amp;lc=UgxoP-tLh_k2uvrKkYx4AaABAg.A17t6C63W1HA19sSmPLTvi")</f>
        <v>https://www.youtube.com/watch?v=rDvS2xihcsk&amp;lc=UgxoP-tLh_k2uvrKkYx4AaABAg.A17t6C63W1HA19sSmPLTvi</v>
      </c>
      <c r="O654">
        <v>0</v>
      </c>
      <c r="P654">
        <v>0</v>
      </c>
      <c r="Q654">
        <v>0</v>
      </c>
      <c r="S654">
        <v>0</v>
      </c>
      <c r="T654">
        <v>0</v>
      </c>
      <c r="U654">
        <v>0</v>
      </c>
      <c r="W654" t="s">
        <v>52</v>
      </c>
    </row>
    <row r="655" spans="1:23" x14ac:dyDescent="0.35">
      <c r="A655" t="s">
        <v>45</v>
      </c>
      <c r="B655" t="s">
        <v>1364</v>
      </c>
      <c r="C655" t="s">
        <v>47</v>
      </c>
      <c r="D655" t="s">
        <v>68</v>
      </c>
      <c r="E655" t="s">
        <v>68</v>
      </c>
      <c r="F655" t="s">
        <v>49</v>
      </c>
      <c r="G655" t="s">
        <v>102</v>
      </c>
      <c r="H655" t="s">
        <v>1407</v>
      </c>
      <c r="J655" t="str">
        <f>HYPERLINK("https://www.youtube.com/watch?v=eZM6KpJpw0Y&amp;lc=Ugw-jhmLJYQLn9jwCut4AaABAg.A195-Q8K2fgA19rZMLToNm","https://www.youtube.com/watch?v=eZM6KpJpw0Y&amp;lc=Ugw-jhmLJYQLn9jwCut4AaABAg.A195-Q8K2fgA19rZMLToNm")</f>
        <v>https://www.youtube.com/watch?v=eZM6KpJpw0Y&amp;lc=Ugw-jhmLJYQLn9jwCut4AaABAg.A195-Q8K2fgA19rZMLToNm</v>
      </c>
      <c r="O655">
        <v>0</v>
      </c>
      <c r="P655">
        <v>0</v>
      </c>
      <c r="Q655">
        <v>0</v>
      </c>
      <c r="S655">
        <v>0</v>
      </c>
      <c r="T655">
        <v>0</v>
      </c>
      <c r="U655">
        <v>0</v>
      </c>
      <c r="W655" t="s">
        <v>52</v>
      </c>
    </row>
    <row r="656" spans="1:23" x14ac:dyDescent="0.35">
      <c r="A656" t="s">
        <v>45</v>
      </c>
      <c r="B656" t="s">
        <v>1364</v>
      </c>
      <c r="C656" t="s">
        <v>93</v>
      </c>
      <c r="D656" t="s">
        <v>752</v>
      </c>
      <c r="E656" t="s">
        <v>753</v>
      </c>
      <c r="F656" t="s">
        <v>49</v>
      </c>
      <c r="G656" t="s">
        <v>1408</v>
      </c>
      <c r="H656" t="s">
        <v>1409</v>
      </c>
      <c r="J656" t="str">
        <f>HYPERLINK("https://twitter.com/PayNearby/status/1769990937319448811","https://twitter.com/PayNearby/status/1769990937319448811")</f>
        <v>https://twitter.com/PayNearby/status/1769990937319448811</v>
      </c>
      <c r="O656">
        <v>0</v>
      </c>
      <c r="P656">
        <v>0</v>
      </c>
      <c r="Q656">
        <v>6033</v>
      </c>
      <c r="R656" t="s">
        <v>756</v>
      </c>
      <c r="S656">
        <v>0</v>
      </c>
      <c r="T656">
        <v>0</v>
      </c>
      <c r="U656">
        <v>0</v>
      </c>
      <c r="W656" t="s">
        <v>99</v>
      </c>
    </row>
    <row r="657" spans="1:42" x14ac:dyDescent="0.35">
      <c r="A657" t="s">
        <v>45</v>
      </c>
      <c r="B657" t="s">
        <v>1364</v>
      </c>
      <c r="C657" t="s">
        <v>60</v>
      </c>
      <c r="D657" t="s">
        <v>64</v>
      </c>
      <c r="E657" t="s">
        <v>64</v>
      </c>
      <c r="F657" t="s">
        <v>49</v>
      </c>
      <c r="G657" t="s">
        <v>1410</v>
      </c>
      <c r="H657" t="s">
        <v>1411</v>
      </c>
      <c r="J657" t="str">
        <f>HYPERLINK("https://www.facebook.com/634639855377280/posts/811194214388509","https://www.facebook.com/634639855377280/posts/811194214388509")</f>
        <v>https://www.facebook.com/634639855377280/posts/811194214388509</v>
      </c>
      <c r="O657">
        <v>0</v>
      </c>
      <c r="P657">
        <v>0</v>
      </c>
      <c r="Q657">
        <v>0</v>
      </c>
      <c r="S657">
        <v>2</v>
      </c>
      <c r="T657">
        <v>48</v>
      </c>
      <c r="U657">
        <v>0</v>
      </c>
      <c r="W657" t="s">
        <v>346</v>
      </c>
    </row>
    <row r="658" spans="1:42" x14ac:dyDescent="0.35">
      <c r="A658" t="s">
        <v>45</v>
      </c>
      <c r="B658" t="s">
        <v>1364</v>
      </c>
      <c r="C658" t="s">
        <v>93</v>
      </c>
      <c r="D658" t="s">
        <v>762</v>
      </c>
      <c r="E658" t="s">
        <v>763</v>
      </c>
      <c r="F658" t="s">
        <v>193</v>
      </c>
      <c r="G658" t="s">
        <v>1412</v>
      </c>
      <c r="H658" t="s">
        <v>1413</v>
      </c>
      <c r="J658" t="str">
        <f>HYPERLINK("https://twitter.com/jitendra261988/status/1769944666814730417","https://twitter.com/jitendra261988/status/1769944666814730417")</f>
        <v>https://twitter.com/jitendra261988/status/1769944666814730417</v>
      </c>
      <c r="K658" t="s">
        <v>67</v>
      </c>
      <c r="O658">
        <v>0</v>
      </c>
      <c r="P658">
        <v>0</v>
      </c>
      <c r="Q658">
        <v>18</v>
      </c>
      <c r="S658">
        <v>0</v>
      </c>
      <c r="T658">
        <v>0</v>
      </c>
      <c r="U658">
        <v>0</v>
      </c>
      <c r="W658" t="s">
        <v>99</v>
      </c>
    </row>
    <row r="659" spans="1:42" x14ac:dyDescent="0.35">
      <c r="A659" t="s">
        <v>45</v>
      </c>
      <c r="B659" t="s">
        <v>1364</v>
      </c>
      <c r="C659" t="s">
        <v>60</v>
      </c>
      <c r="D659" t="s">
        <v>61</v>
      </c>
      <c r="E659" t="s">
        <v>61</v>
      </c>
      <c r="F659" t="s">
        <v>49</v>
      </c>
      <c r="G659" t="s">
        <v>1414</v>
      </c>
      <c r="H659" t="s">
        <v>1415</v>
      </c>
      <c r="J659" t="str">
        <f>HYPERLINK("https://www.facebook.com/634639855377280/posts/810720524435878?comment_id=1122170842535633","https://www.facebook.com/634639855377280/posts/810720524435878?comment_id=1122170842535633")</f>
        <v>https://www.facebook.com/634639855377280/posts/810720524435878?comment_id=1122170842535633</v>
      </c>
      <c r="O659">
        <v>0</v>
      </c>
      <c r="P659">
        <v>0</v>
      </c>
      <c r="Q659">
        <v>0</v>
      </c>
      <c r="S659">
        <v>0</v>
      </c>
      <c r="T659">
        <v>0</v>
      </c>
      <c r="U659">
        <v>0</v>
      </c>
      <c r="W659" t="s">
        <v>52</v>
      </c>
    </row>
    <row r="660" spans="1:42" x14ac:dyDescent="0.35">
      <c r="A660" t="s">
        <v>45</v>
      </c>
      <c r="B660" t="s">
        <v>1364</v>
      </c>
      <c r="C660" t="s">
        <v>47</v>
      </c>
      <c r="D660" t="s">
        <v>1099</v>
      </c>
      <c r="E660" t="s">
        <v>1099</v>
      </c>
      <c r="F660" t="s">
        <v>49</v>
      </c>
      <c r="G660" t="s">
        <v>1416</v>
      </c>
      <c r="H660" t="s">
        <v>1417</v>
      </c>
      <c r="J660" t="str">
        <f>HYPERLINK("https://www.youtube.com/watch?v=eZM6KpJpw0Y&amp;lc=Ugw-jhmLJYQLn9jwCut4AaABAg","https://www.youtube.com/watch?v=eZM6KpJpw0Y&amp;lc=Ugw-jhmLJYQLn9jwCut4AaABAg")</f>
        <v>https://www.youtube.com/watch?v=eZM6KpJpw0Y&amp;lc=Ugw-jhmLJYQLn9jwCut4AaABAg</v>
      </c>
      <c r="O660">
        <v>0</v>
      </c>
      <c r="P660">
        <v>0</v>
      </c>
      <c r="Q660">
        <v>0</v>
      </c>
      <c r="S660">
        <v>0</v>
      </c>
      <c r="T660">
        <v>0</v>
      </c>
      <c r="U660">
        <v>0</v>
      </c>
      <c r="W660" t="s">
        <v>52</v>
      </c>
    </row>
    <row r="661" spans="1:42" x14ac:dyDescent="0.35">
      <c r="A661" t="s">
        <v>45</v>
      </c>
      <c r="B661" t="s">
        <v>1364</v>
      </c>
      <c r="C661" t="s">
        <v>93</v>
      </c>
      <c r="D661" t="s">
        <v>722</v>
      </c>
      <c r="E661" t="s">
        <v>723</v>
      </c>
      <c r="F661" t="s">
        <v>193</v>
      </c>
      <c r="G661" t="s">
        <v>1418</v>
      </c>
      <c r="H661" t="s">
        <v>1419</v>
      </c>
      <c r="J661" t="str">
        <f>HYPERLINK("https://twitter.com/Mohit_5355/status/1769904539774116168","https://twitter.com/Mohit_5355/status/1769904539774116168")</f>
        <v>https://twitter.com/Mohit_5355/status/1769904539774116168</v>
      </c>
      <c r="K661" t="s">
        <v>67</v>
      </c>
      <c r="O661">
        <v>0</v>
      </c>
      <c r="P661">
        <v>0</v>
      </c>
      <c r="Q661">
        <v>4</v>
      </c>
      <c r="S661">
        <v>0</v>
      </c>
      <c r="T661">
        <v>0</v>
      </c>
      <c r="U661">
        <v>0</v>
      </c>
      <c r="W661" t="s">
        <v>99</v>
      </c>
      <c r="AP661" t="s">
        <v>1420</v>
      </c>
    </row>
    <row r="662" spans="1:42" x14ac:dyDescent="0.35">
      <c r="A662" t="s">
        <v>45</v>
      </c>
      <c r="B662" t="s">
        <v>1364</v>
      </c>
      <c r="C662" t="s">
        <v>60</v>
      </c>
      <c r="D662" t="s">
        <v>61</v>
      </c>
      <c r="E662" t="s">
        <v>61</v>
      </c>
      <c r="F662" t="s">
        <v>193</v>
      </c>
      <c r="G662" t="s">
        <v>1421</v>
      </c>
      <c r="H662" t="s">
        <v>1422</v>
      </c>
      <c r="J662" t="str">
        <f>HYPERLINK("https://www.facebook.com/634639855377280/posts/810720524435878?comment_id=1077846470148799","https://www.facebook.com/634639855377280/posts/810720524435878?comment_id=1077846470148799")</f>
        <v>https://www.facebook.com/634639855377280/posts/810720524435878?comment_id=1077846470148799</v>
      </c>
      <c r="O662">
        <v>0</v>
      </c>
      <c r="P662">
        <v>0</v>
      </c>
      <c r="Q662">
        <v>0</v>
      </c>
      <c r="S662">
        <v>0</v>
      </c>
      <c r="T662">
        <v>0</v>
      </c>
      <c r="U662">
        <v>0</v>
      </c>
      <c r="W662" t="s">
        <v>52</v>
      </c>
    </row>
    <row r="663" spans="1:42" x14ac:dyDescent="0.35">
      <c r="A663" t="s">
        <v>45</v>
      </c>
      <c r="B663" t="s">
        <v>1364</v>
      </c>
      <c r="C663" t="s">
        <v>60</v>
      </c>
      <c r="D663" t="s">
        <v>1309</v>
      </c>
      <c r="E663" t="s">
        <v>1309</v>
      </c>
      <c r="F663" t="s">
        <v>49</v>
      </c>
      <c r="G663" t="s">
        <v>1423</v>
      </c>
      <c r="H663" t="s">
        <v>1424</v>
      </c>
      <c r="J663" t="str">
        <f>HYPERLINK("https://www.facebook.com/634639855377280/posts/810720524435878?comment_id=2862921033848166&amp;reply_comment_id=1869047956876697","https://www.facebook.com/634639855377280/posts/810720524435878?comment_id=2862921033848166&amp;reply_comment_id=1869047956876697")</f>
        <v>https://www.facebook.com/634639855377280/posts/810720524435878?comment_id=2862921033848166&amp;reply_comment_id=1869047956876697</v>
      </c>
      <c r="K663" t="s">
        <v>67</v>
      </c>
      <c r="O663">
        <v>0</v>
      </c>
      <c r="P663">
        <v>0</v>
      </c>
      <c r="Q663">
        <v>0</v>
      </c>
      <c r="S663">
        <v>0</v>
      </c>
      <c r="T663">
        <v>0</v>
      </c>
      <c r="U663">
        <v>0</v>
      </c>
      <c r="W663" t="s">
        <v>52</v>
      </c>
    </row>
    <row r="664" spans="1:42" x14ac:dyDescent="0.35">
      <c r="A664" t="s">
        <v>45</v>
      </c>
      <c r="B664" t="s">
        <v>1425</v>
      </c>
      <c r="C664" t="s">
        <v>47</v>
      </c>
      <c r="D664" t="s">
        <v>736</v>
      </c>
      <c r="E664" t="s">
        <v>736</v>
      </c>
      <c r="F664" t="s">
        <v>49</v>
      </c>
      <c r="G664" t="s">
        <v>1426</v>
      </c>
      <c r="H664" t="s">
        <v>1427</v>
      </c>
      <c r="J664" t="str">
        <f>HYPERLINK("https://www.youtube.com/watch?v=2r89niAbWAc","https://www.youtube.com/watch?v=2r89niAbWAc")</f>
        <v>https://www.youtube.com/watch?v=2r89niAbWAc</v>
      </c>
      <c r="O664">
        <v>0</v>
      </c>
      <c r="P664">
        <v>0</v>
      </c>
      <c r="Q664">
        <v>0</v>
      </c>
      <c r="S664">
        <v>0</v>
      </c>
      <c r="T664">
        <v>0</v>
      </c>
      <c r="U664">
        <v>0</v>
      </c>
      <c r="W664" t="s">
        <v>346</v>
      </c>
      <c r="AP664" t="s">
        <v>1288</v>
      </c>
    </row>
    <row r="665" spans="1:42" x14ac:dyDescent="0.35">
      <c r="A665" t="s">
        <v>45</v>
      </c>
      <c r="B665" t="s">
        <v>1425</v>
      </c>
      <c r="C665" t="s">
        <v>60</v>
      </c>
      <c r="D665" t="s">
        <v>61</v>
      </c>
      <c r="E665" t="s">
        <v>61</v>
      </c>
      <c r="F665" t="s">
        <v>193</v>
      </c>
      <c r="G665" t="s">
        <v>1428</v>
      </c>
      <c r="H665" t="s">
        <v>1429</v>
      </c>
      <c r="J665" t="str">
        <f>HYPERLINK("https://www.facebook.com/634639855377280/posts/810720524435878?comment_id=1199011987731758","https://www.facebook.com/634639855377280/posts/810720524435878?comment_id=1199011987731758")</f>
        <v>https://www.facebook.com/634639855377280/posts/810720524435878?comment_id=1199011987731758</v>
      </c>
      <c r="O665">
        <v>0</v>
      </c>
      <c r="P665">
        <v>0</v>
      </c>
      <c r="Q665">
        <v>0</v>
      </c>
      <c r="S665">
        <v>0</v>
      </c>
      <c r="T665">
        <v>0</v>
      </c>
      <c r="U665">
        <v>0</v>
      </c>
      <c r="W665" t="s">
        <v>52</v>
      </c>
    </row>
    <row r="666" spans="1:42" x14ac:dyDescent="0.35">
      <c r="A666" t="s">
        <v>45</v>
      </c>
      <c r="B666" t="s">
        <v>1425</v>
      </c>
      <c r="C666" t="s">
        <v>60</v>
      </c>
      <c r="D666" t="s">
        <v>61</v>
      </c>
      <c r="E666" t="s">
        <v>61</v>
      </c>
      <c r="F666" t="s">
        <v>49</v>
      </c>
      <c r="G666" t="s">
        <v>1430</v>
      </c>
      <c r="H666" t="s">
        <v>1431</v>
      </c>
      <c r="J666" t="str">
        <f>HYPERLINK("https://www.facebook.com/634639855377280/posts/810720524435878?comment_id=432240499221524","https://www.facebook.com/634639855377280/posts/810720524435878?comment_id=432240499221524")</f>
        <v>https://www.facebook.com/634639855377280/posts/810720524435878?comment_id=432240499221524</v>
      </c>
      <c r="O666">
        <v>0</v>
      </c>
      <c r="P666">
        <v>0</v>
      </c>
      <c r="Q666">
        <v>0</v>
      </c>
      <c r="S666">
        <v>0</v>
      </c>
      <c r="T666">
        <v>0</v>
      </c>
      <c r="U666">
        <v>0</v>
      </c>
      <c r="W666" t="s">
        <v>52</v>
      </c>
    </row>
    <row r="667" spans="1:42" x14ac:dyDescent="0.35">
      <c r="A667" t="s">
        <v>45</v>
      </c>
      <c r="B667" t="s">
        <v>1425</v>
      </c>
      <c r="C667" t="s">
        <v>47</v>
      </c>
      <c r="D667" t="s">
        <v>1432</v>
      </c>
      <c r="E667" t="s">
        <v>1432</v>
      </c>
      <c r="F667" t="s">
        <v>193</v>
      </c>
      <c r="G667" t="s">
        <v>1433</v>
      </c>
      <c r="H667" t="s">
        <v>1434</v>
      </c>
      <c r="J667" t="str">
        <f>HYPERLINK("https://www.youtube.com/watch?v=rDvS2xihcsk&amp;lc=UgxoP-tLh_k2uvrKkYx4AaABAg","https://www.youtube.com/watch?v=rDvS2xihcsk&amp;lc=UgxoP-tLh_k2uvrKkYx4AaABAg")</f>
        <v>https://www.youtube.com/watch?v=rDvS2xihcsk&amp;lc=UgxoP-tLh_k2uvrKkYx4AaABAg</v>
      </c>
      <c r="O667">
        <v>0</v>
      </c>
      <c r="P667">
        <v>0</v>
      </c>
      <c r="Q667">
        <v>0</v>
      </c>
      <c r="S667">
        <v>0</v>
      </c>
      <c r="T667">
        <v>0</v>
      </c>
      <c r="U667">
        <v>0</v>
      </c>
      <c r="W667" t="s">
        <v>52</v>
      </c>
    </row>
    <row r="668" spans="1:42" x14ac:dyDescent="0.35">
      <c r="A668" t="s">
        <v>45</v>
      </c>
      <c r="B668" t="s">
        <v>1425</v>
      </c>
      <c r="C668" t="s">
        <v>60</v>
      </c>
      <c r="D668" t="s">
        <v>61</v>
      </c>
      <c r="E668" t="s">
        <v>61</v>
      </c>
      <c r="F668" t="s">
        <v>49</v>
      </c>
      <c r="G668" t="s">
        <v>1435</v>
      </c>
      <c r="H668" t="s">
        <v>1436</v>
      </c>
      <c r="J668" t="str">
        <f>HYPERLINK("https://www.facebook.com/634639855377280/posts/810720524435878?comment_id=938015007953702","https://www.facebook.com/634639855377280/posts/810720524435878?comment_id=938015007953702")</f>
        <v>https://www.facebook.com/634639855377280/posts/810720524435878?comment_id=938015007953702</v>
      </c>
      <c r="O668">
        <v>0</v>
      </c>
      <c r="P668">
        <v>0</v>
      </c>
      <c r="Q668">
        <v>0</v>
      </c>
      <c r="S668">
        <v>0</v>
      </c>
      <c r="T668">
        <v>0</v>
      </c>
      <c r="U668">
        <v>0</v>
      </c>
      <c r="W668" t="s">
        <v>52</v>
      </c>
    </row>
    <row r="669" spans="1:42" x14ac:dyDescent="0.35">
      <c r="A669" t="s">
        <v>45</v>
      </c>
      <c r="B669" t="s">
        <v>1425</v>
      </c>
      <c r="C669" t="s">
        <v>60</v>
      </c>
      <c r="D669" t="s">
        <v>61</v>
      </c>
      <c r="E669" t="s">
        <v>61</v>
      </c>
      <c r="F669" t="s">
        <v>49</v>
      </c>
      <c r="G669" t="s">
        <v>1437</v>
      </c>
      <c r="H669" t="s">
        <v>1438</v>
      </c>
      <c r="J669" t="str">
        <f>HYPERLINK("https://www.facebook.com/634639855377280/posts/810720524435878?comment_id=2862921033848166","https://www.facebook.com/634639855377280/posts/810720524435878?comment_id=2862921033848166")</f>
        <v>https://www.facebook.com/634639855377280/posts/810720524435878?comment_id=2862921033848166</v>
      </c>
      <c r="O669">
        <v>0</v>
      </c>
      <c r="P669">
        <v>0</v>
      </c>
      <c r="Q669">
        <v>0</v>
      </c>
      <c r="S669">
        <v>0</v>
      </c>
      <c r="T669">
        <v>0</v>
      </c>
      <c r="U669">
        <v>0</v>
      </c>
      <c r="W669" t="s">
        <v>52</v>
      </c>
    </row>
    <row r="670" spans="1:42" x14ac:dyDescent="0.35">
      <c r="A670" t="s">
        <v>45</v>
      </c>
      <c r="B670" t="s">
        <v>1425</v>
      </c>
      <c r="C670" t="s">
        <v>60</v>
      </c>
      <c r="D670" t="s">
        <v>61</v>
      </c>
      <c r="E670" t="s">
        <v>61</v>
      </c>
      <c r="F670" t="s">
        <v>49</v>
      </c>
      <c r="G670" t="s">
        <v>1439</v>
      </c>
      <c r="H670" t="s">
        <v>1440</v>
      </c>
      <c r="J670" t="str">
        <f>HYPERLINK("https://www.facebook.com/634639855377280/posts/810720524435878?comment_id=376048571913897","https://www.facebook.com/634639855377280/posts/810720524435878?comment_id=376048571913897")</f>
        <v>https://www.facebook.com/634639855377280/posts/810720524435878?comment_id=376048571913897</v>
      </c>
      <c r="O670">
        <v>0</v>
      </c>
      <c r="P670">
        <v>0</v>
      </c>
      <c r="Q670">
        <v>0</v>
      </c>
      <c r="S670">
        <v>0</v>
      </c>
      <c r="T670">
        <v>0</v>
      </c>
      <c r="U670">
        <v>0</v>
      </c>
      <c r="W670" t="s">
        <v>52</v>
      </c>
    </row>
    <row r="671" spans="1:42" x14ac:dyDescent="0.35">
      <c r="A671" t="s">
        <v>45</v>
      </c>
      <c r="B671" t="s">
        <v>1425</v>
      </c>
      <c r="C671" t="s">
        <v>47</v>
      </c>
      <c r="D671" t="s">
        <v>68</v>
      </c>
      <c r="E671" t="s">
        <v>68</v>
      </c>
      <c r="F671" t="s">
        <v>49</v>
      </c>
      <c r="G671" t="s">
        <v>102</v>
      </c>
      <c r="H671" t="s">
        <v>1441</v>
      </c>
      <c r="J671" t="str">
        <f>HYPERLINK("https://www.youtube.com/watch?v=Vk9kehZJdww&amp;lc=Ugw2zMb9aDl47_ktGrF4AaABAg.A16YZaHuDp3A17Lk4-O-ep","https://www.youtube.com/watch?v=Vk9kehZJdww&amp;lc=Ugw2zMb9aDl47_ktGrF4AaABAg.A16YZaHuDp3A17Lk4-O-ep")</f>
        <v>https://www.youtube.com/watch?v=Vk9kehZJdww&amp;lc=Ugw2zMb9aDl47_ktGrF4AaABAg.A16YZaHuDp3A17Lk4-O-ep</v>
      </c>
      <c r="O671">
        <v>0</v>
      </c>
      <c r="P671">
        <v>0</v>
      </c>
      <c r="Q671">
        <v>0</v>
      </c>
      <c r="S671">
        <v>0</v>
      </c>
      <c r="T671">
        <v>0</v>
      </c>
      <c r="U671">
        <v>0</v>
      </c>
      <c r="W671" t="s">
        <v>52</v>
      </c>
    </row>
    <row r="672" spans="1:42" x14ac:dyDescent="0.35">
      <c r="A672" t="s">
        <v>45</v>
      </c>
      <c r="B672" t="s">
        <v>1425</v>
      </c>
      <c r="C672" t="s">
        <v>47</v>
      </c>
      <c r="D672" t="s">
        <v>68</v>
      </c>
      <c r="E672" t="s">
        <v>68</v>
      </c>
      <c r="F672" t="s">
        <v>49</v>
      </c>
      <c r="G672" t="s">
        <v>102</v>
      </c>
      <c r="H672" t="s">
        <v>1442</v>
      </c>
      <c r="J672" t="str">
        <f>HYPERLINK("https://www.youtube.com/watch?v=wJJ455CgzKg&amp;lc=UgxzvNWmExqBCiLB0kx4AaABAg.A16rOAAt6tjA17LVjyJfEh","https://www.youtube.com/watch?v=wJJ455CgzKg&amp;lc=UgxzvNWmExqBCiLB0kx4AaABAg.A16rOAAt6tjA17LVjyJfEh")</f>
        <v>https://www.youtube.com/watch?v=wJJ455CgzKg&amp;lc=UgxzvNWmExqBCiLB0kx4AaABAg.A16rOAAt6tjA17LVjyJfEh</v>
      </c>
      <c r="O672">
        <v>0</v>
      </c>
      <c r="P672">
        <v>0</v>
      </c>
      <c r="Q672">
        <v>0</v>
      </c>
      <c r="S672">
        <v>0</v>
      </c>
      <c r="T672">
        <v>0</v>
      </c>
      <c r="U672">
        <v>0</v>
      </c>
      <c r="W672" t="s">
        <v>52</v>
      </c>
    </row>
    <row r="673" spans="1:23" x14ac:dyDescent="0.35">
      <c r="A673" t="s">
        <v>45</v>
      </c>
      <c r="B673" t="s">
        <v>1425</v>
      </c>
      <c r="C673" t="s">
        <v>93</v>
      </c>
      <c r="D673" t="s">
        <v>94</v>
      </c>
      <c r="E673" t="s">
        <v>45</v>
      </c>
      <c r="F673" t="s">
        <v>49</v>
      </c>
      <c r="G673" t="s">
        <v>1443</v>
      </c>
      <c r="H673" t="s">
        <v>1444</v>
      </c>
      <c r="J673" t="str">
        <f>HYPERLINK("https://twitter.com/SpiceMoneyIndia/status/1769685269563813920","https://twitter.com/SpiceMoneyIndia/status/1769685269563813920")</f>
        <v>https://twitter.com/SpiceMoneyIndia/status/1769685269563813920</v>
      </c>
      <c r="K673" t="s">
        <v>67</v>
      </c>
      <c r="O673">
        <v>0</v>
      </c>
      <c r="P673">
        <v>0</v>
      </c>
      <c r="Q673">
        <v>6075</v>
      </c>
      <c r="R673" t="s">
        <v>97</v>
      </c>
      <c r="S673">
        <v>0</v>
      </c>
      <c r="T673">
        <v>0</v>
      </c>
      <c r="U673">
        <v>0</v>
      </c>
      <c r="V673" t="s">
        <v>98</v>
      </c>
      <c r="W673" t="s">
        <v>99</v>
      </c>
    </row>
    <row r="674" spans="1:23" x14ac:dyDescent="0.35">
      <c r="A674" t="s">
        <v>45</v>
      </c>
      <c r="B674" t="s">
        <v>1425</v>
      </c>
      <c r="C674" t="s">
        <v>60</v>
      </c>
      <c r="D674" t="s">
        <v>61</v>
      </c>
      <c r="E674" t="s">
        <v>61</v>
      </c>
      <c r="F674" t="s">
        <v>49</v>
      </c>
      <c r="G674" t="s">
        <v>1445</v>
      </c>
      <c r="H674" t="s">
        <v>1446</v>
      </c>
      <c r="J674" t="str">
        <f>HYPERLINK("https://www.facebook.com/634639855377280/posts/810720524435878?comment_id=933751171370124","https://www.facebook.com/634639855377280/posts/810720524435878?comment_id=933751171370124")</f>
        <v>https://www.facebook.com/634639855377280/posts/810720524435878?comment_id=933751171370124</v>
      </c>
      <c r="O674">
        <v>0</v>
      </c>
      <c r="P674">
        <v>0</v>
      </c>
      <c r="Q674">
        <v>0</v>
      </c>
      <c r="S674">
        <v>0</v>
      </c>
      <c r="T674">
        <v>0</v>
      </c>
      <c r="U674">
        <v>0</v>
      </c>
      <c r="W674" t="s">
        <v>52</v>
      </c>
    </row>
    <row r="675" spans="1:23" x14ac:dyDescent="0.35">
      <c r="A675" t="s">
        <v>45</v>
      </c>
      <c r="B675" t="s">
        <v>1425</v>
      </c>
      <c r="C675" t="s">
        <v>60</v>
      </c>
      <c r="D675" t="s">
        <v>64</v>
      </c>
      <c r="E675" t="s">
        <v>64</v>
      </c>
      <c r="F675" t="s">
        <v>49</v>
      </c>
      <c r="G675" t="s">
        <v>492</v>
      </c>
      <c r="H675" t="s">
        <v>1447</v>
      </c>
      <c r="J675" t="str">
        <f>HYPERLINK("https://www.facebook.com/634639855377280/posts/810720524435878?comment_id=1469597297327696&amp;reply_comment_id=773221204778744","https://www.facebook.com/634639855377280/posts/810720524435878?comment_id=1469597297327696&amp;reply_comment_id=773221204778744")</f>
        <v>https://www.facebook.com/634639855377280/posts/810720524435878?comment_id=1469597297327696&amp;reply_comment_id=773221204778744</v>
      </c>
      <c r="K675" t="s">
        <v>67</v>
      </c>
      <c r="O675">
        <v>0</v>
      </c>
      <c r="P675">
        <v>0</v>
      </c>
      <c r="Q675">
        <v>0</v>
      </c>
      <c r="S675">
        <v>0</v>
      </c>
      <c r="T675">
        <v>0</v>
      </c>
      <c r="U675">
        <v>0</v>
      </c>
      <c r="W675" t="s">
        <v>52</v>
      </c>
    </row>
    <row r="676" spans="1:23" x14ac:dyDescent="0.35">
      <c r="A676" t="s">
        <v>45</v>
      </c>
      <c r="B676" t="s">
        <v>1425</v>
      </c>
      <c r="C676" t="s">
        <v>60</v>
      </c>
      <c r="D676" t="s">
        <v>61</v>
      </c>
      <c r="E676" t="s">
        <v>61</v>
      </c>
      <c r="F676" t="s">
        <v>49</v>
      </c>
      <c r="G676" t="s">
        <v>1448</v>
      </c>
      <c r="H676" t="s">
        <v>1449</v>
      </c>
      <c r="J676" t="str">
        <f>HYPERLINK("https://www.facebook.com/634639855377280/posts/810720524435878?comment_id=1469597297327696","https://www.facebook.com/634639855377280/posts/810720524435878?comment_id=1469597297327696")</f>
        <v>https://www.facebook.com/634639855377280/posts/810720524435878?comment_id=1469597297327696</v>
      </c>
      <c r="O676">
        <v>0</v>
      </c>
      <c r="P676">
        <v>0</v>
      </c>
      <c r="Q676">
        <v>0</v>
      </c>
      <c r="S676">
        <v>0</v>
      </c>
      <c r="T676">
        <v>0</v>
      </c>
      <c r="U676">
        <v>0</v>
      </c>
      <c r="W676" t="s">
        <v>52</v>
      </c>
    </row>
    <row r="677" spans="1:23" x14ac:dyDescent="0.35">
      <c r="A677" t="s">
        <v>45</v>
      </c>
      <c r="B677" t="s">
        <v>1425</v>
      </c>
      <c r="C677" t="s">
        <v>93</v>
      </c>
      <c r="D677" t="s">
        <v>94</v>
      </c>
      <c r="E677" t="s">
        <v>45</v>
      </c>
      <c r="F677" t="s">
        <v>49</v>
      </c>
      <c r="G677" t="s">
        <v>1450</v>
      </c>
      <c r="H677" t="s">
        <v>1451</v>
      </c>
      <c r="J677" t="str">
        <f>HYPERLINK("https://twitter.com/SpiceMoneyIndia/status/1769671676302614569","https://twitter.com/SpiceMoneyIndia/status/1769671676302614569")</f>
        <v>https://twitter.com/SpiceMoneyIndia/status/1769671676302614569</v>
      </c>
      <c r="K677" t="s">
        <v>67</v>
      </c>
      <c r="O677">
        <v>0</v>
      </c>
      <c r="P677">
        <v>0</v>
      </c>
      <c r="Q677">
        <v>6075</v>
      </c>
      <c r="R677" t="s">
        <v>97</v>
      </c>
      <c r="S677">
        <v>0</v>
      </c>
      <c r="T677">
        <v>0</v>
      </c>
      <c r="U677">
        <v>0</v>
      </c>
      <c r="V677" t="s">
        <v>98</v>
      </c>
      <c r="W677" t="s">
        <v>99</v>
      </c>
    </row>
    <row r="678" spans="1:23" x14ac:dyDescent="0.35">
      <c r="A678" t="s">
        <v>45</v>
      </c>
      <c r="B678" t="s">
        <v>1425</v>
      </c>
      <c r="C678" t="s">
        <v>60</v>
      </c>
      <c r="D678" t="s">
        <v>64</v>
      </c>
      <c r="E678" t="s">
        <v>64</v>
      </c>
      <c r="F678" t="s">
        <v>49</v>
      </c>
      <c r="G678" t="s">
        <v>1452</v>
      </c>
      <c r="H678" t="s">
        <v>1453</v>
      </c>
      <c r="J678" t="str">
        <f>HYPERLINK("https://www.facebook.com/634639855377280/posts/810720524435878","https://www.facebook.com/634639855377280/posts/810720524435878")</f>
        <v>https://www.facebook.com/634639855377280/posts/810720524435878</v>
      </c>
      <c r="O678">
        <v>0</v>
      </c>
      <c r="P678">
        <v>0</v>
      </c>
      <c r="Q678">
        <v>0</v>
      </c>
      <c r="S678">
        <v>16</v>
      </c>
      <c r="T678">
        <v>81</v>
      </c>
      <c r="U678">
        <v>1</v>
      </c>
      <c r="W678" t="s">
        <v>346</v>
      </c>
    </row>
    <row r="679" spans="1:23" x14ac:dyDescent="0.35">
      <c r="A679" t="s">
        <v>45</v>
      </c>
      <c r="B679" t="s">
        <v>1425</v>
      </c>
      <c r="C679" t="s">
        <v>47</v>
      </c>
      <c r="D679" t="s">
        <v>45</v>
      </c>
      <c r="E679" t="s">
        <v>45</v>
      </c>
      <c r="F679" t="s">
        <v>49</v>
      </c>
      <c r="G679" t="s">
        <v>834</v>
      </c>
      <c r="H679" t="s">
        <v>1454</v>
      </c>
      <c r="J679" t="str">
        <f>HYPERLINK("https://www.youtube.com/watch?v=okUBvgplFPc","https://www.youtube.com/watch?v=okUBvgplFPc")</f>
        <v>https://www.youtube.com/watch?v=okUBvgplFPc</v>
      </c>
      <c r="O679">
        <v>0</v>
      </c>
      <c r="P679">
        <v>0</v>
      </c>
      <c r="Q679">
        <v>0</v>
      </c>
      <c r="S679">
        <v>0</v>
      </c>
      <c r="T679">
        <v>0</v>
      </c>
      <c r="U679">
        <v>0</v>
      </c>
      <c r="W679" t="s">
        <v>346</v>
      </c>
    </row>
    <row r="680" spans="1:23" x14ac:dyDescent="0.35">
      <c r="A680" t="s">
        <v>45</v>
      </c>
      <c r="B680" t="s">
        <v>1425</v>
      </c>
      <c r="C680" t="s">
        <v>47</v>
      </c>
      <c r="D680" t="s">
        <v>1455</v>
      </c>
      <c r="E680" t="s">
        <v>1455</v>
      </c>
      <c r="F680" t="s">
        <v>49</v>
      </c>
      <c r="G680" t="s">
        <v>1456</v>
      </c>
      <c r="H680" t="s">
        <v>1457</v>
      </c>
      <c r="J680" t="str">
        <f>HYPERLINK("https://www.youtube.com/watch?v=wJJ455CgzKg&amp;lc=UgxzvNWmExqBCiLB0kx4AaABAg","https://www.youtube.com/watch?v=wJJ455CgzKg&amp;lc=UgxzvNWmExqBCiLB0kx4AaABAg")</f>
        <v>https://www.youtube.com/watch?v=wJJ455CgzKg&amp;lc=UgxzvNWmExqBCiLB0kx4AaABAg</v>
      </c>
      <c r="O680">
        <v>0</v>
      </c>
      <c r="P680">
        <v>0</v>
      </c>
      <c r="Q680">
        <v>0</v>
      </c>
      <c r="S680">
        <v>0</v>
      </c>
      <c r="T680">
        <v>0</v>
      </c>
      <c r="U680">
        <v>0</v>
      </c>
      <c r="W680" t="s">
        <v>52</v>
      </c>
    </row>
    <row r="681" spans="1:23" x14ac:dyDescent="0.35">
      <c r="A681" t="s">
        <v>45</v>
      </c>
      <c r="B681" t="s">
        <v>1425</v>
      </c>
      <c r="C681" t="s">
        <v>93</v>
      </c>
      <c r="D681" t="s">
        <v>94</v>
      </c>
      <c r="E681" t="s">
        <v>45</v>
      </c>
      <c r="F681" t="s">
        <v>49</v>
      </c>
      <c r="G681" t="s">
        <v>1458</v>
      </c>
      <c r="H681" t="s">
        <v>1459</v>
      </c>
      <c r="J681" t="str">
        <f>HYPERLINK("https://twitter.com/SpiceMoneyIndia/status/1769606120824320371","https://twitter.com/SpiceMoneyIndia/status/1769606120824320371")</f>
        <v>https://twitter.com/SpiceMoneyIndia/status/1769606120824320371</v>
      </c>
      <c r="K681" t="s">
        <v>67</v>
      </c>
      <c r="O681">
        <v>0</v>
      </c>
      <c r="P681">
        <v>0</v>
      </c>
      <c r="Q681">
        <v>6075</v>
      </c>
      <c r="R681" t="s">
        <v>97</v>
      </c>
      <c r="S681">
        <v>0</v>
      </c>
      <c r="T681">
        <v>0</v>
      </c>
      <c r="U681">
        <v>0</v>
      </c>
      <c r="V681" t="s">
        <v>98</v>
      </c>
      <c r="W681" t="s">
        <v>99</v>
      </c>
    </row>
    <row r="682" spans="1:23" x14ac:dyDescent="0.35">
      <c r="A682" t="s">
        <v>45</v>
      </c>
      <c r="B682" t="s">
        <v>1425</v>
      </c>
      <c r="C682" t="s">
        <v>93</v>
      </c>
      <c r="D682" t="s">
        <v>1207</v>
      </c>
      <c r="E682" t="s">
        <v>1208</v>
      </c>
      <c r="F682" t="s">
        <v>49</v>
      </c>
      <c r="G682" t="s">
        <v>1460</v>
      </c>
      <c r="H682" t="s">
        <v>1461</v>
      </c>
      <c r="J682" t="str">
        <f>HYPERLINK("https://twitter.com/UP44100682/status/1769598876590419992","https://twitter.com/UP44100682/status/1769598876590419992")</f>
        <v>https://twitter.com/UP44100682/status/1769598876590419992</v>
      </c>
      <c r="K682" t="s">
        <v>67</v>
      </c>
      <c r="O682">
        <v>0</v>
      </c>
      <c r="P682">
        <v>0</v>
      </c>
      <c r="Q682">
        <v>162</v>
      </c>
      <c r="R682" t="s">
        <v>1211</v>
      </c>
      <c r="S682">
        <v>0</v>
      </c>
      <c r="T682">
        <v>0</v>
      </c>
      <c r="U682">
        <v>0</v>
      </c>
      <c r="W682" t="s">
        <v>99</v>
      </c>
    </row>
    <row r="683" spans="1:23" x14ac:dyDescent="0.35">
      <c r="A683" t="s">
        <v>45</v>
      </c>
      <c r="B683" t="s">
        <v>1425</v>
      </c>
      <c r="C683" t="s">
        <v>47</v>
      </c>
      <c r="D683" t="s">
        <v>1200</v>
      </c>
      <c r="E683" t="s">
        <v>1200</v>
      </c>
      <c r="F683" t="s">
        <v>49</v>
      </c>
      <c r="G683" t="s">
        <v>1462</v>
      </c>
      <c r="H683" t="s">
        <v>1463</v>
      </c>
      <c r="J683" t="str">
        <f>HYPERLINK("https://www.youtube.com/watch?v=nb_xUWudUco","https://www.youtube.com/watch?v=nb_xUWudUco")</f>
        <v>https://www.youtube.com/watch?v=nb_xUWudUco</v>
      </c>
      <c r="O683">
        <v>0</v>
      </c>
      <c r="P683">
        <v>0</v>
      </c>
      <c r="Q683">
        <v>0</v>
      </c>
      <c r="S683">
        <v>0</v>
      </c>
      <c r="T683">
        <v>0</v>
      </c>
      <c r="U683">
        <v>0</v>
      </c>
      <c r="W683" t="s">
        <v>346</v>
      </c>
    </row>
    <row r="684" spans="1:23" x14ac:dyDescent="0.35">
      <c r="A684" t="s">
        <v>45</v>
      </c>
      <c r="B684" t="s">
        <v>1425</v>
      </c>
      <c r="C684" t="s">
        <v>47</v>
      </c>
      <c r="D684" t="s">
        <v>1464</v>
      </c>
      <c r="E684" t="s">
        <v>1464</v>
      </c>
      <c r="F684" t="s">
        <v>49</v>
      </c>
      <c r="G684" t="s">
        <v>1465</v>
      </c>
      <c r="H684" t="s">
        <v>1466</v>
      </c>
      <c r="J684" t="str">
        <f>HYPERLINK("https://www.youtube.com/watch?v=Vk9kehZJdww&amp;lc=Ugw2zMb9aDl47_ktGrF4AaABAg","https://www.youtube.com/watch?v=Vk9kehZJdww&amp;lc=Ugw2zMb9aDl47_ktGrF4AaABAg")</f>
        <v>https://www.youtube.com/watch?v=Vk9kehZJdww&amp;lc=Ugw2zMb9aDl47_ktGrF4AaABAg</v>
      </c>
      <c r="O684">
        <v>0</v>
      </c>
      <c r="P684">
        <v>0</v>
      </c>
      <c r="Q684">
        <v>0</v>
      </c>
      <c r="S684">
        <v>0</v>
      </c>
      <c r="T684">
        <v>0</v>
      </c>
      <c r="U684">
        <v>0</v>
      </c>
      <c r="W684" t="s">
        <v>52</v>
      </c>
    </row>
    <row r="685" spans="1:23" x14ac:dyDescent="0.35">
      <c r="A685" t="s">
        <v>45</v>
      </c>
      <c r="B685" t="s">
        <v>1467</v>
      </c>
      <c r="C685" t="s">
        <v>60</v>
      </c>
      <c r="D685" t="s">
        <v>61</v>
      </c>
      <c r="E685" t="s">
        <v>61</v>
      </c>
      <c r="F685" t="s">
        <v>49</v>
      </c>
      <c r="G685" t="s">
        <v>1468</v>
      </c>
      <c r="H685" t="s">
        <v>1469</v>
      </c>
      <c r="J685" t="str">
        <f>HYPERLINK("https://www.facebook.com/634639855377280/posts/807074171467180?comment_id=2326345934223509","https://www.facebook.com/634639855377280/posts/807074171467180?comment_id=2326345934223509")</f>
        <v>https://www.facebook.com/634639855377280/posts/807074171467180?comment_id=2326345934223509</v>
      </c>
      <c r="O685">
        <v>0</v>
      </c>
      <c r="P685">
        <v>0</v>
      </c>
      <c r="Q685">
        <v>0</v>
      </c>
      <c r="S685">
        <v>0</v>
      </c>
      <c r="T685">
        <v>0</v>
      </c>
      <c r="U685">
        <v>0</v>
      </c>
      <c r="W685" t="s">
        <v>52</v>
      </c>
    </row>
    <row r="686" spans="1:23" x14ac:dyDescent="0.35">
      <c r="A686" t="s">
        <v>45</v>
      </c>
      <c r="B686" t="s">
        <v>1467</v>
      </c>
      <c r="C686" t="s">
        <v>60</v>
      </c>
      <c r="D686" t="s">
        <v>61</v>
      </c>
      <c r="E686" t="s">
        <v>61</v>
      </c>
      <c r="F686" t="s">
        <v>49</v>
      </c>
      <c r="G686" t="s">
        <v>1470</v>
      </c>
      <c r="H686" t="s">
        <v>1471</v>
      </c>
      <c r="J686" t="str">
        <f>HYPERLINK("https://www.facebook.com/634639855377280/posts/809482441226353?comment_id=1660309414785224","https://www.facebook.com/634639855377280/posts/809482441226353?comment_id=1660309414785224")</f>
        <v>https://www.facebook.com/634639855377280/posts/809482441226353?comment_id=1660309414785224</v>
      </c>
      <c r="O686">
        <v>0</v>
      </c>
      <c r="P686">
        <v>0</v>
      </c>
      <c r="Q686">
        <v>0</v>
      </c>
      <c r="S686">
        <v>0</v>
      </c>
      <c r="T686">
        <v>0</v>
      </c>
      <c r="U686">
        <v>0</v>
      </c>
      <c r="W686" t="s">
        <v>52</v>
      </c>
    </row>
    <row r="687" spans="1:23" x14ac:dyDescent="0.35">
      <c r="A687" t="s">
        <v>45</v>
      </c>
      <c r="B687" t="s">
        <v>1467</v>
      </c>
      <c r="C687" t="s">
        <v>60</v>
      </c>
      <c r="D687" t="s">
        <v>61</v>
      </c>
      <c r="E687" t="s">
        <v>61</v>
      </c>
      <c r="F687" t="s">
        <v>49</v>
      </c>
      <c r="G687" t="s">
        <v>1472</v>
      </c>
      <c r="H687" t="s">
        <v>1473</v>
      </c>
      <c r="J687" t="str">
        <f>HYPERLINK("https://www.facebook.com/634639855377280/posts/808827474625183?comment_id=3689430987971020","https://www.facebook.com/634639855377280/posts/808827474625183?comment_id=3689430987971020")</f>
        <v>https://www.facebook.com/634639855377280/posts/808827474625183?comment_id=3689430987971020</v>
      </c>
      <c r="O687">
        <v>0</v>
      </c>
      <c r="P687">
        <v>0</v>
      </c>
      <c r="Q687">
        <v>0</v>
      </c>
      <c r="S687">
        <v>0</v>
      </c>
      <c r="T687">
        <v>0</v>
      </c>
      <c r="U687">
        <v>0</v>
      </c>
      <c r="W687" t="s">
        <v>52</v>
      </c>
    </row>
    <row r="688" spans="1:23" x14ac:dyDescent="0.35">
      <c r="A688" t="s">
        <v>45</v>
      </c>
      <c r="B688" t="s">
        <v>1467</v>
      </c>
      <c r="C688" t="s">
        <v>60</v>
      </c>
      <c r="D688" t="s">
        <v>64</v>
      </c>
      <c r="E688" t="s">
        <v>64</v>
      </c>
      <c r="F688" t="s">
        <v>49</v>
      </c>
      <c r="G688" t="s">
        <v>380</v>
      </c>
      <c r="H688" t="s">
        <v>1474</v>
      </c>
      <c r="J688" t="str">
        <f>HYPERLINK("https://www.facebook.com/634639855377280/posts/807074171467180?comment_id=299352893178136&amp;reply_comment_id=934635304643595","https://www.facebook.com/634639855377280/posts/807074171467180?comment_id=299352893178136&amp;reply_comment_id=934635304643595")</f>
        <v>https://www.facebook.com/634639855377280/posts/807074171467180?comment_id=299352893178136&amp;reply_comment_id=934635304643595</v>
      </c>
      <c r="K688" t="s">
        <v>67</v>
      </c>
      <c r="O688">
        <v>0</v>
      </c>
      <c r="P688">
        <v>0</v>
      </c>
      <c r="Q688">
        <v>0</v>
      </c>
      <c r="S688">
        <v>0</v>
      </c>
      <c r="T688">
        <v>0</v>
      </c>
      <c r="U688">
        <v>0</v>
      </c>
      <c r="W688" t="s">
        <v>52</v>
      </c>
    </row>
    <row r="689" spans="1:23" x14ac:dyDescent="0.35">
      <c r="A689" t="s">
        <v>45</v>
      </c>
      <c r="B689" t="s">
        <v>1467</v>
      </c>
      <c r="C689" t="s">
        <v>93</v>
      </c>
      <c r="D689" t="s">
        <v>94</v>
      </c>
      <c r="E689" t="s">
        <v>45</v>
      </c>
      <c r="F689" t="s">
        <v>49</v>
      </c>
      <c r="G689" t="s">
        <v>1475</v>
      </c>
      <c r="H689" t="s">
        <v>1476</v>
      </c>
      <c r="J689" t="str">
        <f>HYPERLINK("https://twitter.com/SpiceMoneyIndia/status/1769329592773259675","https://twitter.com/SpiceMoneyIndia/status/1769329592773259675")</f>
        <v>https://twitter.com/SpiceMoneyIndia/status/1769329592773259675</v>
      </c>
      <c r="K689" t="s">
        <v>67</v>
      </c>
      <c r="O689">
        <v>0</v>
      </c>
      <c r="P689">
        <v>0</v>
      </c>
      <c r="Q689">
        <v>6073</v>
      </c>
      <c r="R689" t="s">
        <v>97</v>
      </c>
      <c r="S689">
        <v>0</v>
      </c>
      <c r="T689">
        <v>0</v>
      </c>
      <c r="U689">
        <v>0</v>
      </c>
      <c r="V689" t="s">
        <v>98</v>
      </c>
      <c r="W689" t="s">
        <v>99</v>
      </c>
    </row>
    <row r="690" spans="1:23" x14ac:dyDescent="0.35">
      <c r="A690" t="s">
        <v>45</v>
      </c>
      <c r="B690" t="s">
        <v>1467</v>
      </c>
      <c r="C690" t="s">
        <v>93</v>
      </c>
      <c r="D690" t="s">
        <v>94</v>
      </c>
      <c r="E690" t="s">
        <v>45</v>
      </c>
      <c r="F690" t="s">
        <v>49</v>
      </c>
      <c r="G690" t="s">
        <v>1243</v>
      </c>
      <c r="H690" t="s">
        <v>1477</v>
      </c>
      <c r="J690" t="str">
        <f>HYPERLINK("https://twitter.com/SpiceMoneyIndia/status/1769321099458654254","https://twitter.com/SpiceMoneyIndia/status/1769321099458654254")</f>
        <v>https://twitter.com/SpiceMoneyIndia/status/1769321099458654254</v>
      </c>
      <c r="K690" t="s">
        <v>67</v>
      </c>
      <c r="O690">
        <v>0</v>
      </c>
      <c r="P690">
        <v>0</v>
      </c>
      <c r="Q690">
        <v>6073</v>
      </c>
      <c r="R690" t="s">
        <v>97</v>
      </c>
      <c r="S690">
        <v>0</v>
      </c>
      <c r="T690">
        <v>0</v>
      </c>
      <c r="U690">
        <v>0</v>
      </c>
      <c r="V690" t="s">
        <v>98</v>
      </c>
      <c r="W690" t="s">
        <v>99</v>
      </c>
    </row>
    <row r="691" spans="1:23" x14ac:dyDescent="0.35">
      <c r="A691" t="s">
        <v>45</v>
      </c>
      <c r="B691" t="s">
        <v>1467</v>
      </c>
      <c r="C691" t="s">
        <v>60</v>
      </c>
      <c r="D691" t="s">
        <v>64</v>
      </c>
      <c r="E691" t="s">
        <v>64</v>
      </c>
      <c r="F691" t="s">
        <v>49</v>
      </c>
      <c r="G691" t="s">
        <v>1118</v>
      </c>
      <c r="H691" t="s">
        <v>1478</v>
      </c>
      <c r="J691" t="str">
        <f>HYPERLINK("https://www.facebook.com/634639855377280/posts/807074171467180?comment_id=371180732553016&amp;reply_comment_id=3539453916319380","https://www.facebook.com/634639855377280/posts/807074171467180?comment_id=371180732553016&amp;reply_comment_id=3539453916319380")</f>
        <v>https://www.facebook.com/634639855377280/posts/807074171467180?comment_id=371180732553016&amp;reply_comment_id=3539453916319380</v>
      </c>
      <c r="K691" t="s">
        <v>67</v>
      </c>
      <c r="O691">
        <v>0</v>
      </c>
      <c r="P691">
        <v>0</v>
      </c>
      <c r="Q691">
        <v>0</v>
      </c>
      <c r="S691">
        <v>0</v>
      </c>
      <c r="T691">
        <v>0</v>
      </c>
      <c r="U691">
        <v>0</v>
      </c>
      <c r="W691" t="s">
        <v>52</v>
      </c>
    </row>
    <row r="692" spans="1:23" x14ac:dyDescent="0.35">
      <c r="A692" t="s">
        <v>45</v>
      </c>
      <c r="B692" t="s">
        <v>1467</v>
      </c>
      <c r="C692" t="s">
        <v>93</v>
      </c>
      <c r="D692" t="s">
        <v>1479</v>
      </c>
      <c r="E692" t="s">
        <v>1480</v>
      </c>
      <c r="F692" t="s">
        <v>54</v>
      </c>
      <c r="G692" t="s">
        <v>1481</v>
      </c>
      <c r="H692" t="s">
        <v>1482</v>
      </c>
      <c r="J692" t="str">
        <f>HYPERLINK("https://twitter.com/ArunRj94484632/status/1769313311798243742","https://twitter.com/ArunRj94484632/status/1769313311798243742")</f>
        <v>https://twitter.com/ArunRj94484632/status/1769313311798243742</v>
      </c>
      <c r="K692" t="s">
        <v>67</v>
      </c>
      <c r="O692">
        <v>0</v>
      </c>
      <c r="P692">
        <v>0</v>
      </c>
      <c r="Q692">
        <v>18</v>
      </c>
      <c r="S692">
        <v>0</v>
      </c>
      <c r="T692">
        <v>0</v>
      </c>
      <c r="U692">
        <v>0</v>
      </c>
      <c r="W692" t="s">
        <v>99</v>
      </c>
    </row>
    <row r="693" spans="1:23" x14ac:dyDescent="0.35">
      <c r="A693" t="s">
        <v>45</v>
      </c>
      <c r="B693" t="s">
        <v>1467</v>
      </c>
      <c r="C693" t="s">
        <v>93</v>
      </c>
      <c r="D693" t="s">
        <v>94</v>
      </c>
      <c r="E693" t="s">
        <v>45</v>
      </c>
      <c r="F693" t="s">
        <v>49</v>
      </c>
      <c r="G693" t="s">
        <v>1483</v>
      </c>
      <c r="H693" t="s">
        <v>1484</v>
      </c>
      <c r="J693" t="str">
        <f>HYPERLINK("https://twitter.com/SpiceMoneyIndia/status/1769312109060305126","https://twitter.com/SpiceMoneyIndia/status/1769312109060305126")</f>
        <v>https://twitter.com/SpiceMoneyIndia/status/1769312109060305126</v>
      </c>
      <c r="K693" t="s">
        <v>67</v>
      </c>
      <c r="O693">
        <v>0</v>
      </c>
      <c r="P693">
        <v>0</v>
      </c>
      <c r="Q693">
        <v>6073</v>
      </c>
      <c r="R693" t="s">
        <v>97</v>
      </c>
      <c r="S693">
        <v>0</v>
      </c>
      <c r="T693">
        <v>0</v>
      </c>
      <c r="U693">
        <v>0</v>
      </c>
      <c r="V693" t="s">
        <v>98</v>
      </c>
      <c r="W693" t="s">
        <v>99</v>
      </c>
    </row>
    <row r="694" spans="1:23" x14ac:dyDescent="0.35">
      <c r="A694" t="s">
        <v>45</v>
      </c>
      <c r="B694" t="s">
        <v>1467</v>
      </c>
      <c r="C694" t="s">
        <v>60</v>
      </c>
      <c r="D694" t="s">
        <v>61</v>
      </c>
      <c r="E694" t="s">
        <v>61</v>
      </c>
      <c r="F694" t="s">
        <v>49</v>
      </c>
      <c r="G694" t="s">
        <v>1485</v>
      </c>
      <c r="H694" t="s">
        <v>1486</v>
      </c>
      <c r="J694" t="str">
        <f>HYPERLINK("https://www.facebook.com/634639855377280/posts/807074171467180?comment_id=299352893178136","https://www.facebook.com/634639855377280/posts/807074171467180?comment_id=299352893178136")</f>
        <v>https://www.facebook.com/634639855377280/posts/807074171467180?comment_id=299352893178136</v>
      </c>
      <c r="O694">
        <v>0</v>
      </c>
      <c r="P694">
        <v>0</v>
      </c>
      <c r="Q694">
        <v>0</v>
      </c>
      <c r="S694">
        <v>0</v>
      </c>
      <c r="T694">
        <v>0</v>
      </c>
      <c r="U694">
        <v>0</v>
      </c>
      <c r="W694" t="s">
        <v>52</v>
      </c>
    </row>
    <row r="695" spans="1:23" x14ac:dyDescent="0.35">
      <c r="A695" t="s">
        <v>45</v>
      </c>
      <c r="B695" t="s">
        <v>1467</v>
      </c>
      <c r="C695" t="s">
        <v>60</v>
      </c>
      <c r="D695" t="s">
        <v>64</v>
      </c>
      <c r="E695" t="s">
        <v>64</v>
      </c>
      <c r="F695" t="s">
        <v>49</v>
      </c>
      <c r="G695" t="s">
        <v>1276</v>
      </c>
      <c r="H695" t="s">
        <v>1487</v>
      </c>
      <c r="J695" t="str">
        <f>HYPERLINK("https://www.facebook.com/634639855377280/posts/807074171467180?comment_id=297387126499877&amp;reply_comment_id=379557081656071","https://www.facebook.com/634639855377280/posts/807074171467180?comment_id=297387126499877&amp;reply_comment_id=379557081656071")</f>
        <v>https://www.facebook.com/634639855377280/posts/807074171467180?comment_id=297387126499877&amp;reply_comment_id=379557081656071</v>
      </c>
      <c r="K695" t="s">
        <v>67</v>
      </c>
      <c r="O695">
        <v>0</v>
      </c>
      <c r="P695">
        <v>0</v>
      </c>
      <c r="Q695">
        <v>0</v>
      </c>
      <c r="S695">
        <v>0</v>
      </c>
      <c r="T695">
        <v>0</v>
      </c>
      <c r="U695">
        <v>0</v>
      </c>
      <c r="W695" t="s">
        <v>52</v>
      </c>
    </row>
    <row r="696" spans="1:23" x14ac:dyDescent="0.35">
      <c r="A696" t="s">
        <v>45</v>
      </c>
      <c r="B696" t="s">
        <v>1467</v>
      </c>
      <c r="C696" t="s">
        <v>93</v>
      </c>
      <c r="D696" t="s">
        <v>94</v>
      </c>
      <c r="E696" t="s">
        <v>45</v>
      </c>
      <c r="F696" t="s">
        <v>49</v>
      </c>
      <c r="G696" t="s">
        <v>1488</v>
      </c>
      <c r="H696" t="s">
        <v>1489</v>
      </c>
      <c r="J696" t="str">
        <f>HYPERLINK("https://twitter.com/SpiceMoneyIndia/status/1769307422609252569","https://twitter.com/SpiceMoneyIndia/status/1769307422609252569")</f>
        <v>https://twitter.com/SpiceMoneyIndia/status/1769307422609252569</v>
      </c>
      <c r="K696" t="s">
        <v>67</v>
      </c>
      <c r="O696">
        <v>0</v>
      </c>
      <c r="P696">
        <v>0</v>
      </c>
      <c r="Q696">
        <v>6073</v>
      </c>
      <c r="R696" t="s">
        <v>97</v>
      </c>
      <c r="S696">
        <v>0</v>
      </c>
      <c r="T696">
        <v>0</v>
      </c>
      <c r="U696">
        <v>0</v>
      </c>
      <c r="V696" t="s">
        <v>98</v>
      </c>
      <c r="W696" t="s">
        <v>99</v>
      </c>
    </row>
    <row r="697" spans="1:23" x14ac:dyDescent="0.35">
      <c r="A697" t="s">
        <v>45</v>
      </c>
      <c r="B697" t="s">
        <v>1467</v>
      </c>
      <c r="C697" t="s">
        <v>93</v>
      </c>
      <c r="D697" t="s">
        <v>94</v>
      </c>
      <c r="E697" t="s">
        <v>45</v>
      </c>
      <c r="F697" t="s">
        <v>49</v>
      </c>
      <c r="G697" t="s">
        <v>1490</v>
      </c>
      <c r="H697" t="s">
        <v>1491</v>
      </c>
      <c r="J697" t="str">
        <f>HYPERLINK("https://twitter.com/SpiceMoneyIndia/status/1769302314362212450","https://twitter.com/SpiceMoneyIndia/status/1769302314362212450")</f>
        <v>https://twitter.com/SpiceMoneyIndia/status/1769302314362212450</v>
      </c>
      <c r="K697" t="s">
        <v>67</v>
      </c>
      <c r="O697">
        <v>0</v>
      </c>
      <c r="P697">
        <v>0</v>
      </c>
      <c r="Q697">
        <v>6073</v>
      </c>
      <c r="R697" t="s">
        <v>97</v>
      </c>
      <c r="S697">
        <v>0</v>
      </c>
      <c r="T697">
        <v>0</v>
      </c>
      <c r="U697">
        <v>0</v>
      </c>
      <c r="V697" t="s">
        <v>98</v>
      </c>
      <c r="W697" t="s">
        <v>99</v>
      </c>
    </row>
    <row r="698" spans="1:23" x14ac:dyDescent="0.35">
      <c r="A698" t="s">
        <v>45</v>
      </c>
      <c r="B698" t="s">
        <v>1467</v>
      </c>
      <c r="C698" t="s">
        <v>93</v>
      </c>
      <c r="D698" t="s">
        <v>94</v>
      </c>
      <c r="E698" t="s">
        <v>45</v>
      </c>
      <c r="F698" t="s">
        <v>49</v>
      </c>
      <c r="G698" t="s">
        <v>1492</v>
      </c>
      <c r="H698" t="s">
        <v>1493</v>
      </c>
      <c r="J698" t="str">
        <f>HYPERLINK("https://twitter.com/SpiceMoneyIndia/status/1769300189699768784","https://twitter.com/SpiceMoneyIndia/status/1769300189699768784")</f>
        <v>https://twitter.com/SpiceMoneyIndia/status/1769300189699768784</v>
      </c>
      <c r="K698" t="s">
        <v>67</v>
      </c>
      <c r="O698">
        <v>0</v>
      </c>
      <c r="P698">
        <v>0</v>
      </c>
      <c r="Q698">
        <v>6073</v>
      </c>
      <c r="R698" t="s">
        <v>97</v>
      </c>
      <c r="S698">
        <v>0</v>
      </c>
      <c r="T698">
        <v>0</v>
      </c>
      <c r="U698">
        <v>0</v>
      </c>
      <c r="V698" t="s">
        <v>98</v>
      </c>
      <c r="W698" t="s">
        <v>99</v>
      </c>
    </row>
    <row r="699" spans="1:23" x14ac:dyDescent="0.35">
      <c r="A699" t="s">
        <v>45</v>
      </c>
      <c r="B699" t="s">
        <v>1467</v>
      </c>
      <c r="C699" t="s">
        <v>60</v>
      </c>
      <c r="D699" t="s">
        <v>64</v>
      </c>
      <c r="E699" t="s">
        <v>64</v>
      </c>
      <c r="F699" t="s">
        <v>49</v>
      </c>
      <c r="G699" t="s">
        <v>83</v>
      </c>
      <c r="H699" t="s">
        <v>1494</v>
      </c>
      <c r="J699" t="str">
        <f>HYPERLINK("https://www.facebook.com/634639855377280/posts/808827474625183?comment_id=7415406838519102&amp;reply_comment_id=1403760261025822","https://www.facebook.com/634639855377280/posts/808827474625183?comment_id=7415406838519102&amp;reply_comment_id=1403760261025822")</f>
        <v>https://www.facebook.com/634639855377280/posts/808827474625183?comment_id=7415406838519102&amp;reply_comment_id=1403760261025822</v>
      </c>
      <c r="K699" t="s">
        <v>67</v>
      </c>
      <c r="O699">
        <v>0</v>
      </c>
      <c r="P699">
        <v>0</v>
      </c>
      <c r="Q699">
        <v>0</v>
      </c>
      <c r="S699">
        <v>0</v>
      </c>
      <c r="T699">
        <v>0</v>
      </c>
      <c r="U699">
        <v>0</v>
      </c>
      <c r="W699" t="s">
        <v>52</v>
      </c>
    </row>
    <row r="700" spans="1:23" x14ac:dyDescent="0.35">
      <c r="A700" t="s">
        <v>45</v>
      </c>
      <c r="B700" t="s">
        <v>1467</v>
      </c>
      <c r="C700" t="s">
        <v>60</v>
      </c>
      <c r="D700" t="s">
        <v>64</v>
      </c>
      <c r="E700" t="s">
        <v>64</v>
      </c>
      <c r="F700" t="s">
        <v>49</v>
      </c>
      <c r="G700" t="s">
        <v>1495</v>
      </c>
      <c r="H700" t="s">
        <v>1496</v>
      </c>
      <c r="J700" t="str">
        <f>HYPERLINK("https://www.facebook.com/634639855377280/posts/808827474625183?comment_id=1504604770116009&amp;reply_comment_id=942829020655667","https://www.facebook.com/634639855377280/posts/808827474625183?comment_id=1504604770116009&amp;reply_comment_id=942829020655667")</f>
        <v>https://www.facebook.com/634639855377280/posts/808827474625183?comment_id=1504604770116009&amp;reply_comment_id=942829020655667</v>
      </c>
      <c r="K700" t="s">
        <v>67</v>
      </c>
      <c r="O700">
        <v>0</v>
      </c>
      <c r="P700">
        <v>0</v>
      </c>
      <c r="Q700">
        <v>0</v>
      </c>
      <c r="S700">
        <v>0</v>
      </c>
      <c r="T700">
        <v>0</v>
      </c>
      <c r="U700">
        <v>0</v>
      </c>
      <c r="W700" t="s">
        <v>52</v>
      </c>
    </row>
    <row r="701" spans="1:23" x14ac:dyDescent="0.35">
      <c r="A701" t="s">
        <v>45</v>
      </c>
      <c r="B701" t="s">
        <v>1467</v>
      </c>
      <c r="C701" t="s">
        <v>47</v>
      </c>
      <c r="D701" t="s">
        <v>68</v>
      </c>
      <c r="E701" t="s">
        <v>68</v>
      </c>
      <c r="F701" t="s">
        <v>49</v>
      </c>
      <c r="G701" t="s">
        <v>492</v>
      </c>
      <c r="H701" t="s">
        <v>1497</v>
      </c>
      <c r="J701" t="str">
        <f>HYPERLINK("https://www.youtube.com/watch?v=WrAL5FpRNIY&amp;lc=UgwDG6NXYDjfbr2XcHd4AaABAg.A1471jLqQd_A14XdWaFvqB","https://www.youtube.com/watch?v=WrAL5FpRNIY&amp;lc=UgwDG6NXYDjfbr2XcHd4AaABAg.A1471jLqQd_A14XdWaFvqB")</f>
        <v>https://www.youtube.com/watch?v=WrAL5FpRNIY&amp;lc=UgwDG6NXYDjfbr2XcHd4AaABAg.A1471jLqQd_A14XdWaFvqB</v>
      </c>
      <c r="O701">
        <v>0</v>
      </c>
      <c r="P701">
        <v>0</v>
      </c>
      <c r="Q701">
        <v>0</v>
      </c>
      <c r="S701">
        <v>0</v>
      </c>
      <c r="T701">
        <v>0</v>
      </c>
      <c r="U701">
        <v>0</v>
      </c>
      <c r="W701" t="s">
        <v>52</v>
      </c>
    </row>
    <row r="702" spans="1:23" x14ac:dyDescent="0.35">
      <c r="A702" t="s">
        <v>45</v>
      </c>
      <c r="B702" t="s">
        <v>1467</v>
      </c>
      <c r="C702" t="s">
        <v>47</v>
      </c>
      <c r="D702" t="s">
        <v>68</v>
      </c>
      <c r="E702" t="s">
        <v>68</v>
      </c>
      <c r="F702" t="s">
        <v>49</v>
      </c>
      <c r="G702" t="s">
        <v>102</v>
      </c>
      <c r="H702" t="s">
        <v>1498</v>
      </c>
      <c r="J702" t="str">
        <f>HYPERLINK("https://www.youtube.com/watch?v=mywlDWI77_k&amp;lc=UgzVk21_iiKGIojN_wR4AaABAg.A14Jbiy602TA14XJLP4_Nw","https://www.youtube.com/watch?v=mywlDWI77_k&amp;lc=UgzVk21_iiKGIojN_wR4AaABAg.A14Jbiy602TA14XJLP4_Nw")</f>
        <v>https://www.youtube.com/watch?v=mywlDWI77_k&amp;lc=UgzVk21_iiKGIojN_wR4AaABAg.A14Jbiy602TA14XJLP4_Nw</v>
      </c>
      <c r="O702">
        <v>0</v>
      </c>
      <c r="P702">
        <v>0</v>
      </c>
      <c r="Q702">
        <v>0</v>
      </c>
      <c r="S702">
        <v>0</v>
      </c>
      <c r="T702">
        <v>0</v>
      </c>
      <c r="U702">
        <v>0</v>
      </c>
      <c r="W702" t="s">
        <v>52</v>
      </c>
    </row>
    <row r="703" spans="1:23" x14ac:dyDescent="0.35">
      <c r="A703" t="s">
        <v>45</v>
      </c>
      <c r="B703" t="s">
        <v>1467</v>
      </c>
      <c r="C703" t="s">
        <v>60</v>
      </c>
      <c r="D703" t="s">
        <v>61</v>
      </c>
      <c r="E703" t="s">
        <v>61</v>
      </c>
      <c r="F703" t="s">
        <v>193</v>
      </c>
      <c r="G703" t="s">
        <v>1499</v>
      </c>
      <c r="H703" t="s">
        <v>1500</v>
      </c>
      <c r="J703" t="str">
        <f>HYPERLINK("https://www.facebook.com/634639855377280/posts/808827474625183?comment_id=7415406838519102","https://www.facebook.com/634639855377280/posts/808827474625183?comment_id=7415406838519102")</f>
        <v>https://www.facebook.com/634639855377280/posts/808827474625183?comment_id=7415406838519102</v>
      </c>
      <c r="O703">
        <v>0</v>
      </c>
      <c r="P703">
        <v>0</v>
      </c>
      <c r="Q703">
        <v>0</v>
      </c>
      <c r="S703">
        <v>0</v>
      </c>
      <c r="T703">
        <v>0</v>
      </c>
      <c r="U703">
        <v>0</v>
      </c>
      <c r="W703" t="s">
        <v>52</v>
      </c>
    </row>
    <row r="704" spans="1:23" x14ac:dyDescent="0.35">
      <c r="A704" t="s">
        <v>45</v>
      </c>
      <c r="B704" t="s">
        <v>1467</v>
      </c>
      <c r="C704" t="s">
        <v>60</v>
      </c>
      <c r="D704" t="s">
        <v>61</v>
      </c>
      <c r="E704" t="s">
        <v>61</v>
      </c>
      <c r="F704" t="s">
        <v>49</v>
      </c>
      <c r="G704" t="s">
        <v>1501</v>
      </c>
      <c r="H704" t="s">
        <v>1502</v>
      </c>
      <c r="J704" t="str">
        <f>HYPERLINK("https://www.facebook.com/634639855377280/posts/808827474625183?comment_id=1504604770116009&amp;reply_comment_id=1112048479931899","https://www.facebook.com/634639855377280/posts/808827474625183?comment_id=1504604770116009&amp;reply_comment_id=1112048479931899")</f>
        <v>https://www.facebook.com/634639855377280/posts/808827474625183?comment_id=1504604770116009&amp;reply_comment_id=1112048479931899</v>
      </c>
      <c r="O704">
        <v>0</v>
      </c>
      <c r="P704">
        <v>0</v>
      </c>
      <c r="Q704">
        <v>0</v>
      </c>
      <c r="S704">
        <v>0</v>
      </c>
      <c r="T704">
        <v>0</v>
      </c>
      <c r="U704">
        <v>0</v>
      </c>
      <c r="W704" t="s">
        <v>52</v>
      </c>
    </row>
    <row r="705" spans="1:23" x14ac:dyDescent="0.35">
      <c r="A705" t="s">
        <v>45</v>
      </c>
      <c r="B705" t="s">
        <v>1467</v>
      </c>
      <c r="C705" t="s">
        <v>93</v>
      </c>
      <c r="D705" t="s">
        <v>94</v>
      </c>
      <c r="E705" t="s">
        <v>45</v>
      </c>
      <c r="F705" t="s">
        <v>49</v>
      </c>
      <c r="G705" t="s">
        <v>1503</v>
      </c>
      <c r="H705" t="s">
        <v>1504</v>
      </c>
      <c r="J705" t="str">
        <f>HYPERLINK("https://twitter.com/SpiceMoneyIndia/status/1769264579610071055","https://twitter.com/SpiceMoneyIndia/status/1769264579610071055")</f>
        <v>https://twitter.com/SpiceMoneyIndia/status/1769264579610071055</v>
      </c>
      <c r="K705" t="s">
        <v>67</v>
      </c>
      <c r="O705">
        <v>0</v>
      </c>
      <c r="P705">
        <v>0</v>
      </c>
      <c r="Q705">
        <v>6072</v>
      </c>
      <c r="R705" t="s">
        <v>97</v>
      </c>
      <c r="S705">
        <v>0</v>
      </c>
      <c r="T705">
        <v>0</v>
      </c>
      <c r="U705">
        <v>0</v>
      </c>
      <c r="V705" t="s">
        <v>98</v>
      </c>
      <c r="W705" t="s">
        <v>99</v>
      </c>
    </row>
    <row r="706" spans="1:23" x14ac:dyDescent="0.35">
      <c r="A706" t="s">
        <v>45</v>
      </c>
      <c r="B706" t="s">
        <v>1467</v>
      </c>
      <c r="C706" t="s">
        <v>47</v>
      </c>
      <c r="D706" t="s">
        <v>1505</v>
      </c>
      <c r="E706" t="s">
        <v>1505</v>
      </c>
      <c r="F706" t="s">
        <v>49</v>
      </c>
      <c r="G706" t="s">
        <v>1506</v>
      </c>
      <c r="H706" t="s">
        <v>1507</v>
      </c>
      <c r="J706" t="str">
        <f>HYPERLINK("https://www.youtube.com/watch?v=mywlDWI77_k&amp;lc=UgzVk21_iiKGIojN_wR4AaABAg","https://www.youtube.com/watch?v=mywlDWI77_k&amp;lc=UgzVk21_iiKGIojN_wR4AaABAg")</f>
        <v>https://www.youtube.com/watch?v=mywlDWI77_k&amp;lc=UgzVk21_iiKGIojN_wR4AaABAg</v>
      </c>
      <c r="O706">
        <v>0</v>
      </c>
      <c r="P706">
        <v>0</v>
      </c>
      <c r="Q706">
        <v>0</v>
      </c>
      <c r="S706">
        <v>0</v>
      </c>
      <c r="T706">
        <v>0</v>
      </c>
      <c r="U706">
        <v>0</v>
      </c>
      <c r="W706" t="s">
        <v>52</v>
      </c>
    </row>
    <row r="707" spans="1:23" x14ac:dyDescent="0.35">
      <c r="A707" t="s">
        <v>45</v>
      </c>
      <c r="B707" t="s">
        <v>1467</v>
      </c>
      <c r="C707" t="s">
        <v>93</v>
      </c>
      <c r="D707" t="s">
        <v>1508</v>
      </c>
      <c r="E707" t="s">
        <v>1509</v>
      </c>
      <c r="F707" t="s">
        <v>193</v>
      </c>
      <c r="G707" t="s">
        <v>1510</v>
      </c>
      <c r="H707" t="s">
        <v>1511</v>
      </c>
      <c r="J707" t="str">
        <f>HYPERLINK("https://twitter.com/Kamlesh70896931/status/1769259050376499472","https://twitter.com/Kamlesh70896931/status/1769259050376499472")</f>
        <v>https://twitter.com/Kamlesh70896931/status/1769259050376499472</v>
      </c>
      <c r="K707" t="s">
        <v>67</v>
      </c>
      <c r="O707">
        <v>0</v>
      </c>
      <c r="P707">
        <v>0</v>
      </c>
      <c r="Q707">
        <v>0</v>
      </c>
      <c r="S707">
        <v>0</v>
      </c>
      <c r="T707">
        <v>0</v>
      </c>
      <c r="U707">
        <v>0</v>
      </c>
      <c r="W707" t="s">
        <v>99</v>
      </c>
    </row>
    <row r="708" spans="1:23" x14ac:dyDescent="0.35">
      <c r="A708" t="s">
        <v>45</v>
      </c>
      <c r="B708" t="s">
        <v>1467</v>
      </c>
      <c r="C708" t="s">
        <v>47</v>
      </c>
      <c r="D708" t="s">
        <v>1505</v>
      </c>
      <c r="E708" t="s">
        <v>1505</v>
      </c>
      <c r="F708" t="s">
        <v>49</v>
      </c>
      <c r="G708" t="s">
        <v>1512</v>
      </c>
      <c r="H708" t="s">
        <v>1513</v>
      </c>
      <c r="J708" t="str">
        <f>HYPERLINK("https://www.youtube.com/watch?v=mywlDWI77_k&amp;lc=UgweOo7RGG2ZZ01Qw_54AaABAg","https://www.youtube.com/watch?v=mywlDWI77_k&amp;lc=UgweOo7RGG2ZZ01Qw_54AaABAg")</f>
        <v>https://www.youtube.com/watch?v=mywlDWI77_k&amp;lc=UgweOo7RGG2ZZ01Qw_54AaABAg</v>
      </c>
      <c r="O708">
        <v>0</v>
      </c>
      <c r="P708">
        <v>0</v>
      </c>
      <c r="Q708">
        <v>0</v>
      </c>
      <c r="S708">
        <v>0</v>
      </c>
      <c r="T708">
        <v>0</v>
      </c>
      <c r="U708">
        <v>0</v>
      </c>
      <c r="W708" t="s">
        <v>52</v>
      </c>
    </row>
    <row r="709" spans="1:23" x14ac:dyDescent="0.35">
      <c r="A709" t="s">
        <v>45</v>
      </c>
      <c r="B709" t="s">
        <v>1467</v>
      </c>
      <c r="C709" t="s">
        <v>60</v>
      </c>
      <c r="D709" t="s">
        <v>64</v>
      </c>
      <c r="E709" t="s">
        <v>64</v>
      </c>
      <c r="F709" t="s">
        <v>49</v>
      </c>
      <c r="G709" t="s">
        <v>1514</v>
      </c>
      <c r="H709" t="s">
        <v>1515</v>
      </c>
      <c r="J709" t="str">
        <f>HYPERLINK("https://www.facebook.com/634639855377280/posts/807074171467180?comment_id=1116236236395206&amp;reply_comment_id=1109463470375003","https://www.facebook.com/634639855377280/posts/807074171467180?comment_id=1116236236395206&amp;reply_comment_id=1109463470375003")</f>
        <v>https://www.facebook.com/634639855377280/posts/807074171467180?comment_id=1116236236395206&amp;reply_comment_id=1109463470375003</v>
      </c>
      <c r="K709" t="s">
        <v>67</v>
      </c>
      <c r="O709">
        <v>0</v>
      </c>
      <c r="P709">
        <v>0</v>
      </c>
      <c r="Q709">
        <v>0</v>
      </c>
      <c r="S709">
        <v>0</v>
      </c>
      <c r="T709">
        <v>0</v>
      </c>
      <c r="U709">
        <v>0</v>
      </c>
      <c r="W709" t="s">
        <v>52</v>
      </c>
    </row>
    <row r="710" spans="1:23" x14ac:dyDescent="0.35">
      <c r="A710" t="s">
        <v>45</v>
      </c>
      <c r="B710" t="s">
        <v>1467</v>
      </c>
      <c r="C710" t="s">
        <v>60</v>
      </c>
      <c r="D710" t="s">
        <v>61</v>
      </c>
      <c r="E710" t="s">
        <v>61</v>
      </c>
      <c r="F710" t="s">
        <v>49</v>
      </c>
      <c r="G710" t="s">
        <v>1516</v>
      </c>
      <c r="H710" t="s">
        <v>1517</v>
      </c>
      <c r="J710" t="str">
        <f>HYPERLINK("https://www.facebook.com/634639855377280/posts/809482441226353?comment_id=1113620603097834","https://www.facebook.com/634639855377280/posts/809482441226353?comment_id=1113620603097834")</f>
        <v>https://www.facebook.com/634639855377280/posts/809482441226353?comment_id=1113620603097834</v>
      </c>
      <c r="O710">
        <v>0</v>
      </c>
      <c r="P710">
        <v>0</v>
      </c>
      <c r="Q710">
        <v>0</v>
      </c>
      <c r="S710">
        <v>0</v>
      </c>
      <c r="T710">
        <v>0</v>
      </c>
      <c r="U710">
        <v>0</v>
      </c>
      <c r="W710" t="s">
        <v>52</v>
      </c>
    </row>
    <row r="711" spans="1:23" x14ac:dyDescent="0.35">
      <c r="A711" t="s">
        <v>45</v>
      </c>
      <c r="B711" t="s">
        <v>1467</v>
      </c>
      <c r="C711" t="s">
        <v>60</v>
      </c>
      <c r="D711" t="s">
        <v>61</v>
      </c>
      <c r="E711" t="s">
        <v>61</v>
      </c>
      <c r="F711" t="s">
        <v>49</v>
      </c>
      <c r="G711" t="s">
        <v>1518</v>
      </c>
      <c r="H711" t="s">
        <v>1519</v>
      </c>
      <c r="J711" t="str">
        <f>HYPERLINK("https://www.facebook.com/634639855377280/posts/808827474625183?comment_id=913072470292527","https://www.facebook.com/634639855377280/posts/808827474625183?comment_id=913072470292527")</f>
        <v>https://www.facebook.com/634639855377280/posts/808827474625183?comment_id=913072470292527</v>
      </c>
      <c r="O711">
        <v>0</v>
      </c>
      <c r="P711">
        <v>0</v>
      </c>
      <c r="Q711">
        <v>0</v>
      </c>
      <c r="S711">
        <v>0</v>
      </c>
      <c r="T711">
        <v>0</v>
      </c>
      <c r="U711">
        <v>0</v>
      </c>
      <c r="W711" t="s">
        <v>52</v>
      </c>
    </row>
    <row r="712" spans="1:23" x14ac:dyDescent="0.35">
      <c r="A712" t="s">
        <v>45</v>
      </c>
      <c r="B712" t="s">
        <v>1467</v>
      </c>
      <c r="C712" t="s">
        <v>47</v>
      </c>
      <c r="D712" t="s">
        <v>1520</v>
      </c>
      <c r="E712" t="s">
        <v>1520</v>
      </c>
      <c r="F712" t="s">
        <v>49</v>
      </c>
      <c r="G712" t="s">
        <v>1521</v>
      </c>
      <c r="H712" t="s">
        <v>1522</v>
      </c>
      <c r="J712" t="str">
        <f>HYPERLINK("https://www.youtube.com/watch?v=WrAL5FpRNIY&amp;lc=UgwDG6NXYDjfbr2XcHd4AaABAg","https://www.youtube.com/watch?v=WrAL5FpRNIY&amp;lc=UgwDG6NXYDjfbr2XcHd4AaABAg")</f>
        <v>https://www.youtube.com/watch?v=WrAL5FpRNIY&amp;lc=UgwDG6NXYDjfbr2XcHd4AaABAg</v>
      </c>
      <c r="O712">
        <v>0</v>
      </c>
      <c r="P712">
        <v>0</v>
      </c>
      <c r="Q712">
        <v>0</v>
      </c>
      <c r="S712">
        <v>0</v>
      </c>
      <c r="T712">
        <v>0</v>
      </c>
      <c r="U712">
        <v>0</v>
      </c>
      <c r="W712" t="s">
        <v>52</v>
      </c>
    </row>
    <row r="713" spans="1:23" x14ac:dyDescent="0.35">
      <c r="A713" t="s">
        <v>45</v>
      </c>
      <c r="B713" t="s">
        <v>1467</v>
      </c>
      <c r="C713" t="s">
        <v>60</v>
      </c>
      <c r="D713" t="s">
        <v>64</v>
      </c>
      <c r="E713" t="s">
        <v>64</v>
      </c>
      <c r="F713" t="s">
        <v>49</v>
      </c>
      <c r="G713" t="s">
        <v>1212</v>
      </c>
      <c r="H713" t="s">
        <v>1523</v>
      </c>
      <c r="J713" t="str">
        <f>HYPERLINK("https://www.facebook.com/634639855377280/posts/808827474625183?comment_id=305719639195523&amp;reply_comment_id=379323648290698","https://www.facebook.com/634639855377280/posts/808827474625183?comment_id=305719639195523&amp;reply_comment_id=379323648290698")</f>
        <v>https://www.facebook.com/634639855377280/posts/808827474625183?comment_id=305719639195523&amp;reply_comment_id=379323648290698</v>
      </c>
      <c r="K713" t="s">
        <v>67</v>
      </c>
      <c r="O713">
        <v>0</v>
      </c>
      <c r="P713">
        <v>0</v>
      </c>
      <c r="Q713">
        <v>0</v>
      </c>
      <c r="S713">
        <v>0</v>
      </c>
      <c r="T713">
        <v>0</v>
      </c>
      <c r="U713">
        <v>0</v>
      </c>
      <c r="W713" t="s">
        <v>52</v>
      </c>
    </row>
    <row r="714" spans="1:23" x14ac:dyDescent="0.35">
      <c r="A714" t="s">
        <v>45</v>
      </c>
      <c r="B714" t="s">
        <v>1467</v>
      </c>
      <c r="C714" t="s">
        <v>93</v>
      </c>
      <c r="D714" t="s">
        <v>1524</v>
      </c>
      <c r="E714" t="s">
        <v>1525</v>
      </c>
      <c r="F714" t="s">
        <v>49</v>
      </c>
      <c r="G714" t="s">
        <v>1526</v>
      </c>
      <c r="H714" t="s">
        <v>1527</v>
      </c>
      <c r="J714" t="str">
        <f>HYPERLINK("https://twitter.com/tarikanowar786/status/1769220059204128794","https://twitter.com/tarikanowar786/status/1769220059204128794")</f>
        <v>https://twitter.com/tarikanowar786/status/1769220059204128794</v>
      </c>
      <c r="K714" t="s">
        <v>67</v>
      </c>
      <c r="O714">
        <v>0</v>
      </c>
      <c r="P714">
        <v>0</v>
      </c>
      <c r="Q714">
        <v>30</v>
      </c>
      <c r="R714" t="s">
        <v>1528</v>
      </c>
      <c r="S714">
        <v>0</v>
      </c>
      <c r="T714">
        <v>0</v>
      </c>
      <c r="U714">
        <v>0</v>
      </c>
      <c r="W714" t="s">
        <v>99</v>
      </c>
    </row>
    <row r="715" spans="1:23" x14ac:dyDescent="0.35">
      <c r="A715" t="s">
        <v>45</v>
      </c>
      <c r="B715" t="s">
        <v>1467</v>
      </c>
      <c r="C715" t="s">
        <v>93</v>
      </c>
      <c r="D715" t="s">
        <v>94</v>
      </c>
      <c r="E715" t="s">
        <v>45</v>
      </c>
      <c r="F715" t="s">
        <v>49</v>
      </c>
      <c r="G715" t="s">
        <v>1529</v>
      </c>
      <c r="H715" t="s">
        <v>1530</v>
      </c>
      <c r="J715" t="str">
        <f>HYPERLINK("https://twitter.com/SpiceMoneyIndia/status/1769216441440428139","https://twitter.com/SpiceMoneyIndia/status/1769216441440428139")</f>
        <v>https://twitter.com/SpiceMoneyIndia/status/1769216441440428139</v>
      </c>
      <c r="K715" t="s">
        <v>67</v>
      </c>
      <c r="O715">
        <v>0</v>
      </c>
      <c r="P715">
        <v>0</v>
      </c>
      <c r="Q715">
        <v>6072</v>
      </c>
      <c r="R715" t="s">
        <v>97</v>
      </c>
      <c r="S715">
        <v>0</v>
      </c>
      <c r="T715">
        <v>0</v>
      </c>
      <c r="U715">
        <v>0</v>
      </c>
      <c r="V715" t="s">
        <v>98</v>
      </c>
      <c r="W715" t="s">
        <v>99</v>
      </c>
    </row>
    <row r="716" spans="1:23" x14ac:dyDescent="0.35">
      <c r="A716" t="s">
        <v>45</v>
      </c>
      <c r="B716" t="s">
        <v>1467</v>
      </c>
      <c r="C716" t="s">
        <v>60</v>
      </c>
      <c r="D716" t="s">
        <v>64</v>
      </c>
      <c r="E716" t="s">
        <v>64</v>
      </c>
      <c r="F716" t="s">
        <v>49</v>
      </c>
      <c r="G716" t="s">
        <v>1531</v>
      </c>
      <c r="H716" t="s">
        <v>1532</v>
      </c>
      <c r="J716" t="str">
        <f>HYPERLINK("https://www.facebook.com/634639855377280/posts/809482441226353?comment_id=715783770755347&amp;reply_comment_id=949194309934688","https://www.facebook.com/634639855377280/posts/809482441226353?comment_id=715783770755347&amp;reply_comment_id=949194309934688")</f>
        <v>https://www.facebook.com/634639855377280/posts/809482441226353?comment_id=715783770755347&amp;reply_comment_id=949194309934688</v>
      </c>
      <c r="K716" t="s">
        <v>67</v>
      </c>
      <c r="O716">
        <v>0</v>
      </c>
      <c r="P716">
        <v>0</v>
      </c>
      <c r="Q716">
        <v>0</v>
      </c>
      <c r="S716">
        <v>0</v>
      </c>
      <c r="T716">
        <v>0</v>
      </c>
      <c r="U716">
        <v>0</v>
      </c>
      <c r="W716" t="s">
        <v>52</v>
      </c>
    </row>
    <row r="717" spans="1:23" x14ac:dyDescent="0.35">
      <c r="A717" t="s">
        <v>45</v>
      </c>
      <c r="B717" t="s">
        <v>1467</v>
      </c>
      <c r="C717" t="s">
        <v>93</v>
      </c>
      <c r="D717" t="s">
        <v>1524</v>
      </c>
      <c r="E717" t="s">
        <v>1525</v>
      </c>
      <c r="F717" t="s">
        <v>49</v>
      </c>
      <c r="G717" t="s">
        <v>1533</v>
      </c>
      <c r="H717" t="s">
        <v>1534</v>
      </c>
      <c r="J717" t="str">
        <f>HYPERLINK("https://twitter.com/tarikanowar786/status/1769209754650636774","https://twitter.com/tarikanowar786/status/1769209754650636774")</f>
        <v>https://twitter.com/tarikanowar786/status/1769209754650636774</v>
      </c>
      <c r="K717" t="s">
        <v>67</v>
      </c>
      <c r="O717">
        <v>0</v>
      </c>
      <c r="P717">
        <v>0</v>
      </c>
      <c r="Q717">
        <v>30</v>
      </c>
      <c r="R717" t="s">
        <v>1528</v>
      </c>
      <c r="S717">
        <v>0</v>
      </c>
      <c r="T717">
        <v>0</v>
      </c>
      <c r="U717">
        <v>0</v>
      </c>
      <c r="W717" t="s">
        <v>99</v>
      </c>
    </row>
    <row r="718" spans="1:23" x14ac:dyDescent="0.35">
      <c r="A718" t="s">
        <v>45</v>
      </c>
      <c r="B718" t="s">
        <v>1467</v>
      </c>
      <c r="C718" t="s">
        <v>93</v>
      </c>
      <c r="D718" t="s">
        <v>94</v>
      </c>
      <c r="E718" t="s">
        <v>45</v>
      </c>
      <c r="F718" t="s">
        <v>49</v>
      </c>
      <c r="G718" t="s">
        <v>1535</v>
      </c>
      <c r="H718" t="s">
        <v>1536</v>
      </c>
      <c r="J718" t="str">
        <f>HYPERLINK("https://twitter.com/SpiceMoneyIndia/status/1769205605028315422","https://twitter.com/SpiceMoneyIndia/status/1769205605028315422")</f>
        <v>https://twitter.com/SpiceMoneyIndia/status/1769205605028315422</v>
      </c>
      <c r="K718" t="s">
        <v>67</v>
      </c>
      <c r="O718">
        <v>0</v>
      </c>
      <c r="P718">
        <v>0</v>
      </c>
      <c r="Q718">
        <v>6072</v>
      </c>
      <c r="R718" t="s">
        <v>97</v>
      </c>
      <c r="S718">
        <v>0</v>
      </c>
      <c r="T718">
        <v>0</v>
      </c>
      <c r="U718">
        <v>0</v>
      </c>
      <c r="V718" t="s">
        <v>98</v>
      </c>
      <c r="W718" t="s">
        <v>99</v>
      </c>
    </row>
    <row r="719" spans="1:23" x14ac:dyDescent="0.35">
      <c r="A719" t="s">
        <v>45</v>
      </c>
      <c r="B719" t="s">
        <v>1467</v>
      </c>
      <c r="C719" t="s">
        <v>93</v>
      </c>
      <c r="D719" t="s">
        <v>94</v>
      </c>
      <c r="E719" t="s">
        <v>45</v>
      </c>
      <c r="F719" t="s">
        <v>49</v>
      </c>
      <c r="G719" t="s">
        <v>1537</v>
      </c>
      <c r="H719" t="s">
        <v>1538</v>
      </c>
      <c r="J719" t="str">
        <f>HYPERLINK("https://twitter.com/SpiceMoneyIndia/status/1769199959457271865","https://twitter.com/SpiceMoneyIndia/status/1769199959457271865")</f>
        <v>https://twitter.com/SpiceMoneyIndia/status/1769199959457271865</v>
      </c>
      <c r="K719" t="s">
        <v>67</v>
      </c>
      <c r="O719">
        <v>0</v>
      </c>
      <c r="P719">
        <v>0</v>
      </c>
      <c r="Q719">
        <v>6072</v>
      </c>
      <c r="R719" t="s">
        <v>97</v>
      </c>
      <c r="S719">
        <v>0</v>
      </c>
      <c r="T719">
        <v>0</v>
      </c>
      <c r="U719">
        <v>0</v>
      </c>
      <c r="V719" t="s">
        <v>98</v>
      </c>
      <c r="W719" t="s">
        <v>99</v>
      </c>
    </row>
    <row r="720" spans="1:23" x14ac:dyDescent="0.35">
      <c r="A720" t="s">
        <v>45</v>
      </c>
      <c r="B720" t="s">
        <v>1467</v>
      </c>
      <c r="C720" t="s">
        <v>93</v>
      </c>
      <c r="D720" t="s">
        <v>1539</v>
      </c>
      <c r="E720" t="s">
        <v>1540</v>
      </c>
      <c r="F720" t="s">
        <v>193</v>
      </c>
      <c r="G720" t="s">
        <v>1541</v>
      </c>
      <c r="H720" t="s">
        <v>1542</v>
      </c>
      <c r="J720" t="str">
        <f>HYPERLINK("https://twitter.com/karthik92/status/1769081295873696200","https://twitter.com/karthik92/status/1769081295873696200")</f>
        <v>https://twitter.com/karthik92/status/1769081295873696200</v>
      </c>
      <c r="O720">
        <v>0</v>
      </c>
      <c r="P720">
        <v>0</v>
      </c>
      <c r="Q720">
        <v>54</v>
      </c>
      <c r="R720" t="s">
        <v>1543</v>
      </c>
      <c r="S720">
        <v>0</v>
      </c>
      <c r="T720">
        <v>0</v>
      </c>
      <c r="U720">
        <v>0</v>
      </c>
      <c r="W720" t="s">
        <v>433</v>
      </c>
    </row>
    <row r="721" spans="1:23" x14ac:dyDescent="0.35">
      <c r="A721" t="s">
        <v>45</v>
      </c>
      <c r="B721" t="s">
        <v>1544</v>
      </c>
      <c r="C721" t="s">
        <v>60</v>
      </c>
      <c r="D721" t="s">
        <v>61</v>
      </c>
      <c r="E721" t="s">
        <v>61</v>
      </c>
      <c r="F721" t="s">
        <v>49</v>
      </c>
      <c r="G721" t="s">
        <v>1545</v>
      </c>
      <c r="H721" t="s">
        <v>1546</v>
      </c>
      <c r="J721" t="str">
        <f>HYPERLINK("https://www.facebook.com/634639855377280/posts/808827474625183?comment_id=931596775351498&amp;reply_comment_id=436126215619558","https://www.facebook.com/634639855377280/posts/808827474625183?comment_id=931596775351498&amp;reply_comment_id=436126215619558")</f>
        <v>https://www.facebook.com/634639855377280/posts/808827474625183?comment_id=931596775351498&amp;reply_comment_id=436126215619558</v>
      </c>
      <c r="O721">
        <v>0</v>
      </c>
      <c r="P721">
        <v>0</v>
      </c>
      <c r="Q721">
        <v>0</v>
      </c>
      <c r="S721">
        <v>0</v>
      </c>
      <c r="T721">
        <v>0</v>
      </c>
      <c r="U721">
        <v>0</v>
      </c>
      <c r="W721" t="s">
        <v>52</v>
      </c>
    </row>
    <row r="722" spans="1:23" x14ac:dyDescent="0.35">
      <c r="A722" t="s">
        <v>45</v>
      </c>
      <c r="B722" t="s">
        <v>1544</v>
      </c>
      <c r="C722" t="s">
        <v>60</v>
      </c>
      <c r="D722" t="s">
        <v>61</v>
      </c>
      <c r="E722" t="s">
        <v>61</v>
      </c>
      <c r="F722" t="s">
        <v>49</v>
      </c>
      <c r="G722" t="s">
        <v>1547</v>
      </c>
      <c r="H722" t="s">
        <v>1548</v>
      </c>
      <c r="J722" t="str">
        <f>HYPERLINK("https://www.facebook.com/634639855377280/posts/809482441226353?comment_id=715783770755347","https://www.facebook.com/634639855377280/posts/809482441226353?comment_id=715783770755347")</f>
        <v>https://www.facebook.com/634639855377280/posts/809482441226353?comment_id=715783770755347</v>
      </c>
      <c r="O722">
        <v>0</v>
      </c>
      <c r="P722">
        <v>0</v>
      </c>
      <c r="Q722">
        <v>0</v>
      </c>
      <c r="S722">
        <v>0</v>
      </c>
      <c r="T722">
        <v>0</v>
      </c>
      <c r="U722">
        <v>0</v>
      </c>
      <c r="W722" t="s">
        <v>52</v>
      </c>
    </row>
    <row r="723" spans="1:23" x14ac:dyDescent="0.35">
      <c r="A723" t="s">
        <v>45</v>
      </c>
      <c r="B723" t="s">
        <v>1544</v>
      </c>
      <c r="C723" t="s">
        <v>60</v>
      </c>
      <c r="D723" t="s">
        <v>61</v>
      </c>
      <c r="E723" t="s">
        <v>61</v>
      </c>
      <c r="F723" t="s">
        <v>49</v>
      </c>
      <c r="G723" t="s">
        <v>1549</v>
      </c>
      <c r="H723" t="s">
        <v>1550</v>
      </c>
      <c r="J723" t="str">
        <f>HYPERLINK("https://www.facebook.com/634639855377280/posts/809482441226353?comment_id=786335156750527","https://www.facebook.com/634639855377280/posts/809482441226353?comment_id=786335156750527")</f>
        <v>https://www.facebook.com/634639855377280/posts/809482441226353?comment_id=786335156750527</v>
      </c>
      <c r="O723">
        <v>0</v>
      </c>
      <c r="P723">
        <v>0</v>
      </c>
      <c r="Q723">
        <v>0</v>
      </c>
      <c r="S723">
        <v>0</v>
      </c>
      <c r="T723">
        <v>0</v>
      </c>
      <c r="U723">
        <v>0</v>
      </c>
      <c r="W723" t="s">
        <v>52</v>
      </c>
    </row>
    <row r="724" spans="1:23" x14ac:dyDescent="0.35">
      <c r="A724" t="s">
        <v>45</v>
      </c>
      <c r="B724" t="s">
        <v>1544</v>
      </c>
      <c r="C724" t="s">
        <v>93</v>
      </c>
      <c r="D724" t="s">
        <v>1524</v>
      </c>
      <c r="E724" t="s">
        <v>1525</v>
      </c>
      <c r="F724" t="s">
        <v>49</v>
      </c>
      <c r="G724" t="s">
        <v>1551</v>
      </c>
      <c r="H724" t="s">
        <v>1552</v>
      </c>
      <c r="J724" t="str">
        <f>HYPERLINK("https://twitter.com/tarikanowar786/status/1768983002556846419","https://twitter.com/tarikanowar786/status/1768983002556846419")</f>
        <v>https://twitter.com/tarikanowar786/status/1768983002556846419</v>
      </c>
      <c r="K724" t="s">
        <v>67</v>
      </c>
      <c r="O724">
        <v>0</v>
      </c>
      <c r="P724">
        <v>0</v>
      </c>
      <c r="Q724">
        <v>30</v>
      </c>
      <c r="R724" t="s">
        <v>1528</v>
      </c>
      <c r="S724">
        <v>0</v>
      </c>
      <c r="T724">
        <v>0</v>
      </c>
      <c r="U724">
        <v>0</v>
      </c>
      <c r="W724" t="s">
        <v>99</v>
      </c>
    </row>
    <row r="725" spans="1:23" x14ac:dyDescent="0.35">
      <c r="A725" t="s">
        <v>45</v>
      </c>
      <c r="B725" t="s">
        <v>1544</v>
      </c>
      <c r="C725" t="s">
        <v>93</v>
      </c>
      <c r="D725" t="s">
        <v>1259</v>
      </c>
      <c r="E725" t="s">
        <v>1260</v>
      </c>
      <c r="F725" t="s">
        <v>49</v>
      </c>
      <c r="G725" t="s">
        <v>1553</v>
      </c>
      <c r="H725" t="s">
        <v>1554</v>
      </c>
      <c r="J725" t="str">
        <f>HYPERLINK("https://twitter.com/sharwanlukkad/status/1768979522760954117","https://twitter.com/sharwanlukkad/status/1768979522760954117")</f>
        <v>https://twitter.com/sharwanlukkad/status/1768979522760954117</v>
      </c>
      <c r="O725">
        <v>0</v>
      </c>
      <c r="P725">
        <v>0</v>
      </c>
      <c r="Q725">
        <v>2</v>
      </c>
      <c r="S725">
        <v>0</v>
      </c>
      <c r="T725">
        <v>0</v>
      </c>
      <c r="U725">
        <v>0</v>
      </c>
      <c r="W725" t="s">
        <v>99</v>
      </c>
    </row>
    <row r="726" spans="1:23" x14ac:dyDescent="0.35">
      <c r="A726" t="s">
        <v>45</v>
      </c>
      <c r="B726" t="s">
        <v>1544</v>
      </c>
      <c r="C726" t="s">
        <v>93</v>
      </c>
      <c r="D726" t="s">
        <v>1555</v>
      </c>
      <c r="E726" t="s">
        <v>1556</v>
      </c>
      <c r="F726" t="s">
        <v>49</v>
      </c>
      <c r="G726" t="s">
        <v>1557</v>
      </c>
      <c r="H726" t="s">
        <v>1558</v>
      </c>
      <c r="J726" t="str">
        <f>HYPERLINK("https://twitter.com/JuniorThro52210/status/1768962666133852231","https://twitter.com/JuniorThro52210/status/1768962666133852231")</f>
        <v>https://twitter.com/JuniorThro52210/status/1768962666133852231</v>
      </c>
      <c r="O726">
        <v>0</v>
      </c>
      <c r="P726">
        <v>0</v>
      </c>
      <c r="Q726">
        <v>0</v>
      </c>
      <c r="S726">
        <v>0</v>
      </c>
      <c r="T726">
        <v>0</v>
      </c>
      <c r="U726">
        <v>0</v>
      </c>
      <c r="W726" t="s">
        <v>99</v>
      </c>
    </row>
    <row r="727" spans="1:23" x14ac:dyDescent="0.35">
      <c r="A727" t="s">
        <v>45</v>
      </c>
      <c r="B727" t="s">
        <v>1544</v>
      </c>
      <c r="C727" t="s">
        <v>93</v>
      </c>
      <c r="D727" t="s">
        <v>1559</v>
      </c>
      <c r="E727" t="s">
        <v>1560</v>
      </c>
      <c r="F727" t="s">
        <v>49</v>
      </c>
      <c r="G727" t="s">
        <v>1561</v>
      </c>
      <c r="H727" t="s">
        <v>1562</v>
      </c>
      <c r="J727" t="str">
        <f>HYPERLINK("https://twitter.com/BuyReveal21277/status/1768962658626105488","https://twitter.com/BuyReveal21277/status/1768962658626105488")</f>
        <v>https://twitter.com/BuyReveal21277/status/1768962658626105488</v>
      </c>
      <c r="O727">
        <v>0</v>
      </c>
      <c r="P727">
        <v>0</v>
      </c>
      <c r="Q727">
        <v>0</v>
      </c>
      <c r="S727">
        <v>0</v>
      </c>
      <c r="T727">
        <v>0</v>
      </c>
      <c r="U727">
        <v>0</v>
      </c>
      <c r="W727" t="s">
        <v>99</v>
      </c>
    </row>
    <row r="728" spans="1:23" x14ac:dyDescent="0.35">
      <c r="A728" t="s">
        <v>45</v>
      </c>
      <c r="B728" t="s">
        <v>1544</v>
      </c>
      <c r="C728" t="s">
        <v>93</v>
      </c>
      <c r="D728" t="s">
        <v>1563</v>
      </c>
      <c r="E728" t="s">
        <v>1564</v>
      </c>
      <c r="F728" t="s">
        <v>49</v>
      </c>
      <c r="G728" t="s">
        <v>1565</v>
      </c>
      <c r="H728" t="s">
        <v>1566</v>
      </c>
      <c r="J728" t="str">
        <f>HYPERLINK("https://twitter.com/FBreast56866/status/1768962655845245060","https://twitter.com/FBreast56866/status/1768962655845245060")</f>
        <v>https://twitter.com/FBreast56866/status/1768962655845245060</v>
      </c>
      <c r="O728">
        <v>0</v>
      </c>
      <c r="P728">
        <v>0</v>
      </c>
      <c r="Q728">
        <v>0</v>
      </c>
      <c r="S728">
        <v>0</v>
      </c>
      <c r="T728">
        <v>0</v>
      </c>
      <c r="U728">
        <v>0</v>
      </c>
      <c r="W728" t="s">
        <v>99</v>
      </c>
    </row>
    <row r="729" spans="1:23" x14ac:dyDescent="0.35">
      <c r="A729" t="s">
        <v>45</v>
      </c>
      <c r="B729" t="s">
        <v>1544</v>
      </c>
      <c r="C729" t="s">
        <v>93</v>
      </c>
      <c r="D729" t="s">
        <v>94</v>
      </c>
      <c r="E729" t="s">
        <v>45</v>
      </c>
      <c r="F729" t="s">
        <v>49</v>
      </c>
      <c r="G729" t="s">
        <v>1567</v>
      </c>
      <c r="H729" t="s">
        <v>1568</v>
      </c>
      <c r="J729" t="str">
        <f>HYPERLINK("https://twitter.com/SpiceMoneyIndia/status/1768961524750545171","https://twitter.com/SpiceMoneyIndia/status/1768961524750545171")</f>
        <v>https://twitter.com/SpiceMoneyIndia/status/1768961524750545171</v>
      </c>
      <c r="K729" t="s">
        <v>67</v>
      </c>
      <c r="O729">
        <v>0</v>
      </c>
      <c r="P729">
        <v>0</v>
      </c>
      <c r="Q729">
        <v>6073</v>
      </c>
      <c r="R729" t="s">
        <v>97</v>
      </c>
      <c r="S729">
        <v>0</v>
      </c>
      <c r="T729">
        <v>0</v>
      </c>
      <c r="U729">
        <v>0</v>
      </c>
      <c r="V729" t="s">
        <v>98</v>
      </c>
      <c r="W729" t="s">
        <v>99</v>
      </c>
    </row>
    <row r="730" spans="1:23" x14ac:dyDescent="0.35">
      <c r="A730" t="s">
        <v>45</v>
      </c>
      <c r="B730" t="s">
        <v>1544</v>
      </c>
      <c r="C730" t="s">
        <v>60</v>
      </c>
      <c r="D730" t="s">
        <v>61</v>
      </c>
      <c r="E730" t="s">
        <v>61</v>
      </c>
      <c r="F730" t="s">
        <v>54</v>
      </c>
      <c r="G730" t="s">
        <v>1569</v>
      </c>
      <c r="H730" t="s">
        <v>1570</v>
      </c>
      <c r="J730" t="str">
        <f>HYPERLINK("https://www.facebook.com/634639855377280/posts/809482441226353?comment_id=798157688866386","https://www.facebook.com/634639855377280/posts/809482441226353?comment_id=798157688866386")</f>
        <v>https://www.facebook.com/634639855377280/posts/809482441226353?comment_id=798157688866386</v>
      </c>
      <c r="O730">
        <v>0</v>
      </c>
      <c r="P730">
        <v>0</v>
      </c>
      <c r="Q730">
        <v>0</v>
      </c>
      <c r="S730">
        <v>0</v>
      </c>
      <c r="T730">
        <v>0</v>
      </c>
      <c r="U730">
        <v>0</v>
      </c>
      <c r="W730" t="s">
        <v>52</v>
      </c>
    </row>
    <row r="731" spans="1:23" x14ac:dyDescent="0.35">
      <c r="A731" t="s">
        <v>45</v>
      </c>
      <c r="B731" t="s">
        <v>1544</v>
      </c>
      <c r="C731" t="s">
        <v>60</v>
      </c>
      <c r="D731" t="s">
        <v>64</v>
      </c>
      <c r="E731" t="s">
        <v>64</v>
      </c>
      <c r="F731" t="s">
        <v>49</v>
      </c>
      <c r="G731" t="s">
        <v>380</v>
      </c>
      <c r="H731" t="s">
        <v>1571</v>
      </c>
      <c r="J731" t="str">
        <f>HYPERLINK("https://www.facebook.com/634639855377280/posts/808827474625183?comment_id=931596775351498&amp;reply_comment_id=959278338889229","https://www.facebook.com/634639855377280/posts/808827474625183?comment_id=931596775351498&amp;reply_comment_id=959278338889229")</f>
        <v>https://www.facebook.com/634639855377280/posts/808827474625183?comment_id=931596775351498&amp;reply_comment_id=959278338889229</v>
      </c>
      <c r="K731" t="s">
        <v>67</v>
      </c>
      <c r="O731">
        <v>0</v>
      </c>
      <c r="P731">
        <v>0</v>
      </c>
      <c r="Q731">
        <v>0</v>
      </c>
      <c r="S731">
        <v>0</v>
      </c>
      <c r="T731">
        <v>0</v>
      </c>
      <c r="U731">
        <v>0</v>
      </c>
      <c r="W731" t="s">
        <v>52</v>
      </c>
    </row>
    <row r="732" spans="1:23" x14ac:dyDescent="0.35">
      <c r="A732" t="s">
        <v>45</v>
      </c>
      <c r="B732" t="s">
        <v>1544</v>
      </c>
      <c r="C732" t="s">
        <v>60</v>
      </c>
      <c r="D732" t="s">
        <v>64</v>
      </c>
      <c r="E732" t="s">
        <v>64</v>
      </c>
      <c r="F732" t="s">
        <v>49</v>
      </c>
      <c r="G732" t="s">
        <v>83</v>
      </c>
      <c r="H732" t="s">
        <v>1572</v>
      </c>
      <c r="J732" t="str">
        <f>HYPERLINK("https://www.facebook.com/634639855377280/posts/808827474625183?comment_id=1796282544217529&amp;reply_comment_id=426659663179468","https://www.facebook.com/634639855377280/posts/808827474625183?comment_id=1796282544217529&amp;reply_comment_id=426659663179468")</f>
        <v>https://www.facebook.com/634639855377280/posts/808827474625183?comment_id=1796282544217529&amp;reply_comment_id=426659663179468</v>
      </c>
      <c r="K732" t="s">
        <v>67</v>
      </c>
      <c r="O732">
        <v>0</v>
      </c>
      <c r="P732">
        <v>0</v>
      </c>
      <c r="Q732">
        <v>0</v>
      </c>
      <c r="S732">
        <v>0</v>
      </c>
      <c r="T732">
        <v>0</v>
      </c>
      <c r="U732">
        <v>0</v>
      </c>
      <c r="W732" t="s">
        <v>52</v>
      </c>
    </row>
    <row r="733" spans="1:23" x14ac:dyDescent="0.35">
      <c r="A733" t="s">
        <v>45</v>
      </c>
      <c r="B733" t="s">
        <v>1544</v>
      </c>
      <c r="C733" t="s">
        <v>93</v>
      </c>
      <c r="D733" t="s">
        <v>1508</v>
      </c>
      <c r="E733" t="s">
        <v>1509</v>
      </c>
      <c r="F733" t="s">
        <v>54</v>
      </c>
      <c r="G733" t="s">
        <v>1573</v>
      </c>
      <c r="H733" t="s">
        <v>1574</v>
      </c>
      <c r="J733" t="str">
        <f>HYPERLINK("https://twitter.com/Kamlesh70896931/status/1768953731385786806","https://twitter.com/Kamlesh70896931/status/1768953731385786806")</f>
        <v>https://twitter.com/Kamlesh70896931/status/1768953731385786806</v>
      </c>
      <c r="K733" t="s">
        <v>67</v>
      </c>
      <c r="O733">
        <v>0</v>
      </c>
      <c r="P733">
        <v>0</v>
      </c>
      <c r="Q733">
        <v>0</v>
      </c>
      <c r="S733">
        <v>0</v>
      </c>
      <c r="T733">
        <v>0</v>
      </c>
      <c r="U733">
        <v>0</v>
      </c>
      <c r="W733" t="s">
        <v>99</v>
      </c>
    </row>
    <row r="734" spans="1:23" x14ac:dyDescent="0.35">
      <c r="A734" t="s">
        <v>45</v>
      </c>
      <c r="B734" t="s">
        <v>1544</v>
      </c>
      <c r="C734" t="s">
        <v>60</v>
      </c>
      <c r="D734" t="s">
        <v>64</v>
      </c>
      <c r="E734" t="s">
        <v>64</v>
      </c>
      <c r="F734" t="s">
        <v>49</v>
      </c>
      <c r="G734" t="s">
        <v>1575</v>
      </c>
      <c r="H734" t="s">
        <v>1576</v>
      </c>
      <c r="J734" t="str">
        <f>HYPERLINK("https://www.facebook.com/634639855377280/posts/809482441226353","https://www.facebook.com/634639855377280/posts/809482441226353")</f>
        <v>https://www.facebook.com/634639855377280/posts/809482441226353</v>
      </c>
      <c r="O734">
        <v>0</v>
      </c>
      <c r="P734">
        <v>0</v>
      </c>
      <c r="Q734">
        <v>0</v>
      </c>
      <c r="S734">
        <v>6</v>
      </c>
      <c r="T734">
        <v>35</v>
      </c>
      <c r="U734">
        <v>2</v>
      </c>
      <c r="W734" t="s">
        <v>346</v>
      </c>
    </row>
    <row r="735" spans="1:23" x14ac:dyDescent="0.35">
      <c r="A735" t="s">
        <v>45</v>
      </c>
      <c r="B735" t="s">
        <v>1544</v>
      </c>
      <c r="C735" t="s">
        <v>93</v>
      </c>
      <c r="D735" t="s">
        <v>94</v>
      </c>
      <c r="E735" t="s">
        <v>45</v>
      </c>
      <c r="F735" t="s">
        <v>49</v>
      </c>
      <c r="G735" t="s">
        <v>1577</v>
      </c>
      <c r="H735" t="s">
        <v>1578</v>
      </c>
      <c r="J735" t="str">
        <f>HYPERLINK("https://twitter.com/SpiceMoneyIndia/status/1768926276771852543","https://twitter.com/SpiceMoneyIndia/status/1768926276771852543")</f>
        <v>https://twitter.com/SpiceMoneyIndia/status/1768926276771852543</v>
      </c>
      <c r="K735" t="s">
        <v>67</v>
      </c>
      <c r="O735">
        <v>0</v>
      </c>
      <c r="P735">
        <v>0</v>
      </c>
      <c r="Q735">
        <v>6072</v>
      </c>
      <c r="R735" t="s">
        <v>97</v>
      </c>
      <c r="S735">
        <v>0</v>
      </c>
      <c r="T735">
        <v>0</v>
      </c>
      <c r="U735">
        <v>0</v>
      </c>
      <c r="V735" t="s">
        <v>98</v>
      </c>
      <c r="W735" t="s">
        <v>99</v>
      </c>
    </row>
    <row r="736" spans="1:23" x14ac:dyDescent="0.35">
      <c r="A736" t="s">
        <v>45</v>
      </c>
      <c r="B736" t="s">
        <v>1544</v>
      </c>
      <c r="C736" t="s">
        <v>60</v>
      </c>
      <c r="D736" t="s">
        <v>61</v>
      </c>
      <c r="E736" t="s">
        <v>61</v>
      </c>
      <c r="F736" t="s">
        <v>49</v>
      </c>
      <c r="G736" t="s">
        <v>1579</v>
      </c>
      <c r="H736" t="s">
        <v>1580</v>
      </c>
      <c r="J736" t="str">
        <f>HYPERLINK("https://www.facebook.com/634639855377280/posts/808827474625183?comment_id=1796282544217529","https://www.facebook.com/634639855377280/posts/808827474625183?comment_id=1796282544217529")</f>
        <v>https://www.facebook.com/634639855377280/posts/808827474625183?comment_id=1796282544217529</v>
      </c>
      <c r="O736">
        <v>0</v>
      </c>
      <c r="P736">
        <v>0</v>
      </c>
      <c r="Q736">
        <v>0</v>
      </c>
      <c r="S736">
        <v>0</v>
      </c>
      <c r="T736">
        <v>0</v>
      </c>
      <c r="U736">
        <v>0</v>
      </c>
      <c r="W736" t="s">
        <v>52</v>
      </c>
    </row>
    <row r="737" spans="1:23" x14ac:dyDescent="0.35">
      <c r="A737" t="s">
        <v>45</v>
      </c>
      <c r="B737" t="s">
        <v>1544</v>
      </c>
      <c r="C737" t="s">
        <v>60</v>
      </c>
      <c r="D737" t="s">
        <v>64</v>
      </c>
      <c r="E737" t="s">
        <v>64</v>
      </c>
      <c r="F737" t="s">
        <v>49</v>
      </c>
      <c r="G737" t="s">
        <v>83</v>
      </c>
      <c r="H737" t="s">
        <v>1581</v>
      </c>
      <c r="J737" t="str">
        <f>HYPERLINK("https://www.facebook.com/634639855377280/posts/808827474625183?comment_id=1504604770116009&amp;reply_comment_id=1462529771366894","https://www.facebook.com/634639855377280/posts/808827474625183?comment_id=1504604770116009&amp;reply_comment_id=1462529771366894")</f>
        <v>https://www.facebook.com/634639855377280/posts/808827474625183?comment_id=1504604770116009&amp;reply_comment_id=1462529771366894</v>
      </c>
      <c r="K737" t="s">
        <v>67</v>
      </c>
      <c r="O737">
        <v>0</v>
      </c>
      <c r="P737">
        <v>0</v>
      </c>
      <c r="Q737">
        <v>0</v>
      </c>
      <c r="S737">
        <v>0</v>
      </c>
      <c r="T737">
        <v>0</v>
      </c>
      <c r="U737">
        <v>0</v>
      </c>
      <c r="W737" t="s">
        <v>52</v>
      </c>
    </row>
    <row r="738" spans="1:23" x14ac:dyDescent="0.35">
      <c r="A738" t="s">
        <v>45</v>
      </c>
      <c r="B738" t="s">
        <v>1544</v>
      </c>
      <c r="C738" t="s">
        <v>60</v>
      </c>
      <c r="D738" t="s">
        <v>64</v>
      </c>
      <c r="E738" t="s">
        <v>64</v>
      </c>
      <c r="F738" t="s">
        <v>49</v>
      </c>
      <c r="G738" t="s">
        <v>1582</v>
      </c>
      <c r="H738" t="s">
        <v>1583</v>
      </c>
      <c r="J738" t="str">
        <f>HYPERLINK("https://www.facebook.com/634639855377280/posts/806532724854658?comment_id=280928425040781&amp;reply_comment_id=3639300786336520","https://www.facebook.com/634639855377280/posts/806532724854658?comment_id=280928425040781&amp;reply_comment_id=3639300786336520")</f>
        <v>https://www.facebook.com/634639855377280/posts/806532724854658?comment_id=280928425040781&amp;reply_comment_id=3639300786336520</v>
      </c>
      <c r="K738" t="s">
        <v>67</v>
      </c>
      <c r="O738">
        <v>0</v>
      </c>
      <c r="P738">
        <v>0</v>
      </c>
      <c r="Q738">
        <v>0</v>
      </c>
      <c r="S738">
        <v>0</v>
      </c>
      <c r="T738">
        <v>0</v>
      </c>
      <c r="U738">
        <v>0</v>
      </c>
      <c r="W738" t="s">
        <v>52</v>
      </c>
    </row>
    <row r="739" spans="1:23" x14ac:dyDescent="0.35">
      <c r="A739" t="s">
        <v>45</v>
      </c>
      <c r="B739" t="s">
        <v>1544</v>
      </c>
      <c r="C739" t="s">
        <v>60</v>
      </c>
      <c r="D739" t="s">
        <v>64</v>
      </c>
      <c r="E739" t="s">
        <v>64</v>
      </c>
      <c r="F739" t="s">
        <v>49</v>
      </c>
      <c r="G739" t="s">
        <v>100</v>
      </c>
      <c r="H739" t="s">
        <v>1584</v>
      </c>
      <c r="J739" t="str">
        <f>HYPERLINK("https://www.facebook.com/634639855377280/posts/806532724854658?comment_id=1231028378255774&amp;reply_comment_id=427183903005206","https://www.facebook.com/634639855377280/posts/806532724854658?comment_id=1231028378255774&amp;reply_comment_id=427183903005206")</f>
        <v>https://www.facebook.com/634639855377280/posts/806532724854658?comment_id=1231028378255774&amp;reply_comment_id=427183903005206</v>
      </c>
      <c r="K739" t="s">
        <v>67</v>
      </c>
      <c r="O739">
        <v>0</v>
      </c>
      <c r="P739">
        <v>0</v>
      </c>
      <c r="Q739">
        <v>0</v>
      </c>
      <c r="S739">
        <v>0</v>
      </c>
      <c r="T739">
        <v>0</v>
      </c>
      <c r="U739">
        <v>0</v>
      </c>
      <c r="W739" t="s">
        <v>52</v>
      </c>
    </row>
    <row r="740" spans="1:23" x14ac:dyDescent="0.35">
      <c r="A740" t="s">
        <v>45</v>
      </c>
      <c r="B740" t="s">
        <v>1544</v>
      </c>
      <c r="C740" t="s">
        <v>60</v>
      </c>
      <c r="D740" t="s">
        <v>64</v>
      </c>
      <c r="E740" t="s">
        <v>64</v>
      </c>
      <c r="F740" t="s">
        <v>49</v>
      </c>
      <c r="G740" t="s">
        <v>280</v>
      </c>
      <c r="H740" t="s">
        <v>1585</v>
      </c>
      <c r="J740" t="str">
        <f>HYPERLINK("https://www.facebook.com/634639855377280/posts/806532724854658?comment_id=945099800735862&amp;reply_comment_id=955117116049742","https://www.facebook.com/634639855377280/posts/806532724854658?comment_id=945099800735862&amp;reply_comment_id=955117116049742")</f>
        <v>https://www.facebook.com/634639855377280/posts/806532724854658?comment_id=945099800735862&amp;reply_comment_id=955117116049742</v>
      </c>
      <c r="K740" t="s">
        <v>67</v>
      </c>
      <c r="O740">
        <v>0</v>
      </c>
      <c r="P740">
        <v>0</v>
      </c>
      <c r="Q740">
        <v>0</v>
      </c>
      <c r="S740">
        <v>0</v>
      </c>
      <c r="T740">
        <v>0</v>
      </c>
      <c r="U740">
        <v>0</v>
      </c>
      <c r="W740" t="s">
        <v>52</v>
      </c>
    </row>
    <row r="741" spans="1:23" x14ac:dyDescent="0.35">
      <c r="A741" t="s">
        <v>45</v>
      </c>
      <c r="B741" t="s">
        <v>1544</v>
      </c>
      <c r="C741" t="s">
        <v>60</v>
      </c>
      <c r="D741" t="s">
        <v>61</v>
      </c>
      <c r="E741" t="s">
        <v>61</v>
      </c>
      <c r="F741" t="s">
        <v>49</v>
      </c>
      <c r="G741" t="s">
        <v>1586</v>
      </c>
      <c r="H741" t="s">
        <v>1587</v>
      </c>
      <c r="J741" t="str">
        <f>HYPERLINK("https://www.facebook.com/634639855377280/posts/808827474625183?comment_id=1504604770116009","https://www.facebook.com/634639855377280/posts/808827474625183?comment_id=1504604770116009")</f>
        <v>https://www.facebook.com/634639855377280/posts/808827474625183?comment_id=1504604770116009</v>
      </c>
      <c r="O741">
        <v>0</v>
      </c>
      <c r="P741">
        <v>0</v>
      </c>
      <c r="Q741">
        <v>0</v>
      </c>
      <c r="S741">
        <v>0</v>
      </c>
      <c r="T741">
        <v>0</v>
      </c>
      <c r="U741">
        <v>0</v>
      </c>
      <c r="W741" t="s">
        <v>52</v>
      </c>
    </row>
    <row r="742" spans="1:23" x14ac:dyDescent="0.35">
      <c r="A742" t="s">
        <v>45</v>
      </c>
      <c r="B742" t="s">
        <v>1544</v>
      </c>
      <c r="C742" t="s">
        <v>60</v>
      </c>
      <c r="D742" t="s">
        <v>61</v>
      </c>
      <c r="E742" t="s">
        <v>61</v>
      </c>
      <c r="F742" t="s">
        <v>49</v>
      </c>
      <c r="G742">
        <v>9893667777</v>
      </c>
      <c r="H742" t="s">
        <v>1588</v>
      </c>
      <c r="J742" t="str">
        <f>HYPERLINK("https://www.facebook.com/634639855377280/posts/806532724854658?comment_id=280928425040781&amp;reply_comment_id=1738284383332781","https://www.facebook.com/634639855377280/posts/806532724854658?comment_id=280928425040781&amp;reply_comment_id=1738284383332781")</f>
        <v>https://www.facebook.com/634639855377280/posts/806532724854658?comment_id=280928425040781&amp;reply_comment_id=1738284383332781</v>
      </c>
      <c r="O742">
        <v>0</v>
      </c>
      <c r="P742">
        <v>0</v>
      </c>
      <c r="Q742">
        <v>0</v>
      </c>
      <c r="S742">
        <v>0</v>
      </c>
      <c r="T742">
        <v>0</v>
      </c>
      <c r="U742">
        <v>0</v>
      </c>
      <c r="W742" t="s">
        <v>52</v>
      </c>
    </row>
    <row r="743" spans="1:23" x14ac:dyDescent="0.35">
      <c r="A743" t="s">
        <v>45</v>
      </c>
      <c r="B743" t="s">
        <v>1544</v>
      </c>
      <c r="C743" t="s">
        <v>60</v>
      </c>
      <c r="D743" t="s">
        <v>61</v>
      </c>
      <c r="E743" t="s">
        <v>61</v>
      </c>
      <c r="F743" t="s">
        <v>49</v>
      </c>
      <c r="G743" t="s">
        <v>1589</v>
      </c>
      <c r="H743" t="s">
        <v>1590</v>
      </c>
      <c r="J743" t="str">
        <f>HYPERLINK("https://www.facebook.com/634639855377280/posts/806532724854658?comment_id=280928425040781","https://www.facebook.com/634639855377280/posts/806532724854658?comment_id=280928425040781")</f>
        <v>https://www.facebook.com/634639855377280/posts/806532724854658?comment_id=280928425040781</v>
      </c>
      <c r="O743">
        <v>0</v>
      </c>
      <c r="P743">
        <v>0</v>
      </c>
      <c r="Q743">
        <v>0</v>
      </c>
      <c r="S743">
        <v>0</v>
      </c>
      <c r="T743">
        <v>0</v>
      </c>
      <c r="U743">
        <v>0</v>
      </c>
      <c r="W743" t="s">
        <v>52</v>
      </c>
    </row>
    <row r="744" spans="1:23" x14ac:dyDescent="0.35">
      <c r="A744" t="s">
        <v>45</v>
      </c>
      <c r="B744" t="s">
        <v>1544</v>
      </c>
      <c r="C744" t="s">
        <v>60</v>
      </c>
      <c r="D744" t="s">
        <v>61</v>
      </c>
      <c r="E744" t="s">
        <v>61</v>
      </c>
      <c r="F744" t="s">
        <v>49</v>
      </c>
      <c r="G744" t="s">
        <v>1591</v>
      </c>
      <c r="H744" t="s">
        <v>1592</v>
      </c>
      <c r="J744" t="str">
        <f>HYPERLINK("https://www.facebook.com/634639855377280/posts/806532724854658?comment_id=1231028378255774&amp;reply_comment_id=2535312866650276","https://www.facebook.com/634639855377280/posts/806532724854658?comment_id=1231028378255774&amp;reply_comment_id=2535312866650276")</f>
        <v>https://www.facebook.com/634639855377280/posts/806532724854658?comment_id=1231028378255774&amp;reply_comment_id=2535312866650276</v>
      </c>
      <c r="O744">
        <v>0</v>
      </c>
      <c r="P744">
        <v>0</v>
      </c>
      <c r="Q744">
        <v>0</v>
      </c>
      <c r="S744">
        <v>0</v>
      </c>
      <c r="T744">
        <v>0</v>
      </c>
      <c r="U744">
        <v>0</v>
      </c>
      <c r="W744" t="s">
        <v>52</v>
      </c>
    </row>
    <row r="745" spans="1:23" x14ac:dyDescent="0.35">
      <c r="A745" t="s">
        <v>45</v>
      </c>
      <c r="B745" t="s">
        <v>1544</v>
      </c>
      <c r="C745" t="s">
        <v>47</v>
      </c>
      <c r="D745" t="s">
        <v>68</v>
      </c>
      <c r="E745" t="s">
        <v>68</v>
      </c>
      <c r="F745" t="s">
        <v>49</v>
      </c>
      <c r="G745" t="s">
        <v>1593</v>
      </c>
      <c r="H745" t="s">
        <v>1594</v>
      </c>
      <c r="J745" t="str">
        <f>HYPERLINK("https://www.youtube.com/watch?v=mywlDWI77_k&amp;lc=Ugy-dcYZLWyfGQjizxl4AaABAg.A0zpkUf-8BWA11VRUObM83","https://www.youtube.com/watch?v=mywlDWI77_k&amp;lc=Ugy-dcYZLWyfGQjizxl4AaABAg.A0zpkUf-8BWA11VRUObM83")</f>
        <v>https://www.youtube.com/watch?v=mywlDWI77_k&amp;lc=Ugy-dcYZLWyfGQjizxl4AaABAg.A0zpkUf-8BWA11VRUObM83</v>
      </c>
      <c r="O745">
        <v>0</v>
      </c>
      <c r="P745">
        <v>0</v>
      </c>
      <c r="Q745">
        <v>0</v>
      </c>
      <c r="S745">
        <v>0</v>
      </c>
      <c r="T745">
        <v>0</v>
      </c>
      <c r="U745">
        <v>0</v>
      </c>
      <c r="W745" t="s">
        <v>52</v>
      </c>
    </row>
    <row r="746" spans="1:23" x14ac:dyDescent="0.35">
      <c r="A746" t="s">
        <v>45</v>
      </c>
      <c r="B746" t="s">
        <v>1544</v>
      </c>
      <c r="C746" t="s">
        <v>60</v>
      </c>
      <c r="D746" t="s">
        <v>64</v>
      </c>
      <c r="E746" t="s">
        <v>64</v>
      </c>
      <c r="F746" t="s">
        <v>49</v>
      </c>
      <c r="G746" t="s">
        <v>1595</v>
      </c>
      <c r="H746" t="s">
        <v>1596</v>
      </c>
      <c r="J746" t="str">
        <f>HYPERLINK("https://www.facebook.com/634639855377280/posts/806532724854658?comment_id=1081291146493915&amp;reply_comment_id=778806440823707","https://www.facebook.com/634639855377280/posts/806532724854658?comment_id=1081291146493915&amp;reply_comment_id=778806440823707")</f>
        <v>https://www.facebook.com/634639855377280/posts/806532724854658?comment_id=1081291146493915&amp;reply_comment_id=778806440823707</v>
      </c>
      <c r="K746" t="s">
        <v>67</v>
      </c>
      <c r="O746">
        <v>0</v>
      </c>
      <c r="P746">
        <v>0</v>
      </c>
      <c r="Q746">
        <v>0</v>
      </c>
      <c r="S746">
        <v>0</v>
      </c>
      <c r="T746">
        <v>0</v>
      </c>
      <c r="U746">
        <v>0</v>
      </c>
      <c r="W746" t="s">
        <v>52</v>
      </c>
    </row>
    <row r="747" spans="1:23" x14ac:dyDescent="0.35">
      <c r="A747" t="s">
        <v>45</v>
      </c>
      <c r="B747" t="s">
        <v>1544</v>
      </c>
      <c r="C747" t="s">
        <v>60</v>
      </c>
      <c r="D747" t="s">
        <v>64</v>
      </c>
      <c r="E747" t="s">
        <v>64</v>
      </c>
      <c r="F747" t="s">
        <v>49</v>
      </c>
      <c r="G747" t="s">
        <v>83</v>
      </c>
      <c r="H747" t="s">
        <v>1597</v>
      </c>
      <c r="J747" t="str">
        <f>HYPERLINK("https://www.facebook.com/634639855377280/posts/806532724854658?comment_id=1231028378255774&amp;reply_comment_id=7321328014619042","https://www.facebook.com/634639855377280/posts/806532724854658?comment_id=1231028378255774&amp;reply_comment_id=7321328014619042")</f>
        <v>https://www.facebook.com/634639855377280/posts/806532724854658?comment_id=1231028378255774&amp;reply_comment_id=7321328014619042</v>
      </c>
      <c r="K747" t="s">
        <v>67</v>
      </c>
      <c r="O747">
        <v>0</v>
      </c>
      <c r="P747">
        <v>0</v>
      </c>
      <c r="Q747">
        <v>0</v>
      </c>
      <c r="S747">
        <v>0</v>
      </c>
      <c r="T747">
        <v>0</v>
      </c>
      <c r="U747">
        <v>0</v>
      </c>
      <c r="W747" t="s">
        <v>52</v>
      </c>
    </row>
    <row r="748" spans="1:23" x14ac:dyDescent="0.35">
      <c r="A748" t="s">
        <v>45</v>
      </c>
      <c r="B748" t="s">
        <v>1544</v>
      </c>
      <c r="C748" t="s">
        <v>60</v>
      </c>
      <c r="D748" t="s">
        <v>61</v>
      </c>
      <c r="E748" t="s">
        <v>61</v>
      </c>
      <c r="F748" t="s">
        <v>49</v>
      </c>
      <c r="G748" t="s">
        <v>1598</v>
      </c>
      <c r="H748" t="s">
        <v>1599</v>
      </c>
      <c r="J748" t="str">
        <f>HYPERLINK("https://www.facebook.com/634639855377280/posts/806532724854658?comment_id=713967040892556&amp;reply_comment_id=343856558630982","https://www.facebook.com/634639855377280/posts/806532724854658?comment_id=713967040892556&amp;reply_comment_id=343856558630982")</f>
        <v>https://www.facebook.com/634639855377280/posts/806532724854658?comment_id=713967040892556&amp;reply_comment_id=343856558630982</v>
      </c>
      <c r="O748">
        <v>0</v>
      </c>
      <c r="P748">
        <v>0</v>
      </c>
      <c r="Q748">
        <v>0</v>
      </c>
      <c r="S748">
        <v>0</v>
      </c>
      <c r="T748">
        <v>0</v>
      </c>
      <c r="U748">
        <v>0</v>
      </c>
      <c r="W748" t="s">
        <v>52</v>
      </c>
    </row>
    <row r="749" spans="1:23" x14ac:dyDescent="0.35">
      <c r="A749" t="s">
        <v>45</v>
      </c>
      <c r="B749" t="s">
        <v>1544</v>
      </c>
      <c r="C749" t="s">
        <v>60</v>
      </c>
      <c r="D749" t="s">
        <v>61</v>
      </c>
      <c r="E749" t="s">
        <v>61</v>
      </c>
      <c r="F749" t="s">
        <v>49</v>
      </c>
      <c r="G749">
        <v>8299639578</v>
      </c>
      <c r="H749" t="s">
        <v>1600</v>
      </c>
      <c r="J749" t="str">
        <f>HYPERLINK("https://www.facebook.com/634639855377280/posts/806532724854658?comment_id=945099800735862","https://www.facebook.com/634639855377280/posts/806532724854658?comment_id=945099800735862")</f>
        <v>https://www.facebook.com/634639855377280/posts/806532724854658?comment_id=945099800735862</v>
      </c>
      <c r="O749">
        <v>0</v>
      </c>
      <c r="P749">
        <v>0</v>
      </c>
      <c r="Q749">
        <v>0</v>
      </c>
      <c r="S749">
        <v>0</v>
      </c>
      <c r="T749">
        <v>0</v>
      </c>
      <c r="U749">
        <v>0</v>
      </c>
      <c r="W749" t="s">
        <v>52</v>
      </c>
    </row>
    <row r="750" spans="1:23" x14ac:dyDescent="0.35">
      <c r="A750" t="s">
        <v>45</v>
      </c>
      <c r="B750" t="s">
        <v>1544</v>
      </c>
      <c r="C750" t="s">
        <v>60</v>
      </c>
      <c r="D750" t="s">
        <v>64</v>
      </c>
      <c r="E750" t="s">
        <v>64</v>
      </c>
      <c r="F750" t="s">
        <v>49</v>
      </c>
      <c r="G750" t="s">
        <v>100</v>
      </c>
      <c r="H750" t="s">
        <v>1601</v>
      </c>
      <c r="J750" t="str">
        <f>HYPERLINK("https://www.facebook.com/634639855377280/posts/807074171467180?comment_id=1093684871884261&amp;reply_comment_id=3836473316676021","https://www.facebook.com/634639855377280/posts/807074171467180?comment_id=1093684871884261&amp;reply_comment_id=3836473316676021")</f>
        <v>https://www.facebook.com/634639855377280/posts/807074171467180?comment_id=1093684871884261&amp;reply_comment_id=3836473316676021</v>
      </c>
      <c r="K750" t="s">
        <v>67</v>
      </c>
      <c r="O750">
        <v>0</v>
      </c>
      <c r="P750">
        <v>0</v>
      </c>
      <c r="Q750">
        <v>0</v>
      </c>
      <c r="S750">
        <v>0</v>
      </c>
      <c r="T750">
        <v>0</v>
      </c>
      <c r="U750">
        <v>0</v>
      </c>
      <c r="W750" t="s">
        <v>52</v>
      </c>
    </row>
    <row r="751" spans="1:23" x14ac:dyDescent="0.35">
      <c r="A751" t="s">
        <v>45</v>
      </c>
      <c r="B751" t="s">
        <v>1544</v>
      </c>
      <c r="C751" t="s">
        <v>60</v>
      </c>
      <c r="D751" t="s">
        <v>64</v>
      </c>
      <c r="E751" t="s">
        <v>64</v>
      </c>
      <c r="F751" t="s">
        <v>49</v>
      </c>
      <c r="G751" t="s">
        <v>1276</v>
      </c>
      <c r="H751" t="s">
        <v>1602</v>
      </c>
      <c r="J751" t="str">
        <f>HYPERLINK("https://www.facebook.com/634639855377280/posts/807074171467180?comment_id=924989729273389&amp;reply_comment_id=403744058958186","https://www.facebook.com/634639855377280/posts/807074171467180?comment_id=924989729273389&amp;reply_comment_id=403744058958186")</f>
        <v>https://www.facebook.com/634639855377280/posts/807074171467180?comment_id=924989729273389&amp;reply_comment_id=403744058958186</v>
      </c>
      <c r="K751" t="s">
        <v>67</v>
      </c>
      <c r="O751">
        <v>0</v>
      </c>
      <c r="P751">
        <v>0</v>
      </c>
      <c r="Q751">
        <v>0</v>
      </c>
      <c r="S751">
        <v>0</v>
      </c>
      <c r="T751">
        <v>0</v>
      </c>
      <c r="U751">
        <v>0</v>
      </c>
      <c r="W751" t="s">
        <v>52</v>
      </c>
    </row>
    <row r="752" spans="1:23" x14ac:dyDescent="0.35">
      <c r="A752" t="s">
        <v>45</v>
      </c>
      <c r="B752" t="s">
        <v>1544</v>
      </c>
      <c r="C752" t="s">
        <v>60</v>
      </c>
      <c r="D752" t="s">
        <v>61</v>
      </c>
      <c r="E752" t="s">
        <v>61</v>
      </c>
      <c r="F752" t="s">
        <v>49</v>
      </c>
      <c r="G752" t="s">
        <v>1603</v>
      </c>
      <c r="H752" t="s">
        <v>1604</v>
      </c>
      <c r="J752" t="str">
        <f>HYPERLINK("https://www.facebook.com/634639855377280/posts/808827474625183?comment_id=305719639195523","https://www.facebook.com/634639855377280/posts/808827474625183?comment_id=305719639195523")</f>
        <v>https://www.facebook.com/634639855377280/posts/808827474625183?comment_id=305719639195523</v>
      </c>
      <c r="O752">
        <v>0</v>
      </c>
      <c r="P752">
        <v>0</v>
      </c>
      <c r="Q752">
        <v>0</v>
      </c>
      <c r="S752">
        <v>0</v>
      </c>
      <c r="T752">
        <v>0</v>
      </c>
      <c r="U752">
        <v>0</v>
      </c>
      <c r="W752" t="s">
        <v>52</v>
      </c>
    </row>
    <row r="753" spans="1:23" x14ac:dyDescent="0.35">
      <c r="A753" t="s">
        <v>45</v>
      </c>
      <c r="B753" t="s">
        <v>1544</v>
      </c>
      <c r="C753" t="s">
        <v>60</v>
      </c>
      <c r="D753" t="s">
        <v>64</v>
      </c>
      <c r="E753" t="s">
        <v>64</v>
      </c>
      <c r="F753" t="s">
        <v>49</v>
      </c>
      <c r="G753" t="s">
        <v>492</v>
      </c>
      <c r="H753" t="s">
        <v>1605</v>
      </c>
      <c r="J753" t="str">
        <f>HYPERLINK("https://www.facebook.com/634639855377280/posts/806532724854658?comment_id=1178894093097926&amp;reply_comment_id=724955613034286","https://www.facebook.com/634639855377280/posts/806532724854658?comment_id=1178894093097926&amp;reply_comment_id=724955613034286")</f>
        <v>https://www.facebook.com/634639855377280/posts/806532724854658?comment_id=1178894093097926&amp;reply_comment_id=724955613034286</v>
      </c>
      <c r="K753" t="s">
        <v>67</v>
      </c>
      <c r="O753">
        <v>0</v>
      </c>
      <c r="P753">
        <v>0</v>
      </c>
      <c r="Q753">
        <v>0</v>
      </c>
      <c r="S753">
        <v>0</v>
      </c>
      <c r="T753">
        <v>0</v>
      </c>
      <c r="U753">
        <v>0</v>
      </c>
      <c r="W753" t="s">
        <v>52</v>
      </c>
    </row>
    <row r="754" spans="1:23" x14ac:dyDescent="0.35">
      <c r="A754" t="s">
        <v>45</v>
      </c>
      <c r="B754" t="s">
        <v>1544</v>
      </c>
      <c r="C754" t="s">
        <v>60</v>
      </c>
      <c r="D754" t="s">
        <v>64</v>
      </c>
      <c r="E754" t="s">
        <v>64</v>
      </c>
      <c r="F754" t="s">
        <v>49</v>
      </c>
      <c r="G754" t="s">
        <v>1011</v>
      </c>
      <c r="H754" t="s">
        <v>1606</v>
      </c>
      <c r="J754" t="str">
        <f>HYPERLINK("https://www.facebook.com/634639855377280/posts/806532724854658?comment_id=713967040892556&amp;reply_comment_id=368386812701770","https://www.facebook.com/634639855377280/posts/806532724854658?comment_id=713967040892556&amp;reply_comment_id=368386812701770")</f>
        <v>https://www.facebook.com/634639855377280/posts/806532724854658?comment_id=713967040892556&amp;reply_comment_id=368386812701770</v>
      </c>
      <c r="K754" t="s">
        <v>67</v>
      </c>
      <c r="O754">
        <v>0</v>
      </c>
      <c r="P754">
        <v>0</v>
      </c>
      <c r="Q754">
        <v>0</v>
      </c>
      <c r="S754">
        <v>0</v>
      </c>
      <c r="T754">
        <v>0</v>
      </c>
      <c r="U754">
        <v>0</v>
      </c>
      <c r="W754" t="s">
        <v>52</v>
      </c>
    </row>
    <row r="755" spans="1:23" x14ac:dyDescent="0.35">
      <c r="A755" t="s">
        <v>45</v>
      </c>
      <c r="B755" t="s">
        <v>1544</v>
      </c>
      <c r="C755" t="s">
        <v>60</v>
      </c>
      <c r="D755" t="s">
        <v>64</v>
      </c>
      <c r="E755" t="s">
        <v>64</v>
      </c>
      <c r="F755" t="s">
        <v>49</v>
      </c>
      <c r="G755" t="s">
        <v>83</v>
      </c>
      <c r="H755" t="s">
        <v>1607</v>
      </c>
      <c r="J755" t="str">
        <f>HYPERLINK("https://www.facebook.com/634639855377280/posts/806532724854658?comment_id=1155226612513846&amp;reply_comment_id=434707679024794","https://www.facebook.com/634639855377280/posts/806532724854658?comment_id=1155226612513846&amp;reply_comment_id=434707679024794")</f>
        <v>https://www.facebook.com/634639855377280/posts/806532724854658?comment_id=1155226612513846&amp;reply_comment_id=434707679024794</v>
      </c>
      <c r="K755" t="s">
        <v>67</v>
      </c>
      <c r="O755">
        <v>0</v>
      </c>
      <c r="P755">
        <v>0</v>
      </c>
      <c r="Q755">
        <v>0</v>
      </c>
      <c r="S755">
        <v>0</v>
      </c>
      <c r="T755">
        <v>0</v>
      </c>
      <c r="U755">
        <v>0</v>
      </c>
      <c r="W755" t="s">
        <v>52</v>
      </c>
    </row>
    <row r="756" spans="1:23" x14ac:dyDescent="0.35">
      <c r="A756" t="s">
        <v>45</v>
      </c>
      <c r="B756" t="s">
        <v>1544</v>
      </c>
      <c r="C756" t="s">
        <v>47</v>
      </c>
      <c r="D756" t="s">
        <v>68</v>
      </c>
      <c r="E756" t="s">
        <v>68</v>
      </c>
      <c r="F756" t="s">
        <v>49</v>
      </c>
      <c r="G756" t="s">
        <v>253</v>
      </c>
      <c r="H756" t="s">
        <v>1608</v>
      </c>
      <c r="J756" t="str">
        <f>HYPERLINK("https://www.youtube.com/watch?v=v2B6zy7K-iI&amp;lc=UgztampuQJTEj9KpBcp4AaABAg.A1-YYnlVKYBA11NbTEfDpg","https://www.youtube.com/watch?v=v2B6zy7K-iI&amp;lc=UgztampuQJTEj9KpBcp4AaABAg.A1-YYnlVKYBA11NbTEfDpg")</f>
        <v>https://www.youtube.com/watch?v=v2B6zy7K-iI&amp;lc=UgztampuQJTEj9KpBcp4AaABAg.A1-YYnlVKYBA11NbTEfDpg</v>
      </c>
      <c r="O756">
        <v>0</v>
      </c>
      <c r="P756">
        <v>0</v>
      </c>
      <c r="Q756">
        <v>0</v>
      </c>
      <c r="S756">
        <v>0</v>
      </c>
      <c r="T756">
        <v>0</v>
      </c>
      <c r="U756">
        <v>0</v>
      </c>
      <c r="W756" t="s">
        <v>52</v>
      </c>
    </row>
    <row r="757" spans="1:23" x14ac:dyDescent="0.35">
      <c r="A757" t="s">
        <v>45</v>
      </c>
      <c r="B757" t="s">
        <v>1544</v>
      </c>
      <c r="C757" t="s">
        <v>93</v>
      </c>
      <c r="D757" t="s">
        <v>94</v>
      </c>
      <c r="E757" t="s">
        <v>45</v>
      </c>
      <c r="F757" t="s">
        <v>49</v>
      </c>
      <c r="G757" t="s">
        <v>773</v>
      </c>
      <c r="H757" t="s">
        <v>1609</v>
      </c>
      <c r="J757" t="str">
        <f>HYPERLINK("https://twitter.com/SpiceMoneyIndia/status/1768845346401104290","https://twitter.com/SpiceMoneyIndia/status/1768845346401104290")</f>
        <v>https://twitter.com/SpiceMoneyIndia/status/1768845346401104290</v>
      </c>
      <c r="K757" t="s">
        <v>67</v>
      </c>
      <c r="O757">
        <v>0</v>
      </c>
      <c r="P757">
        <v>0</v>
      </c>
      <c r="Q757">
        <v>6072</v>
      </c>
      <c r="R757" t="s">
        <v>97</v>
      </c>
      <c r="S757">
        <v>0</v>
      </c>
      <c r="T757">
        <v>0</v>
      </c>
      <c r="U757">
        <v>0</v>
      </c>
      <c r="V757" t="s">
        <v>98</v>
      </c>
      <c r="W757" t="s">
        <v>99</v>
      </c>
    </row>
    <row r="758" spans="1:23" x14ac:dyDescent="0.35">
      <c r="A758" t="s">
        <v>45</v>
      </c>
      <c r="B758" t="s">
        <v>1544</v>
      </c>
      <c r="C758" t="s">
        <v>60</v>
      </c>
      <c r="D758" t="s">
        <v>64</v>
      </c>
      <c r="E758" t="s">
        <v>64</v>
      </c>
      <c r="F758" t="s">
        <v>49</v>
      </c>
      <c r="G758" t="s">
        <v>492</v>
      </c>
      <c r="H758" t="s">
        <v>1610</v>
      </c>
      <c r="J758" t="str">
        <f>HYPERLINK("https://www.facebook.com/634639855377280/posts/808827474625183?comment_id=779981533654989&amp;reply_comment_id=1326337884672404","https://www.facebook.com/634639855377280/posts/808827474625183?comment_id=779981533654989&amp;reply_comment_id=1326337884672404")</f>
        <v>https://www.facebook.com/634639855377280/posts/808827474625183?comment_id=779981533654989&amp;reply_comment_id=1326337884672404</v>
      </c>
      <c r="K758" t="s">
        <v>67</v>
      </c>
      <c r="O758">
        <v>0</v>
      </c>
      <c r="P758">
        <v>0</v>
      </c>
      <c r="Q758">
        <v>0</v>
      </c>
      <c r="S758">
        <v>0</v>
      </c>
      <c r="T758">
        <v>0</v>
      </c>
      <c r="U758">
        <v>0</v>
      </c>
      <c r="W758" t="s">
        <v>52</v>
      </c>
    </row>
    <row r="759" spans="1:23" x14ac:dyDescent="0.35">
      <c r="A759" t="s">
        <v>45</v>
      </c>
      <c r="B759" t="s">
        <v>1544</v>
      </c>
      <c r="C759" t="s">
        <v>60</v>
      </c>
      <c r="D759" t="s">
        <v>64</v>
      </c>
      <c r="E759" t="s">
        <v>64</v>
      </c>
      <c r="F759" t="s">
        <v>49</v>
      </c>
      <c r="G759" t="s">
        <v>454</v>
      </c>
      <c r="H759" t="s">
        <v>1611</v>
      </c>
      <c r="J759" t="str">
        <f>HYPERLINK("https://www.facebook.com/634639855377280/posts/807074171467180?comment_id=371180732553016&amp;reply_comment_id=2122257861463284","https://www.facebook.com/634639855377280/posts/807074171467180?comment_id=371180732553016&amp;reply_comment_id=2122257861463284")</f>
        <v>https://www.facebook.com/634639855377280/posts/807074171467180?comment_id=371180732553016&amp;reply_comment_id=2122257861463284</v>
      </c>
      <c r="K759" t="s">
        <v>67</v>
      </c>
      <c r="O759">
        <v>0</v>
      </c>
      <c r="P759">
        <v>0</v>
      </c>
      <c r="Q759">
        <v>0</v>
      </c>
      <c r="S759">
        <v>0</v>
      </c>
      <c r="T759">
        <v>0</v>
      </c>
      <c r="U759">
        <v>0</v>
      </c>
      <c r="W759" t="s">
        <v>52</v>
      </c>
    </row>
    <row r="760" spans="1:23" x14ac:dyDescent="0.35">
      <c r="A760" t="s">
        <v>45</v>
      </c>
      <c r="B760" t="s">
        <v>1544</v>
      </c>
      <c r="C760" t="s">
        <v>60</v>
      </c>
      <c r="D760" t="s">
        <v>64</v>
      </c>
      <c r="E760" t="s">
        <v>64</v>
      </c>
      <c r="F760" t="s">
        <v>49</v>
      </c>
      <c r="G760" t="s">
        <v>83</v>
      </c>
      <c r="H760" t="s">
        <v>1612</v>
      </c>
      <c r="J760" t="str">
        <f>HYPERLINK("https://www.facebook.com/634639855377280/posts/808827474625183?comment_id=963276098489174&amp;reply_comment_id=382796594623124","https://www.facebook.com/634639855377280/posts/808827474625183?comment_id=963276098489174&amp;reply_comment_id=382796594623124")</f>
        <v>https://www.facebook.com/634639855377280/posts/808827474625183?comment_id=963276098489174&amp;reply_comment_id=382796594623124</v>
      </c>
      <c r="K760" t="s">
        <v>67</v>
      </c>
      <c r="O760">
        <v>0</v>
      </c>
      <c r="P760">
        <v>0</v>
      </c>
      <c r="Q760">
        <v>0</v>
      </c>
      <c r="S760">
        <v>0</v>
      </c>
      <c r="T760">
        <v>0</v>
      </c>
      <c r="U760">
        <v>0</v>
      </c>
      <c r="W760" t="s">
        <v>52</v>
      </c>
    </row>
    <row r="761" spans="1:23" x14ac:dyDescent="0.35">
      <c r="A761" t="s">
        <v>45</v>
      </c>
      <c r="B761" t="s">
        <v>1544</v>
      </c>
      <c r="C761" t="s">
        <v>93</v>
      </c>
      <c r="D761" t="s">
        <v>94</v>
      </c>
      <c r="E761" t="s">
        <v>45</v>
      </c>
      <c r="F761" t="s">
        <v>49</v>
      </c>
      <c r="G761" t="s">
        <v>1613</v>
      </c>
      <c r="H761" t="s">
        <v>1614</v>
      </c>
      <c r="J761" t="str">
        <f>HYPERLINK("https://twitter.com/SpiceMoneyIndia/status/1768844466654232710","https://twitter.com/SpiceMoneyIndia/status/1768844466654232710")</f>
        <v>https://twitter.com/SpiceMoneyIndia/status/1768844466654232710</v>
      </c>
      <c r="K761" t="s">
        <v>67</v>
      </c>
      <c r="O761">
        <v>0</v>
      </c>
      <c r="P761">
        <v>0</v>
      </c>
      <c r="Q761">
        <v>6072</v>
      </c>
      <c r="R761" t="s">
        <v>97</v>
      </c>
      <c r="S761">
        <v>0</v>
      </c>
      <c r="T761">
        <v>0</v>
      </c>
      <c r="U761">
        <v>0</v>
      </c>
      <c r="V761" t="s">
        <v>98</v>
      </c>
      <c r="W761" t="s">
        <v>99</v>
      </c>
    </row>
    <row r="762" spans="1:23" x14ac:dyDescent="0.35">
      <c r="A762" t="s">
        <v>45</v>
      </c>
      <c r="B762" t="s">
        <v>1544</v>
      </c>
      <c r="C762" t="s">
        <v>47</v>
      </c>
      <c r="D762" t="s">
        <v>68</v>
      </c>
      <c r="E762" t="s">
        <v>68</v>
      </c>
      <c r="F762" t="s">
        <v>49</v>
      </c>
      <c r="G762" t="s">
        <v>1615</v>
      </c>
      <c r="H762" t="s">
        <v>1616</v>
      </c>
      <c r="J762" t="str">
        <f>HYPERLINK("https://www.youtube.com/watch?v=YQSdpP96l0U&amp;lc=UgzUwjIxqK_FxCv7jSR4AaABAg.A0yEd2s6iDMA11MaMiCQZQ","https://www.youtube.com/watch?v=YQSdpP96l0U&amp;lc=UgzUwjIxqK_FxCv7jSR4AaABAg.A0yEd2s6iDMA11MaMiCQZQ")</f>
        <v>https://www.youtube.com/watch?v=YQSdpP96l0U&amp;lc=UgzUwjIxqK_FxCv7jSR4AaABAg.A0yEd2s6iDMA11MaMiCQZQ</v>
      </c>
      <c r="O762">
        <v>0</v>
      </c>
      <c r="P762">
        <v>0</v>
      </c>
      <c r="Q762">
        <v>0</v>
      </c>
      <c r="S762">
        <v>0</v>
      </c>
      <c r="T762">
        <v>0</v>
      </c>
      <c r="U762">
        <v>0</v>
      </c>
      <c r="W762" t="s">
        <v>52</v>
      </c>
    </row>
    <row r="763" spans="1:23" x14ac:dyDescent="0.35">
      <c r="A763" t="s">
        <v>45</v>
      </c>
      <c r="B763" t="s">
        <v>1544</v>
      </c>
      <c r="C763" t="s">
        <v>47</v>
      </c>
      <c r="D763" t="s">
        <v>1617</v>
      </c>
      <c r="E763" t="s">
        <v>1617</v>
      </c>
      <c r="F763" t="s">
        <v>49</v>
      </c>
      <c r="G763" t="s">
        <v>1618</v>
      </c>
      <c r="H763" t="s">
        <v>1619</v>
      </c>
      <c r="J763" t="str">
        <f>HYPERLINK("https://www.youtube.com/watch?v=v2B6zy7K-iI&amp;lc=UgztampuQJTEj9KpBcp4AaABAg.A1-YYnlVKYBA11LxctYVyq","https://www.youtube.com/watch?v=v2B6zy7K-iI&amp;lc=UgztampuQJTEj9KpBcp4AaABAg.A1-YYnlVKYBA11LxctYVyq")</f>
        <v>https://www.youtube.com/watch?v=v2B6zy7K-iI&amp;lc=UgztampuQJTEj9KpBcp4AaABAg.A1-YYnlVKYBA11LxctYVyq</v>
      </c>
      <c r="O763">
        <v>0</v>
      </c>
      <c r="P763">
        <v>0</v>
      </c>
      <c r="Q763">
        <v>0</v>
      </c>
      <c r="S763">
        <v>0</v>
      </c>
      <c r="T763">
        <v>0</v>
      </c>
      <c r="U763">
        <v>0</v>
      </c>
      <c r="W763" t="s">
        <v>52</v>
      </c>
    </row>
    <row r="764" spans="1:23" x14ac:dyDescent="0.35">
      <c r="A764" t="s">
        <v>45</v>
      </c>
      <c r="B764" t="s">
        <v>1544</v>
      </c>
      <c r="C764" t="s">
        <v>47</v>
      </c>
      <c r="D764" t="s">
        <v>68</v>
      </c>
      <c r="E764" t="s">
        <v>68</v>
      </c>
      <c r="F764" t="s">
        <v>49</v>
      </c>
      <c r="G764" t="s">
        <v>102</v>
      </c>
      <c r="H764" t="s">
        <v>1620</v>
      </c>
      <c r="J764" t="str">
        <f>HYPERLINK("https://www.youtube.com/watch?v=wDVpKG8jfSo&amp;lc=UgxYlSbzqoCU7pGGlBd4AaABAg.A0yTe70EBv7A11LwaSrHCB","https://www.youtube.com/watch?v=wDVpKG8jfSo&amp;lc=UgxYlSbzqoCU7pGGlBd4AaABAg.A0yTe70EBv7A11LwaSrHCB")</f>
        <v>https://www.youtube.com/watch?v=wDVpKG8jfSo&amp;lc=UgxYlSbzqoCU7pGGlBd4AaABAg.A0yTe70EBv7A11LwaSrHCB</v>
      </c>
      <c r="O764">
        <v>0</v>
      </c>
      <c r="P764">
        <v>0</v>
      </c>
      <c r="Q764">
        <v>0</v>
      </c>
      <c r="S764">
        <v>0</v>
      </c>
      <c r="T764">
        <v>0</v>
      </c>
      <c r="U764">
        <v>0</v>
      </c>
      <c r="W764" t="s">
        <v>52</v>
      </c>
    </row>
    <row r="765" spans="1:23" x14ac:dyDescent="0.35">
      <c r="A765" t="s">
        <v>45</v>
      </c>
      <c r="B765" t="s">
        <v>1544</v>
      </c>
      <c r="C765" t="s">
        <v>47</v>
      </c>
      <c r="D765" t="s">
        <v>68</v>
      </c>
      <c r="E765" t="s">
        <v>68</v>
      </c>
      <c r="F765" t="s">
        <v>49</v>
      </c>
      <c r="G765" t="s">
        <v>162</v>
      </c>
      <c r="H765" t="s">
        <v>1621</v>
      </c>
      <c r="J765" t="str">
        <f>HYPERLINK("https://www.youtube.com/watch?v=p-pyRnxiAEA&amp;lc=UgzLa0-xnDTLnZZQ9ht4AaABAg.A0zjBhCe3BiA11LYNBIuXB","https://www.youtube.com/watch?v=p-pyRnxiAEA&amp;lc=UgzLa0-xnDTLnZZQ9ht4AaABAg.A0zjBhCe3BiA11LYNBIuXB")</f>
        <v>https://www.youtube.com/watch?v=p-pyRnxiAEA&amp;lc=UgzLa0-xnDTLnZZQ9ht4AaABAg.A0zjBhCe3BiA11LYNBIuXB</v>
      </c>
      <c r="O765">
        <v>0</v>
      </c>
      <c r="P765">
        <v>0</v>
      </c>
      <c r="Q765">
        <v>0</v>
      </c>
      <c r="S765">
        <v>0</v>
      </c>
      <c r="T765">
        <v>0</v>
      </c>
      <c r="U765">
        <v>0</v>
      </c>
      <c r="W765" t="s">
        <v>52</v>
      </c>
    </row>
    <row r="766" spans="1:23" x14ac:dyDescent="0.35">
      <c r="A766" t="s">
        <v>45</v>
      </c>
      <c r="B766" t="s">
        <v>1544</v>
      </c>
      <c r="C766" t="s">
        <v>47</v>
      </c>
      <c r="D766" t="s">
        <v>68</v>
      </c>
      <c r="E766" t="s">
        <v>68</v>
      </c>
      <c r="F766" t="s">
        <v>49</v>
      </c>
      <c r="G766" t="s">
        <v>102</v>
      </c>
      <c r="H766" t="s">
        <v>1622</v>
      </c>
      <c r="J766" t="str">
        <f>HYPERLINK("https://www.youtube.com/watch?v=v2B6zy7K-iI&amp;lc=UgztampuQJTEj9KpBcp4AaABAg.A1-YYnlVKYBA11KrCf-GD7","https://www.youtube.com/watch?v=v2B6zy7K-iI&amp;lc=UgztampuQJTEj9KpBcp4AaABAg.A1-YYnlVKYBA11KrCf-GD7")</f>
        <v>https://www.youtube.com/watch?v=v2B6zy7K-iI&amp;lc=UgztampuQJTEj9KpBcp4AaABAg.A1-YYnlVKYBA11KrCf-GD7</v>
      </c>
      <c r="O766">
        <v>0</v>
      </c>
      <c r="P766">
        <v>0</v>
      </c>
      <c r="Q766">
        <v>0</v>
      </c>
      <c r="S766">
        <v>0</v>
      </c>
      <c r="T766">
        <v>0</v>
      </c>
      <c r="U766">
        <v>0</v>
      </c>
      <c r="W766" t="s">
        <v>52</v>
      </c>
    </row>
    <row r="767" spans="1:23" x14ac:dyDescent="0.35">
      <c r="A767" t="s">
        <v>45</v>
      </c>
      <c r="B767" t="s">
        <v>1544</v>
      </c>
      <c r="C767" t="s">
        <v>47</v>
      </c>
      <c r="D767" t="s">
        <v>68</v>
      </c>
      <c r="E767" t="s">
        <v>68</v>
      </c>
      <c r="F767" t="s">
        <v>49</v>
      </c>
      <c r="G767" t="s">
        <v>102</v>
      </c>
      <c r="H767" t="s">
        <v>1623</v>
      </c>
      <c r="J767" t="str">
        <f>HYPERLINK("https://www.youtube.com/watch?v=5DADCSRiE3A&amp;lc=UgyyHjpAeQgjbEa_grp4AaABAg.A118xSaFtRxA11KOjhIcx6","https://www.youtube.com/watch?v=5DADCSRiE3A&amp;lc=UgyyHjpAeQgjbEa_grp4AaABAg.A118xSaFtRxA11KOjhIcx6")</f>
        <v>https://www.youtube.com/watch?v=5DADCSRiE3A&amp;lc=UgyyHjpAeQgjbEa_grp4AaABAg.A118xSaFtRxA11KOjhIcx6</v>
      </c>
      <c r="O767">
        <v>0</v>
      </c>
      <c r="P767">
        <v>0</v>
      </c>
      <c r="Q767">
        <v>0</v>
      </c>
      <c r="S767">
        <v>0</v>
      </c>
      <c r="T767">
        <v>0</v>
      </c>
      <c r="U767">
        <v>0</v>
      </c>
      <c r="W767" t="s">
        <v>52</v>
      </c>
    </row>
    <row r="768" spans="1:23" x14ac:dyDescent="0.35">
      <c r="A768" t="s">
        <v>45</v>
      </c>
      <c r="B768" t="s">
        <v>1544</v>
      </c>
      <c r="C768" t="s">
        <v>93</v>
      </c>
      <c r="D768" t="s">
        <v>94</v>
      </c>
      <c r="E768" t="s">
        <v>45</v>
      </c>
      <c r="F768" t="s">
        <v>49</v>
      </c>
      <c r="G768" t="s">
        <v>1624</v>
      </c>
      <c r="H768" t="s">
        <v>1625</v>
      </c>
      <c r="J768" t="str">
        <f>HYPERLINK("https://twitter.com/SpiceMoneyIndia/status/1768831567017746634","https://twitter.com/SpiceMoneyIndia/status/1768831567017746634")</f>
        <v>https://twitter.com/SpiceMoneyIndia/status/1768831567017746634</v>
      </c>
      <c r="K768" t="s">
        <v>67</v>
      </c>
      <c r="O768">
        <v>0</v>
      </c>
      <c r="P768">
        <v>0</v>
      </c>
      <c r="Q768">
        <v>6072</v>
      </c>
      <c r="R768" t="s">
        <v>97</v>
      </c>
      <c r="S768">
        <v>0</v>
      </c>
      <c r="T768">
        <v>0</v>
      </c>
      <c r="U768">
        <v>0</v>
      </c>
      <c r="V768" t="s">
        <v>98</v>
      </c>
      <c r="W768" t="s">
        <v>99</v>
      </c>
    </row>
    <row r="769" spans="1:23" x14ac:dyDescent="0.35">
      <c r="A769" t="s">
        <v>45</v>
      </c>
      <c r="B769" t="s">
        <v>1544</v>
      </c>
      <c r="C769" t="s">
        <v>60</v>
      </c>
      <c r="D769" t="s">
        <v>61</v>
      </c>
      <c r="E769" t="s">
        <v>61</v>
      </c>
      <c r="F769" t="s">
        <v>49</v>
      </c>
      <c r="G769" t="s">
        <v>1626</v>
      </c>
      <c r="H769" t="s">
        <v>1627</v>
      </c>
      <c r="J769" t="str">
        <f>HYPERLINK("https://www.facebook.com/634639855377280/posts/808827474625183?comment_id=963276098489174","https://www.facebook.com/634639855377280/posts/808827474625183?comment_id=963276098489174")</f>
        <v>https://www.facebook.com/634639855377280/posts/808827474625183?comment_id=963276098489174</v>
      </c>
      <c r="O769">
        <v>0</v>
      </c>
      <c r="P769">
        <v>0</v>
      </c>
      <c r="Q769">
        <v>0</v>
      </c>
      <c r="S769">
        <v>0</v>
      </c>
      <c r="T769">
        <v>0</v>
      </c>
      <c r="U769">
        <v>0</v>
      </c>
      <c r="W769" t="s">
        <v>52</v>
      </c>
    </row>
    <row r="770" spans="1:23" x14ac:dyDescent="0.35">
      <c r="A770" t="s">
        <v>45</v>
      </c>
      <c r="B770" t="s">
        <v>1544</v>
      </c>
      <c r="C770" t="s">
        <v>60</v>
      </c>
      <c r="D770" t="s">
        <v>61</v>
      </c>
      <c r="E770" t="s">
        <v>61</v>
      </c>
      <c r="F770" t="s">
        <v>49</v>
      </c>
      <c r="G770">
        <v>9984816415</v>
      </c>
      <c r="H770" t="s">
        <v>1628</v>
      </c>
      <c r="J770" t="str">
        <f>HYPERLINK("https://www.facebook.com/634639855377280/posts/808827474625183?comment_id=1812180929241818","https://www.facebook.com/634639855377280/posts/808827474625183?comment_id=1812180929241818")</f>
        <v>https://www.facebook.com/634639855377280/posts/808827474625183?comment_id=1812180929241818</v>
      </c>
      <c r="O770">
        <v>0</v>
      </c>
      <c r="P770">
        <v>0</v>
      </c>
      <c r="Q770">
        <v>0</v>
      </c>
      <c r="S770">
        <v>0</v>
      </c>
      <c r="T770">
        <v>0</v>
      </c>
      <c r="U770">
        <v>0</v>
      </c>
      <c r="W770" t="s">
        <v>52</v>
      </c>
    </row>
    <row r="771" spans="1:23" x14ac:dyDescent="0.35">
      <c r="A771" t="s">
        <v>45</v>
      </c>
      <c r="B771" t="s">
        <v>1544</v>
      </c>
      <c r="C771" t="s">
        <v>60</v>
      </c>
      <c r="D771" t="s">
        <v>61</v>
      </c>
      <c r="E771" t="s">
        <v>61</v>
      </c>
      <c r="F771" t="s">
        <v>49</v>
      </c>
      <c r="G771" t="s">
        <v>1629</v>
      </c>
      <c r="H771" t="s">
        <v>1630</v>
      </c>
      <c r="J771" t="str">
        <f>HYPERLINK("https://www.facebook.com/634639855377280/posts/808827474625183?comment_id=779981533654989","https://www.facebook.com/634639855377280/posts/808827474625183?comment_id=779981533654989")</f>
        <v>https://www.facebook.com/634639855377280/posts/808827474625183?comment_id=779981533654989</v>
      </c>
      <c r="O771">
        <v>0</v>
      </c>
      <c r="P771">
        <v>0</v>
      </c>
      <c r="Q771">
        <v>0</v>
      </c>
      <c r="S771">
        <v>0</v>
      </c>
      <c r="T771">
        <v>0</v>
      </c>
      <c r="U771">
        <v>0</v>
      </c>
      <c r="W771" t="s">
        <v>52</v>
      </c>
    </row>
    <row r="772" spans="1:23" x14ac:dyDescent="0.35">
      <c r="A772" t="s">
        <v>45</v>
      </c>
      <c r="B772" t="s">
        <v>1544</v>
      </c>
      <c r="C772" t="s">
        <v>47</v>
      </c>
      <c r="D772" t="s">
        <v>1631</v>
      </c>
      <c r="E772" t="s">
        <v>1631</v>
      </c>
      <c r="F772" t="s">
        <v>49</v>
      </c>
      <c r="G772" t="s">
        <v>1632</v>
      </c>
      <c r="H772" t="s">
        <v>1633</v>
      </c>
      <c r="J772" t="str">
        <f>HYPERLINK("https://www.youtube.com/watch?v=5DADCSRiE3A&amp;lc=UgyyHjpAeQgjbEa_grp4AaABAg","https://www.youtube.com/watch?v=5DADCSRiE3A&amp;lc=UgyyHjpAeQgjbEa_grp4AaABAg")</f>
        <v>https://www.youtube.com/watch?v=5DADCSRiE3A&amp;lc=UgyyHjpAeQgjbEa_grp4AaABAg</v>
      </c>
      <c r="O772">
        <v>0</v>
      </c>
      <c r="P772">
        <v>0</v>
      </c>
      <c r="Q772">
        <v>0</v>
      </c>
      <c r="S772">
        <v>0</v>
      </c>
      <c r="T772">
        <v>0</v>
      </c>
      <c r="U772">
        <v>0</v>
      </c>
      <c r="W772" t="s">
        <v>52</v>
      </c>
    </row>
    <row r="773" spans="1:23" x14ac:dyDescent="0.35">
      <c r="A773" t="s">
        <v>45</v>
      </c>
      <c r="B773" t="s">
        <v>1634</v>
      </c>
      <c r="C773" t="s">
        <v>60</v>
      </c>
      <c r="D773" t="s">
        <v>61</v>
      </c>
      <c r="E773" t="s">
        <v>61</v>
      </c>
      <c r="F773" t="s">
        <v>49</v>
      </c>
      <c r="G773" t="s">
        <v>1635</v>
      </c>
      <c r="H773" t="s">
        <v>1636</v>
      </c>
      <c r="J773" t="str">
        <f>HYPERLINK("https://www.facebook.com/634639855377280/posts/807074171467180?comment_id=371180732553016","https://www.facebook.com/634639855377280/posts/807074171467180?comment_id=371180732553016")</f>
        <v>https://www.facebook.com/634639855377280/posts/807074171467180?comment_id=371180732553016</v>
      </c>
      <c r="O773">
        <v>0</v>
      </c>
      <c r="P773">
        <v>0</v>
      </c>
      <c r="Q773">
        <v>0</v>
      </c>
      <c r="S773">
        <v>0</v>
      </c>
      <c r="T773">
        <v>0</v>
      </c>
      <c r="U773">
        <v>0</v>
      </c>
      <c r="W773" t="s">
        <v>52</v>
      </c>
    </row>
    <row r="774" spans="1:23" x14ac:dyDescent="0.35">
      <c r="A774" t="s">
        <v>45</v>
      </c>
      <c r="B774" t="s">
        <v>1634</v>
      </c>
      <c r="C774" t="s">
        <v>93</v>
      </c>
      <c r="D774" t="s">
        <v>1637</v>
      </c>
      <c r="E774" t="s">
        <v>1638</v>
      </c>
      <c r="F774" t="s">
        <v>193</v>
      </c>
      <c r="G774" t="s">
        <v>1639</v>
      </c>
      <c r="H774" t="s">
        <v>1640</v>
      </c>
      <c r="J774" t="str">
        <f>HYPERLINK("https://twitter.com/imdeb76/status/1768629203987996938","https://twitter.com/imdeb76/status/1768629203987996938")</f>
        <v>https://twitter.com/imdeb76/status/1768629203987996938</v>
      </c>
      <c r="K774" t="s">
        <v>67</v>
      </c>
      <c r="O774">
        <v>0</v>
      </c>
      <c r="P774">
        <v>0</v>
      </c>
      <c r="Q774">
        <v>301</v>
      </c>
      <c r="R774" t="s">
        <v>1641</v>
      </c>
      <c r="S774">
        <v>0</v>
      </c>
      <c r="T774">
        <v>0</v>
      </c>
      <c r="U774">
        <v>0</v>
      </c>
      <c r="W774" t="s">
        <v>99</v>
      </c>
    </row>
    <row r="775" spans="1:23" x14ac:dyDescent="0.35">
      <c r="A775" t="s">
        <v>45</v>
      </c>
      <c r="B775" t="s">
        <v>1634</v>
      </c>
      <c r="C775" t="s">
        <v>60</v>
      </c>
      <c r="D775" t="s">
        <v>61</v>
      </c>
      <c r="E775" t="s">
        <v>61</v>
      </c>
      <c r="F775" t="s">
        <v>193</v>
      </c>
      <c r="G775" t="s">
        <v>1642</v>
      </c>
      <c r="H775" t="s">
        <v>1643</v>
      </c>
      <c r="J775" t="str">
        <f>HYPERLINK("https://www.facebook.com/634639855377280/posts/807074171467180?comment_id=1093684871884261&amp;reply_comment_id=1572353306889333","https://www.facebook.com/634639855377280/posts/807074171467180?comment_id=1093684871884261&amp;reply_comment_id=1572353306889333")</f>
        <v>https://www.facebook.com/634639855377280/posts/807074171467180?comment_id=1093684871884261&amp;reply_comment_id=1572353306889333</v>
      </c>
      <c r="O775">
        <v>0</v>
      </c>
      <c r="P775">
        <v>0</v>
      </c>
      <c r="Q775">
        <v>0</v>
      </c>
      <c r="S775">
        <v>0</v>
      </c>
      <c r="T775">
        <v>0</v>
      </c>
      <c r="U775">
        <v>0</v>
      </c>
      <c r="W775" t="s">
        <v>52</v>
      </c>
    </row>
    <row r="776" spans="1:23" x14ac:dyDescent="0.35">
      <c r="A776" t="s">
        <v>45</v>
      </c>
      <c r="B776" t="s">
        <v>1634</v>
      </c>
      <c r="C776" t="s">
        <v>60</v>
      </c>
      <c r="D776" t="s">
        <v>61</v>
      </c>
      <c r="E776" t="s">
        <v>61</v>
      </c>
      <c r="F776" t="s">
        <v>193</v>
      </c>
      <c r="G776" t="s">
        <v>1644</v>
      </c>
      <c r="H776" t="s">
        <v>1645</v>
      </c>
      <c r="J776" t="str">
        <f>HYPERLINK("https://www.facebook.com/634639855377280/posts/807074171467180?comment_id=1093684871884261&amp;reply_comment_id=918900813027690","https://www.facebook.com/634639855377280/posts/807074171467180?comment_id=1093684871884261&amp;reply_comment_id=918900813027690")</f>
        <v>https://www.facebook.com/634639855377280/posts/807074171467180?comment_id=1093684871884261&amp;reply_comment_id=918900813027690</v>
      </c>
      <c r="O776">
        <v>0</v>
      </c>
      <c r="P776">
        <v>0</v>
      </c>
      <c r="Q776">
        <v>0</v>
      </c>
      <c r="S776">
        <v>0</v>
      </c>
      <c r="T776">
        <v>0</v>
      </c>
      <c r="U776">
        <v>0</v>
      </c>
      <c r="W776" t="s">
        <v>52</v>
      </c>
    </row>
    <row r="777" spans="1:23" x14ac:dyDescent="0.35">
      <c r="A777" t="s">
        <v>45</v>
      </c>
      <c r="B777" t="s">
        <v>1634</v>
      </c>
      <c r="C777" t="s">
        <v>60</v>
      </c>
      <c r="D777" t="s">
        <v>61</v>
      </c>
      <c r="E777" t="s">
        <v>61</v>
      </c>
      <c r="F777" t="s">
        <v>49</v>
      </c>
      <c r="G777" t="s">
        <v>1646</v>
      </c>
      <c r="H777" t="s">
        <v>1647</v>
      </c>
      <c r="J777" t="str">
        <f>HYPERLINK("https://www.facebook.com/634639855377280/posts/806532724854658?comment_id=718896600231654","https://www.facebook.com/634639855377280/posts/806532724854658?comment_id=718896600231654")</f>
        <v>https://www.facebook.com/634639855377280/posts/806532724854658?comment_id=718896600231654</v>
      </c>
      <c r="O777">
        <v>0</v>
      </c>
      <c r="P777">
        <v>0</v>
      </c>
      <c r="Q777">
        <v>0</v>
      </c>
      <c r="S777">
        <v>0</v>
      </c>
      <c r="T777">
        <v>0</v>
      </c>
      <c r="U777">
        <v>0</v>
      </c>
      <c r="W777" t="s">
        <v>52</v>
      </c>
    </row>
    <row r="778" spans="1:23" x14ac:dyDescent="0.35">
      <c r="A778" t="s">
        <v>45</v>
      </c>
      <c r="B778" t="s">
        <v>1634</v>
      </c>
      <c r="C778" t="s">
        <v>47</v>
      </c>
      <c r="D778" t="s">
        <v>1617</v>
      </c>
      <c r="E778" t="s">
        <v>1617</v>
      </c>
      <c r="F778" t="s">
        <v>49</v>
      </c>
      <c r="G778" t="s">
        <v>1648</v>
      </c>
      <c r="H778" t="s">
        <v>1649</v>
      </c>
      <c r="J778" t="str">
        <f>HYPERLINK("https://www.youtube.com/watch?v=v2B6zy7K-iI&amp;lc=UgztampuQJTEj9KpBcp4AaABAg","https://www.youtube.com/watch?v=v2B6zy7K-iI&amp;lc=UgztampuQJTEj9KpBcp4AaABAg")</f>
        <v>https://www.youtube.com/watch?v=v2B6zy7K-iI&amp;lc=UgztampuQJTEj9KpBcp4AaABAg</v>
      </c>
      <c r="O778">
        <v>0</v>
      </c>
      <c r="P778">
        <v>0</v>
      </c>
      <c r="Q778">
        <v>0</v>
      </c>
      <c r="S778">
        <v>0</v>
      </c>
      <c r="T778">
        <v>0</v>
      </c>
      <c r="U778">
        <v>0</v>
      </c>
      <c r="W778" t="s">
        <v>52</v>
      </c>
    </row>
    <row r="779" spans="1:23" x14ac:dyDescent="0.35">
      <c r="A779" t="s">
        <v>45</v>
      </c>
      <c r="B779" t="s">
        <v>1634</v>
      </c>
      <c r="C779" t="s">
        <v>60</v>
      </c>
      <c r="D779" t="s">
        <v>61</v>
      </c>
      <c r="E779" t="s">
        <v>61</v>
      </c>
      <c r="F779" t="s">
        <v>54</v>
      </c>
      <c r="G779" t="s">
        <v>1650</v>
      </c>
      <c r="H779" t="s">
        <v>1651</v>
      </c>
      <c r="J779" t="str">
        <f>HYPERLINK("https://www.facebook.com/634639855377280/posts/808827474625183?comment_id=931596775351498","https://www.facebook.com/634639855377280/posts/808827474625183?comment_id=931596775351498")</f>
        <v>https://www.facebook.com/634639855377280/posts/808827474625183?comment_id=931596775351498</v>
      </c>
      <c r="O779">
        <v>0</v>
      </c>
      <c r="P779">
        <v>0</v>
      </c>
      <c r="Q779">
        <v>0</v>
      </c>
      <c r="S779">
        <v>0</v>
      </c>
      <c r="T779">
        <v>0</v>
      </c>
      <c r="U779">
        <v>0</v>
      </c>
      <c r="W779" t="s">
        <v>52</v>
      </c>
    </row>
    <row r="780" spans="1:23" x14ac:dyDescent="0.35">
      <c r="A780" t="s">
        <v>45</v>
      </c>
      <c r="B780" t="s">
        <v>1634</v>
      </c>
      <c r="C780" t="s">
        <v>93</v>
      </c>
      <c r="D780" t="s">
        <v>752</v>
      </c>
      <c r="E780" t="s">
        <v>753</v>
      </c>
      <c r="F780" t="s">
        <v>49</v>
      </c>
      <c r="G780" t="s">
        <v>1652</v>
      </c>
      <c r="H780" t="s">
        <v>1653</v>
      </c>
      <c r="J780" t="str">
        <f>HYPERLINK("https://twitter.com/PayNearby/status/1768578610586095720","https://twitter.com/PayNearby/status/1768578610586095720")</f>
        <v>https://twitter.com/PayNearby/status/1768578610586095720</v>
      </c>
      <c r="O780">
        <v>0</v>
      </c>
      <c r="P780">
        <v>0</v>
      </c>
      <c r="Q780">
        <v>6025</v>
      </c>
      <c r="R780" t="s">
        <v>756</v>
      </c>
      <c r="S780">
        <v>0</v>
      </c>
      <c r="T780">
        <v>0</v>
      </c>
      <c r="U780">
        <v>0</v>
      </c>
      <c r="W780" t="s">
        <v>99</v>
      </c>
    </row>
    <row r="781" spans="1:23" x14ac:dyDescent="0.35">
      <c r="A781" t="s">
        <v>45</v>
      </c>
      <c r="B781" t="s">
        <v>1634</v>
      </c>
      <c r="C781" t="s">
        <v>60</v>
      </c>
      <c r="D781" t="s">
        <v>61</v>
      </c>
      <c r="E781" t="s">
        <v>61</v>
      </c>
      <c r="F781" t="s">
        <v>49</v>
      </c>
      <c r="G781" t="s">
        <v>1654</v>
      </c>
      <c r="H781" t="s">
        <v>1655</v>
      </c>
      <c r="J781" t="str">
        <f>HYPERLINK("https://www.facebook.com/634639855377280/posts/806532724854658?comment_id=1155226612513846","https://www.facebook.com/634639855377280/posts/806532724854658?comment_id=1155226612513846")</f>
        <v>https://www.facebook.com/634639855377280/posts/806532724854658?comment_id=1155226612513846</v>
      </c>
      <c r="O781">
        <v>0</v>
      </c>
      <c r="P781">
        <v>0</v>
      </c>
      <c r="Q781">
        <v>0</v>
      </c>
      <c r="S781">
        <v>0</v>
      </c>
      <c r="T781">
        <v>0</v>
      </c>
      <c r="U781">
        <v>0</v>
      </c>
      <c r="W781" t="s">
        <v>52</v>
      </c>
    </row>
    <row r="782" spans="1:23" x14ac:dyDescent="0.35">
      <c r="A782" t="s">
        <v>45</v>
      </c>
      <c r="B782" t="s">
        <v>1634</v>
      </c>
      <c r="C782" t="s">
        <v>60</v>
      </c>
      <c r="D782" t="s">
        <v>64</v>
      </c>
      <c r="E782" t="s">
        <v>64</v>
      </c>
      <c r="F782" t="s">
        <v>49</v>
      </c>
      <c r="G782" t="s">
        <v>1656</v>
      </c>
      <c r="H782" t="s">
        <v>1657</v>
      </c>
      <c r="J782" t="str">
        <f>HYPERLINK("https://www.facebook.com/634639855377280/posts/808827474625183","https://www.facebook.com/634639855377280/posts/808827474625183")</f>
        <v>https://www.facebook.com/634639855377280/posts/808827474625183</v>
      </c>
      <c r="O782">
        <v>0</v>
      </c>
      <c r="P782">
        <v>0</v>
      </c>
      <c r="Q782">
        <v>0</v>
      </c>
      <c r="S782">
        <v>10</v>
      </c>
      <c r="T782">
        <v>53</v>
      </c>
      <c r="U782">
        <v>3</v>
      </c>
      <c r="W782" t="s">
        <v>346</v>
      </c>
    </row>
    <row r="783" spans="1:23" x14ac:dyDescent="0.35">
      <c r="A783" t="s">
        <v>45</v>
      </c>
      <c r="B783" t="s">
        <v>1634</v>
      </c>
      <c r="C783" t="s">
        <v>60</v>
      </c>
      <c r="D783" t="s">
        <v>61</v>
      </c>
      <c r="E783" t="s">
        <v>61</v>
      </c>
      <c r="F783" t="s">
        <v>193</v>
      </c>
      <c r="G783" t="s">
        <v>1658</v>
      </c>
      <c r="H783" t="s">
        <v>1659</v>
      </c>
      <c r="J783" t="str">
        <f>HYPERLINK("https://www.facebook.com/634639855377280/posts/806532724854658?comment_id=713967040892556&amp;reply_comment_id=956844072454358","https://www.facebook.com/634639855377280/posts/806532724854658?comment_id=713967040892556&amp;reply_comment_id=956844072454358")</f>
        <v>https://www.facebook.com/634639855377280/posts/806532724854658?comment_id=713967040892556&amp;reply_comment_id=956844072454358</v>
      </c>
      <c r="O783">
        <v>0</v>
      </c>
      <c r="P783">
        <v>0</v>
      </c>
      <c r="Q783">
        <v>0</v>
      </c>
      <c r="S783">
        <v>0</v>
      </c>
      <c r="T783">
        <v>0</v>
      </c>
      <c r="U783">
        <v>0</v>
      </c>
      <c r="W783" t="s">
        <v>52</v>
      </c>
    </row>
    <row r="784" spans="1:23" x14ac:dyDescent="0.35">
      <c r="A784" t="s">
        <v>45</v>
      </c>
      <c r="B784" t="s">
        <v>1634</v>
      </c>
      <c r="C784" t="s">
        <v>60</v>
      </c>
      <c r="D784" t="s">
        <v>61</v>
      </c>
      <c r="E784" t="s">
        <v>61</v>
      </c>
      <c r="F784" t="s">
        <v>49</v>
      </c>
      <c r="G784" t="s">
        <v>1660</v>
      </c>
      <c r="H784" t="s">
        <v>1661</v>
      </c>
      <c r="J784" t="str">
        <f>HYPERLINK("https://www.facebook.com/634639855377280/posts/806532724854658?comment_id=1081291146493915&amp;reply_comment_id=326375443748766","https://www.facebook.com/634639855377280/posts/806532724854658?comment_id=1081291146493915&amp;reply_comment_id=326375443748766")</f>
        <v>https://www.facebook.com/634639855377280/posts/806532724854658?comment_id=1081291146493915&amp;reply_comment_id=326375443748766</v>
      </c>
      <c r="O784">
        <v>0</v>
      </c>
      <c r="P784">
        <v>0</v>
      </c>
      <c r="Q784">
        <v>0</v>
      </c>
      <c r="S784">
        <v>0</v>
      </c>
      <c r="T784">
        <v>0</v>
      </c>
      <c r="U784">
        <v>0</v>
      </c>
      <c r="W784" t="s">
        <v>52</v>
      </c>
    </row>
    <row r="785" spans="1:23" x14ac:dyDescent="0.35">
      <c r="A785" t="s">
        <v>45</v>
      </c>
      <c r="B785" t="s">
        <v>1634</v>
      </c>
      <c r="C785" t="s">
        <v>93</v>
      </c>
      <c r="D785" t="s">
        <v>762</v>
      </c>
      <c r="E785" t="s">
        <v>763</v>
      </c>
      <c r="F785" t="s">
        <v>54</v>
      </c>
      <c r="G785" t="s">
        <v>1662</v>
      </c>
      <c r="H785" t="s">
        <v>1663</v>
      </c>
      <c r="J785" t="str">
        <f>HYPERLINK("https://twitter.com/jitendra261988/status/1768525275443208645","https://twitter.com/jitendra261988/status/1768525275443208645")</f>
        <v>https://twitter.com/jitendra261988/status/1768525275443208645</v>
      </c>
      <c r="K785" t="s">
        <v>67</v>
      </c>
      <c r="O785">
        <v>0</v>
      </c>
      <c r="P785">
        <v>0</v>
      </c>
      <c r="Q785">
        <v>18</v>
      </c>
      <c r="S785">
        <v>0</v>
      </c>
      <c r="T785">
        <v>0</v>
      </c>
      <c r="U785">
        <v>0</v>
      </c>
      <c r="W785" t="s">
        <v>99</v>
      </c>
    </row>
    <row r="786" spans="1:23" x14ac:dyDescent="0.35">
      <c r="A786" t="s">
        <v>45</v>
      </c>
      <c r="B786" t="s">
        <v>1634</v>
      </c>
      <c r="C786" t="s">
        <v>93</v>
      </c>
      <c r="D786" t="s">
        <v>752</v>
      </c>
      <c r="E786" t="s">
        <v>753</v>
      </c>
      <c r="F786" t="s">
        <v>49</v>
      </c>
      <c r="G786" t="s">
        <v>1664</v>
      </c>
      <c r="H786" t="s">
        <v>1665</v>
      </c>
      <c r="J786" t="str">
        <f>HYPERLINK("https://twitter.com/PayNearby/status/1768521116606218391","https://twitter.com/PayNearby/status/1768521116606218391")</f>
        <v>https://twitter.com/PayNearby/status/1768521116606218391</v>
      </c>
      <c r="O786">
        <v>0</v>
      </c>
      <c r="P786">
        <v>0</v>
      </c>
      <c r="Q786">
        <v>6024</v>
      </c>
      <c r="R786" t="s">
        <v>756</v>
      </c>
      <c r="S786">
        <v>0</v>
      </c>
      <c r="T786">
        <v>0</v>
      </c>
      <c r="U786">
        <v>0</v>
      </c>
      <c r="W786" t="s">
        <v>99</v>
      </c>
    </row>
    <row r="787" spans="1:23" x14ac:dyDescent="0.35">
      <c r="A787" t="s">
        <v>45</v>
      </c>
      <c r="B787" t="s">
        <v>1634</v>
      </c>
      <c r="C787" t="s">
        <v>93</v>
      </c>
      <c r="D787" t="s">
        <v>762</v>
      </c>
      <c r="E787" t="s">
        <v>763</v>
      </c>
      <c r="F787" t="s">
        <v>193</v>
      </c>
      <c r="G787" t="s">
        <v>1541</v>
      </c>
      <c r="H787" t="s">
        <v>1666</v>
      </c>
      <c r="J787" t="str">
        <f>HYPERLINK("https://twitter.com/jitendra261988/status/1768518163417780251","https://twitter.com/jitendra261988/status/1768518163417780251")</f>
        <v>https://twitter.com/jitendra261988/status/1768518163417780251</v>
      </c>
      <c r="K787" t="s">
        <v>67</v>
      </c>
      <c r="O787">
        <v>0</v>
      </c>
      <c r="P787">
        <v>0</v>
      </c>
      <c r="Q787">
        <v>18</v>
      </c>
      <c r="S787">
        <v>0</v>
      </c>
      <c r="T787">
        <v>0</v>
      </c>
      <c r="U787">
        <v>0</v>
      </c>
      <c r="W787" t="s">
        <v>433</v>
      </c>
    </row>
    <row r="788" spans="1:23" x14ac:dyDescent="0.35">
      <c r="A788" t="s">
        <v>45</v>
      </c>
      <c r="B788" t="s">
        <v>1634</v>
      </c>
      <c r="C788" t="s">
        <v>93</v>
      </c>
      <c r="D788" t="s">
        <v>762</v>
      </c>
      <c r="E788" t="s">
        <v>763</v>
      </c>
      <c r="F788" t="s">
        <v>193</v>
      </c>
      <c r="G788" t="s">
        <v>1541</v>
      </c>
      <c r="H788" t="s">
        <v>1667</v>
      </c>
      <c r="J788" t="str">
        <f>HYPERLINK("https://twitter.com/jitendra261988/status/1768512468123324915","https://twitter.com/jitendra261988/status/1768512468123324915")</f>
        <v>https://twitter.com/jitendra261988/status/1768512468123324915</v>
      </c>
      <c r="K788" t="s">
        <v>67</v>
      </c>
      <c r="O788">
        <v>0</v>
      </c>
      <c r="P788">
        <v>0</v>
      </c>
      <c r="Q788">
        <v>18</v>
      </c>
      <c r="S788">
        <v>0</v>
      </c>
      <c r="T788">
        <v>0</v>
      </c>
      <c r="U788">
        <v>0</v>
      </c>
      <c r="W788" t="s">
        <v>99</v>
      </c>
    </row>
    <row r="789" spans="1:23" x14ac:dyDescent="0.35">
      <c r="A789" t="s">
        <v>45</v>
      </c>
      <c r="B789" t="s">
        <v>1634</v>
      </c>
      <c r="C789" t="s">
        <v>93</v>
      </c>
      <c r="D789" t="s">
        <v>762</v>
      </c>
      <c r="E789" t="s">
        <v>763</v>
      </c>
      <c r="F789" t="s">
        <v>193</v>
      </c>
      <c r="G789" t="s">
        <v>1668</v>
      </c>
      <c r="H789" t="s">
        <v>1669</v>
      </c>
      <c r="J789" t="str">
        <f>HYPERLINK("https://twitter.com/jitendra261988/status/1768512019152429175","https://twitter.com/jitendra261988/status/1768512019152429175")</f>
        <v>https://twitter.com/jitendra261988/status/1768512019152429175</v>
      </c>
      <c r="K789" t="s">
        <v>67</v>
      </c>
      <c r="O789">
        <v>0</v>
      </c>
      <c r="P789">
        <v>0</v>
      </c>
      <c r="Q789">
        <v>18</v>
      </c>
      <c r="S789">
        <v>0</v>
      </c>
      <c r="T789">
        <v>0</v>
      </c>
      <c r="U789">
        <v>0</v>
      </c>
      <c r="W789" t="s">
        <v>99</v>
      </c>
    </row>
    <row r="790" spans="1:23" x14ac:dyDescent="0.35">
      <c r="A790" t="s">
        <v>45</v>
      </c>
      <c r="B790" t="s">
        <v>1634</v>
      </c>
      <c r="C790" t="s">
        <v>47</v>
      </c>
      <c r="D790" t="s">
        <v>45</v>
      </c>
      <c r="E790" t="s">
        <v>45</v>
      </c>
      <c r="F790" t="s">
        <v>49</v>
      </c>
      <c r="G790" t="s">
        <v>1670</v>
      </c>
      <c r="H790" t="s">
        <v>1671</v>
      </c>
      <c r="J790" t="str">
        <f>HYPERLINK("https://www.youtube.com/watch?v=ePyXndgB7c0","https://www.youtube.com/watch?v=ePyXndgB7c0")</f>
        <v>https://www.youtube.com/watch?v=ePyXndgB7c0</v>
      </c>
      <c r="O790">
        <v>0</v>
      </c>
      <c r="P790">
        <v>0</v>
      </c>
      <c r="Q790">
        <v>0</v>
      </c>
      <c r="S790">
        <v>0</v>
      </c>
      <c r="T790">
        <v>0</v>
      </c>
      <c r="U790">
        <v>0</v>
      </c>
      <c r="W790" t="s">
        <v>346</v>
      </c>
    </row>
    <row r="791" spans="1:23" x14ac:dyDescent="0.35">
      <c r="A791" t="s">
        <v>45</v>
      </c>
      <c r="B791" t="s">
        <v>1634</v>
      </c>
      <c r="C791" t="s">
        <v>93</v>
      </c>
      <c r="D791" t="s">
        <v>762</v>
      </c>
      <c r="E791" t="s">
        <v>763</v>
      </c>
      <c r="F791" t="s">
        <v>193</v>
      </c>
      <c r="G791" t="s">
        <v>1672</v>
      </c>
      <c r="H791" t="s">
        <v>1673</v>
      </c>
      <c r="J791" t="str">
        <f>HYPERLINK("https://twitter.com/jitendra261988/status/1768502720581775480","https://twitter.com/jitendra261988/status/1768502720581775480")</f>
        <v>https://twitter.com/jitendra261988/status/1768502720581775480</v>
      </c>
      <c r="K791" t="s">
        <v>67</v>
      </c>
      <c r="O791">
        <v>0</v>
      </c>
      <c r="P791">
        <v>0</v>
      </c>
      <c r="Q791">
        <v>18</v>
      </c>
      <c r="S791">
        <v>0</v>
      </c>
      <c r="T791">
        <v>0</v>
      </c>
      <c r="U791">
        <v>0</v>
      </c>
      <c r="W791" t="s">
        <v>99</v>
      </c>
    </row>
    <row r="792" spans="1:23" x14ac:dyDescent="0.35">
      <c r="A792" t="s">
        <v>45</v>
      </c>
      <c r="B792" t="s">
        <v>1634</v>
      </c>
      <c r="C792" t="s">
        <v>47</v>
      </c>
      <c r="D792" t="s">
        <v>1674</v>
      </c>
      <c r="E792" t="s">
        <v>1674</v>
      </c>
      <c r="F792" t="s">
        <v>49</v>
      </c>
      <c r="G792" t="s">
        <v>1675</v>
      </c>
      <c r="H792" t="s">
        <v>1676</v>
      </c>
      <c r="J792" t="str">
        <f>HYPERLINK("https://www.youtube.com/watch?v=mywlDWI77_k&amp;lc=Ugy-dcYZLWyfGQjizxl4AaABAg","https://www.youtube.com/watch?v=mywlDWI77_k&amp;lc=Ugy-dcYZLWyfGQjizxl4AaABAg")</f>
        <v>https://www.youtube.com/watch?v=mywlDWI77_k&amp;lc=Ugy-dcYZLWyfGQjizxl4AaABAg</v>
      </c>
      <c r="O792">
        <v>0</v>
      </c>
      <c r="P792">
        <v>0</v>
      </c>
      <c r="Q792">
        <v>0</v>
      </c>
      <c r="S792">
        <v>0</v>
      </c>
      <c r="T792">
        <v>0</v>
      </c>
      <c r="U792">
        <v>0</v>
      </c>
      <c r="W792" t="s">
        <v>52</v>
      </c>
    </row>
    <row r="793" spans="1:23" x14ac:dyDescent="0.35">
      <c r="A793" t="s">
        <v>45</v>
      </c>
      <c r="B793" t="s">
        <v>1634</v>
      </c>
      <c r="C793" t="s">
        <v>47</v>
      </c>
      <c r="D793" t="s">
        <v>1677</v>
      </c>
      <c r="E793" t="s">
        <v>1677</v>
      </c>
      <c r="F793" t="s">
        <v>54</v>
      </c>
      <c r="G793" t="s">
        <v>1678</v>
      </c>
      <c r="H793" t="s">
        <v>1679</v>
      </c>
      <c r="J793" t="str">
        <f>HYPERLINK("https://www.youtube.com/watch?v=p-pyRnxiAEA&amp;lc=UgzLa0-xnDTLnZZQ9ht4AaABAg","https://www.youtube.com/watch?v=p-pyRnxiAEA&amp;lc=UgzLa0-xnDTLnZZQ9ht4AaABAg")</f>
        <v>https://www.youtube.com/watch?v=p-pyRnxiAEA&amp;lc=UgzLa0-xnDTLnZZQ9ht4AaABAg</v>
      </c>
      <c r="O793">
        <v>0</v>
      </c>
      <c r="P793">
        <v>0</v>
      </c>
      <c r="Q793">
        <v>0</v>
      </c>
      <c r="S793">
        <v>0</v>
      </c>
      <c r="T793">
        <v>0</v>
      </c>
      <c r="U793">
        <v>0</v>
      </c>
      <c r="W793" t="s">
        <v>52</v>
      </c>
    </row>
    <row r="794" spans="1:23" x14ac:dyDescent="0.35">
      <c r="A794" t="s">
        <v>45</v>
      </c>
      <c r="B794" t="s">
        <v>1634</v>
      </c>
      <c r="C794" t="s">
        <v>60</v>
      </c>
      <c r="D794" t="s">
        <v>61</v>
      </c>
      <c r="E794" t="s">
        <v>61</v>
      </c>
      <c r="F794" t="s">
        <v>49</v>
      </c>
      <c r="G794" t="s">
        <v>1680</v>
      </c>
      <c r="H794" t="s">
        <v>1681</v>
      </c>
      <c r="J794" t="str">
        <f>HYPERLINK("https://www.facebook.com/634639855377280/posts/806532724854658?comment_id=1178894093097926","https://www.facebook.com/634639855377280/posts/806532724854658?comment_id=1178894093097926")</f>
        <v>https://www.facebook.com/634639855377280/posts/806532724854658?comment_id=1178894093097926</v>
      </c>
      <c r="O794">
        <v>0</v>
      </c>
      <c r="P794">
        <v>0</v>
      </c>
      <c r="Q794">
        <v>0</v>
      </c>
      <c r="S794">
        <v>0</v>
      </c>
      <c r="T794">
        <v>0</v>
      </c>
      <c r="U794">
        <v>0</v>
      </c>
      <c r="W794" t="s">
        <v>52</v>
      </c>
    </row>
    <row r="795" spans="1:23" x14ac:dyDescent="0.35">
      <c r="A795" t="s">
        <v>45</v>
      </c>
      <c r="B795" t="s">
        <v>1634</v>
      </c>
      <c r="C795" t="s">
        <v>60</v>
      </c>
      <c r="D795" t="s">
        <v>61</v>
      </c>
      <c r="E795" t="s">
        <v>61</v>
      </c>
      <c r="F795" t="s">
        <v>49</v>
      </c>
      <c r="G795" t="s">
        <v>1682</v>
      </c>
      <c r="H795" t="s">
        <v>1683</v>
      </c>
      <c r="J795" t="str">
        <f>HYPERLINK("https://www.facebook.com/634639855377280/posts/807074171467180?comment_id=924989729273389","https://www.facebook.com/634639855377280/posts/807074171467180?comment_id=924989729273389")</f>
        <v>https://www.facebook.com/634639855377280/posts/807074171467180?comment_id=924989729273389</v>
      </c>
      <c r="O795">
        <v>0</v>
      </c>
      <c r="P795">
        <v>0</v>
      </c>
      <c r="Q795">
        <v>0</v>
      </c>
      <c r="S795">
        <v>0</v>
      </c>
      <c r="T795">
        <v>0</v>
      </c>
      <c r="U795">
        <v>0</v>
      </c>
      <c r="W795" t="s">
        <v>52</v>
      </c>
    </row>
    <row r="796" spans="1:23" x14ac:dyDescent="0.35">
      <c r="A796" t="s">
        <v>45</v>
      </c>
      <c r="B796" t="s">
        <v>1684</v>
      </c>
      <c r="C796" t="s">
        <v>60</v>
      </c>
      <c r="D796" t="s">
        <v>61</v>
      </c>
      <c r="E796" t="s">
        <v>61</v>
      </c>
      <c r="F796" t="s">
        <v>49</v>
      </c>
      <c r="G796" t="s">
        <v>1685</v>
      </c>
      <c r="H796" t="s">
        <v>1686</v>
      </c>
      <c r="J796" t="str">
        <f>HYPERLINK("https://www.facebook.com/634639855377280/posts/807074171467180?comment_id=1093684871884261","https://www.facebook.com/634639855377280/posts/807074171467180?comment_id=1093684871884261")</f>
        <v>https://www.facebook.com/634639855377280/posts/807074171467180?comment_id=1093684871884261</v>
      </c>
      <c r="O796">
        <v>0</v>
      </c>
      <c r="P796">
        <v>0</v>
      </c>
      <c r="Q796">
        <v>0</v>
      </c>
      <c r="S796">
        <v>0</v>
      </c>
      <c r="T796">
        <v>0</v>
      </c>
      <c r="U796">
        <v>0</v>
      </c>
      <c r="W796" t="s">
        <v>52</v>
      </c>
    </row>
    <row r="797" spans="1:23" x14ac:dyDescent="0.35">
      <c r="A797" t="s">
        <v>45</v>
      </c>
      <c r="B797" t="s">
        <v>1684</v>
      </c>
      <c r="C797" t="s">
        <v>60</v>
      </c>
      <c r="D797" t="s">
        <v>61</v>
      </c>
      <c r="E797" t="s">
        <v>61</v>
      </c>
      <c r="F797" t="s">
        <v>49</v>
      </c>
      <c r="G797" t="s">
        <v>1687</v>
      </c>
      <c r="H797" t="s">
        <v>1688</v>
      </c>
      <c r="J797" t="str">
        <f>HYPERLINK("https://www.facebook.com/634639855377280/posts/806532724854658?comment_id=1081291146493915&amp;reply_comment_id=1110228430311177","https://www.facebook.com/634639855377280/posts/806532724854658?comment_id=1081291146493915&amp;reply_comment_id=1110228430311177")</f>
        <v>https://www.facebook.com/634639855377280/posts/806532724854658?comment_id=1081291146493915&amp;reply_comment_id=1110228430311177</v>
      </c>
      <c r="O797">
        <v>0</v>
      </c>
      <c r="P797">
        <v>0</v>
      </c>
      <c r="Q797">
        <v>0</v>
      </c>
      <c r="S797">
        <v>0</v>
      </c>
      <c r="T797">
        <v>0</v>
      </c>
      <c r="U797">
        <v>0</v>
      </c>
      <c r="W797" t="s">
        <v>52</v>
      </c>
    </row>
    <row r="798" spans="1:23" x14ac:dyDescent="0.35">
      <c r="A798" t="s">
        <v>45</v>
      </c>
      <c r="B798" t="s">
        <v>1684</v>
      </c>
      <c r="C798" t="s">
        <v>60</v>
      </c>
      <c r="D798" t="s">
        <v>61</v>
      </c>
      <c r="E798" t="s">
        <v>61</v>
      </c>
      <c r="F798" t="s">
        <v>49</v>
      </c>
      <c r="G798" t="s">
        <v>1689</v>
      </c>
      <c r="H798" t="s">
        <v>1690</v>
      </c>
      <c r="J798" t="str">
        <f>HYPERLINK("https://www.facebook.com/634639855377280/posts/806532724854658?comment_id=925872239201315&amp;reply_comment_id=1097527118165382","https://www.facebook.com/634639855377280/posts/806532724854658?comment_id=925872239201315&amp;reply_comment_id=1097527118165382")</f>
        <v>https://www.facebook.com/634639855377280/posts/806532724854658?comment_id=925872239201315&amp;reply_comment_id=1097527118165382</v>
      </c>
      <c r="O798">
        <v>0</v>
      </c>
      <c r="P798">
        <v>0</v>
      </c>
      <c r="Q798">
        <v>0</v>
      </c>
      <c r="S798">
        <v>0</v>
      </c>
      <c r="T798">
        <v>0</v>
      </c>
      <c r="U798">
        <v>0</v>
      </c>
      <c r="W798" t="s">
        <v>52</v>
      </c>
    </row>
    <row r="799" spans="1:23" x14ac:dyDescent="0.35">
      <c r="A799" t="s">
        <v>45</v>
      </c>
      <c r="B799" t="s">
        <v>1684</v>
      </c>
      <c r="C799" t="s">
        <v>47</v>
      </c>
      <c r="D799" t="s">
        <v>1691</v>
      </c>
      <c r="E799" t="s">
        <v>1691</v>
      </c>
      <c r="F799" t="s">
        <v>49</v>
      </c>
      <c r="G799" t="s">
        <v>1692</v>
      </c>
      <c r="H799" t="s">
        <v>1693</v>
      </c>
      <c r="J799" t="str">
        <f>HYPERLINK("https://www.youtube.com/watch?v=wDVpKG8jfSo&amp;lc=UgxYlSbzqoCU7pGGlBd4AaABAg","https://www.youtube.com/watch?v=wDVpKG8jfSo&amp;lc=UgxYlSbzqoCU7pGGlBd4AaABAg")</f>
        <v>https://www.youtube.com/watch?v=wDVpKG8jfSo&amp;lc=UgxYlSbzqoCU7pGGlBd4AaABAg</v>
      </c>
      <c r="O799">
        <v>0</v>
      </c>
      <c r="P799">
        <v>0</v>
      </c>
      <c r="Q799">
        <v>0</v>
      </c>
      <c r="S799">
        <v>0</v>
      </c>
      <c r="T799">
        <v>0</v>
      </c>
      <c r="U799">
        <v>0</v>
      </c>
      <c r="W799" t="s">
        <v>52</v>
      </c>
    </row>
    <row r="800" spans="1:23" x14ac:dyDescent="0.35">
      <c r="A800" t="s">
        <v>45</v>
      </c>
      <c r="B800" t="s">
        <v>1684</v>
      </c>
      <c r="C800" t="s">
        <v>93</v>
      </c>
      <c r="D800" t="s">
        <v>1694</v>
      </c>
      <c r="E800" t="s">
        <v>1695</v>
      </c>
      <c r="F800" t="s">
        <v>49</v>
      </c>
      <c r="G800" t="s">
        <v>1696</v>
      </c>
      <c r="H800" t="s">
        <v>1697</v>
      </c>
      <c r="J800" t="str">
        <f>HYPERLINK("https://twitter.com/Shadab_tw/status/1768281677929845026","https://twitter.com/Shadab_tw/status/1768281677929845026")</f>
        <v>https://twitter.com/Shadab_tw/status/1768281677929845026</v>
      </c>
      <c r="K800" t="s">
        <v>67</v>
      </c>
      <c r="O800">
        <v>0</v>
      </c>
      <c r="P800">
        <v>0</v>
      </c>
      <c r="Q800">
        <v>10</v>
      </c>
      <c r="R800" t="s">
        <v>1698</v>
      </c>
      <c r="S800">
        <v>0</v>
      </c>
      <c r="T800">
        <v>0</v>
      </c>
      <c r="U800">
        <v>0</v>
      </c>
      <c r="W800" t="s">
        <v>99</v>
      </c>
    </row>
    <row r="801" spans="1:23" x14ac:dyDescent="0.35">
      <c r="A801" t="s">
        <v>45</v>
      </c>
      <c r="B801" t="s">
        <v>1684</v>
      </c>
      <c r="C801" t="s">
        <v>60</v>
      </c>
      <c r="D801" t="s">
        <v>61</v>
      </c>
      <c r="E801" t="s">
        <v>61</v>
      </c>
      <c r="F801" t="s">
        <v>49</v>
      </c>
      <c r="G801" t="s">
        <v>1699</v>
      </c>
      <c r="H801" t="s">
        <v>1700</v>
      </c>
      <c r="J801" t="str">
        <f>HYPERLINK("https://www.facebook.com/634639855377280/posts/806532724854658?comment_id=1231028378255774","https://www.facebook.com/634639855377280/posts/806532724854658?comment_id=1231028378255774")</f>
        <v>https://www.facebook.com/634639855377280/posts/806532724854658?comment_id=1231028378255774</v>
      </c>
      <c r="O801">
        <v>0</v>
      </c>
      <c r="P801">
        <v>0</v>
      </c>
      <c r="Q801">
        <v>0</v>
      </c>
      <c r="S801">
        <v>0</v>
      </c>
      <c r="T801">
        <v>0</v>
      </c>
      <c r="U801">
        <v>0</v>
      </c>
      <c r="W801" t="s">
        <v>52</v>
      </c>
    </row>
    <row r="802" spans="1:23" x14ac:dyDescent="0.35">
      <c r="A802" t="s">
        <v>45</v>
      </c>
      <c r="B802" t="s">
        <v>1684</v>
      </c>
      <c r="C802" t="s">
        <v>47</v>
      </c>
      <c r="D802" t="s">
        <v>1701</v>
      </c>
      <c r="E802" t="s">
        <v>1701</v>
      </c>
      <c r="F802" t="s">
        <v>49</v>
      </c>
      <c r="G802" t="s">
        <v>1702</v>
      </c>
      <c r="H802" t="s">
        <v>1703</v>
      </c>
      <c r="J802" t="str">
        <f>HYPERLINK("https://www.youtube.com/watch?v=YQSdpP96l0U&amp;lc=UgzUwjIxqK_FxCv7jSR4AaABAg","https://www.youtube.com/watch?v=YQSdpP96l0U&amp;lc=UgzUwjIxqK_FxCv7jSR4AaABAg")</f>
        <v>https://www.youtube.com/watch?v=YQSdpP96l0U&amp;lc=UgzUwjIxqK_FxCv7jSR4AaABAg</v>
      </c>
      <c r="O802">
        <v>0</v>
      </c>
      <c r="P802">
        <v>0</v>
      </c>
      <c r="Q802">
        <v>0</v>
      </c>
      <c r="S802">
        <v>0</v>
      </c>
      <c r="T802">
        <v>0</v>
      </c>
      <c r="U802">
        <v>0</v>
      </c>
      <c r="W802" t="s">
        <v>52</v>
      </c>
    </row>
    <row r="803" spans="1:23" x14ac:dyDescent="0.35">
      <c r="A803" t="s">
        <v>45</v>
      </c>
      <c r="B803" t="s">
        <v>1684</v>
      </c>
      <c r="C803" t="s">
        <v>60</v>
      </c>
      <c r="D803" t="s">
        <v>64</v>
      </c>
      <c r="E803" t="s">
        <v>64</v>
      </c>
      <c r="F803" t="s">
        <v>49</v>
      </c>
      <c r="G803" t="s">
        <v>1595</v>
      </c>
      <c r="H803" t="s">
        <v>1704</v>
      </c>
      <c r="J803" t="str">
        <f>HYPERLINK("https://www.facebook.com/634639855377280/posts/806532724854658?comment_id=1081291146493915&amp;reply_comment_id=327238107006574","https://www.facebook.com/634639855377280/posts/806532724854658?comment_id=1081291146493915&amp;reply_comment_id=327238107006574")</f>
        <v>https://www.facebook.com/634639855377280/posts/806532724854658?comment_id=1081291146493915&amp;reply_comment_id=327238107006574</v>
      </c>
      <c r="K803" t="s">
        <v>67</v>
      </c>
      <c r="O803">
        <v>0</v>
      </c>
      <c r="P803">
        <v>0</v>
      </c>
      <c r="Q803">
        <v>0</v>
      </c>
      <c r="S803">
        <v>0</v>
      </c>
      <c r="T803">
        <v>0</v>
      </c>
      <c r="U803">
        <v>0</v>
      </c>
      <c r="W803" t="s">
        <v>52</v>
      </c>
    </row>
    <row r="804" spans="1:23" x14ac:dyDescent="0.35">
      <c r="A804" t="s">
        <v>45</v>
      </c>
      <c r="B804" t="s">
        <v>1684</v>
      </c>
      <c r="C804" t="s">
        <v>93</v>
      </c>
      <c r="D804" t="s">
        <v>94</v>
      </c>
      <c r="E804" t="s">
        <v>45</v>
      </c>
      <c r="F804" t="s">
        <v>49</v>
      </c>
      <c r="G804" t="s">
        <v>1705</v>
      </c>
      <c r="H804" t="s">
        <v>1706</v>
      </c>
      <c r="J804" t="str">
        <f>HYPERLINK("https://twitter.com/SpiceMoneyIndia/status/1768251844260761687","https://twitter.com/SpiceMoneyIndia/status/1768251844260761687")</f>
        <v>https://twitter.com/SpiceMoneyIndia/status/1768251844260761687</v>
      </c>
      <c r="K804" t="s">
        <v>67</v>
      </c>
      <c r="O804">
        <v>0</v>
      </c>
      <c r="P804">
        <v>0</v>
      </c>
      <c r="Q804">
        <v>6070</v>
      </c>
      <c r="R804" t="s">
        <v>97</v>
      </c>
      <c r="S804">
        <v>0</v>
      </c>
      <c r="T804">
        <v>0</v>
      </c>
      <c r="U804">
        <v>0</v>
      </c>
      <c r="V804" t="s">
        <v>98</v>
      </c>
      <c r="W804" t="s">
        <v>99</v>
      </c>
    </row>
    <row r="805" spans="1:23" x14ac:dyDescent="0.35">
      <c r="A805" t="s">
        <v>45</v>
      </c>
      <c r="B805" t="s">
        <v>1684</v>
      </c>
      <c r="C805" t="s">
        <v>93</v>
      </c>
      <c r="D805" t="s">
        <v>94</v>
      </c>
      <c r="E805" t="s">
        <v>45</v>
      </c>
      <c r="F805" t="s">
        <v>49</v>
      </c>
      <c r="G805" t="s">
        <v>1707</v>
      </c>
      <c r="H805" t="s">
        <v>1708</v>
      </c>
      <c r="J805" t="str">
        <f>HYPERLINK("https://twitter.com/SpiceMoneyIndia/status/1768250290371768655","https://twitter.com/SpiceMoneyIndia/status/1768250290371768655")</f>
        <v>https://twitter.com/SpiceMoneyIndia/status/1768250290371768655</v>
      </c>
      <c r="K805" t="s">
        <v>67</v>
      </c>
      <c r="O805">
        <v>0</v>
      </c>
      <c r="P805">
        <v>0</v>
      </c>
      <c r="Q805">
        <v>6070</v>
      </c>
      <c r="R805" t="s">
        <v>97</v>
      </c>
      <c r="S805">
        <v>0</v>
      </c>
      <c r="T805">
        <v>0</v>
      </c>
      <c r="U805">
        <v>0</v>
      </c>
      <c r="V805" t="s">
        <v>98</v>
      </c>
      <c r="W805" t="s">
        <v>99</v>
      </c>
    </row>
    <row r="806" spans="1:23" x14ac:dyDescent="0.35">
      <c r="A806" t="s">
        <v>45</v>
      </c>
      <c r="B806" t="s">
        <v>1684</v>
      </c>
      <c r="C806" t="s">
        <v>47</v>
      </c>
      <c r="D806" t="s">
        <v>68</v>
      </c>
      <c r="E806" t="s">
        <v>68</v>
      </c>
      <c r="F806" t="s">
        <v>49</v>
      </c>
      <c r="G806" t="s">
        <v>1709</v>
      </c>
      <c r="H806" t="s">
        <v>1710</v>
      </c>
      <c r="J806" t="str">
        <f>HYPERLINK("https://www.youtube.com/watch?v=YQSdpP96l0U&amp;lc=Ugxk2-tb5W9QO3Da-6p4AaABAg.A0y0xmelGfoA0y6XE1SOjD","https://www.youtube.com/watch?v=YQSdpP96l0U&amp;lc=Ugxk2-tb5W9QO3Da-6p4AaABAg.A0y0xmelGfoA0y6XE1SOjD")</f>
        <v>https://www.youtube.com/watch?v=YQSdpP96l0U&amp;lc=Ugxk2-tb5W9QO3Da-6p4AaABAg.A0y0xmelGfoA0y6XE1SOjD</v>
      </c>
      <c r="O806">
        <v>0</v>
      </c>
      <c r="P806">
        <v>0</v>
      </c>
      <c r="Q806">
        <v>0</v>
      </c>
      <c r="S806">
        <v>0</v>
      </c>
      <c r="T806">
        <v>0</v>
      </c>
      <c r="U806">
        <v>0</v>
      </c>
      <c r="W806" t="s">
        <v>52</v>
      </c>
    </row>
    <row r="807" spans="1:23" x14ac:dyDescent="0.35">
      <c r="A807" t="s">
        <v>45</v>
      </c>
      <c r="B807" t="s">
        <v>1684</v>
      </c>
      <c r="C807" t="s">
        <v>60</v>
      </c>
      <c r="D807" t="s">
        <v>64</v>
      </c>
      <c r="E807" t="s">
        <v>64</v>
      </c>
      <c r="F807" t="s">
        <v>49</v>
      </c>
      <c r="G807" t="s">
        <v>1276</v>
      </c>
      <c r="H807" t="s">
        <v>1711</v>
      </c>
      <c r="J807" t="str">
        <f>HYPERLINK("https://www.facebook.com/634639855377280/posts/806532724854658?comment_id=925872239201315&amp;reply_comment_id=2182013488825344","https://www.facebook.com/634639855377280/posts/806532724854658?comment_id=925872239201315&amp;reply_comment_id=2182013488825344")</f>
        <v>https://www.facebook.com/634639855377280/posts/806532724854658?comment_id=925872239201315&amp;reply_comment_id=2182013488825344</v>
      </c>
      <c r="K807" t="s">
        <v>67</v>
      </c>
      <c r="O807">
        <v>0</v>
      </c>
      <c r="P807">
        <v>0</v>
      </c>
      <c r="Q807">
        <v>0</v>
      </c>
      <c r="S807">
        <v>0</v>
      </c>
      <c r="T807">
        <v>0</v>
      </c>
      <c r="U807">
        <v>0</v>
      </c>
      <c r="W807" t="s">
        <v>52</v>
      </c>
    </row>
    <row r="808" spans="1:23" x14ac:dyDescent="0.35">
      <c r="A808" t="s">
        <v>45</v>
      </c>
      <c r="B808" t="s">
        <v>1684</v>
      </c>
      <c r="C808" t="s">
        <v>47</v>
      </c>
      <c r="D808" t="s">
        <v>68</v>
      </c>
      <c r="E808" t="s">
        <v>68</v>
      </c>
      <c r="F808" t="s">
        <v>49</v>
      </c>
      <c r="G808" t="s">
        <v>1712</v>
      </c>
      <c r="H808" t="s">
        <v>1713</v>
      </c>
      <c r="J808" t="str">
        <f>HYPERLINK("https://www.youtube.com/watch?v=Vk9kehZJdww&amp;lc=Ugzl2zUGz5BsvYO5wOZ4AaABAg.A0xt2vSN-3MA0y5f-H4XzO","https://www.youtube.com/watch?v=Vk9kehZJdww&amp;lc=Ugzl2zUGz5BsvYO5wOZ4AaABAg.A0xt2vSN-3MA0y5f-H4XzO")</f>
        <v>https://www.youtube.com/watch?v=Vk9kehZJdww&amp;lc=Ugzl2zUGz5BsvYO5wOZ4AaABAg.A0xt2vSN-3MA0y5f-H4XzO</v>
      </c>
      <c r="O808">
        <v>0</v>
      </c>
      <c r="P808">
        <v>0</v>
      </c>
      <c r="Q808">
        <v>0</v>
      </c>
      <c r="S808">
        <v>0</v>
      </c>
      <c r="T808">
        <v>0</v>
      </c>
      <c r="U808">
        <v>0</v>
      </c>
      <c r="W808" t="s">
        <v>52</v>
      </c>
    </row>
    <row r="809" spans="1:23" x14ac:dyDescent="0.35">
      <c r="A809" t="s">
        <v>45</v>
      </c>
      <c r="B809" t="s">
        <v>1684</v>
      </c>
      <c r="C809" t="s">
        <v>47</v>
      </c>
      <c r="D809" t="s">
        <v>68</v>
      </c>
      <c r="E809" t="s">
        <v>68</v>
      </c>
      <c r="F809" t="s">
        <v>49</v>
      </c>
      <c r="G809" t="s">
        <v>102</v>
      </c>
      <c r="H809" t="s">
        <v>1714</v>
      </c>
      <c r="J809" t="str">
        <f>HYPERLINK("https://www.youtube.com/watch?v=5DADCSRiE3A&amp;lc=Ugyxpsz_lAWVQNxfXrJ4AaABAg.A0xKCq-V-UmA0y4QNb1hME","https://www.youtube.com/watch?v=5DADCSRiE3A&amp;lc=Ugyxpsz_lAWVQNxfXrJ4AaABAg.A0xKCq-V-UmA0y4QNb1hME")</f>
        <v>https://www.youtube.com/watch?v=5DADCSRiE3A&amp;lc=Ugyxpsz_lAWVQNxfXrJ4AaABAg.A0xKCq-V-UmA0y4QNb1hME</v>
      </c>
      <c r="O809">
        <v>0</v>
      </c>
      <c r="P809">
        <v>0</v>
      </c>
      <c r="Q809">
        <v>0</v>
      </c>
      <c r="S809">
        <v>0</v>
      </c>
      <c r="T809">
        <v>0</v>
      </c>
      <c r="U809">
        <v>0</v>
      </c>
      <c r="W809" t="s">
        <v>52</v>
      </c>
    </row>
    <row r="810" spans="1:23" x14ac:dyDescent="0.35">
      <c r="A810" t="s">
        <v>45</v>
      </c>
      <c r="B810" t="s">
        <v>1684</v>
      </c>
      <c r="C810" t="s">
        <v>47</v>
      </c>
      <c r="D810" t="s">
        <v>68</v>
      </c>
      <c r="E810" t="s">
        <v>68</v>
      </c>
      <c r="F810" t="s">
        <v>49</v>
      </c>
      <c r="G810" t="s">
        <v>1715</v>
      </c>
      <c r="H810" t="s">
        <v>1716</v>
      </c>
      <c r="J810" t="str">
        <f>HYPERLINK("https://www.youtube.com/watch?v=KRT5g20Nqy8&amp;lc=UgzfJKl2C6UBuLP_TTV4AaABAg.A0kZZ-DyH4QA0y4NgjSRqq","https://www.youtube.com/watch?v=KRT5g20Nqy8&amp;lc=UgzfJKl2C6UBuLP_TTV4AaABAg.A0kZZ-DyH4QA0y4NgjSRqq")</f>
        <v>https://www.youtube.com/watch?v=KRT5g20Nqy8&amp;lc=UgzfJKl2C6UBuLP_TTV4AaABAg.A0kZZ-DyH4QA0y4NgjSRqq</v>
      </c>
      <c r="O810">
        <v>0</v>
      </c>
      <c r="P810">
        <v>0</v>
      </c>
      <c r="Q810">
        <v>0</v>
      </c>
      <c r="S810">
        <v>0</v>
      </c>
      <c r="T810">
        <v>0</v>
      </c>
      <c r="U810">
        <v>0</v>
      </c>
      <c r="W810" t="s">
        <v>52</v>
      </c>
    </row>
    <row r="811" spans="1:23" x14ac:dyDescent="0.35">
      <c r="A811" t="s">
        <v>45</v>
      </c>
      <c r="B811" t="s">
        <v>1684</v>
      </c>
      <c r="C811" t="s">
        <v>60</v>
      </c>
      <c r="D811" t="s">
        <v>61</v>
      </c>
      <c r="E811" t="s">
        <v>61</v>
      </c>
      <c r="F811" t="s">
        <v>49</v>
      </c>
      <c r="G811" t="s">
        <v>1717</v>
      </c>
      <c r="H811" t="s">
        <v>1718</v>
      </c>
      <c r="J811" t="str">
        <f>HYPERLINK("https://www.facebook.com/634639855377280/posts/806532724854658?comment_id=925872239201315","https://www.facebook.com/634639855377280/posts/806532724854658?comment_id=925872239201315")</f>
        <v>https://www.facebook.com/634639855377280/posts/806532724854658?comment_id=925872239201315</v>
      </c>
      <c r="O811">
        <v>0</v>
      </c>
      <c r="P811">
        <v>0</v>
      </c>
      <c r="Q811">
        <v>0</v>
      </c>
      <c r="S811">
        <v>0</v>
      </c>
      <c r="T811">
        <v>0</v>
      </c>
      <c r="U811">
        <v>0</v>
      </c>
      <c r="W811" t="s">
        <v>52</v>
      </c>
    </row>
    <row r="812" spans="1:23" x14ac:dyDescent="0.35">
      <c r="A812" t="s">
        <v>45</v>
      </c>
      <c r="B812" t="s">
        <v>1684</v>
      </c>
      <c r="C812" t="s">
        <v>60</v>
      </c>
      <c r="D812" t="s">
        <v>61</v>
      </c>
      <c r="E812" t="s">
        <v>61</v>
      </c>
      <c r="F812" t="s">
        <v>49</v>
      </c>
      <c r="G812" t="s">
        <v>1719</v>
      </c>
      <c r="H812" t="s">
        <v>1720</v>
      </c>
      <c r="J812" t="str">
        <f>HYPERLINK("https://www.facebook.com/634639855377280/posts/806532724854658?comment_id=1081291146493915","https://www.facebook.com/634639855377280/posts/806532724854658?comment_id=1081291146493915")</f>
        <v>https://www.facebook.com/634639855377280/posts/806532724854658?comment_id=1081291146493915</v>
      </c>
      <c r="O812">
        <v>0</v>
      </c>
      <c r="P812">
        <v>0</v>
      </c>
      <c r="Q812">
        <v>0</v>
      </c>
      <c r="S812">
        <v>0</v>
      </c>
      <c r="T812">
        <v>0</v>
      </c>
      <c r="U812">
        <v>0</v>
      </c>
      <c r="W812" t="s">
        <v>52</v>
      </c>
    </row>
    <row r="813" spans="1:23" x14ac:dyDescent="0.35">
      <c r="A813" t="s">
        <v>45</v>
      </c>
      <c r="B813" t="s">
        <v>1684</v>
      </c>
      <c r="C813" t="s">
        <v>47</v>
      </c>
      <c r="D813" t="s">
        <v>1721</v>
      </c>
      <c r="E813" t="s">
        <v>1721</v>
      </c>
      <c r="F813" t="s">
        <v>193</v>
      </c>
      <c r="G813" t="s">
        <v>1722</v>
      </c>
      <c r="H813" t="s">
        <v>1723</v>
      </c>
      <c r="J813" t="str">
        <f>HYPERLINK("https://www.youtube.com/watch?v=YQSdpP96l0U&amp;lc=Ugxk2-tb5W9QO3Da-6p4AaABAg","https://www.youtube.com/watch?v=YQSdpP96l0U&amp;lc=Ugxk2-tb5W9QO3Da-6p4AaABAg")</f>
        <v>https://www.youtube.com/watch?v=YQSdpP96l0U&amp;lc=Ugxk2-tb5W9QO3Da-6p4AaABAg</v>
      </c>
      <c r="O813">
        <v>0</v>
      </c>
      <c r="P813">
        <v>0</v>
      </c>
      <c r="Q813">
        <v>0</v>
      </c>
      <c r="S813">
        <v>0</v>
      </c>
      <c r="T813">
        <v>0</v>
      </c>
      <c r="U813">
        <v>0</v>
      </c>
      <c r="W813" t="s">
        <v>52</v>
      </c>
    </row>
    <row r="814" spans="1:23" x14ac:dyDescent="0.35">
      <c r="A814" t="s">
        <v>45</v>
      </c>
      <c r="B814" t="s">
        <v>1684</v>
      </c>
      <c r="C814" t="s">
        <v>60</v>
      </c>
      <c r="D814" t="s">
        <v>64</v>
      </c>
      <c r="E814" t="s">
        <v>64</v>
      </c>
      <c r="F814" t="s">
        <v>49</v>
      </c>
      <c r="G814" t="s">
        <v>1276</v>
      </c>
      <c r="H814" t="s">
        <v>1724</v>
      </c>
      <c r="J814" t="str">
        <f>HYPERLINK("https://www.facebook.com/634639855377280/posts/806532724854658?comment_id=939738821195903&amp;reply_comment_id=729537312653775","https://www.facebook.com/634639855377280/posts/806532724854658?comment_id=939738821195903&amp;reply_comment_id=729537312653775")</f>
        <v>https://www.facebook.com/634639855377280/posts/806532724854658?comment_id=939738821195903&amp;reply_comment_id=729537312653775</v>
      </c>
      <c r="K814" t="s">
        <v>67</v>
      </c>
      <c r="O814">
        <v>0</v>
      </c>
      <c r="P814">
        <v>0</v>
      </c>
      <c r="Q814">
        <v>0</v>
      </c>
      <c r="S814">
        <v>0</v>
      </c>
      <c r="T814">
        <v>0</v>
      </c>
      <c r="U814">
        <v>0</v>
      </c>
      <c r="W814" t="s">
        <v>52</v>
      </c>
    </row>
    <row r="815" spans="1:23" x14ac:dyDescent="0.35">
      <c r="A815" t="s">
        <v>45</v>
      </c>
      <c r="B815" t="s">
        <v>1684</v>
      </c>
      <c r="C815" t="s">
        <v>47</v>
      </c>
      <c r="D815" t="s">
        <v>1725</v>
      </c>
      <c r="E815" t="s">
        <v>1725</v>
      </c>
      <c r="F815" t="s">
        <v>49</v>
      </c>
      <c r="G815" t="s">
        <v>1726</v>
      </c>
      <c r="H815" t="s">
        <v>1727</v>
      </c>
      <c r="J815" t="str">
        <f>HYPERLINK("https://www.youtube.com/watch?v=Vk9kehZJdww&amp;lc=Ugzl2zUGz5BsvYO5wOZ4AaABAg","https://www.youtube.com/watch?v=Vk9kehZJdww&amp;lc=Ugzl2zUGz5BsvYO5wOZ4AaABAg")</f>
        <v>https://www.youtube.com/watch?v=Vk9kehZJdww&amp;lc=Ugzl2zUGz5BsvYO5wOZ4AaABAg</v>
      </c>
      <c r="O815">
        <v>0</v>
      </c>
      <c r="P815">
        <v>0</v>
      </c>
      <c r="Q815">
        <v>0</v>
      </c>
      <c r="S815">
        <v>0</v>
      </c>
      <c r="T815">
        <v>0</v>
      </c>
      <c r="U815">
        <v>0</v>
      </c>
      <c r="W815" t="s">
        <v>52</v>
      </c>
    </row>
    <row r="816" spans="1:23" x14ac:dyDescent="0.35">
      <c r="A816" t="s">
        <v>45</v>
      </c>
      <c r="B816" t="s">
        <v>1684</v>
      </c>
      <c r="C816" t="s">
        <v>93</v>
      </c>
      <c r="D816" t="s">
        <v>94</v>
      </c>
      <c r="E816" t="s">
        <v>45</v>
      </c>
      <c r="F816" t="s">
        <v>49</v>
      </c>
      <c r="G816" t="s">
        <v>1728</v>
      </c>
      <c r="H816" t="s">
        <v>1729</v>
      </c>
      <c r="J816" t="str">
        <f>HYPERLINK("https://twitter.com/SpiceMoneyIndia/status/1768157331315994637","https://twitter.com/SpiceMoneyIndia/status/1768157331315994637")</f>
        <v>https://twitter.com/SpiceMoneyIndia/status/1768157331315994637</v>
      </c>
      <c r="K816" t="s">
        <v>67</v>
      </c>
      <c r="O816">
        <v>0</v>
      </c>
      <c r="P816">
        <v>0</v>
      </c>
      <c r="Q816">
        <v>6069</v>
      </c>
      <c r="R816" t="s">
        <v>97</v>
      </c>
      <c r="S816">
        <v>0</v>
      </c>
      <c r="T816">
        <v>0</v>
      </c>
      <c r="U816">
        <v>0</v>
      </c>
      <c r="V816" t="s">
        <v>98</v>
      </c>
      <c r="W816" t="s">
        <v>99</v>
      </c>
    </row>
    <row r="817" spans="1:23" x14ac:dyDescent="0.35">
      <c r="A817" t="s">
        <v>45</v>
      </c>
      <c r="B817" t="s">
        <v>1684</v>
      </c>
      <c r="C817" t="s">
        <v>93</v>
      </c>
      <c r="D817" t="s">
        <v>94</v>
      </c>
      <c r="E817" t="s">
        <v>45</v>
      </c>
      <c r="F817" t="s">
        <v>49</v>
      </c>
      <c r="G817" t="s">
        <v>1730</v>
      </c>
      <c r="H817" t="s">
        <v>1731</v>
      </c>
      <c r="J817" t="str">
        <f>HYPERLINK("https://twitter.com/SpiceMoneyIndia/status/1768139669051437261","https://twitter.com/SpiceMoneyIndia/status/1768139669051437261")</f>
        <v>https://twitter.com/SpiceMoneyIndia/status/1768139669051437261</v>
      </c>
      <c r="K817" t="s">
        <v>67</v>
      </c>
      <c r="O817">
        <v>0</v>
      </c>
      <c r="P817">
        <v>0</v>
      </c>
      <c r="Q817">
        <v>6070</v>
      </c>
      <c r="R817" t="s">
        <v>97</v>
      </c>
      <c r="S817">
        <v>0</v>
      </c>
      <c r="T817">
        <v>0</v>
      </c>
      <c r="U817">
        <v>0</v>
      </c>
      <c r="V817" t="s">
        <v>98</v>
      </c>
      <c r="W817" t="s">
        <v>99</v>
      </c>
    </row>
    <row r="818" spans="1:23" x14ac:dyDescent="0.35">
      <c r="A818" t="s">
        <v>45</v>
      </c>
      <c r="B818" t="s">
        <v>1684</v>
      </c>
      <c r="C818" t="s">
        <v>47</v>
      </c>
      <c r="D818" t="s">
        <v>68</v>
      </c>
      <c r="E818" t="s">
        <v>68</v>
      </c>
      <c r="F818" t="s">
        <v>49</v>
      </c>
      <c r="G818" t="s">
        <v>492</v>
      </c>
      <c r="H818" t="s">
        <v>1732</v>
      </c>
      <c r="J818" t="str">
        <f>HYPERLINK("https://www.youtube.com/watch?v=lgTr6XT0s8g&amp;lc=UgzjgxkUXJmub7Xyw4V4AaABAg.A0w0ZVclg71A0xMVQEy932","https://www.youtube.com/watch?v=lgTr6XT0s8g&amp;lc=UgzjgxkUXJmub7Xyw4V4AaABAg.A0w0ZVclg71A0xMVQEy932")</f>
        <v>https://www.youtube.com/watch?v=lgTr6XT0s8g&amp;lc=UgzjgxkUXJmub7Xyw4V4AaABAg.A0w0ZVclg71A0xMVQEy932</v>
      </c>
      <c r="O818">
        <v>0</v>
      </c>
      <c r="P818">
        <v>0</v>
      </c>
      <c r="Q818">
        <v>0</v>
      </c>
      <c r="S818">
        <v>0</v>
      </c>
      <c r="T818">
        <v>0</v>
      </c>
      <c r="U818">
        <v>0</v>
      </c>
      <c r="W818" t="s">
        <v>52</v>
      </c>
    </row>
    <row r="819" spans="1:23" x14ac:dyDescent="0.35">
      <c r="A819" t="s">
        <v>45</v>
      </c>
      <c r="B819" t="s">
        <v>1684</v>
      </c>
      <c r="C819" t="s">
        <v>47</v>
      </c>
      <c r="D819" t="s">
        <v>1733</v>
      </c>
      <c r="E819" t="s">
        <v>1733</v>
      </c>
      <c r="F819" t="s">
        <v>49</v>
      </c>
      <c r="G819" t="s">
        <v>1734</v>
      </c>
      <c r="H819" t="s">
        <v>1735</v>
      </c>
      <c r="J819" t="str">
        <f>HYPERLINK("https://www.youtube.com/watch?v=5DADCSRiE3A&amp;lc=Ugyxpsz_lAWVQNxfXrJ4AaABAg","https://www.youtube.com/watch?v=5DADCSRiE3A&amp;lc=Ugyxpsz_lAWVQNxfXrJ4AaABAg")</f>
        <v>https://www.youtube.com/watch?v=5DADCSRiE3A&amp;lc=Ugyxpsz_lAWVQNxfXrJ4AaABAg</v>
      </c>
      <c r="O819">
        <v>0</v>
      </c>
      <c r="P819">
        <v>0</v>
      </c>
      <c r="Q819">
        <v>0</v>
      </c>
      <c r="S819">
        <v>0</v>
      </c>
      <c r="T819">
        <v>0</v>
      </c>
      <c r="U819">
        <v>0</v>
      </c>
      <c r="W819" t="s">
        <v>52</v>
      </c>
    </row>
    <row r="820" spans="1:23" x14ac:dyDescent="0.35">
      <c r="A820" t="s">
        <v>45</v>
      </c>
      <c r="B820" t="s">
        <v>1684</v>
      </c>
      <c r="C820" t="s">
        <v>47</v>
      </c>
      <c r="D820" t="s">
        <v>1736</v>
      </c>
      <c r="E820" t="s">
        <v>1736</v>
      </c>
      <c r="F820" t="s">
        <v>54</v>
      </c>
      <c r="G820" t="s">
        <v>1737</v>
      </c>
      <c r="H820" t="s">
        <v>1738</v>
      </c>
      <c r="J820" t="str">
        <f>HYPERLINK("https://www.youtube.com/watch?v=ySy-ogKu0Pk&amp;lc=UgwmpqozTAm_Bsizfht4AaABAg","https://www.youtube.com/watch?v=ySy-ogKu0Pk&amp;lc=UgwmpqozTAm_Bsizfht4AaABAg")</f>
        <v>https://www.youtube.com/watch?v=ySy-ogKu0Pk&amp;lc=UgwmpqozTAm_Bsizfht4AaABAg</v>
      </c>
      <c r="O820">
        <v>0</v>
      </c>
      <c r="P820">
        <v>0</v>
      </c>
      <c r="Q820">
        <v>0</v>
      </c>
      <c r="S820">
        <v>0</v>
      </c>
      <c r="T820">
        <v>0</v>
      </c>
      <c r="U820">
        <v>0</v>
      </c>
      <c r="W820" t="s">
        <v>52</v>
      </c>
    </row>
    <row r="821" spans="1:23" x14ac:dyDescent="0.35">
      <c r="A821" t="s">
        <v>45</v>
      </c>
      <c r="B821" t="s">
        <v>1684</v>
      </c>
      <c r="C821" t="s">
        <v>47</v>
      </c>
      <c r="D821" t="s">
        <v>736</v>
      </c>
      <c r="E821" t="s">
        <v>736</v>
      </c>
      <c r="F821" t="s">
        <v>54</v>
      </c>
      <c r="G821" t="s">
        <v>1739</v>
      </c>
      <c r="H821" t="s">
        <v>1740</v>
      </c>
      <c r="J821" t="str">
        <f>HYPERLINK("https://www.youtube.com/watch?v=5TI2WDxdPyk","https://www.youtube.com/watch?v=5TI2WDxdPyk")</f>
        <v>https://www.youtube.com/watch?v=5TI2WDxdPyk</v>
      </c>
      <c r="O821">
        <v>0</v>
      </c>
      <c r="P821">
        <v>0</v>
      </c>
      <c r="Q821">
        <v>0</v>
      </c>
      <c r="S821">
        <v>0</v>
      </c>
      <c r="T821">
        <v>0</v>
      </c>
      <c r="U821">
        <v>0</v>
      </c>
      <c r="W821" t="s">
        <v>346</v>
      </c>
    </row>
    <row r="822" spans="1:23" x14ac:dyDescent="0.35">
      <c r="A822" t="s">
        <v>45</v>
      </c>
      <c r="B822" t="s">
        <v>1741</v>
      </c>
      <c r="C822" t="s">
        <v>60</v>
      </c>
      <c r="D822" t="s">
        <v>61</v>
      </c>
      <c r="E822" t="s">
        <v>61</v>
      </c>
      <c r="F822" t="s">
        <v>49</v>
      </c>
      <c r="G822" t="s">
        <v>1742</v>
      </c>
      <c r="H822" t="s">
        <v>1743</v>
      </c>
      <c r="J822" t="str">
        <f>HYPERLINK("https://www.facebook.com/634639855377280/posts/806532724854658?comment_id=939738821195903","https://www.facebook.com/634639855377280/posts/806532724854658?comment_id=939738821195903")</f>
        <v>https://www.facebook.com/634639855377280/posts/806532724854658?comment_id=939738821195903</v>
      </c>
      <c r="O822">
        <v>0</v>
      </c>
      <c r="P822">
        <v>0</v>
      </c>
      <c r="Q822">
        <v>0</v>
      </c>
      <c r="S822">
        <v>0</v>
      </c>
      <c r="T822">
        <v>0</v>
      </c>
      <c r="U822">
        <v>0</v>
      </c>
      <c r="W822" t="s">
        <v>52</v>
      </c>
    </row>
    <row r="823" spans="1:23" x14ac:dyDescent="0.35">
      <c r="A823" t="s">
        <v>45</v>
      </c>
      <c r="B823" t="s">
        <v>1741</v>
      </c>
      <c r="C823" t="s">
        <v>47</v>
      </c>
      <c r="D823" t="s">
        <v>1361</v>
      </c>
      <c r="E823" t="s">
        <v>1361</v>
      </c>
      <c r="F823" t="s">
        <v>49</v>
      </c>
      <c r="G823" t="s">
        <v>1744</v>
      </c>
      <c r="H823" t="s">
        <v>1745</v>
      </c>
      <c r="J823" t="str">
        <f>HYPERLINK("https://www.youtube.com/watch?v=lgTr6XT0s8g&amp;lc=UgzjgxkUXJmub7Xyw4V4AaABAg","https://www.youtube.com/watch?v=lgTr6XT0s8g&amp;lc=UgzjgxkUXJmub7Xyw4V4AaABAg")</f>
        <v>https://www.youtube.com/watch?v=lgTr6XT0s8g&amp;lc=UgzjgxkUXJmub7Xyw4V4AaABAg</v>
      </c>
      <c r="O823">
        <v>0</v>
      </c>
      <c r="P823">
        <v>0</v>
      </c>
      <c r="Q823">
        <v>0</v>
      </c>
      <c r="S823">
        <v>0</v>
      </c>
      <c r="T823">
        <v>0</v>
      </c>
      <c r="U823">
        <v>0</v>
      </c>
      <c r="W823" t="s">
        <v>52</v>
      </c>
    </row>
    <row r="824" spans="1:23" x14ac:dyDescent="0.35">
      <c r="A824" t="s">
        <v>45</v>
      </c>
      <c r="B824" t="s">
        <v>1741</v>
      </c>
      <c r="C824" t="s">
        <v>47</v>
      </c>
      <c r="D824" t="s">
        <v>1746</v>
      </c>
      <c r="E824" t="s">
        <v>1746</v>
      </c>
      <c r="F824" t="s">
        <v>49</v>
      </c>
      <c r="G824" t="s">
        <v>1747</v>
      </c>
      <c r="H824" t="s">
        <v>1748</v>
      </c>
      <c r="J824" t="str">
        <f>HYPERLINK("https://www.youtube.com/watch?v=QpzkSsSOid8","https://www.youtube.com/watch?v=QpzkSsSOid8")</f>
        <v>https://www.youtube.com/watch?v=QpzkSsSOid8</v>
      </c>
      <c r="O824">
        <v>0</v>
      </c>
      <c r="P824">
        <v>0</v>
      </c>
      <c r="Q824">
        <v>0</v>
      </c>
      <c r="S824">
        <v>0</v>
      </c>
      <c r="T824">
        <v>0</v>
      </c>
      <c r="U824">
        <v>0</v>
      </c>
      <c r="W824" t="s">
        <v>346</v>
      </c>
    </row>
    <row r="825" spans="1:23" x14ac:dyDescent="0.35">
      <c r="A825" t="s">
        <v>45</v>
      </c>
      <c r="B825" t="s">
        <v>1741</v>
      </c>
      <c r="C825" t="s">
        <v>93</v>
      </c>
      <c r="D825" t="s">
        <v>1749</v>
      </c>
      <c r="E825" t="s">
        <v>1750</v>
      </c>
      <c r="F825" t="s">
        <v>49</v>
      </c>
      <c r="G825" t="s">
        <v>1751</v>
      </c>
      <c r="H825" t="s">
        <v>1752</v>
      </c>
      <c r="J825" t="str">
        <f>HYPERLINK("https://twitter.com/AMayankTiwari/status/1767884603258441997","https://twitter.com/AMayankTiwari/status/1767884603258441997")</f>
        <v>https://twitter.com/AMayankTiwari/status/1767884603258441997</v>
      </c>
      <c r="K825" t="s">
        <v>67</v>
      </c>
      <c r="O825">
        <v>0</v>
      </c>
      <c r="P825">
        <v>0</v>
      </c>
      <c r="Q825">
        <v>257</v>
      </c>
      <c r="R825" t="s">
        <v>1753</v>
      </c>
      <c r="S825">
        <v>0</v>
      </c>
      <c r="T825">
        <v>0</v>
      </c>
      <c r="U825">
        <v>0</v>
      </c>
      <c r="W825" t="s">
        <v>99</v>
      </c>
    </row>
    <row r="826" spans="1:23" x14ac:dyDescent="0.35">
      <c r="A826" t="s">
        <v>45</v>
      </c>
      <c r="B826" t="s">
        <v>1741</v>
      </c>
      <c r="C826" t="s">
        <v>93</v>
      </c>
      <c r="D826" t="s">
        <v>94</v>
      </c>
      <c r="E826" t="s">
        <v>45</v>
      </c>
      <c r="F826" t="s">
        <v>49</v>
      </c>
      <c r="G826" t="s">
        <v>1754</v>
      </c>
      <c r="H826" t="s">
        <v>1755</v>
      </c>
      <c r="J826" t="str">
        <f>HYPERLINK("https://twitter.com/SpiceMoneyIndia/status/1767883375778378038","https://twitter.com/SpiceMoneyIndia/status/1767883375778378038")</f>
        <v>https://twitter.com/SpiceMoneyIndia/status/1767883375778378038</v>
      </c>
      <c r="K826" t="s">
        <v>67</v>
      </c>
      <c r="O826">
        <v>0</v>
      </c>
      <c r="P826">
        <v>0</v>
      </c>
      <c r="Q826">
        <v>6069</v>
      </c>
      <c r="R826" t="s">
        <v>97</v>
      </c>
      <c r="S826">
        <v>0</v>
      </c>
      <c r="T826">
        <v>0</v>
      </c>
      <c r="U826">
        <v>0</v>
      </c>
      <c r="V826" t="s">
        <v>98</v>
      </c>
      <c r="W826" t="s">
        <v>99</v>
      </c>
    </row>
    <row r="827" spans="1:23" x14ac:dyDescent="0.35">
      <c r="A827" t="s">
        <v>45</v>
      </c>
      <c r="B827" t="s">
        <v>1741</v>
      </c>
      <c r="C827" t="s">
        <v>93</v>
      </c>
      <c r="D827" t="s">
        <v>1749</v>
      </c>
      <c r="E827" t="s">
        <v>1750</v>
      </c>
      <c r="F827" t="s">
        <v>49</v>
      </c>
      <c r="G827" t="s">
        <v>1756</v>
      </c>
      <c r="H827" t="s">
        <v>1757</v>
      </c>
      <c r="J827" t="str">
        <f>HYPERLINK("https://twitter.com/AMayankTiwari/status/1767880827403210995","https://twitter.com/AMayankTiwari/status/1767880827403210995")</f>
        <v>https://twitter.com/AMayankTiwari/status/1767880827403210995</v>
      </c>
      <c r="K827" t="s">
        <v>67</v>
      </c>
      <c r="O827">
        <v>0</v>
      </c>
      <c r="P827">
        <v>0</v>
      </c>
      <c r="Q827">
        <v>257</v>
      </c>
      <c r="R827" t="s">
        <v>1753</v>
      </c>
      <c r="S827">
        <v>0</v>
      </c>
      <c r="T827">
        <v>0</v>
      </c>
      <c r="U827">
        <v>0</v>
      </c>
      <c r="W827" t="s">
        <v>99</v>
      </c>
    </row>
    <row r="828" spans="1:23" x14ac:dyDescent="0.35">
      <c r="A828" t="s">
        <v>45</v>
      </c>
      <c r="B828" t="s">
        <v>1741</v>
      </c>
      <c r="C828" t="s">
        <v>93</v>
      </c>
      <c r="D828" t="s">
        <v>1749</v>
      </c>
      <c r="E828" t="s">
        <v>1750</v>
      </c>
      <c r="F828" t="s">
        <v>49</v>
      </c>
      <c r="G828" t="s">
        <v>1758</v>
      </c>
      <c r="H828" t="s">
        <v>1759</v>
      </c>
      <c r="J828" t="str">
        <f>HYPERLINK("https://twitter.com/AMayankTiwari/status/1767879945772994789","https://twitter.com/AMayankTiwari/status/1767879945772994789")</f>
        <v>https://twitter.com/AMayankTiwari/status/1767879945772994789</v>
      </c>
      <c r="K828" t="s">
        <v>67</v>
      </c>
      <c r="O828">
        <v>0</v>
      </c>
      <c r="P828">
        <v>0</v>
      </c>
      <c r="Q828">
        <v>257</v>
      </c>
      <c r="R828" t="s">
        <v>1753</v>
      </c>
      <c r="S828">
        <v>0</v>
      </c>
      <c r="T828">
        <v>0</v>
      </c>
      <c r="U828">
        <v>0</v>
      </c>
      <c r="W828" t="s">
        <v>99</v>
      </c>
    </row>
    <row r="829" spans="1:23" x14ac:dyDescent="0.35">
      <c r="A829" t="s">
        <v>45</v>
      </c>
      <c r="B829" t="s">
        <v>1741</v>
      </c>
      <c r="C829" t="s">
        <v>47</v>
      </c>
      <c r="D829" t="s">
        <v>68</v>
      </c>
      <c r="E829" t="s">
        <v>68</v>
      </c>
      <c r="F829" t="s">
        <v>49</v>
      </c>
      <c r="G829" t="s">
        <v>1760</v>
      </c>
      <c r="H829" t="s">
        <v>1761</v>
      </c>
      <c r="J829" t="str">
        <f>HYPERLINK("https://www.youtube.com/watch?v=5DADCSRiE3A&amp;lc=UgwfJwyMXl5TeeYvDkp4AaABAg.A0vBCtq0LrgA0vW9foueuv","https://www.youtube.com/watch?v=5DADCSRiE3A&amp;lc=UgwfJwyMXl5TeeYvDkp4AaABAg.A0vBCtq0LrgA0vW9foueuv")</f>
        <v>https://www.youtube.com/watch?v=5DADCSRiE3A&amp;lc=UgwfJwyMXl5TeeYvDkp4AaABAg.A0vBCtq0LrgA0vW9foueuv</v>
      </c>
      <c r="O829">
        <v>0</v>
      </c>
      <c r="P829">
        <v>0</v>
      </c>
      <c r="Q829">
        <v>0</v>
      </c>
      <c r="S829">
        <v>0</v>
      </c>
      <c r="T829">
        <v>0</v>
      </c>
      <c r="U829">
        <v>0</v>
      </c>
      <c r="W829" t="s">
        <v>52</v>
      </c>
    </row>
    <row r="830" spans="1:23" x14ac:dyDescent="0.35">
      <c r="A830" t="s">
        <v>45</v>
      </c>
      <c r="B830" t="s">
        <v>1741</v>
      </c>
      <c r="C830" t="s">
        <v>47</v>
      </c>
      <c r="D830" t="s">
        <v>68</v>
      </c>
      <c r="E830" t="s">
        <v>68</v>
      </c>
      <c r="F830" t="s">
        <v>49</v>
      </c>
      <c r="G830" t="s">
        <v>1762</v>
      </c>
      <c r="H830" t="s">
        <v>1763</v>
      </c>
      <c r="J830" t="str">
        <f>HYPERLINK("https://www.youtube.com/watch?v=pbnn5P17ItI&amp;lc=UgywEwigrvaW4b4rxFl4AaABAg.A0tIdUD8YdDA0vV-tv6Be_","https://www.youtube.com/watch?v=pbnn5P17ItI&amp;lc=UgywEwigrvaW4b4rxFl4AaABAg.A0tIdUD8YdDA0vV-tv6Be_")</f>
        <v>https://www.youtube.com/watch?v=pbnn5P17ItI&amp;lc=UgywEwigrvaW4b4rxFl4AaABAg.A0tIdUD8YdDA0vV-tv6Be_</v>
      </c>
      <c r="O830">
        <v>0</v>
      </c>
      <c r="P830">
        <v>0</v>
      </c>
      <c r="Q830">
        <v>0</v>
      </c>
      <c r="S830">
        <v>0</v>
      </c>
      <c r="T830">
        <v>0</v>
      </c>
      <c r="U830">
        <v>0</v>
      </c>
      <c r="W830" t="s">
        <v>52</v>
      </c>
    </row>
    <row r="831" spans="1:23" x14ac:dyDescent="0.35">
      <c r="A831" t="s">
        <v>45</v>
      </c>
      <c r="B831" t="s">
        <v>1741</v>
      </c>
      <c r="C831" t="s">
        <v>60</v>
      </c>
      <c r="D831" t="s">
        <v>61</v>
      </c>
      <c r="E831" t="s">
        <v>61</v>
      </c>
      <c r="F831" t="s">
        <v>49</v>
      </c>
      <c r="G831" t="s">
        <v>1764</v>
      </c>
      <c r="H831" t="s">
        <v>1765</v>
      </c>
      <c r="J831" t="str">
        <f>HYPERLINK("https://www.facebook.com/634639855377280/posts/807074171467180?comment_id=297387126499877&amp;reply_comment_id=762383205988680","https://www.facebook.com/634639855377280/posts/807074171467180?comment_id=297387126499877&amp;reply_comment_id=762383205988680")</f>
        <v>https://www.facebook.com/634639855377280/posts/807074171467180?comment_id=297387126499877&amp;reply_comment_id=762383205988680</v>
      </c>
      <c r="O831">
        <v>0</v>
      </c>
      <c r="P831">
        <v>0</v>
      </c>
      <c r="Q831">
        <v>0</v>
      </c>
      <c r="S831">
        <v>0</v>
      </c>
      <c r="T831">
        <v>0</v>
      </c>
      <c r="U831">
        <v>0</v>
      </c>
      <c r="W831" t="s">
        <v>52</v>
      </c>
    </row>
    <row r="832" spans="1:23" x14ac:dyDescent="0.35">
      <c r="A832" t="s">
        <v>45</v>
      </c>
      <c r="B832" t="s">
        <v>1741</v>
      </c>
      <c r="C832" t="s">
        <v>93</v>
      </c>
      <c r="D832" t="s">
        <v>94</v>
      </c>
      <c r="E832" t="s">
        <v>45</v>
      </c>
      <c r="F832" t="s">
        <v>49</v>
      </c>
      <c r="G832" t="s">
        <v>1766</v>
      </c>
      <c r="H832" t="s">
        <v>1767</v>
      </c>
      <c r="J832" t="str">
        <f>HYPERLINK("https://twitter.com/SpiceMoneyIndia/status/1767876024006541703","https://twitter.com/SpiceMoneyIndia/status/1767876024006541703")</f>
        <v>https://twitter.com/SpiceMoneyIndia/status/1767876024006541703</v>
      </c>
      <c r="K832" t="s">
        <v>67</v>
      </c>
      <c r="O832">
        <v>0</v>
      </c>
      <c r="P832">
        <v>0</v>
      </c>
      <c r="Q832">
        <v>6069</v>
      </c>
      <c r="R832" t="s">
        <v>97</v>
      </c>
      <c r="S832">
        <v>0</v>
      </c>
      <c r="T832">
        <v>0</v>
      </c>
      <c r="U832">
        <v>0</v>
      </c>
      <c r="V832" t="s">
        <v>98</v>
      </c>
      <c r="W832" t="s">
        <v>99</v>
      </c>
    </row>
    <row r="833" spans="1:23" x14ac:dyDescent="0.35">
      <c r="A833" t="s">
        <v>45</v>
      </c>
      <c r="B833" t="s">
        <v>1741</v>
      </c>
      <c r="C833" t="s">
        <v>93</v>
      </c>
      <c r="D833" t="s">
        <v>94</v>
      </c>
      <c r="E833" t="s">
        <v>45</v>
      </c>
      <c r="F833" t="s">
        <v>49</v>
      </c>
      <c r="G833" t="s">
        <v>1768</v>
      </c>
      <c r="H833" t="s">
        <v>1769</v>
      </c>
      <c r="J833" t="str">
        <f>HYPERLINK("https://twitter.com/SpiceMoneyIndia/status/1767875447562314043","https://twitter.com/SpiceMoneyIndia/status/1767875447562314043")</f>
        <v>https://twitter.com/SpiceMoneyIndia/status/1767875447562314043</v>
      </c>
      <c r="K833" t="s">
        <v>67</v>
      </c>
      <c r="O833">
        <v>0</v>
      </c>
      <c r="P833">
        <v>0</v>
      </c>
      <c r="Q833">
        <v>6069</v>
      </c>
      <c r="R833" t="s">
        <v>97</v>
      </c>
      <c r="S833">
        <v>0</v>
      </c>
      <c r="T833">
        <v>0</v>
      </c>
      <c r="U833">
        <v>0</v>
      </c>
      <c r="V833" t="s">
        <v>98</v>
      </c>
      <c r="W833" t="s">
        <v>99</v>
      </c>
    </row>
    <row r="834" spans="1:23" x14ac:dyDescent="0.35">
      <c r="A834" t="s">
        <v>45</v>
      </c>
      <c r="B834" t="s">
        <v>1741</v>
      </c>
      <c r="C834" t="s">
        <v>60</v>
      </c>
      <c r="D834" t="s">
        <v>64</v>
      </c>
      <c r="E834" t="s">
        <v>64</v>
      </c>
      <c r="F834" t="s">
        <v>49</v>
      </c>
      <c r="G834" t="s">
        <v>164</v>
      </c>
      <c r="H834" t="s">
        <v>1770</v>
      </c>
      <c r="J834" t="str">
        <f>HYPERLINK("https://www.facebook.com/634639855377280/posts/807074171467180?comment_id=297387126499877&amp;reply_comment_id=7405283586177249","https://www.facebook.com/634639855377280/posts/807074171467180?comment_id=297387126499877&amp;reply_comment_id=7405283586177249")</f>
        <v>https://www.facebook.com/634639855377280/posts/807074171467180?comment_id=297387126499877&amp;reply_comment_id=7405283586177249</v>
      </c>
      <c r="K834" t="s">
        <v>67</v>
      </c>
      <c r="O834">
        <v>0</v>
      </c>
      <c r="P834">
        <v>0</v>
      </c>
      <c r="Q834">
        <v>0</v>
      </c>
      <c r="S834">
        <v>0</v>
      </c>
      <c r="T834">
        <v>0</v>
      </c>
      <c r="U834">
        <v>0</v>
      </c>
      <c r="W834" t="s">
        <v>52</v>
      </c>
    </row>
    <row r="835" spans="1:23" x14ac:dyDescent="0.35">
      <c r="A835" t="s">
        <v>45</v>
      </c>
      <c r="B835" t="s">
        <v>1741</v>
      </c>
      <c r="C835" t="s">
        <v>93</v>
      </c>
      <c r="D835" t="s">
        <v>94</v>
      </c>
      <c r="E835" t="s">
        <v>45</v>
      </c>
      <c r="F835" t="s">
        <v>49</v>
      </c>
      <c r="G835" t="s">
        <v>1771</v>
      </c>
      <c r="H835" t="s">
        <v>1772</v>
      </c>
      <c r="J835" t="str">
        <f>HYPERLINK("https://twitter.com/SpiceMoneyIndia/status/1767875173091250522","https://twitter.com/SpiceMoneyIndia/status/1767875173091250522")</f>
        <v>https://twitter.com/SpiceMoneyIndia/status/1767875173091250522</v>
      </c>
      <c r="K835" t="s">
        <v>67</v>
      </c>
      <c r="O835">
        <v>0</v>
      </c>
      <c r="P835">
        <v>0</v>
      </c>
      <c r="Q835">
        <v>6069</v>
      </c>
      <c r="R835" t="s">
        <v>97</v>
      </c>
      <c r="S835">
        <v>0</v>
      </c>
      <c r="T835">
        <v>0</v>
      </c>
      <c r="U835">
        <v>0</v>
      </c>
      <c r="V835" t="s">
        <v>98</v>
      </c>
      <c r="W835" t="s">
        <v>99</v>
      </c>
    </row>
    <row r="836" spans="1:23" x14ac:dyDescent="0.35">
      <c r="A836" t="s">
        <v>45</v>
      </c>
      <c r="B836" t="s">
        <v>1741</v>
      </c>
      <c r="C836" t="s">
        <v>93</v>
      </c>
      <c r="D836" t="s">
        <v>94</v>
      </c>
      <c r="E836" t="s">
        <v>45</v>
      </c>
      <c r="F836" t="s">
        <v>49</v>
      </c>
      <c r="G836" t="s">
        <v>1773</v>
      </c>
      <c r="H836" t="s">
        <v>1774</v>
      </c>
      <c r="J836" t="str">
        <f>HYPERLINK("https://twitter.com/SpiceMoneyIndia/status/1767875055655035070","https://twitter.com/SpiceMoneyIndia/status/1767875055655035070")</f>
        <v>https://twitter.com/SpiceMoneyIndia/status/1767875055655035070</v>
      </c>
      <c r="K836" t="s">
        <v>67</v>
      </c>
      <c r="O836">
        <v>0</v>
      </c>
      <c r="P836">
        <v>0</v>
      </c>
      <c r="Q836">
        <v>6069</v>
      </c>
      <c r="R836" t="s">
        <v>97</v>
      </c>
      <c r="S836">
        <v>0</v>
      </c>
      <c r="T836">
        <v>0</v>
      </c>
      <c r="U836">
        <v>0</v>
      </c>
      <c r="V836" t="s">
        <v>98</v>
      </c>
      <c r="W836" t="s">
        <v>99</v>
      </c>
    </row>
    <row r="837" spans="1:23" x14ac:dyDescent="0.35">
      <c r="A837" t="s">
        <v>45</v>
      </c>
      <c r="B837" t="s">
        <v>1741</v>
      </c>
      <c r="C837" t="s">
        <v>93</v>
      </c>
      <c r="D837" t="s">
        <v>94</v>
      </c>
      <c r="E837" t="s">
        <v>45</v>
      </c>
      <c r="F837" t="s">
        <v>49</v>
      </c>
      <c r="G837" t="s">
        <v>1775</v>
      </c>
      <c r="H837" t="s">
        <v>1776</v>
      </c>
      <c r="J837" t="str">
        <f>HYPERLINK("https://twitter.com/SpiceMoneyIndia/status/1767874772287778904","https://twitter.com/SpiceMoneyIndia/status/1767874772287778904")</f>
        <v>https://twitter.com/SpiceMoneyIndia/status/1767874772287778904</v>
      </c>
      <c r="K837" t="s">
        <v>67</v>
      </c>
      <c r="O837">
        <v>0</v>
      </c>
      <c r="P837">
        <v>0</v>
      </c>
      <c r="Q837">
        <v>6069</v>
      </c>
      <c r="R837" t="s">
        <v>97</v>
      </c>
      <c r="S837">
        <v>0</v>
      </c>
      <c r="T837">
        <v>0</v>
      </c>
      <c r="U837">
        <v>0</v>
      </c>
      <c r="V837" t="s">
        <v>98</v>
      </c>
      <c r="W837" t="s">
        <v>99</v>
      </c>
    </row>
    <row r="838" spans="1:23" x14ac:dyDescent="0.35">
      <c r="A838" t="s">
        <v>45</v>
      </c>
      <c r="B838" t="s">
        <v>1741</v>
      </c>
      <c r="C838" t="s">
        <v>93</v>
      </c>
      <c r="D838" t="s">
        <v>94</v>
      </c>
      <c r="E838" t="s">
        <v>45</v>
      </c>
      <c r="F838" t="s">
        <v>49</v>
      </c>
      <c r="G838" t="s">
        <v>1777</v>
      </c>
      <c r="H838" t="s">
        <v>1778</v>
      </c>
      <c r="J838" t="str">
        <f>HYPERLINK("https://twitter.com/SpiceMoneyIndia/status/1767870646199935237","https://twitter.com/SpiceMoneyIndia/status/1767870646199935237")</f>
        <v>https://twitter.com/SpiceMoneyIndia/status/1767870646199935237</v>
      </c>
      <c r="K838" t="s">
        <v>67</v>
      </c>
      <c r="O838">
        <v>0</v>
      </c>
      <c r="P838">
        <v>0</v>
      </c>
      <c r="Q838">
        <v>6069</v>
      </c>
      <c r="R838" t="s">
        <v>97</v>
      </c>
      <c r="S838">
        <v>0</v>
      </c>
      <c r="T838">
        <v>0</v>
      </c>
      <c r="U838">
        <v>0</v>
      </c>
      <c r="V838" t="s">
        <v>98</v>
      </c>
      <c r="W838" t="s">
        <v>99</v>
      </c>
    </row>
    <row r="839" spans="1:23" x14ac:dyDescent="0.35">
      <c r="A839" t="s">
        <v>45</v>
      </c>
      <c r="B839" t="s">
        <v>1741</v>
      </c>
      <c r="C839" t="s">
        <v>93</v>
      </c>
      <c r="D839" t="s">
        <v>94</v>
      </c>
      <c r="E839" t="s">
        <v>45</v>
      </c>
      <c r="F839" t="s">
        <v>49</v>
      </c>
      <c r="G839" t="s">
        <v>1779</v>
      </c>
      <c r="H839" t="s">
        <v>1780</v>
      </c>
      <c r="J839" t="str">
        <f>HYPERLINK("https://twitter.com/SpiceMoneyIndia/status/1767866839013470451","https://twitter.com/SpiceMoneyIndia/status/1767866839013470451")</f>
        <v>https://twitter.com/SpiceMoneyIndia/status/1767866839013470451</v>
      </c>
      <c r="K839" t="s">
        <v>67</v>
      </c>
      <c r="O839">
        <v>0</v>
      </c>
      <c r="P839">
        <v>0</v>
      </c>
      <c r="Q839">
        <v>6069</v>
      </c>
      <c r="R839" t="s">
        <v>97</v>
      </c>
      <c r="S839">
        <v>0</v>
      </c>
      <c r="T839">
        <v>0</v>
      </c>
      <c r="U839">
        <v>0</v>
      </c>
      <c r="V839" t="s">
        <v>98</v>
      </c>
      <c r="W839" t="s">
        <v>99</v>
      </c>
    </row>
    <row r="840" spans="1:23" x14ac:dyDescent="0.35">
      <c r="A840" t="s">
        <v>45</v>
      </c>
      <c r="B840" t="s">
        <v>1741</v>
      </c>
      <c r="C840" t="s">
        <v>47</v>
      </c>
      <c r="D840" t="s">
        <v>1781</v>
      </c>
      <c r="E840" t="s">
        <v>1781</v>
      </c>
      <c r="F840" t="s">
        <v>49</v>
      </c>
      <c r="G840" t="s">
        <v>1782</v>
      </c>
      <c r="H840" t="s">
        <v>1783</v>
      </c>
      <c r="J840" t="str">
        <f>HYPERLINK("https://www.youtube.com/watch?v=5DADCSRiE3A&amp;lc=UgwfJwyMXl5TeeYvDkp4AaABAg","https://www.youtube.com/watch?v=5DADCSRiE3A&amp;lc=UgwfJwyMXl5TeeYvDkp4AaABAg")</f>
        <v>https://www.youtube.com/watch?v=5DADCSRiE3A&amp;lc=UgwfJwyMXl5TeeYvDkp4AaABAg</v>
      </c>
      <c r="O840">
        <v>0</v>
      </c>
      <c r="P840">
        <v>0</v>
      </c>
      <c r="Q840">
        <v>0</v>
      </c>
      <c r="S840">
        <v>0</v>
      </c>
      <c r="T840">
        <v>0</v>
      </c>
      <c r="U840">
        <v>0</v>
      </c>
      <c r="W840" t="s">
        <v>52</v>
      </c>
    </row>
    <row r="841" spans="1:23" x14ac:dyDescent="0.35">
      <c r="A841" t="s">
        <v>45</v>
      </c>
      <c r="B841" t="s">
        <v>1741</v>
      </c>
      <c r="C841" t="s">
        <v>93</v>
      </c>
      <c r="D841" t="s">
        <v>223</v>
      </c>
      <c r="E841" t="s">
        <v>224</v>
      </c>
      <c r="F841" t="s">
        <v>49</v>
      </c>
      <c r="G841" t="s">
        <v>1784</v>
      </c>
      <c r="H841" t="s">
        <v>1785</v>
      </c>
      <c r="J841" t="str">
        <f>HYPERLINK("https://twitter.com/MdSec63/status/1767832690139771231","https://twitter.com/MdSec63/status/1767832690139771231")</f>
        <v>https://twitter.com/MdSec63/status/1767832690139771231</v>
      </c>
      <c r="O841">
        <v>0</v>
      </c>
      <c r="P841">
        <v>0</v>
      </c>
      <c r="Q841">
        <v>0</v>
      </c>
      <c r="S841">
        <v>0</v>
      </c>
      <c r="T841">
        <v>0</v>
      </c>
      <c r="U841">
        <v>0</v>
      </c>
      <c r="W841" t="s">
        <v>99</v>
      </c>
    </row>
    <row r="842" spans="1:23" x14ac:dyDescent="0.35">
      <c r="A842" t="s">
        <v>45</v>
      </c>
      <c r="B842" t="s">
        <v>1741</v>
      </c>
      <c r="C842" t="s">
        <v>60</v>
      </c>
      <c r="D842" t="s">
        <v>61</v>
      </c>
      <c r="E842" t="s">
        <v>61</v>
      </c>
      <c r="F842" t="s">
        <v>49</v>
      </c>
      <c r="G842" t="s">
        <v>1786</v>
      </c>
      <c r="H842" t="s">
        <v>1787</v>
      </c>
      <c r="J842" t="str">
        <f>HYPERLINK("https://www.facebook.com/634639855377280/posts/807074171467180?comment_id=297387126499877","https://www.facebook.com/634639855377280/posts/807074171467180?comment_id=297387126499877")</f>
        <v>https://www.facebook.com/634639855377280/posts/807074171467180?comment_id=297387126499877</v>
      </c>
      <c r="O842">
        <v>0</v>
      </c>
      <c r="P842">
        <v>0</v>
      </c>
      <c r="Q842">
        <v>0</v>
      </c>
      <c r="S842">
        <v>0</v>
      </c>
      <c r="T842">
        <v>0</v>
      </c>
      <c r="U842">
        <v>0</v>
      </c>
      <c r="W842" t="s">
        <v>52</v>
      </c>
    </row>
    <row r="843" spans="1:23" x14ac:dyDescent="0.35">
      <c r="A843" t="s">
        <v>45</v>
      </c>
      <c r="B843" t="s">
        <v>1741</v>
      </c>
      <c r="C843" t="s">
        <v>93</v>
      </c>
      <c r="D843" t="s">
        <v>1788</v>
      </c>
      <c r="E843" t="s">
        <v>1789</v>
      </c>
      <c r="F843" t="s">
        <v>49</v>
      </c>
      <c r="G843" t="s">
        <v>1790</v>
      </c>
      <c r="H843" t="s">
        <v>1791</v>
      </c>
      <c r="J843" t="str">
        <f>HYPERLINK("https://twitter.com/Mdsajidyaara/status/1767792505561440564","https://twitter.com/Mdsajidyaara/status/1767792505561440564")</f>
        <v>https://twitter.com/Mdsajidyaara/status/1767792505561440564</v>
      </c>
      <c r="K843" t="s">
        <v>67</v>
      </c>
      <c r="O843">
        <v>0</v>
      </c>
      <c r="P843">
        <v>0</v>
      </c>
      <c r="Q843">
        <v>0</v>
      </c>
      <c r="S843">
        <v>0</v>
      </c>
      <c r="T843">
        <v>0</v>
      </c>
      <c r="U843">
        <v>0</v>
      </c>
      <c r="W843" t="s">
        <v>99</v>
      </c>
    </row>
    <row r="844" spans="1:23" x14ac:dyDescent="0.35">
      <c r="A844" t="s">
        <v>45</v>
      </c>
      <c r="B844" t="s">
        <v>1741</v>
      </c>
      <c r="C844" t="s">
        <v>93</v>
      </c>
      <c r="D844" t="s">
        <v>1792</v>
      </c>
      <c r="E844" t="s">
        <v>1793</v>
      </c>
      <c r="F844" t="s">
        <v>49</v>
      </c>
      <c r="G844" t="s">
        <v>1794</v>
      </c>
      <c r="H844" t="s">
        <v>1795</v>
      </c>
      <c r="J844" t="str">
        <f>HYPERLINK("https://twitter.com/Rehanal15694703/status/1767785651532099958","https://twitter.com/Rehanal15694703/status/1767785651532099958")</f>
        <v>https://twitter.com/Rehanal15694703/status/1767785651532099958</v>
      </c>
      <c r="K844" t="s">
        <v>67</v>
      </c>
      <c r="O844">
        <v>0</v>
      </c>
      <c r="P844">
        <v>0</v>
      </c>
      <c r="Q844">
        <v>215</v>
      </c>
      <c r="S844">
        <v>0</v>
      </c>
      <c r="T844">
        <v>0</v>
      </c>
      <c r="U844">
        <v>0</v>
      </c>
      <c r="W844" t="s">
        <v>433</v>
      </c>
    </row>
    <row r="845" spans="1:23" x14ac:dyDescent="0.35">
      <c r="A845" t="s">
        <v>45</v>
      </c>
      <c r="B845" t="s">
        <v>1741</v>
      </c>
      <c r="C845" t="s">
        <v>93</v>
      </c>
      <c r="D845" t="s">
        <v>1792</v>
      </c>
      <c r="E845" t="s">
        <v>1793</v>
      </c>
      <c r="F845" t="s">
        <v>49</v>
      </c>
      <c r="G845" t="s">
        <v>1796</v>
      </c>
      <c r="H845" t="s">
        <v>1797</v>
      </c>
      <c r="J845" t="str">
        <f>HYPERLINK("https://twitter.com/Rehanal15694703/status/1767785609140322614","https://twitter.com/Rehanal15694703/status/1767785609140322614")</f>
        <v>https://twitter.com/Rehanal15694703/status/1767785609140322614</v>
      </c>
      <c r="K845" t="s">
        <v>67</v>
      </c>
      <c r="O845">
        <v>0</v>
      </c>
      <c r="P845">
        <v>0</v>
      </c>
      <c r="Q845">
        <v>215</v>
      </c>
      <c r="S845">
        <v>0</v>
      </c>
      <c r="T845">
        <v>0</v>
      </c>
      <c r="U845">
        <v>0</v>
      </c>
      <c r="W845" t="s">
        <v>433</v>
      </c>
    </row>
    <row r="846" spans="1:23" x14ac:dyDescent="0.35">
      <c r="A846" t="s">
        <v>45</v>
      </c>
      <c r="B846" t="s">
        <v>1741</v>
      </c>
      <c r="C846" t="s">
        <v>93</v>
      </c>
      <c r="D846" t="s">
        <v>1479</v>
      </c>
      <c r="E846" t="s">
        <v>1480</v>
      </c>
      <c r="F846" t="s">
        <v>49</v>
      </c>
      <c r="G846" t="s">
        <v>1798</v>
      </c>
      <c r="H846" t="s">
        <v>1799</v>
      </c>
      <c r="J846" t="str">
        <f>HYPERLINK("https://twitter.com/ArunRj94484632/status/1767778493650337922","https://twitter.com/ArunRj94484632/status/1767778493650337922")</f>
        <v>https://twitter.com/ArunRj94484632/status/1767778493650337922</v>
      </c>
      <c r="K846" t="s">
        <v>67</v>
      </c>
      <c r="O846">
        <v>0</v>
      </c>
      <c r="P846">
        <v>0</v>
      </c>
      <c r="Q846">
        <v>18</v>
      </c>
      <c r="S846">
        <v>0</v>
      </c>
      <c r="T846">
        <v>0</v>
      </c>
      <c r="U846">
        <v>0</v>
      </c>
      <c r="W846" t="s">
        <v>99</v>
      </c>
    </row>
    <row r="847" spans="1:23" x14ac:dyDescent="0.35">
      <c r="A847" t="s">
        <v>45</v>
      </c>
      <c r="B847" t="s">
        <v>1741</v>
      </c>
      <c r="C847" t="s">
        <v>93</v>
      </c>
      <c r="D847" t="s">
        <v>762</v>
      </c>
      <c r="E847" t="s">
        <v>763</v>
      </c>
      <c r="F847" t="s">
        <v>49</v>
      </c>
      <c r="G847" t="s">
        <v>1800</v>
      </c>
      <c r="H847" t="s">
        <v>1801</v>
      </c>
      <c r="J847" t="str">
        <f>HYPERLINK("https://twitter.com/jitendra261988/status/1767770058393104704","https://twitter.com/jitendra261988/status/1767770058393104704")</f>
        <v>https://twitter.com/jitendra261988/status/1767770058393104704</v>
      </c>
      <c r="K847" t="s">
        <v>67</v>
      </c>
      <c r="O847">
        <v>0</v>
      </c>
      <c r="P847">
        <v>0</v>
      </c>
      <c r="Q847">
        <v>17</v>
      </c>
      <c r="S847">
        <v>0</v>
      </c>
      <c r="T847">
        <v>0</v>
      </c>
      <c r="U847">
        <v>0</v>
      </c>
      <c r="W847" t="s">
        <v>99</v>
      </c>
    </row>
    <row r="848" spans="1:23" x14ac:dyDescent="0.35">
      <c r="A848" t="s">
        <v>45</v>
      </c>
      <c r="B848" t="s">
        <v>1741</v>
      </c>
      <c r="C848" t="s">
        <v>93</v>
      </c>
      <c r="D848" t="s">
        <v>867</v>
      </c>
      <c r="E848" t="s">
        <v>868</v>
      </c>
      <c r="F848" t="s">
        <v>49</v>
      </c>
      <c r="G848" t="s">
        <v>1802</v>
      </c>
      <c r="H848" t="s">
        <v>1803</v>
      </c>
      <c r="J848" t="str">
        <f>HYPERLINK("https://twitter.com/samyaduvanshi2/status/1767765533771067600","https://twitter.com/samyaduvanshi2/status/1767765533771067600")</f>
        <v>https://twitter.com/samyaduvanshi2/status/1767765533771067600</v>
      </c>
      <c r="K848" t="s">
        <v>67</v>
      </c>
      <c r="O848">
        <v>0</v>
      </c>
      <c r="P848">
        <v>0</v>
      </c>
      <c r="Q848">
        <v>40</v>
      </c>
      <c r="R848" t="s">
        <v>871</v>
      </c>
      <c r="S848">
        <v>0</v>
      </c>
      <c r="T848">
        <v>0</v>
      </c>
      <c r="U848">
        <v>0</v>
      </c>
      <c r="W848" t="s">
        <v>99</v>
      </c>
    </row>
    <row r="849" spans="1:23" x14ac:dyDescent="0.35">
      <c r="A849" t="s">
        <v>45</v>
      </c>
      <c r="B849" t="s">
        <v>1741</v>
      </c>
      <c r="C849" t="s">
        <v>93</v>
      </c>
      <c r="D849" t="s">
        <v>94</v>
      </c>
      <c r="E849" t="s">
        <v>45</v>
      </c>
      <c r="F849" t="s">
        <v>49</v>
      </c>
      <c r="G849" t="s">
        <v>1804</v>
      </c>
      <c r="H849" t="s">
        <v>1805</v>
      </c>
      <c r="J849" t="str">
        <f>HYPERLINK("https://twitter.com/SpiceMoneyIndia/status/1767763561596473854","https://twitter.com/SpiceMoneyIndia/status/1767763561596473854")</f>
        <v>https://twitter.com/SpiceMoneyIndia/status/1767763561596473854</v>
      </c>
      <c r="K849" t="s">
        <v>67</v>
      </c>
      <c r="O849">
        <v>0</v>
      </c>
      <c r="P849">
        <v>0</v>
      </c>
      <c r="Q849">
        <v>6069</v>
      </c>
      <c r="R849" t="s">
        <v>97</v>
      </c>
      <c r="S849">
        <v>0</v>
      </c>
      <c r="T849">
        <v>0</v>
      </c>
      <c r="U849">
        <v>0</v>
      </c>
      <c r="V849" t="s">
        <v>98</v>
      </c>
      <c r="W849" t="s">
        <v>99</v>
      </c>
    </row>
    <row r="850" spans="1:23" x14ac:dyDescent="0.35">
      <c r="A850" t="s">
        <v>45</v>
      </c>
      <c r="B850" t="s">
        <v>1741</v>
      </c>
      <c r="C850" t="s">
        <v>93</v>
      </c>
      <c r="D850" t="s">
        <v>94</v>
      </c>
      <c r="E850" t="s">
        <v>45</v>
      </c>
      <c r="F850" t="s">
        <v>49</v>
      </c>
      <c r="G850" t="s">
        <v>1806</v>
      </c>
      <c r="H850" t="s">
        <v>1807</v>
      </c>
      <c r="J850" t="str">
        <f>HYPERLINK("https://twitter.com/SpiceMoneyIndia/status/1767762338357166407","https://twitter.com/SpiceMoneyIndia/status/1767762338357166407")</f>
        <v>https://twitter.com/SpiceMoneyIndia/status/1767762338357166407</v>
      </c>
      <c r="K850" t="s">
        <v>67</v>
      </c>
      <c r="O850">
        <v>0</v>
      </c>
      <c r="P850">
        <v>0</v>
      </c>
      <c r="Q850">
        <v>6069</v>
      </c>
      <c r="R850" t="s">
        <v>97</v>
      </c>
      <c r="S850">
        <v>0</v>
      </c>
      <c r="T850">
        <v>0</v>
      </c>
      <c r="U850">
        <v>0</v>
      </c>
      <c r="V850" t="s">
        <v>98</v>
      </c>
      <c r="W850" t="s">
        <v>99</v>
      </c>
    </row>
    <row r="851" spans="1:23" x14ac:dyDescent="0.35">
      <c r="A851" t="s">
        <v>45</v>
      </c>
      <c r="B851" t="s">
        <v>1741</v>
      </c>
      <c r="C851" t="s">
        <v>93</v>
      </c>
      <c r="D851" t="s">
        <v>94</v>
      </c>
      <c r="E851" t="s">
        <v>45</v>
      </c>
      <c r="F851" t="s">
        <v>49</v>
      </c>
      <c r="G851" t="s">
        <v>1808</v>
      </c>
      <c r="H851" t="s">
        <v>1809</v>
      </c>
      <c r="J851" t="str">
        <f>HYPERLINK("https://twitter.com/SpiceMoneyIndia/status/1767761851792658863","https://twitter.com/SpiceMoneyIndia/status/1767761851792658863")</f>
        <v>https://twitter.com/SpiceMoneyIndia/status/1767761851792658863</v>
      </c>
      <c r="K851" t="s">
        <v>67</v>
      </c>
      <c r="O851">
        <v>0</v>
      </c>
      <c r="P851">
        <v>0</v>
      </c>
      <c r="Q851">
        <v>6069</v>
      </c>
      <c r="R851" t="s">
        <v>97</v>
      </c>
      <c r="S851">
        <v>0</v>
      </c>
      <c r="T851">
        <v>0</v>
      </c>
      <c r="U851">
        <v>0</v>
      </c>
      <c r="V851" t="s">
        <v>98</v>
      </c>
      <c r="W851" t="s">
        <v>99</v>
      </c>
    </row>
    <row r="852" spans="1:23" x14ac:dyDescent="0.35">
      <c r="A852" t="s">
        <v>45</v>
      </c>
      <c r="B852" t="s">
        <v>1741</v>
      </c>
      <c r="C852" t="s">
        <v>93</v>
      </c>
      <c r="D852" t="s">
        <v>867</v>
      </c>
      <c r="E852" t="s">
        <v>868</v>
      </c>
      <c r="F852" t="s">
        <v>49</v>
      </c>
      <c r="G852" t="s">
        <v>1810</v>
      </c>
      <c r="H852" t="s">
        <v>1811</v>
      </c>
      <c r="J852" t="str">
        <f>HYPERLINK("https://twitter.com/samyaduvanshi2/status/1767758212152144213","https://twitter.com/samyaduvanshi2/status/1767758212152144213")</f>
        <v>https://twitter.com/samyaduvanshi2/status/1767758212152144213</v>
      </c>
      <c r="K852" t="s">
        <v>67</v>
      </c>
      <c r="O852">
        <v>0</v>
      </c>
      <c r="P852">
        <v>0</v>
      </c>
      <c r="Q852">
        <v>40</v>
      </c>
      <c r="R852" t="s">
        <v>871</v>
      </c>
      <c r="S852">
        <v>0</v>
      </c>
      <c r="T852">
        <v>0</v>
      </c>
      <c r="U852">
        <v>0</v>
      </c>
      <c r="W852" t="s">
        <v>99</v>
      </c>
    </row>
    <row r="853" spans="1:23" x14ac:dyDescent="0.35">
      <c r="A853" t="s">
        <v>45</v>
      </c>
      <c r="B853" t="s">
        <v>1741</v>
      </c>
      <c r="C853" t="s">
        <v>93</v>
      </c>
      <c r="D853" t="s">
        <v>94</v>
      </c>
      <c r="E853" t="s">
        <v>45</v>
      </c>
      <c r="F853" t="s">
        <v>49</v>
      </c>
      <c r="G853" t="s">
        <v>1812</v>
      </c>
      <c r="H853" t="s">
        <v>1813</v>
      </c>
      <c r="J853" t="str">
        <f>HYPERLINK("https://twitter.com/SpiceMoneyIndia/status/1767754496912896045","https://twitter.com/SpiceMoneyIndia/status/1767754496912896045")</f>
        <v>https://twitter.com/SpiceMoneyIndia/status/1767754496912896045</v>
      </c>
      <c r="K853" t="s">
        <v>67</v>
      </c>
      <c r="O853">
        <v>0</v>
      </c>
      <c r="P853">
        <v>0</v>
      </c>
      <c r="Q853">
        <v>6069</v>
      </c>
      <c r="R853" t="s">
        <v>97</v>
      </c>
      <c r="S853">
        <v>0</v>
      </c>
      <c r="T853">
        <v>0</v>
      </c>
      <c r="U853">
        <v>0</v>
      </c>
      <c r="V853" t="s">
        <v>98</v>
      </c>
      <c r="W853" t="s">
        <v>99</v>
      </c>
    </row>
    <row r="854" spans="1:23" x14ac:dyDescent="0.35">
      <c r="A854" t="s">
        <v>45</v>
      </c>
      <c r="B854" t="s">
        <v>1741</v>
      </c>
      <c r="C854" t="s">
        <v>93</v>
      </c>
      <c r="D854" t="s">
        <v>1792</v>
      </c>
      <c r="E854" t="s">
        <v>1793</v>
      </c>
      <c r="F854" t="s">
        <v>49</v>
      </c>
      <c r="G854" t="s">
        <v>1796</v>
      </c>
      <c r="H854" t="s">
        <v>1814</v>
      </c>
      <c r="J854" t="str">
        <f>HYPERLINK("https://twitter.com/Rehanal15694703/status/1767668317924557284","https://twitter.com/Rehanal15694703/status/1767668317924557284")</f>
        <v>https://twitter.com/Rehanal15694703/status/1767668317924557284</v>
      </c>
      <c r="K854" t="s">
        <v>67</v>
      </c>
      <c r="O854">
        <v>0</v>
      </c>
      <c r="P854">
        <v>0</v>
      </c>
      <c r="Q854">
        <v>215</v>
      </c>
      <c r="S854">
        <v>0</v>
      </c>
      <c r="T854">
        <v>0</v>
      </c>
      <c r="U854">
        <v>0</v>
      </c>
      <c r="W854" t="s">
        <v>99</v>
      </c>
    </row>
    <row r="855" spans="1:23" x14ac:dyDescent="0.35">
      <c r="A855" t="s">
        <v>45</v>
      </c>
      <c r="B855" t="s">
        <v>1815</v>
      </c>
      <c r="C855" t="s">
        <v>93</v>
      </c>
      <c r="D855" t="s">
        <v>867</v>
      </c>
      <c r="E855" t="s">
        <v>868</v>
      </c>
      <c r="F855" t="s">
        <v>49</v>
      </c>
      <c r="G855" t="s">
        <v>1816</v>
      </c>
      <c r="H855" t="s">
        <v>1817</v>
      </c>
      <c r="J855" t="str">
        <f>HYPERLINK("https://twitter.com/samyaduvanshi2/status/1767609194243657809","https://twitter.com/samyaduvanshi2/status/1767609194243657809")</f>
        <v>https://twitter.com/samyaduvanshi2/status/1767609194243657809</v>
      </c>
      <c r="K855" t="s">
        <v>67</v>
      </c>
      <c r="O855">
        <v>0</v>
      </c>
      <c r="P855">
        <v>0</v>
      </c>
      <c r="Q855">
        <v>40</v>
      </c>
      <c r="R855" t="s">
        <v>871</v>
      </c>
      <c r="S855">
        <v>0</v>
      </c>
      <c r="T855">
        <v>0</v>
      </c>
      <c r="U855">
        <v>0</v>
      </c>
      <c r="W855" t="s">
        <v>99</v>
      </c>
    </row>
    <row r="856" spans="1:23" x14ac:dyDescent="0.35">
      <c r="A856" t="s">
        <v>45</v>
      </c>
      <c r="B856" t="s">
        <v>1815</v>
      </c>
      <c r="C856" t="s">
        <v>93</v>
      </c>
      <c r="D856" t="s">
        <v>867</v>
      </c>
      <c r="E856" t="s">
        <v>868</v>
      </c>
      <c r="F856" t="s">
        <v>49</v>
      </c>
      <c r="G856" t="s">
        <v>1818</v>
      </c>
      <c r="H856" t="s">
        <v>1819</v>
      </c>
      <c r="J856" t="str">
        <f>HYPERLINK("https://twitter.com/samyaduvanshi2/status/1767609026505052187","https://twitter.com/samyaduvanshi2/status/1767609026505052187")</f>
        <v>https://twitter.com/samyaduvanshi2/status/1767609026505052187</v>
      </c>
      <c r="K856" t="s">
        <v>67</v>
      </c>
      <c r="O856">
        <v>0</v>
      </c>
      <c r="P856">
        <v>0</v>
      </c>
      <c r="Q856">
        <v>40</v>
      </c>
      <c r="R856" t="s">
        <v>871</v>
      </c>
      <c r="S856">
        <v>0</v>
      </c>
      <c r="T856">
        <v>0</v>
      </c>
      <c r="U856">
        <v>0</v>
      </c>
      <c r="W856" t="s">
        <v>99</v>
      </c>
    </row>
    <row r="857" spans="1:23" x14ac:dyDescent="0.35">
      <c r="A857" t="s">
        <v>45</v>
      </c>
      <c r="B857" t="s">
        <v>1815</v>
      </c>
      <c r="C857" t="s">
        <v>93</v>
      </c>
      <c r="D857" t="s">
        <v>867</v>
      </c>
      <c r="E857" t="s">
        <v>868</v>
      </c>
      <c r="F857" t="s">
        <v>193</v>
      </c>
      <c r="G857" t="s">
        <v>1820</v>
      </c>
      <c r="H857" t="s">
        <v>1821</v>
      </c>
      <c r="J857" t="str">
        <f>HYPERLINK("https://twitter.com/samyaduvanshi2/status/1767608714805350409","https://twitter.com/samyaduvanshi2/status/1767608714805350409")</f>
        <v>https://twitter.com/samyaduvanshi2/status/1767608714805350409</v>
      </c>
      <c r="K857" t="s">
        <v>67</v>
      </c>
      <c r="O857">
        <v>0</v>
      </c>
      <c r="P857">
        <v>0</v>
      </c>
      <c r="Q857">
        <v>40</v>
      </c>
      <c r="R857" t="s">
        <v>871</v>
      </c>
      <c r="S857">
        <v>0</v>
      </c>
      <c r="T857">
        <v>0</v>
      </c>
      <c r="U857">
        <v>0</v>
      </c>
      <c r="W857" t="s">
        <v>99</v>
      </c>
    </row>
    <row r="858" spans="1:23" x14ac:dyDescent="0.35">
      <c r="A858" t="s">
        <v>45</v>
      </c>
      <c r="B858" t="s">
        <v>1815</v>
      </c>
      <c r="C858" t="s">
        <v>93</v>
      </c>
      <c r="D858" t="s">
        <v>895</v>
      </c>
      <c r="E858" t="s">
        <v>896</v>
      </c>
      <c r="F858" t="s">
        <v>49</v>
      </c>
      <c r="G858" t="s">
        <v>1822</v>
      </c>
      <c r="H858" t="s">
        <v>1823</v>
      </c>
      <c r="J858" t="str">
        <f>HYPERLINK("https://twitter.com/ae3095fccc0c483/status/1767588219875680621","https://twitter.com/ae3095fccc0c483/status/1767588219875680621")</f>
        <v>https://twitter.com/ae3095fccc0c483/status/1767588219875680621</v>
      </c>
      <c r="K858" t="s">
        <v>67</v>
      </c>
      <c r="O858">
        <v>0</v>
      </c>
      <c r="P858">
        <v>0</v>
      </c>
      <c r="Q858">
        <v>34</v>
      </c>
      <c r="R858" t="s">
        <v>899</v>
      </c>
      <c r="S858">
        <v>0</v>
      </c>
      <c r="T858">
        <v>0</v>
      </c>
      <c r="U858">
        <v>0</v>
      </c>
      <c r="W858" t="s">
        <v>99</v>
      </c>
    </row>
    <row r="859" spans="1:23" x14ac:dyDescent="0.35">
      <c r="A859" t="s">
        <v>45</v>
      </c>
      <c r="B859" t="s">
        <v>1815</v>
      </c>
      <c r="C859" t="s">
        <v>93</v>
      </c>
      <c r="D859" t="s">
        <v>895</v>
      </c>
      <c r="E859" t="s">
        <v>896</v>
      </c>
      <c r="F859" t="s">
        <v>49</v>
      </c>
      <c r="G859" t="s">
        <v>1824</v>
      </c>
      <c r="H859" t="s">
        <v>1825</v>
      </c>
      <c r="J859" t="str">
        <f>HYPERLINK("https://twitter.com/ae3095fccc0c483/status/1767585063900995740","https://twitter.com/ae3095fccc0c483/status/1767585063900995740")</f>
        <v>https://twitter.com/ae3095fccc0c483/status/1767585063900995740</v>
      </c>
      <c r="K859" t="s">
        <v>67</v>
      </c>
      <c r="O859">
        <v>0</v>
      </c>
      <c r="P859">
        <v>0</v>
      </c>
      <c r="Q859">
        <v>34</v>
      </c>
      <c r="R859" t="s">
        <v>899</v>
      </c>
      <c r="S859">
        <v>0</v>
      </c>
      <c r="T859">
        <v>0</v>
      </c>
      <c r="U859">
        <v>0</v>
      </c>
      <c r="W859" t="s">
        <v>99</v>
      </c>
    </row>
    <row r="860" spans="1:23" x14ac:dyDescent="0.35">
      <c r="A860" t="s">
        <v>45</v>
      </c>
      <c r="B860" t="s">
        <v>1815</v>
      </c>
      <c r="C860" t="s">
        <v>93</v>
      </c>
      <c r="D860" t="s">
        <v>1826</v>
      </c>
      <c r="E860" t="s">
        <v>1827</v>
      </c>
      <c r="F860" t="s">
        <v>49</v>
      </c>
      <c r="G860" t="s">
        <v>1828</v>
      </c>
      <c r="H860" t="s">
        <v>1829</v>
      </c>
      <c r="J860" t="str">
        <f>HYPERLINK("https://twitter.com/Sachinpatel952/status/1767577452853985328","https://twitter.com/Sachinpatel952/status/1767577452853985328")</f>
        <v>https://twitter.com/Sachinpatel952/status/1767577452853985328</v>
      </c>
      <c r="K860" t="s">
        <v>67</v>
      </c>
      <c r="O860">
        <v>0</v>
      </c>
      <c r="P860">
        <v>0</v>
      </c>
      <c r="Q860">
        <v>1</v>
      </c>
      <c r="S860">
        <v>0</v>
      </c>
      <c r="T860">
        <v>0</v>
      </c>
      <c r="U860">
        <v>0</v>
      </c>
      <c r="W860" t="s">
        <v>99</v>
      </c>
    </row>
    <row r="861" spans="1:23" x14ac:dyDescent="0.35">
      <c r="A861" t="s">
        <v>45</v>
      </c>
      <c r="B861" t="s">
        <v>1815</v>
      </c>
      <c r="C861" t="s">
        <v>93</v>
      </c>
      <c r="D861" t="s">
        <v>1830</v>
      </c>
      <c r="E861" t="s">
        <v>1831</v>
      </c>
      <c r="F861" t="s">
        <v>49</v>
      </c>
      <c r="G861" t="s">
        <v>1832</v>
      </c>
      <c r="H861" t="s">
        <v>1833</v>
      </c>
      <c r="J861" t="str">
        <f>HYPERLINK("https://twitter.com/HamdKhan4/status/1767573549584458181","https://twitter.com/HamdKhan4/status/1767573549584458181")</f>
        <v>https://twitter.com/HamdKhan4/status/1767573549584458181</v>
      </c>
      <c r="K861" t="s">
        <v>67</v>
      </c>
      <c r="O861">
        <v>0</v>
      </c>
      <c r="P861">
        <v>0</v>
      </c>
      <c r="Q861">
        <v>25</v>
      </c>
      <c r="R861" t="s">
        <v>1834</v>
      </c>
      <c r="S861">
        <v>0</v>
      </c>
      <c r="T861">
        <v>0</v>
      </c>
      <c r="U861">
        <v>0</v>
      </c>
      <c r="W861" t="s">
        <v>99</v>
      </c>
    </row>
    <row r="862" spans="1:23" x14ac:dyDescent="0.35">
      <c r="A862" t="s">
        <v>45</v>
      </c>
      <c r="B862" t="s">
        <v>1815</v>
      </c>
      <c r="C862" t="s">
        <v>47</v>
      </c>
      <c r="D862" t="s">
        <v>1835</v>
      </c>
      <c r="E862" t="s">
        <v>1835</v>
      </c>
      <c r="F862" t="s">
        <v>49</v>
      </c>
      <c r="G862" t="s">
        <v>1836</v>
      </c>
      <c r="H862" t="s">
        <v>1837</v>
      </c>
      <c r="J862" t="str">
        <f>HYPERLINK("https://www.youtube.com/watch?v=pbnn5P17ItI&amp;lc=UgywEwigrvaW4b4rxFl4AaABAg","https://www.youtube.com/watch?v=pbnn5P17ItI&amp;lc=UgywEwigrvaW4b4rxFl4AaABAg")</f>
        <v>https://www.youtube.com/watch?v=pbnn5P17ItI&amp;lc=UgywEwigrvaW4b4rxFl4AaABAg</v>
      </c>
      <c r="O862">
        <v>0</v>
      </c>
      <c r="P862">
        <v>0</v>
      </c>
      <c r="Q862">
        <v>0</v>
      </c>
      <c r="S862">
        <v>0</v>
      </c>
      <c r="T862">
        <v>0</v>
      </c>
      <c r="U862">
        <v>0</v>
      </c>
      <c r="W862" t="s">
        <v>52</v>
      </c>
    </row>
    <row r="863" spans="1:23" x14ac:dyDescent="0.35">
      <c r="A863" t="s">
        <v>45</v>
      </c>
      <c r="B863" t="s">
        <v>1815</v>
      </c>
      <c r="C863" t="s">
        <v>47</v>
      </c>
      <c r="D863" t="s">
        <v>1038</v>
      </c>
      <c r="E863" t="s">
        <v>1038</v>
      </c>
      <c r="F863" t="s">
        <v>54</v>
      </c>
      <c r="G863" t="s">
        <v>1838</v>
      </c>
      <c r="H863" t="s">
        <v>1839</v>
      </c>
      <c r="J863" t="str">
        <f>HYPERLINK("https://www.youtube.com/watch?v=mywlDWI77_k&amp;lc=UgzuCd_nWXiZFOqC6CV4AaABAg","https://www.youtube.com/watch?v=mywlDWI77_k&amp;lc=UgzuCd_nWXiZFOqC6CV4AaABAg")</f>
        <v>https://www.youtube.com/watch?v=mywlDWI77_k&amp;lc=UgzuCd_nWXiZFOqC6CV4AaABAg</v>
      </c>
      <c r="O863">
        <v>0</v>
      </c>
      <c r="P863">
        <v>0</v>
      </c>
      <c r="Q863">
        <v>0</v>
      </c>
      <c r="S863">
        <v>0</v>
      </c>
      <c r="T863">
        <v>0</v>
      </c>
      <c r="U863">
        <v>0</v>
      </c>
      <c r="W863" t="s">
        <v>52</v>
      </c>
    </row>
    <row r="864" spans="1:23" x14ac:dyDescent="0.35">
      <c r="A864" t="s">
        <v>45</v>
      </c>
      <c r="B864" t="s">
        <v>1815</v>
      </c>
      <c r="C864" t="s">
        <v>47</v>
      </c>
      <c r="D864" t="s">
        <v>351</v>
      </c>
      <c r="E864" t="s">
        <v>351</v>
      </c>
      <c r="F864" t="s">
        <v>49</v>
      </c>
      <c r="G864" t="s">
        <v>1840</v>
      </c>
      <c r="H864" t="s">
        <v>1841</v>
      </c>
      <c r="J864" t="str">
        <f>HYPERLINK("https://www.youtube.com/watch?v=mywlDWI77_k&amp;lc=Ugy2Q2bbebUSoYE53BJ4AaABAg","https://www.youtube.com/watch?v=mywlDWI77_k&amp;lc=Ugy2Q2bbebUSoYE53BJ4AaABAg")</f>
        <v>https://www.youtube.com/watch?v=mywlDWI77_k&amp;lc=Ugy2Q2bbebUSoYE53BJ4AaABAg</v>
      </c>
      <c r="O864">
        <v>0</v>
      </c>
      <c r="P864">
        <v>0</v>
      </c>
      <c r="Q864">
        <v>0</v>
      </c>
      <c r="S864">
        <v>0</v>
      </c>
      <c r="T864">
        <v>0</v>
      </c>
      <c r="U864">
        <v>0</v>
      </c>
      <c r="W864" t="s">
        <v>52</v>
      </c>
    </row>
    <row r="865" spans="1:23" x14ac:dyDescent="0.35">
      <c r="A865" t="s">
        <v>45</v>
      </c>
      <c r="B865" t="s">
        <v>1815</v>
      </c>
      <c r="C865" t="s">
        <v>93</v>
      </c>
      <c r="D865" t="s">
        <v>1792</v>
      </c>
      <c r="E865" t="s">
        <v>1793</v>
      </c>
      <c r="F865" t="s">
        <v>49</v>
      </c>
      <c r="G865" t="s">
        <v>1842</v>
      </c>
      <c r="H865" t="s">
        <v>1843</v>
      </c>
      <c r="J865" t="str">
        <f>HYPERLINK("https://twitter.com/Rehanal15694703/status/1767533565737423011","https://twitter.com/Rehanal15694703/status/1767533565737423011")</f>
        <v>https://twitter.com/Rehanal15694703/status/1767533565737423011</v>
      </c>
      <c r="K865" t="s">
        <v>67</v>
      </c>
      <c r="O865">
        <v>0</v>
      </c>
      <c r="P865">
        <v>0</v>
      </c>
      <c r="Q865">
        <v>215</v>
      </c>
      <c r="S865">
        <v>0</v>
      </c>
      <c r="T865">
        <v>0</v>
      </c>
      <c r="U865">
        <v>0</v>
      </c>
      <c r="W865" t="s">
        <v>99</v>
      </c>
    </row>
    <row r="866" spans="1:23" x14ac:dyDescent="0.35">
      <c r="A866" t="s">
        <v>45</v>
      </c>
      <c r="B866" t="s">
        <v>1815</v>
      </c>
      <c r="C866" t="s">
        <v>60</v>
      </c>
      <c r="D866" t="s">
        <v>61</v>
      </c>
      <c r="E866" t="s">
        <v>61</v>
      </c>
      <c r="F866" t="s">
        <v>49</v>
      </c>
      <c r="G866" t="s">
        <v>1844</v>
      </c>
      <c r="H866" t="s">
        <v>1845</v>
      </c>
      <c r="J866" t="str">
        <f>HYPERLINK("https://www.facebook.com/634639855377280/posts/807074171467180?comment_id=1116236236395206&amp;reply_comment_id=902228181695610","https://www.facebook.com/634639855377280/posts/807074171467180?comment_id=1116236236395206&amp;reply_comment_id=902228181695610")</f>
        <v>https://www.facebook.com/634639855377280/posts/807074171467180?comment_id=1116236236395206&amp;reply_comment_id=902228181695610</v>
      </c>
      <c r="O866">
        <v>0</v>
      </c>
      <c r="P866">
        <v>0</v>
      </c>
      <c r="Q866">
        <v>0</v>
      </c>
      <c r="S866">
        <v>0</v>
      </c>
      <c r="T866">
        <v>0</v>
      </c>
      <c r="U866">
        <v>0</v>
      </c>
      <c r="W866" t="s">
        <v>52</v>
      </c>
    </row>
    <row r="867" spans="1:23" x14ac:dyDescent="0.35">
      <c r="A867" t="s">
        <v>45</v>
      </c>
      <c r="B867" t="s">
        <v>1815</v>
      </c>
      <c r="C867" t="s">
        <v>47</v>
      </c>
      <c r="D867" t="s">
        <v>68</v>
      </c>
      <c r="E867" t="s">
        <v>68</v>
      </c>
      <c r="F867" t="s">
        <v>49</v>
      </c>
      <c r="G867" t="s">
        <v>102</v>
      </c>
      <c r="H867" t="s">
        <v>1846</v>
      </c>
      <c r="J867" t="str">
        <f>HYPERLINK("https://www.youtube.com/watch?v=PE3mRN7gvwo&amp;lc=UgwqcSV3zeQltcYjQm54AaABAg.A0sQtZbO3x-A0ss1Fik45p","https://www.youtube.com/watch?v=PE3mRN7gvwo&amp;lc=UgwqcSV3zeQltcYjQm54AaABAg.A0sQtZbO3x-A0ss1Fik45p")</f>
        <v>https://www.youtube.com/watch?v=PE3mRN7gvwo&amp;lc=UgwqcSV3zeQltcYjQm54AaABAg.A0sQtZbO3x-A0ss1Fik45p</v>
      </c>
      <c r="O867">
        <v>0</v>
      </c>
      <c r="P867">
        <v>0</v>
      </c>
      <c r="Q867">
        <v>0</v>
      </c>
      <c r="S867">
        <v>0</v>
      </c>
      <c r="T867">
        <v>0</v>
      </c>
      <c r="U867">
        <v>0</v>
      </c>
      <c r="W867" t="s">
        <v>52</v>
      </c>
    </row>
    <row r="868" spans="1:23" x14ac:dyDescent="0.35">
      <c r="A868" t="s">
        <v>45</v>
      </c>
      <c r="B868" t="s">
        <v>1815</v>
      </c>
      <c r="C868" t="s">
        <v>47</v>
      </c>
      <c r="D868" t="s">
        <v>68</v>
      </c>
      <c r="E868" t="s">
        <v>68</v>
      </c>
      <c r="F868" t="s">
        <v>49</v>
      </c>
      <c r="G868" t="s">
        <v>1847</v>
      </c>
      <c r="H868" t="s">
        <v>1848</v>
      </c>
      <c r="J868" t="str">
        <f>HYPERLINK("https://www.youtube.com/watch?v=wJJ455CgzKg&amp;lc=UgyOJo9VW7iUbe5er7N4AaABAg.A0r-h0K-TQoA0srYUxxYMo","https://www.youtube.com/watch?v=wJJ455CgzKg&amp;lc=UgyOJo9VW7iUbe5er7N4AaABAg.A0r-h0K-TQoA0srYUxxYMo")</f>
        <v>https://www.youtube.com/watch?v=wJJ455CgzKg&amp;lc=UgyOJo9VW7iUbe5er7N4AaABAg.A0r-h0K-TQoA0srYUxxYMo</v>
      </c>
      <c r="O868">
        <v>0</v>
      </c>
      <c r="P868">
        <v>0</v>
      </c>
      <c r="Q868">
        <v>0</v>
      </c>
      <c r="S868">
        <v>0</v>
      </c>
      <c r="T868">
        <v>0</v>
      </c>
      <c r="U868">
        <v>0</v>
      </c>
      <c r="W868" t="s">
        <v>52</v>
      </c>
    </row>
    <row r="869" spans="1:23" x14ac:dyDescent="0.35">
      <c r="A869" t="s">
        <v>45</v>
      </c>
      <c r="B869" t="s">
        <v>1815</v>
      </c>
      <c r="C869" t="s">
        <v>60</v>
      </c>
      <c r="D869" t="s">
        <v>64</v>
      </c>
      <c r="E869" t="s">
        <v>64</v>
      </c>
      <c r="F869" t="s">
        <v>49</v>
      </c>
      <c r="G869" t="s">
        <v>125</v>
      </c>
      <c r="H869" t="s">
        <v>1849</v>
      </c>
      <c r="J869" t="str">
        <f>HYPERLINK("https://www.facebook.com/634639855377280/posts/807074171467180?comment_id=1116236236395206&amp;reply_comment_id=1076078240314065","https://www.facebook.com/634639855377280/posts/807074171467180?comment_id=1116236236395206&amp;reply_comment_id=1076078240314065")</f>
        <v>https://www.facebook.com/634639855377280/posts/807074171467180?comment_id=1116236236395206&amp;reply_comment_id=1076078240314065</v>
      </c>
      <c r="K869" t="s">
        <v>67</v>
      </c>
      <c r="O869">
        <v>0</v>
      </c>
      <c r="P869">
        <v>0</v>
      </c>
      <c r="Q869">
        <v>0</v>
      </c>
      <c r="S869">
        <v>0</v>
      </c>
      <c r="T869">
        <v>0</v>
      </c>
      <c r="U869">
        <v>0</v>
      </c>
      <c r="W869" t="s">
        <v>52</v>
      </c>
    </row>
    <row r="870" spans="1:23" x14ac:dyDescent="0.35">
      <c r="A870" t="s">
        <v>45</v>
      </c>
      <c r="B870" t="s">
        <v>1815</v>
      </c>
      <c r="C870" t="s">
        <v>93</v>
      </c>
      <c r="D870" t="s">
        <v>94</v>
      </c>
      <c r="E870" t="s">
        <v>45</v>
      </c>
      <c r="F870" t="s">
        <v>49</v>
      </c>
      <c r="G870" t="s">
        <v>1850</v>
      </c>
      <c r="H870" t="s">
        <v>1851</v>
      </c>
      <c r="J870" t="str">
        <f>HYPERLINK("https://twitter.com/SpiceMoneyIndia/status/1767490574171406551","https://twitter.com/SpiceMoneyIndia/status/1767490574171406551")</f>
        <v>https://twitter.com/SpiceMoneyIndia/status/1767490574171406551</v>
      </c>
      <c r="K870" t="s">
        <v>67</v>
      </c>
      <c r="O870">
        <v>0</v>
      </c>
      <c r="P870">
        <v>0</v>
      </c>
      <c r="Q870">
        <v>6067</v>
      </c>
      <c r="R870" t="s">
        <v>97</v>
      </c>
      <c r="S870">
        <v>0</v>
      </c>
      <c r="T870">
        <v>0</v>
      </c>
      <c r="U870">
        <v>0</v>
      </c>
      <c r="V870" t="s">
        <v>98</v>
      </c>
      <c r="W870" t="s">
        <v>99</v>
      </c>
    </row>
    <row r="871" spans="1:23" x14ac:dyDescent="0.35">
      <c r="A871" t="s">
        <v>45</v>
      </c>
      <c r="B871" t="s">
        <v>1815</v>
      </c>
      <c r="C871" t="s">
        <v>47</v>
      </c>
      <c r="D871" t="s">
        <v>68</v>
      </c>
      <c r="E871" t="s">
        <v>68</v>
      </c>
      <c r="F871" t="s">
        <v>49</v>
      </c>
      <c r="G871" t="s">
        <v>1342</v>
      </c>
      <c r="H871" t="s">
        <v>1852</v>
      </c>
      <c r="J871" t="str">
        <f>HYPERLINK("https://www.youtube.com/watch?v=mywlDWI77_k&amp;lc=UgzP9mPZN2DXp5wwk0t4AaABAg.A0sZESHuBsgA0sjmsYjkQa","https://www.youtube.com/watch?v=mywlDWI77_k&amp;lc=UgzP9mPZN2DXp5wwk0t4AaABAg.A0sZESHuBsgA0sjmsYjkQa")</f>
        <v>https://www.youtube.com/watch?v=mywlDWI77_k&amp;lc=UgzP9mPZN2DXp5wwk0t4AaABAg.A0sZESHuBsgA0sjmsYjkQa</v>
      </c>
      <c r="O871">
        <v>0</v>
      </c>
      <c r="P871">
        <v>0</v>
      </c>
      <c r="Q871">
        <v>0</v>
      </c>
      <c r="S871">
        <v>0</v>
      </c>
      <c r="T871">
        <v>0</v>
      </c>
      <c r="U871">
        <v>0</v>
      </c>
      <c r="W871" t="s">
        <v>52</v>
      </c>
    </row>
    <row r="872" spans="1:23" x14ac:dyDescent="0.35">
      <c r="A872" t="s">
        <v>45</v>
      </c>
      <c r="B872" t="s">
        <v>1815</v>
      </c>
      <c r="C872" t="s">
        <v>93</v>
      </c>
      <c r="D872" t="s">
        <v>94</v>
      </c>
      <c r="E872" t="s">
        <v>45</v>
      </c>
      <c r="F872" t="s">
        <v>49</v>
      </c>
      <c r="G872" t="s">
        <v>1853</v>
      </c>
      <c r="H872" t="s">
        <v>1854</v>
      </c>
      <c r="J872" t="str">
        <f>HYPERLINK("https://twitter.com/SpiceMoneyIndia/status/1767489124733219292","https://twitter.com/SpiceMoneyIndia/status/1767489124733219292")</f>
        <v>https://twitter.com/SpiceMoneyIndia/status/1767489124733219292</v>
      </c>
      <c r="K872" t="s">
        <v>67</v>
      </c>
      <c r="O872">
        <v>0</v>
      </c>
      <c r="P872">
        <v>0</v>
      </c>
      <c r="Q872">
        <v>6067</v>
      </c>
      <c r="R872" t="s">
        <v>97</v>
      </c>
      <c r="S872">
        <v>0</v>
      </c>
      <c r="T872">
        <v>0</v>
      </c>
      <c r="U872">
        <v>0</v>
      </c>
      <c r="V872" t="s">
        <v>98</v>
      </c>
      <c r="W872" t="s">
        <v>99</v>
      </c>
    </row>
    <row r="873" spans="1:23" x14ac:dyDescent="0.35">
      <c r="A873" t="s">
        <v>45</v>
      </c>
      <c r="B873" t="s">
        <v>1815</v>
      </c>
      <c r="C873" t="s">
        <v>47</v>
      </c>
      <c r="D873" t="s">
        <v>1855</v>
      </c>
      <c r="E873" t="s">
        <v>1855</v>
      </c>
      <c r="F873" t="s">
        <v>49</v>
      </c>
      <c r="G873" t="s">
        <v>1856</v>
      </c>
      <c r="H873" t="s">
        <v>1857</v>
      </c>
      <c r="J873" t="str">
        <f>HYPERLINK("https://www.youtube.com/watch?v=mywlDWI77_k&amp;lc=UgyYOvIY91KiFgxrAUt4AaABAg","https://www.youtube.com/watch?v=mywlDWI77_k&amp;lc=UgyYOvIY91KiFgxrAUt4AaABAg")</f>
        <v>https://www.youtube.com/watch?v=mywlDWI77_k&amp;lc=UgyYOvIY91KiFgxrAUt4AaABAg</v>
      </c>
      <c r="O873">
        <v>0</v>
      </c>
      <c r="P873">
        <v>0</v>
      </c>
      <c r="Q873">
        <v>0</v>
      </c>
      <c r="S873">
        <v>0</v>
      </c>
      <c r="T873">
        <v>0</v>
      </c>
      <c r="U873">
        <v>0</v>
      </c>
      <c r="W873" t="s">
        <v>52</v>
      </c>
    </row>
    <row r="874" spans="1:23" x14ac:dyDescent="0.35">
      <c r="A874" t="s">
        <v>45</v>
      </c>
      <c r="B874" t="s">
        <v>1815</v>
      </c>
      <c r="C874" t="s">
        <v>60</v>
      </c>
      <c r="D874" t="s">
        <v>61</v>
      </c>
      <c r="E874" t="s">
        <v>61</v>
      </c>
      <c r="F874" t="s">
        <v>54</v>
      </c>
      <c r="G874" t="s">
        <v>1858</v>
      </c>
      <c r="H874" t="s">
        <v>1859</v>
      </c>
      <c r="J874" t="str">
        <f>HYPERLINK("https://www.facebook.com/634639855377280/posts/807074171467180?comment_id=403936122243952","https://www.facebook.com/634639855377280/posts/807074171467180?comment_id=403936122243952")</f>
        <v>https://www.facebook.com/634639855377280/posts/807074171467180?comment_id=403936122243952</v>
      </c>
      <c r="O874">
        <v>0</v>
      </c>
      <c r="P874">
        <v>0</v>
      </c>
      <c r="Q874">
        <v>0</v>
      </c>
      <c r="S874">
        <v>0</v>
      </c>
      <c r="T874">
        <v>0</v>
      </c>
      <c r="U874">
        <v>0</v>
      </c>
      <c r="W874" t="s">
        <v>52</v>
      </c>
    </row>
    <row r="875" spans="1:23" x14ac:dyDescent="0.35">
      <c r="A875" t="s">
        <v>45</v>
      </c>
      <c r="B875" t="s">
        <v>1815</v>
      </c>
      <c r="C875" t="s">
        <v>47</v>
      </c>
      <c r="D875" t="s">
        <v>846</v>
      </c>
      <c r="E875" t="s">
        <v>846</v>
      </c>
      <c r="F875" t="s">
        <v>54</v>
      </c>
      <c r="G875" t="s">
        <v>1860</v>
      </c>
      <c r="H875" t="s">
        <v>1861</v>
      </c>
      <c r="J875" t="str">
        <f>HYPERLINK("https://www.youtube.com/watch?v=mywlDWI77_k&amp;lc=UgzP9mPZN2DXp5wwk0t4AaABAg","https://www.youtube.com/watch?v=mywlDWI77_k&amp;lc=UgzP9mPZN2DXp5wwk0t4AaABAg")</f>
        <v>https://www.youtube.com/watch?v=mywlDWI77_k&amp;lc=UgzP9mPZN2DXp5wwk0t4AaABAg</v>
      </c>
      <c r="O875">
        <v>0</v>
      </c>
      <c r="P875">
        <v>0</v>
      </c>
      <c r="Q875">
        <v>0</v>
      </c>
      <c r="S875">
        <v>0</v>
      </c>
      <c r="T875">
        <v>0</v>
      </c>
      <c r="U875">
        <v>0</v>
      </c>
      <c r="W875" t="s">
        <v>52</v>
      </c>
    </row>
    <row r="876" spans="1:23" x14ac:dyDescent="0.35">
      <c r="A876" t="s">
        <v>45</v>
      </c>
      <c r="B876" t="s">
        <v>1815</v>
      </c>
      <c r="C876" t="s">
        <v>60</v>
      </c>
      <c r="D876" t="s">
        <v>61</v>
      </c>
      <c r="E876" t="s">
        <v>61</v>
      </c>
      <c r="F876" t="s">
        <v>49</v>
      </c>
      <c r="G876" t="s">
        <v>1862</v>
      </c>
      <c r="H876" t="s">
        <v>1863</v>
      </c>
      <c r="J876" t="str">
        <f>HYPERLINK("https://www.facebook.com/634639855377280/posts/807074171467180?comment_id=1116236236395206","https://www.facebook.com/634639855377280/posts/807074171467180?comment_id=1116236236395206")</f>
        <v>https://www.facebook.com/634639855377280/posts/807074171467180?comment_id=1116236236395206</v>
      </c>
      <c r="O876">
        <v>0</v>
      </c>
      <c r="P876">
        <v>0</v>
      </c>
      <c r="Q876">
        <v>0</v>
      </c>
      <c r="S876">
        <v>0</v>
      </c>
      <c r="T876">
        <v>0</v>
      </c>
      <c r="U876">
        <v>0</v>
      </c>
      <c r="W876" t="s">
        <v>52</v>
      </c>
    </row>
    <row r="877" spans="1:23" x14ac:dyDescent="0.35">
      <c r="A877" t="s">
        <v>45</v>
      </c>
      <c r="B877" t="s">
        <v>1815</v>
      </c>
      <c r="C877" t="s">
        <v>60</v>
      </c>
      <c r="D877" t="s">
        <v>64</v>
      </c>
      <c r="E877" t="s">
        <v>64</v>
      </c>
      <c r="F877" t="s">
        <v>49</v>
      </c>
      <c r="G877" t="s">
        <v>1864</v>
      </c>
      <c r="H877" t="s">
        <v>1865</v>
      </c>
      <c r="J877" t="str">
        <f>HYPERLINK("https://www.facebook.com/634639855377280/posts/807074171467180","https://www.facebook.com/634639855377280/posts/807074171467180")</f>
        <v>https://www.facebook.com/634639855377280/posts/807074171467180</v>
      </c>
      <c r="O877">
        <v>0</v>
      </c>
      <c r="P877">
        <v>0</v>
      </c>
      <c r="Q877">
        <v>0</v>
      </c>
      <c r="S877">
        <v>8</v>
      </c>
      <c r="T877">
        <v>36</v>
      </c>
      <c r="U877">
        <v>1</v>
      </c>
      <c r="W877" t="s">
        <v>346</v>
      </c>
    </row>
    <row r="878" spans="1:23" x14ac:dyDescent="0.35">
      <c r="A878" t="s">
        <v>45</v>
      </c>
      <c r="B878" t="s">
        <v>1815</v>
      </c>
      <c r="C878" t="s">
        <v>47</v>
      </c>
      <c r="D878" t="s">
        <v>45</v>
      </c>
      <c r="E878" t="s">
        <v>45</v>
      </c>
      <c r="F878" t="s">
        <v>49</v>
      </c>
      <c r="G878" t="s">
        <v>1866</v>
      </c>
      <c r="H878" t="s">
        <v>1867</v>
      </c>
      <c r="J878" t="str">
        <f>HYPERLINK("https://www.youtube.com/watch?v=mywlDWI77_k","https://www.youtube.com/watch?v=mywlDWI77_k")</f>
        <v>https://www.youtube.com/watch?v=mywlDWI77_k</v>
      </c>
      <c r="O878">
        <v>0</v>
      </c>
      <c r="P878">
        <v>0</v>
      </c>
      <c r="Q878">
        <v>0</v>
      </c>
      <c r="S878">
        <v>0</v>
      </c>
      <c r="T878">
        <v>0</v>
      </c>
      <c r="U878">
        <v>0</v>
      </c>
      <c r="W878" t="s">
        <v>346</v>
      </c>
    </row>
    <row r="879" spans="1:23" x14ac:dyDescent="0.35">
      <c r="A879" t="s">
        <v>45</v>
      </c>
      <c r="B879" t="s">
        <v>1815</v>
      </c>
      <c r="C879" t="s">
        <v>47</v>
      </c>
      <c r="D879" t="s">
        <v>45</v>
      </c>
      <c r="E879" t="s">
        <v>45</v>
      </c>
      <c r="F879" t="s">
        <v>49</v>
      </c>
      <c r="G879" t="s">
        <v>1866</v>
      </c>
      <c r="H879" t="s">
        <v>1868</v>
      </c>
      <c r="J879" t="str">
        <f>HYPERLINK("https://www.youtube.com/watch?v=mywlDWI77_k","https://www.youtube.com/watch?v=mywlDWI77_k")</f>
        <v>https://www.youtube.com/watch?v=mywlDWI77_k</v>
      </c>
      <c r="O879">
        <v>0</v>
      </c>
      <c r="P879">
        <v>0</v>
      </c>
      <c r="Q879">
        <v>0</v>
      </c>
      <c r="S879">
        <v>0</v>
      </c>
      <c r="T879">
        <v>0</v>
      </c>
      <c r="U879">
        <v>0</v>
      </c>
      <c r="W879" t="s">
        <v>346</v>
      </c>
    </row>
    <row r="880" spans="1:23" x14ac:dyDescent="0.35">
      <c r="A880" t="s">
        <v>45</v>
      </c>
      <c r="B880" t="s">
        <v>1815</v>
      </c>
      <c r="C880" t="s">
        <v>60</v>
      </c>
      <c r="D880" t="s">
        <v>64</v>
      </c>
      <c r="E880" t="s">
        <v>64</v>
      </c>
      <c r="F880" t="s">
        <v>49</v>
      </c>
      <c r="G880" t="s">
        <v>1869</v>
      </c>
      <c r="H880" t="s">
        <v>1870</v>
      </c>
      <c r="J880" t="str">
        <f>HYPERLINK("https://www.facebook.com/634639855377280/posts/806532724854658?comment_id=713967040892556&amp;reply_comment_id=1378680776146828","https://www.facebook.com/634639855377280/posts/806532724854658?comment_id=713967040892556&amp;reply_comment_id=1378680776146828")</f>
        <v>https://www.facebook.com/634639855377280/posts/806532724854658?comment_id=713967040892556&amp;reply_comment_id=1378680776146828</v>
      </c>
      <c r="K880" t="s">
        <v>67</v>
      </c>
      <c r="O880">
        <v>0</v>
      </c>
      <c r="P880">
        <v>0</v>
      </c>
      <c r="Q880">
        <v>0</v>
      </c>
      <c r="S880">
        <v>0</v>
      </c>
      <c r="T880">
        <v>0</v>
      </c>
      <c r="U880">
        <v>0</v>
      </c>
      <c r="W880" t="s">
        <v>52</v>
      </c>
    </row>
    <row r="881" spans="1:23" x14ac:dyDescent="0.35">
      <c r="A881" t="s">
        <v>45</v>
      </c>
      <c r="B881" t="s">
        <v>1815</v>
      </c>
      <c r="C881" t="s">
        <v>47</v>
      </c>
      <c r="D881" t="s">
        <v>1871</v>
      </c>
      <c r="E881" t="s">
        <v>1871</v>
      </c>
      <c r="F881" t="s">
        <v>49</v>
      </c>
      <c r="G881" t="s">
        <v>1872</v>
      </c>
      <c r="H881" t="s">
        <v>1873</v>
      </c>
      <c r="J881" t="str">
        <f>HYPERLINK("https://www.youtube.com/watch?v=PE3mRN7gvwo&amp;lc=UgwqcSV3zeQltcYjQm54AaABAg","https://www.youtube.com/watch?v=PE3mRN7gvwo&amp;lc=UgwqcSV3zeQltcYjQm54AaABAg")</f>
        <v>https://www.youtube.com/watch?v=PE3mRN7gvwo&amp;lc=UgwqcSV3zeQltcYjQm54AaABAg</v>
      </c>
      <c r="O881">
        <v>0</v>
      </c>
      <c r="P881">
        <v>0</v>
      </c>
      <c r="Q881">
        <v>0</v>
      </c>
      <c r="S881">
        <v>0</v>
      </c>
      <c r="T881">
        <v>0</v>
      </c>
      <c r="U881">
        <v>0</v>
      </c>
      <c r="W881" t="s">
        <v>52</v>
      </c>
    </row>
    <row r="882" spans="1:23" x14ac:dyDescent="0.35">
      <c r="A882" t="s">
        <v>45</v>
      </c>
      <c r="B882" t="s">
        <v>1815</v>
      </c>
      <c r="C882" t="s">
        <v>93</v>
      </c>
      <c r="D882" t="s">
        <v>223</v>
      </c>
      <c r="E882" t="s">
        <v>224</v>
      </c>
      <c r="F882" t="s">
        <v>49</v>
      </c>
      <c r="G882" t="s">
        <v>1874</v>
      </c>
      <c r="H882" t="s">
        <v>1875</v>
      </c>
      <c r="J882" t="str">
        <f>HYPERLINK("https://twitter.com/MdSec63/status/1767444480817590354","https://twitter.com/MdSec63/status/1767444480817590354")</f>
        <v>https://twitter.com/MdSec63/status/1767444480817590354</v>
      </c>
      <c r="O882">
        <v>0</v>
      </c>
      <c r="P882">
        <v>0</v>
      </c>
      <c r="Q882">
        <v>0</v>
      </c>
      <c r="S882">
        <v>0</v>
      </c>
      <c r="T882">
        <v>0</v>
      </c>
      <c r="U882">
        <v>0</v>
      </c>
      <c r="W882" t="s">
        <v>99</v>
      </c>
    </row>
    <row r="883" spans="1:23" x14ac:dyDescent="0.35">
      <c r="A883" t="s">
        <v>45</v>
      </c>
      <c r="B883" t="s">
        <v>1815</v>
      </c>
      <c r="C883" t="s">
        <v>93</v>
      </c>
      <c r="D883" t="s">
        <v>1792</v>
      </c>
      <c r="E883" t="s">
        <v>1793</v>
      </c>
      <c r="F883" t="s">
        <v>49</v>
      </c>
      <c r="G883" t="s">
        <v>1794</v>
      </c>
      <c r="H883" t="s">
        <v>1876</v>
      </c>
      <c r="J883" t="str">
        <f>HYPERLINK("https://twitter.com/Rehanal15694703/status/1767435577451012214","https://twitter.com/Rehanal15694703/status/1767435577451012214")</f>
        <v>https://twitter.com/Rehanal15694703/status/1767435577451012214</v>
      </c>
      <c r="K883" t="s">
        <v>67</v>
      </c>
      <c r="O883">
        <v>0</v>
      </c>
      <c r="P883">
        <v>0</v>
      </c>
      <c r="Q883">
        <v>215</v>
      </c>
      <c r="S883">
        <v>0</v>
      </c>
      <c r="T883">
        <v>0</v>
      </c>
      <c r="U883">
        <v>0</v>
      </c>
      <c r="W883" t="s">
        <v>99</v>
      </c>
    </row>
    <row r="884" spans="1:23" x14ac:dyDescent="0.35">
      <c r="A884" t="s">
        <v>45</v>
      </c>
      <c r="B884" t="s">
        <v>1815</v>
      </c>
      <c r="C884" t="s">
        <v>47</v>
      </c>
      <c r="D884" t="s">
        <v>68</v>
      </c>
      <c r="E884" t="s">
        <v>68</v>
      </c>
      <c r="F884" t="s">
        <v>49</v>
      </c>
      <c r="G884" t="s">
        <v>102</v>
      </c>
      <c r="H884" t="s">
        <v>1877</v>
      </c>
      <c r="J884" t="str">
        <f>HYPERLINK("https://www.youtube.com/watch?v=fi0KMSdJZZY&amp;lc=UgwkeZLmfiS3Wk-T6cJ4AaABAg.A0s3jO8vA0MA0sK-RoA8yN","https://www.youtube.com/watch?v=fi0KMSdJZZY&amp;lc=UgwkeZLmfiS3Wk-T6cJ4AaABAg.A0s3jO8vA0MA0sK-RoA8yN")</f>
        <v>https://www.youtube.com/watch?v=fi0KMSdJZZY&amp;lc=UgwkeZLmfiS3Wk-T6cJ4AaABAg.A0s3jO8vA0MA0sK-RoA8yN</v>
      </c>
      <c r="O884">
        <v>0</v>
      </c>
      <c r="P884">
        <v>0</v>
      </c>
      <c r="Q884">
        <v>0</v>
      </c>
      <c r="S884">
        <v>0</v>
      </c>
      <c r="T884">
        <v>0</v>
      </c>
      <c r="U884">
        <v>0</v>
      </c>
      <c r="W884" t="s">
        <v>52</v>
      </c>
    </row>
    <row r="885" spans="1:23" x14ac:dyDescent="0.35">
      <c r="A885" t="s">
        <v>45</v>
      </c>
      <c r="B885" t="s">
        <v>1815</v>
      </c>
      <c r="C885" t="s">
        <v>47</v>
      </c>
      <c r="D885" t="s">
        <v>68</v>
      </c>
      <c r="E885" t="s">
        <v>68</v>
      </c>
      <c r="F885" t="s">
        <v>49</v>
      </c>
      <c r="G885" t="s">
        <v>1878</v>
      </c>
      <c r="H885" t="s">
        <v>1879</v>
      </c>
      <c r="J885" t="str">
        <f>HYPERLINK("https://www.youtube.com/watch?v=lgTr6XT0s8g&amp;lc=Ugwu3ostSp9KYpE4nol4AaABAg.A0j04DxafXXA0sJv304ex5","https://www.youtube.com/watch?v=lgTr6XT0s8g&amp;lc=Ugwu3ostSp9KYpE4nol4AaABAg.A0j04DxafXXA0sJv304ex5")</f>
        <v>https://www.youtube.com/watch?v=lgTr6XT0s8g&amp;lc=Ugwu3ostSp9KYpE4nol4AaABAg.A0j04DxafXXA0sJv304ex5</v>
      </c>
      <c r="O885">
        <v>0</v>
      </c>
      <c r="P885">
        <v>0</v>
      </c>
      <c r="Q885">
        <v>0</v>
      </c>
      <c r="S885">
        <v>0</v>
      </c>
      <c r="T885">
        <v>0</v>
      </c>
      <c r="U885">
        <v>0</v>
      </c>
      <c r="W885" t="s">
        <v>52</v>
      </c>
    </row>
    <row r="886" spans="1:23" x14ac:dyDescent="0.35">
      <c r="A886" t="s">
        <v>45</v>
      </c>
      <c r="B886" t="s">
        <v>1815</v>
      </c>
      <c r="C886" t="s">
        <v>93</v>
      </c>
      <c r="D886" t="s">
        <v>94</v>
      </c>
      <c r="E886" t="s">
        <v>45</v>
      </c>
      <c r="F886" t="s">
        <v>49</v>
      </c>
      <c r="G886" t="s">
        <v>1880</v>
      </c>
      <c r="H886" t="s">
        <v>1881</v>
      </c>
      <c r="J886" t="str">
        <f>HYPERLINK("https://twitter.com/SpiceMoneyIndia/status/1767405145610993975","https://twitter.com/SpiceMoneyIndia/status/1767405145610993975")</f>
        <v>https://twitter.com/SpiceMoneyIndia/status/1767405145610993975</v>
      </c>
      <c r="K886" t="s">
        <v>67</v>
      </c>
      <c r="O886">
        <v>0</v>
      </c>
      <c r="P886">
        <v>0</v>
      </c>
      <c r="Q886">
        <v>6067</v>
      </c>
      <c r="R886" t="s">
        <v>97</v>
      </c>
      <c r="S886">
        <v>0</v>
      </c>
      <c r="T886">
        <v>0</v>
      </c>
      <c r="U886">
        <v>0</v>
      </c>
      <c r="V886" t="s">
        <v>98</v>
      </c>
      <c r="W886" t="s">
        <v>99</v>
      </c>
    </row>
    <row r="887" spans="1:23" x14ac:dyDescent="0.35">
      <c r="A887" t="s">
        <v>45</v>
      </c>
      <c r="B887" t="s">
        <v>1815</v>
      </c>
      <c r="C887" t="s">
        <v>93</v>
      </c>
      <c r="D887" t="s">
        <v>94</v>
      </c>
      <c r="E887" t="s">
        <v>45</v>
      </c>
      <c r="F887" t="s">
        <v>49</v>
      </c>
      <c r="G887" t="s">
        <v>773</v>
      </c>
      <c r="H887" t="s">
        <v>1882</v>
      </c>
      <c r="J887" t="str">
        <f>HYPERLINK("https://twitter.com/SpiceMoneyIndia/status/1767404948340322814","https://twitter.com/SpiceMoneyIndia/status/1767404948340322814")</f>
        <v>https://twitter.com/SpiceMoneyIndia/status/1767404948340322814</v>
      </c>
      <c r="K887" t="s">
        <v>67</v>
      </c>
      <c r="O887">
        <v>0</v>
      </c>
      <c r="P887">
        <v>0</v>
      </c>
      <c r="Q887">
        <v>6067</v>
      </c>
      <c r="R887" t="s">
        <v>97</v>
      </c>
      <c r="S887">
        <v>0</v>
      </c>
      <c r="T887">
        <v>0</v>
      </c>
      <c r="U887">
        <v>0</v>
      </c>
      <c r="V887" t="s">
        <v>98</v>
      </c>
      <c r="W887" t="s">
        <v>99</v>
      </c>
    </row>
    <row r="888" spans="1:23" x14ac:dyDescent="0.35">
      <c r="A888" t="s">
        <v>45</v>
      </c>
      <c r="B888" t="s">
        <v>1815</v>
      </c>
      <c r="C888" t="s">
        <v>47</v>
      </c>
      <c r="D888" t="s">
        <v>68</v>
      </c>
      <c r="E888" t="s">
        <v>68</v>
      </c>
      <c r="F888" t="s">
        <v>49</v>
      </c>
      <c r="G888" t="s">
        <v>253</v>
      </c>
      <c r="H888" t="s">
        <v>1883</v>
      </c>
      <c r="J888" t="str">
        <f>HYPERLINK("https://www.youtube.com/watch?v=qztBolllpk8&amp;lc=Ugw8lL4_nwrv0VZsgRJ4AaABAg.A0rpSmLljsJA0s6pXaYDc7","https://www.youtube.com/watch?v=qztBolllpk8&amp;lc=Ugw8lL4_nwrv0VZsgRJ4AaABAg.A0rpSmLljsJA0s6pXaYDc7")</f>
        <v>https://www.youtube.com/watch?v=qztBolllpk8&amp;lc=Ugw8lL4_nwrv0VZsgRJ4AaABAg.A0rpSmLljsJA0s6pXaYDc7</v>
      </c>
      <c r="O888">
        <v>0</v>
      </c>
      <c r="P888">
        <v>0</v>
      </c>
      <c r="Q888">
        <v>0</v>
      </c>
      <c r="S888">
        <v>0</v>
      </c>
      <c r="T888">
        <v>0</v>
      </c>
      <c r="U888">
        <v>0</v>
      </c>
      <c r="W888" t="s">
        <v>52</v>
      </c>
    </row>
    <row r="889" spans="1:23" x14ac:dyDescent="0.35">
      <c r="A889" t="s">
        <v>45</v>
      </c>
      <c r="B889" t="s">
        <v>1815</v>
      </c>
      <c r="C889" t="s">
        <v>47</v>
      </c>
      <c r="D889" t="s">
        <v>68</v>
      </c>
      <c r="E889" t="s">
        <v>68</v>
      </c>
      <c r="F889" t="s">
        <v>49</v>
      </c>
      <c r="G889" t="s">
        <v>162</v>
      </c>
      <c r="H889" t="s">
        <v>1884</v>
      </c>
      <c r="J889" t="str">
        <f>HYPERLINK("https://www.youtube.com/watch?v=YQSdpP96l0U&amp;lc=UgxHKXb6nzIZ2N0XwsZ4AaABAg.A0qOOdlpOPaA0s6ZIpJbqv","https://www.youtube.com/watch?v=YQSdpP96l0U&amp;lc=UgxHKXb6nzIZ2N0XwsZ4AaABAg.A0qOOdlpOPaA0s6ZIpJbqv")</f>
        <v>https://www.youtube.com/watch?v=YQSdpP96l0U&amp;lc=UgxHKXb6nzIZ2N0XwsZ4AaABAg.A0qOOdlpOPaA0s6ZIpJbqv</v>
      </c>
      <c r="O889">
        <v>0</v>
      </c>
      <c r="P889">
        <v>0</v>
      </c>
      <c r="Q889">
        <v>0</v>
      </c>
      <c r="S889">
        <v>0</v>
      </c>
      <c r="T889">
        <v>0</v>
      </c>
      <c r="U889">
        <v>0</v>
      </c>
      <c r="W889" t="s">
        <v>52</v>
      </c>
    </row>
    <row r="890" spans="1:23" x14ac:dyDescent="0.35">
      <c r="A890" t="s">
        <v>45</v>
      </c>
      <c r="B890" t="s">
        <v>1815</v>
      </c>
      <c r="C890" t="s">
        <v>47</v>
      </c>
      <c r="D890" t="s">
        <v>1885</v>
      </c>
      <c r="E890" t="s">
        <v>1885</v>
      </c>
      <c r="F890" t="s">
        <v>49</v>
      </c>
      <c r="G890" t="s">
        <v>1886</v>
      </c>
      <c r="H890" t="s">
        <v>1887</v>
      </c>
      <c r="J890" t="str">
        <f>HYPERLINK("https://www.youtube.com/watch?v=fi0KMSdJZZY&amp;lc=UgwkeZLmfiS3Wk-T6cJ4AaABAg","https://www.youtube.com/watch?v=fi0KMSdJZZY&amp;lc=UgwkeZLmfiS3Wk-T6cJ4AaABAg")</f>
        <v>https://www.youtube.com/watch?v=fi0KMSdJZZY&amp;lc=UgwkeZLmfiS3Wk-T6cJ4AaABAg</v>
      </c>
      <c r="O890">
        <v>0</v>
      </c>
      <c r="P890">
        <v>0</v>
      </c>
      <c r="Q890">
        <v>0</v>
      </c>
      <c r="S890">
        <v>0</v>
      </c>
      <c r="T890">
        <v>0</v>
      </c>
      <c r="U890">
        <v>0</v>
      </c>
      <c r="W890" t="s">
        <v>52</v>
      </c>
    </row>
    <row r="891" spans="1:23" x14ac:dyDescent="0.35">
      <c r="A891" t="s">
        <v>45</v>
      </c>
      <c r="B891" t="s">
        <v>1815</v>
      </c>
      <c r="C891" t="s">
        <v>47</v>
      </c>
      <c r="D891" t="s">
        <v>1888</v>
      </c>
      <c r="E891" t="s">
        <v>1888</v>
      </c>
      <c r="F891" t="s">
        <v>49</v>
      </c>
      <c r="G891" t="s">
        <v>1889</v>
      </c>
      <c r="H891" t="s">
        <v>1890</v>
      </c>
      <c r="J891" t="str">
        <f>HYPERLINK("https://www.youtube.com/watch?v=qztBolllpk8&amp;lc=Ugw8lL4_nwrv0VZsgRJ4AaABAg","https://www.youtube.com/watch?v=qztBolllpk8&amp;lc=Ugw8lL4_nwrv0VZsgRJ4AaABAg")</f>
        <v>https://www.youtube.com/watch?v=qztBolllpk8&amp;lc=Ugw8lL4_nwrv0VZsgRJ4AaABAg</v>
      </c>
      <c r="O891">
        <v>0</v>
      </c>
      <c r="P891">
        <v>0</v>
      </c>
      <c r="Q891">
        <v>0</v>
      </c>
      <c r="S891">
        <v>0</v>
      </c>
      <c r="T891">
        <v>0</v>
      </c>
      <c r="U891">
        <v>0</v>
      </c>
      <c r="W891" t="s">
        <v>52</v>
      </c>
    </row>
    <row r="892" spans="1:23" x14ac:dyDescent="0.35">
      <c r="A892" t="s">
        <v>45</v>
      </c>
      <c r="B892" t="s">
        <v>1815</v>
      </c>
      <c r="C892" t="s">
        <v>47</v>
      </c>
      <c r="D892" t="s">
        <v>1888</v>
      </c>
      <c r="E892" t="s">
        <v>1888</v>
      </c>
      <c r="F892" t="s">
        <v>49</v>
      </c>
      <c r="G892" t="s">
        <v>1889</v>
      </c>
      <c r="H892" t="s">
        <v>1891</v>
      </c>
      <c r="J892" t="str">
        <f>HYPERLINK("https://www.youtube.com/watch?v=--SsTSqIa-4&amp;lc=UgxiPcQ6EuDjEkxQVmV4AaABAg","https://www.youtube.com/watch?v=--SsTSqIa-4&amp;lc=UgxiPcQ6EuDjEkxQVmV4AaABAg")</f>
        <v>https://www.youtube.com/watch?v=--SsTSqIa-4&amp;lc=UgxiPcQ6EuDjEkxQVmV4AaABAg</v>
      </c>
      <c r="O892">
        <v>0</v>
      </c>
      <c r="P892">
        <v>0</v>
      </c>
      <c r="Q892">
        <v>0</v>
      </c>
      <c r="S892">
        <v>0</v>
      </c>
      <c r="T892">
        <v>0</v>
      </c>
      <c r="U892">
        <v>0</v>
      </c>
      <c r="W892" t="s">
        <v>52</v>
      </c>
    </row>
    <row r="893" spans="1:23" x14ac:dyDescent="0.35">
      <c r="A893" t="s">
        <v>45</v>
      </c>
      <c r="B893" t="s">
        <v>1815</v>
      </c>
      <c r="C893" t="s">
        <v>47</v>
      </c>
      <c r="D893" t="s">
        <v>1888</v>
      </c>
      <c r="E893" t="s">
        <v>1888</v>
      </c>
      <c r="F893" t="s">
        <v>49</v>
      </c>
      <c r="G893" t="s">
        <v>1889</v>
      </c>
      <c r="H893" t="s">
        <v>1892</v>
      </c>
      <c r="J893" t="str">
        <f>HYPERLINK("https://www.youtube.com/watch?v=5nAjuEP7Q6g&amp;lc=Ugy_n3bUWOPpJzUEpjN4AaABAg","https://www.youtube.com/watch?v=5nAjuEP7Q6g&amp;lc=Ugy_n3bUWOPpJzUEpjN4AaABAg")</f>
        <v>https://www.youtube.com/watch?v=5nAjuEP7Q6g&amp;lc=Ugy_n3bUWOPpJzUEpjN4AaABAg</v>
      </c>
      <c r="O893">
        <v>0</v>
      </c>
      <c r="P893">
        <v>0</v>
      </c>
      <c r="Q893">
        <v>0</v>
      </c>
      <c r="S893">
        <v>0</v>
      </c>
      <c r="T893">
        <v>0</v>
      </c>
      <c r="U893">
        <v>0</v>
      </c>
      <c r="W893" t="s">
        <v>52</v>
      </c>
    </row>
    <row r="894" spans="1:23" x14ac:dyDescent="0.35">
      <c r="A894" t="s">
        <v>45</v>
      </c>
      <c r="B894" t="s">
        <v>1893</v>
      </c>
      <c r="C894" t="s">
        <v>47</v>
      </c>
      <c r="D894" t="s">
        <v>1894</v>
      </c>
      <c r="E894" t="s">
        <v>1894</v>
      </c>
      <c r="F894" t="s">
        <v>54</v>
      </c>
      <c r="G894" t="s">
        <v>1895</v>
      </c>
      <c r="H894" t="s">
        <v>1896</v>
      </c>
      <c r="J894" t="str">
        <f>HYPERLINK("https://www.youtube.com/watch?v=wJJ455CgzKg&amp;lc=UgyOJo9VW7iUbe5er7N4AaABAg","https://www.youtube.com/watch?v=wJJ455CgzKg&amp;lc=UgyOJo9VW7iUbe5er7N4AaABAg")</f>
        <v>https://www.youtube.com/watch?v=wJJ455CgzKg&amp;lc=UgyOJo9VW7iUbe5er7N4AaABAg</v>
      </c>
      <c r="O894">
        <v>0</v>
      </c>
      <c r="P894">
        <v>0</v>
      </c>
      <c r="Q894">
        <v>0</v>
      </c>
      <c r="S894">
        <v>0</v>
      </c>
      <c r="T894">
        <v>0</v>
      </c>
      <c r="U894">
        <v>0</v>
      </c>
      <c r="W894" t="s">
        <v>52</v>
      </c>
    </row>
    <row r="895" spans="1:23" x14ac:dyDescent="0.35">
      <c r="A895" t="s">
        <v>45</v>
      </c>
      <c r="B895" t="s">
        <v>1893</v>
      </c>
      <c r="C895" t="s">
        <v>93</v>
      </c>
      <c r="D895" t="s">
        <v>762</v>
      </c>
      <c r="E895" t="s">
        <v>763</v>
      </c>
      <c r="F895" t="s">
        <v>49</v>
      </c>
      <c r="G895" t="s">
        <v>1897</v>
      </c>
      <c r="H895" t="s">
        <v>1898</v>
      </c>
      <c r="J895" t="str">
        <f>HYPERLINK("https://twitter.com/jitendra261988/status/1767191192939229347","https://twitter.com/jitendra261988/status/1767191192939229347")</f>
        <v>https://twitter.com/jitendra261988/status/1767191192939229347</v>
      </c>
      <c r="K895" t="s">
        <v>67</v>
      </c>
      <c r="O895">
        <v>0</v>
      </c>
      <c r="P895">
        <v>0</v>
      </c>
      <c r="Q895">
        <v>13</v>
      </c>
      <c r="S895">
        <v>0</v>
      </c>
      <c r="T895">
        <v>0</v>
      </c>
      <c r="U895">
        <v>0</v>
      </c>
      <c r="W895" t="s">
        <v>99</v>
      </c>
    </row>
    <row r="896" spans="1:23" x14ac:dyDescent="0.35">
      <c r="A896" t="s">
        <v>45</v>
      </c>
      <c r="B896" t="s">
        <v>1893</v>
      </c>
      <c r="C896" t="s">
        <v>93</v>
      </c>
      <c r="D896" t="s">
        <v>895</v>
      </c>
      <c r="E896" t="s">
        <v>896</v>
      </c>
      <c r="F896" t="s">
        <v>49</v>
      </c>
      <c r="G896" t="s">
        <v>1899</v>
      </c>
      <c r="H896" t="s">
        <v>1900</v>
      </c>
      <c r="J896" t="str">
        <f>HYPERLINK("https://twitter.com/ae3095fccc0c483/status/1767185416778826133","https://twitter.com/ae3095fccc0c483/status/1767185416778826133")</f>
        <v>https://twitter.com/ae3095fccc0c483/status/1767185416778826133</v>
      </c>
      <c r="K896" t="s">
        <v>67</v>
      </c>
      <c r="O896">
        <v>0</v>
      </c>
      <c r="P896">
        <v>0</v>
      </c>
      <c r="Q896">
        <v>34</v>
      </c>
      <c r="R896" t="s">
        <v>899</v>
      </c>
      <c r="S896">
        <v>0</v>
      </c>
      <c r="T896">
        <v>0</v>
      </c>
      <c r="U896">
        <v>0</v>
      </c>
      <c r="W896" t="s">
        <v>99</v>
      </c>
    </row>
    <row r="897" spans="1:23" x14ac:dyDescent="0.35">
      <c r="A897" t="s">
        <v>45</v>
      </c>
      <c r="B897" t="s">
        <v>1893</v>
      </c>
      <c r="C897" t="s">
        <v>93</v>
      </c>
      <c r="D897" t="s">
        <v>94</v>
      </c>
      <c r="E897" t="s">
        <v>45</v>
      </c>
      <c r="F897" t="s">
        <v>49</v>
      </c>
      <c r="G897" t="s">
        <v>1901</v>
      </c>
      <c r="H897" t="s">
        <v>1902</v>
      </c>
      <c r="J897" t="str">
        <f>HYPERLINK("https://twitter.com/SpiceMoneyIndia/status/1767174852404822431","https://twitter.com/SpiceMoneyIndia/status/1767174852404822431")</f>
        <v>https://twitter.com/SpiceMoneyIndia/status/1767174852404822431</v>
      </c>
      <c r="K897" t="s">
        <v>67</v>
      </c>
      <c r="O897">
        <v>0</v>
      </c>
      <c r="P897">
        <v>0</v>
      </c>
      <c r="Q897">
        <v>6067</v>
      </c>
      <c r="R897" t="s">
        <v>97</v>
      </c>
      <c r="S897">
        <v>0</v>
      </c>
      <c r="T897">
        <v>0</v>
      </c>
      <c r="U897">
        <v>0</v>
      </c>
      <c r="V897" t="s">
        <v>98</v>
      </c>
      <c r="W897" t="s">
        <v>99</v>
      </c>
    </row>
    <row r="898" spans="1:23" x14ac:dyDescent="0.35">
      <c r="A898" t="s">
        <v>45</v>
      </c>
      <c r="B898" t="s">
        <v>1893</v>
      </c>
      <c r="C898" t="s">
        <v>60</v>
      </c>
      <c r="D898" t="s">
        <v>61</v>
      </c>
      <c r="E898" t="s">
        <v>61</v>
      </c>
      <c r="F898" t="s">
        <v>49</v>
      </c>
      <c r="G898" t="s">
        <v>1903</v>
      </c>
      <c r="H898" t="s">
        <v>1904</v>
      </c>
      <c r="J898" t="str">
        <f>HYPERLINK("https://www.facebook.com/634639855377280/posts/806532724854658?comment_id=2090826614607229","https://www.facebook.com/634639855377280/posts/806532724854658?comment_id=2090826614607229")</f>
        <v>https://www.facebook.com/634639855377280/posts/806532724854658?comment_id=2090826614607229</v>
      </c>
      <c r="O898">
        <v>0</v>
      </c>
      <c r="P898">
        <v>0</v>
      </c>
      <c r="Q898">
        <v>0</v>
      </c>
      <c r="S898">
        <v>0</v>
      </c>
      <c r="T898">
        <v>0</v>
      </c>
      <c r="U898">
        <v>0</v>
      </c>
      <c r="W898" t="s">
        <v>52</v>
      </c>
    </row>
    <row r="899" spans="1:23" x14ac:dyDescent="0.35">
      <c r="A899" t="s">
        <v>45</v>
      </c>
      <c r="B899" t="s">
        <v>1893</v>
      </c>
      <c r="C899" t="s">
        <v>60</v>
      </c>
      <c r="D899" t="s">
        <v>61</v>
      </c>
      <c r="E899" t="s">
        <v>61</v>
      </c>
      <c r="F899" t="s">
        <v>49</v>
      </c>
      <c r="G899" t="s">
        <v>1905</v>
      </c>
      <c r="H899" t="s">
        <v>1906</v>
      </c>
      <c r="J899" t="str">
        <f>HYPERLINK("https://www.facebook.com/634639855377280/posts/806532724854658?comment_id=1089827582351168&amp;reply_comment_id=786000032945503","https://www.facebook.com/634639855377280/posts/806532724854658?comment_id=1089827582351168&amp;reply_comment_id=786000032945503")</f>
        <v>https://www.facebook.com/634639855377280/posts/806532724854658?comment_id=1089827582351168&amp;reply_comment_id=786000032945503</v>
      </c>
      <c r="O899">
        <v>0</v>
      </c>
      <c r="P899">
        <v>0</v>
      </c>
      <c r="Q899">
        <v>0</v>
      </c>
      <c r="S899">
        <v>0</v>
      </c>
      <c r="T899">
        <v>0</v>
      </c>
      <c r="U899">
        <v>0</v>
      </c>
      <c r="W899" t="s">
        <v>52</v>
      </c>
    </row>
    <row r="900" spans="1:23" x14ac:dyDescent="0.35">
      <c r="A900" t="s">
        <v>45</v>
      </c>
      <c r="B900" t="s">
        <v>1893</v>
      </c>
      <c r="C900" t="s">
        <v>93</v>
      </c>
      <c r="D900" t="s">
        <v>1302</v>
      </c>
      <c r="E900" t="s">
        <v>1303</v>
      </c>
      <c r="F900" t="s">
        <v>54</v>
      </c>
      <c r="G900" t="s">
        <v>1907</v>
      </c>
      <c r="H900" t="s">
        <v>1908</v>
      </c>
      <c r="J900" t="str">
        <f>HYPERLINK("https://twitter.com/ETBrandEquity/status/1767170154834649160","https://twitter.com/ETBrandEquity/status/1767170154834649160")</f>
        <v>https://twitter.com/ETBrandEquity/status/1767170154834649160</v>
      </c>
      <c r="O900">
        <v>0</v>
      </c>
      <c r="P900">
        <v>0</v>
      </c>
      <c r="Q900">
        <v>31639</v>
      </c>
      <c r="R900" t="s">
        <v>1306</v>
      </c>
      <c r="S900">
        <v>0</v>
      </c>
      <c r="T900">
        <v>0</v>
      </c>
      <c r="U900">
        <v>0</v>
      </c>
      <c r="W900" t="s">
        <v>99</v>
      </c>
    </row>
    <row r="901" spans="1:23" x14ac:dyDescent="0.35">
      <c r="A901" t="s">
        <v>45</v>
      </c>
      <c r="B901" t="s">
        <v>1893</v>
      </c>
      <c r="C901" t="s">
        <v>47</v>
      </c>
      <c r="D901" t="s">
        <v>1909</v>
      </c>
      <c r="E901" t="s">
        <v>1909</v>
      </c>
      <c r="F901" t="s">
        <v>54</v>
      </c>
      <c r="G901" t="s">
        <v>1910</v>
      </c>
      <c r="H901" t="s">
        <v>1911</v>
      </c>
      <c r="J901" t="str">
        <f>HYPERLINK("https://www.youtube.com/watch?v=YQSdpP96l0U&amp;lc=UgxHKXb6nzIZ2N0XwsZ4AaABAg","https://www.youtube.com/watch?v=YQSdpP96l0U&amp;lc=UgxHKXb6nzIZ2N0XwsZ4AaABAg")</f>
        <v>https://www.youtube.com/watch?v=YQSdpP96l0U&amp;lc=UgxHKXb6nzIZ2N0XwsZ4AaABAg</v>
      </c>
      <c r="O901">
        <v>0</v>
      </c>
      <c r="P901">
        <v>0</v>
      </c>
      <c r="Q901">
        <v>0</v>
      </c>
      <c r="S901">
        <v>0</v>
      </c>
      <c r="T901">
        <v>0</v>
      </c>
      <c r="U901">
        <v>0</v>
      </c>
      <c r="W901" t="s">
        <v>52</v>
      </c>
    </row>
    <row r="902" spans="1:23" x14ac:dyDescent="0.35">
      <c r="A902" t="s">
        <v>45</v>
      </c>
      <c r="B902" t="s">
        <v>1893</v>
      </c>
      <c r="C902" t="s">
        <v>60</v>
      </c>
      <c r="D902" t="s">
        <v>61</v>
      </c>
      <c r="E902" t="s">
        <v>61</v>
      </c>
      <c r="F902" t="s">
        <v>49</v>
      </c>
      <c r="G902" t="s">
        <v>1912</v>
      </c>
      <c r="H902" t="s">
        <v>1913</v>
      </c>
      <c r="J902" t="str">
        <f>HYPERLINK("https://www.facebook.com/634639855377280/posts/806532724854658?comment_id=713967040892556","https://www.facebook.com/634639855377280/posts/806532724854658?comment_id=713967040892556")</f>
        <v>https://www.facebook.com/634639855377280/posts/806532724854658?comment_id=713967040892556</v>
      </c>
      <c r="O902">
        <v>0</v>
      </c>
      <c r="P902">
        <v>0</v>
      </c>
      <c r="Q902">
        <v>0</v>
      </c>
      <c r="S902">
        <v>0</v>
      </c>
      <c r="T902">
        <v>0</v>
      </c>
      <c r="U902">
        <v>0</v>
      </c>
      <c r="W902" t="s">
        <v>52</v>
      </c>
    </row>
    <row r="903" spans="1:23" x14ac:dyDescent="0.35">
      <c r="A903" t="s">
        <v>45</v>
      </c>
      <c r="B903" t="s">
        <v>1893</v>
      </c>
      <c r="C903" t="s">
        <v>60</v>
      </c>
      <c r="D903" t="s">
        <v>64</v>
      </c>
      <c r="E903" t="s">
        <v>64</v>
      </c>
      <c r="F903" t="s">
        <v>49</v>
      </c>
      <c r="G903" t="s">
        <v>1914</v>
      </c>
      <c r="H903" t="s">
        <v>1915</v>
      </c>
      <c r="J903" t="str">
        <f>HYPERLINK("https://www.facebook.com/634639855377280/posts/806532724854658?comment_id=1089827582351168&amp;reply_comment_id=925127449307362","https://www.facebook.com/634639855377280/posts/806532724854658?comment_id=1089827582351168&amp;reply_comment_id=925127449307362")</f>
        <v>https://www.facebook.com/634639855377280/posts/806532724854658?comment_id=1089827582351168&amp;reply_comment_id=925127449307362</v>
      </c>
      <c r="K903" t="s">
        <v>67</v>
      </c>
      <c r="O903">
        <v>0</v>
      </c>
      <c r="P903">
        <v>0</v>
      </c>
      <c r="Q903">
        <v>0</v>
      </c>
      <c r="S903">
        <v>0</v>
      </c>
      <c r="T903">
        <v>0</v>
      </c>
      <c r="U903">
        <v>0</v>
      </c>
      <c r="W903" t="s">
        <v>52</v>
      </c>
    </row>
    <row r="904" spans="1:23" x14ac:dyDescent="0.35">
      <c r="A904" t="s">
        <v>45</v>
      </c>
      <c r="B904" t="s">
        <v>1893</v>
      </c>
      <c r="C904" t="s">
        <v>47</v>
      </c>
      <c r="D904" t="s">
        <v>68</v>
      </c>
      <c r="E904" t="s">
        <v>68</v>
      </c>
      <c r="F904" t="s">
        <v>49</v>
      </c>
      <c r="G904" t="s">
        <v>102</v>
      </c>
      <c r="H904" t="s">
        <v>1916</v>
      </c>
      <c r="J904" t="str">
        <f>HYPERLINK("https://www.youtube.com/watch?v=1_UKRN_GOok&amp;lc=UgwHMfBh1DvtUT3el294AaABAg.A0q0GOCbgLtA0qENq8RPzE","https://www.youtube.com/watch?v=1_UKRN_GOok&amp;lc=UgwHMfBh1DvtUT3el294AaABAg.A0q0GOCbgLtA0qENq8RPzE")</f>
        <v>https://www.youtube.com/watch?v=1_UKRN_GOok&amp;lc=UgwHMfBh1DvtUT3el294AaABAg.A0q0GOCbgLtA0qENq8RPzE</v>
      </c>
      <c r="O904">
        <v>0</v>
      </c>
      <c r="P904">
        <v>0</v>
      </c>
      <c r="Q904">
        <v>0</v>
      </c>
      <c r="S904">
        <v>0</v>
      </c>
      <c r="T904">
        <v>0</v>
      </c>
      <c r="U904">
        <v>0</v>
      </c>
      <c r="W904" t="s">
        <v>52</v>
      </c>
    </row>
    <row r="905" spans="1:23" x14ac:dyDescent="0.35">
      <c r="A905" t="s">
        <v>45</v>
      </c>
      <c r="B905" t="s">
        <v>1893</v>
      </c>
      <c r="C905" t="s">
        <v>47</v>
      </c>
      <c r="D905" t="s">
        <v>68</v>
      </c>
      <c r="E905" t="s">
        <v>68</v>
      </c>
      <c r="F905" t="s">
        <v>49</v>
      </c>
      <c r="G905" t="s">
        <v>162</v>
      </c>
      <c r="H905" t="s">
        <v>1917</v>
      </c>
      <c r="J905" t="str">
        <f>HYPERLINK("https://www.youtube.com/watch?v=wJJ455CgzKg&amp;lc=UgxsWn7D6qkGVN9wB_B4AaABAg.A0pk5v3jvEVA0qCaCP4E4x","https://www.youtube.com/watch?v=wJJ455CgzKg&amp;lc=UgxsWn7D6qkGVN9wB_B4AaABAg.A0pk5v3jvEVA0qCaCP4E4x")</f>
        <v>https://www.youtube.com/watch?v=wJJ455CgzKg&amp;lc=UgxsWn7D6qkGVN9wB_B4AaABAg.A0pk5v3jvEVA0qCaCP4E4x</v>
      </c>
      <c r="O905">
        <v>0</v>
      </c>
      <c r="P905">
        <v>0</v>
      </c>
      <c r="Q905">
        <v>0</v>
      </c>
      <c r="S905">
        <v>0</v>
      </c>
      <c r="T905">
        <v>0</v>
      </c>
      <c r="U905">
        <v>0</v>
      </c>
      <c r="W905" t="s">
        <v>52</v>
      </c>
    </row>
    <row r="906" spans="1:23" x14ac:dyDescent="0.35">
      <c r="A906" t="s">
        <v>45</v>
      </c>
      <c r="B906" t="s">
        <v>1893</v>
      </c>
      <c r="C906" t="s">
        <v>93</v>
      </c>
      <c r="D906" t="s">
        <v>895</v>
      </c>
      <c r="E906" t="s">
        <v>896</v>
      </c>
      <c r="F906" t="s">
        <v>49</v>
      </c>
      <c r="G906" t="s">
        <v>1918</v>
      </c>
      <c r="H906" t="s">
        <v>1919</v>
      </c>
      <c r="J906" t="str">
        <f>HYPERLINK("https://twitter.com/ae3095fccc0c483/status/1767131826513178937","https://twitter.com/ae3095fccc0c483/status/1767131826513178937")</f>
        <v>https://twitter.com/ae3095fccc0c483/status/1767131826513178937</v>
      </c>
      <c r="K906" t="s">
        <v>67</v>
      </c>
      <c r="O906">
        <v>0</v>
      </c>
      <c r="P906">
        <v>0</v>
      </c>
      <c r="Q906">
        <v>34</v>
      </c>
      <c r="R906" t="s">
        <v>899</v>
      </c>
      <c r="S906">
        <v>0</v>
      </c>
      <c r="T906">
        <v>0</v>
      </c>
      <c r="U906">
        <v>0</v>
      </c>
      <c r="W906" t="s">
        <v>99</v>
      </c>
    </row>
    <row r="907" spans="1:23" x14ac:dyDescent="0.35">
      <c r="A907" t="s">
        <v>45</v>
      </c>
      <c r="B907" t="s">
        <v>1893</v>
      </c>
      <c r="C907" t="s">
        <v>93</v>
      </c>
      <c r="D907" t="s">
        <v>895</v>
      </c>
      <c r="E907" t="s">
        <v>896</v>
      </c>
      <c r="F907" t="s">
        <v>49</v>
      </c>
      <c r="G907" t="s">
        <v>1920</v>
      </c>
      <c r="H907" t="s">
        <v>1921</v>
      </c>
      <c r="J907" t="str">
        <f>HYPERLINK("https://twitter.com/ae3095fccc0c483/status/1767131706480619805","https://twitter.com/ae3095fccc0c483/status/1767131706480619805")</f>
        <v>https://twitter.com/ae3095fccc0c483/status/1767131706480619805</v>
      </c>
      <c r="K907" t="s">
        <v>67</v>
      </c>
      <c r="O907">
        <v>0</v>
      </c>
      <c r="P907">
        <v>0</v>
      </c>
      <c r="Q907">
        <v>34</v>
      </c>
      <c r="R907" t="s">
        <v>899</v>
      </c>
      <c r="S907">
        <v>0</v>
      </c>
      <c r="T907">
        <v>0</v>
      </c>
      <c r="U907">
        <v>0</v>
      </c>
      <c r="W907" t="s">
        <v>99</v>
      </c>
    </row>
    <row r="908" spans="1:23" x14ac:dyDescent="0.35">
      <c r="A908" t="s">
        <v>45</v>
      </c>
      <c r="B908" t="s">
        <v>1893</v>
      </c>
      <c r="C908" t="s">
        <v>93</v>
      </c>
      <c r="D908" t="s">
        <v>94</v>
      </c>
      <c r="E908" t="s">
        <v>45</v>
      </c>
      <c r="F908" t="s">
        <v>49</v>
      </c>
      <c r="G908" t="s">
        <v>1922</v>
      </c>
      <c r="H908" t="s">
        <v>1923</v>
      </c>
      <c r="J908" t="str">
        <f>HYPERLINK("https://twitter.com/SpiceMoneyIndia/status/1767130996254589355","https://twitter.com/SpiceMoneyIndia/status/1767130996254589355")</f>
        <v>https://twitter.com/SpiceMoneyIndia/status/1767130996254589355</v>
      </c>
      <c r="K908" t="s">
        <v>67</v>
      </c>
      <c r="O908">
        <v>0</v>
      </c>
      <c r="P908">
        <v>0</v>
      </c>
      <c r="Q908">
        <v>6067</v>
      </c>
      <c r="R908" t="s">
        <v>97</v>
      </c>
      <c r="S908">
        <v>0</v>
      </c>
      <c r="T908">
        <v>0</v>
      </c>
      <c r="U908">
        <v>0</v>
      </c>
      <c r="V908" t="s">
        <v>98</v>
      </c>
      <c r="W908" t="s">
        <v>99</v>
      </c>
    </row>
    <row r="909" spans="1:23" x14ac:dyDescent="0.35">
      <c r="A909" t="s">
        <v>45</v>
      </c>
      <c r="B909" t="s">
        <v>1893</v>
      </c>
      <c r="C909" t="s">
        <v>93</v>
      </c>
      <c r="D909" t="s">
        <v>1924</v>
      </c>
      <c r="E909" t="s">
        <v>1925</v>
      </c>
      <c r="F909" t="s">
        <v>49</v>
      </c>
      <c r="G909" t="s">
        <v>1926</v>
      </c>
      <c r="H909" t="s">
        <v>1927</v>
      </c>
      <c r="J909" t="str">
        <f>HYPERLINK("https://twitter.com/MANOJMNGD/status/1767130540191404220","https://twitter.com/MANOJMNGD/status/1767130540191404220")</f>
        <v>https://twitter.com/MANOJMNGD/status/1767130540191404220</v>
      </c>
      <c r="K909" t="s">
        <v>67</v>
      </c>
      <c r="O909">
        <v>0</v>
      </c>
      <c r="P909">
        <v>0</v>
      </c>
      <c r="Q909">
        <v>27</v>
      </c>
      <c r="R909" t="s">
        <v>1928</v>
      </c>
      <c r="S909">
        <v>0</v>
      </c>
      <c r="T909">
        <v>0</v>
      </c>
      <c r="U909">
        <v>0</v>
      </c>
      <c r="W909" t="s">
        <v>99</v>
      </c>
    </row>
    <row r="910" spans="1:23" x14ac:dyDescent="0.35">
      <c r="A910" t="s">
        <v>45</v>
      </c>
      <c r="B910" t="s">
        <v>1893</v>
      </c>
      <c r="C910" t="s">
        <v>60</v>
      </c>
      <c r="D910" t="s">
        <v>61</v>
      </c>
      <c r="E910" t="s">
        <v>61</v>
      </c>
      <c r="F910" t="s">
        <v>193</v>
      </c>
      <c r="G910" t="s">
        <v>1368</v>
      </c>
      <c r="H910" t="s">
        <v>1929</v>
      </c>
      <c r="J910" t="str">
        <f>HYPERLINK("https://www.facebook.com/634639855377280/posts/806532724854658?comment_id=400773099228348","https://www.facebook.com/634639855377280/posts/806532724854658?comment_id=400773099228348")</f>
        <v>https://www.facebook.com/634639855377280/posts/806532724854658?comment_id=400773099228348</v>
      </c>
      <c r="O910">
        <v>0</v>
      </c>
      <c r="P910">
        <v>0</v>
      </c>
      <c r="Q910">
        <v>0</v>
      </c>
      <c r="S910">
        <v>0</v>
      </c>
      <c r="T910">
        <v>0</v>
      </c>
      <c r="U910">
        <v>0</v>
      </c>
      <c r="W910" t="s">
        <v>52</v>
      </c>
    </row>
    <row r="911" spans="1:23" x14ac:dyDescent="0.35">
      <c r="A911" t="s">
        <v>45</v>
      </c>
      <c r="B911" t="s">
        <v>1893</v>
      </c>
      <c r="C911" t="s">
        <v>47</v>
      </c>
      <c r="D911" t="s">
        <v>1888</v>
      </c>
      <c r="E911" t="s">
        <v>1888</v>
      </c>
      <c r="F911" t="s">
        <v>49</v>
      </c>
      <c r="G911" t="s">
        <v>1930</v>
      </c>
      <c r="H911" t="s">
        <v>1931</v>
      </c>
      <c r="J911" t="str">
        <f>HYPERLINK("https://www.youtube.com/watch?v=1_UKRN_GOok&amp;lc=UgwHMfBh1DvtUT3el294AaABAg","https://www.youtube.com/watch?v=1_UKRN_GOok&amp;lc=UgwHMfBh1DvtUT3el294AaABAg")</f>
        <v>https://www.youtube.com/watch?v=1_UKRN_GOok&amp;lc=UgwHMfBh1DvtUT3el294AaABAg</v>
      </c>
      <c r="O911">
        <v>0</v>
      </c>
      <c r="P911">
        <v>0</v>
      </c>
      <c r="Q911">
        <v>0</v>
      </c>
      <c r="S911">
        <v>0</v>
      </c>
      <c r="T911">
        <v>0</v>
      </c>
      <c r="U911">
        <v>0</v>
      </c>
      <c r="W911" t="s">
        <v>52</v>
      </c>
    </row>
    <row r="912" spans="1:23" x14ac:dyDescent="0.35">
      <c r="A912" t="s">
        <v>45</v>
      </c>
      <c r="B912" t="s">
        <v>1893</v>
      </c>
      <c r="C912" t="s">
        <v>93</v>
      </c>
      <c r="D912" t="s">
        <v>1932</v>
      </c>
      <c r="E912" t="s">
        <v>1933</v>
      </c>
      <c r="F912" t="s">
        <v>49</v>
      </c>
      <c r="G912" t="s">
        <v>1934</v>
      </c>
      <c r="H912" t="s">
        <v>1935</v>
      </c>
      <c r="J912" t="str">
        <f>HYPERLINK("https://twitter.com/AguilarDer44675/status/1767094448981152109","https://twitter.com/AguilarDer44675/status/1767094448981152109")</f>
        <v>https://twitter.com/AguilarDer44675/status/1767094448981152109</v>
      </c>
      <c r="K912" t="s">
        <v>67</v>
      </c>
      <c r="O912">
        <v>0</v>
      </c>
      <c r="P912">
        <v>0</v>
      </c>
      <c r="Q912">
        <v>0</v>
      </c>
      <c r="R912" t="s">
        <v>1936</v>
      </c>
      <c r="S912">
        <v>0</v>
      </c>
      <c r="T912">
        <v>0</v>
      </c>
      <c r="U912">
        <v>0</v>
      </c>
      <c r="W912" t="s">
        <v>99</v>
      </c>
    </row>
    <row r="913" spans="1:23" x14ac:dyDescent="0.35">
      <c r="A913" t="s">
        <v>45</v>
      </c>
      <c r="B913" t="s">
        <v>1893</v>
      </c>
      <c r="C913" t="s">
        <v>93</v>
      </c>
      <c r="D913" t="s">
        <v>94</v>
      </c>
      <c r="E913" t="s">
        <v>45</v>
      </c>
      <c r="F913" t="s">
        <v>49</v>
      </c>
      <c r="G913" t="s">
        <v>1937</v>
      </c>
      <c r="H913" t="s">
        <v>1938</v>
      </c>
      <c r="J913" t="str">
        <f>HYPERLINK("https://twitter.com/SpiceMoneyIndia/status/1767094432858255765","https://twitter.com/SpiceMoneyIndia/status/1767094432858255765")</f>
        <v>https://twitter.com/SpiceMoneyIndia/status/1767094432858255765</v>
      </c>
      <c r="K913" t="s">
        <v>67</v>
      </c>
      <c r="O913">
        <v>0</v>
      </c>
      <c r="P913">
        <v>0</v>
      </c>
      <c r="Q913">
        <v>6066</v>
      </c>
      <c r="R913" t="s">
        <v>97</v>
      </c>
      <c r="S913">
        <v>0</v>
      </c>
      <c r="T913">
        <v>0</v>
      </c>
      <c r="U913">
        <v>0</v>
      </c>
      <c r="V913" t="s">
        <v>98</v>
      </c>
      <c r="W913" t="s">
        <v>99</v>
      </c>
    </row>
    <row r="914" spans="1:23" x14ac:dyDescent="0.35">
      <c r="A914" t="s">
        <v>45</v>
      </c>
      <c r="B914" t="s">
        <v>1893</v>
      </c>
      <c r="C914" t="s">
        <v>60</v>
      </c>
      <c r="D914" t="s">
        <v>61</v>
      </c>
      <c r="E914" t="s">
        <v>61</v>
      </c>
      <c r="F914" t="s">
        <v>49</v>
      </c>
      <c r="G914" t="s">
        <v>1939</v>
      </c>
      <c r="H914" t="s">
        <v>1940</v>
      </c>
      <c r="J914" t="str">
        <f>HYPERLINK("https://www.facebook.com/634639855377280/posts/806532724854658?comment_id=1089827582351168","https://www.facebook.com/634639855377280/posts/806532724854658?comment_id=1089827582351168")</f>
        <v>https://www.facebook.com/634639855377280/posts/806532724854658?comment_id=1089827582351168</v>
      </c>
      <c r="O914">
        <v>0</v>
      </c>
      <c r="P914">
        <v>0</v>
      </c>
      <c r="Q914">
        <v>0</v>
      </c>
      <c r="S914">
        <v>0</v>
      </c>
      <c r="T914">
        <v>0</v>
      </c>
      <c r="U914">
        <v>0</v>
      </c>
      <c r="W914" t="s">
        <v>52</v>
      </c>
    </row>
    <row r="915" spans="1:23" x14ac:dyDescent="0.35">
      <c r="A915" t="s">
        <v>45</v>
      </c>
      <c r="B915" t="s">
        <v>1893</v>
      </c>
      <c r="C915" t="s">
        <v>60</v>
      </c>
      <c r="D915" t="s">
        <v>64</v>
      </c>
      <c r="E915" t="s">
        <v>64</v>
      </c>
      <c r="F915" t="s">
        <v>49</v>
      </c>
      <c r="G915" t="s">
        <v>1941</v>
      </c>
      <c r="H915" t="s">
        <v>1942</v>
      </c>
      <c r="J915" t="str">
        <f>HYPERLINK("https://www.facebook.com/634639855377280/posts/806532724854658","https://www.facebook.com/634639855377280/posts/806532724854658")</f>
        <v>https://www.facebook.com/634639855377280/posts/806532724854658</v>
      </c>
      <c r="O915">
        <v>0</v>
      </c>
      <c r="P915">
        <v>0</v>
      </c>
      <c r="Q915">
        <v>0</v>
      </c>
      <c r="S915">
        <v>13</v>
      </c>
      <c r="T915">
        <v>108</v>
      </c>
      <c r="U915">
        <v>2</v>
      </c>
      <c r="W915" t="s">
        <v>346</v>
      </c>
    </row>
    <row r="916" spans="1:23" x14ac:dyDescent="0.35">
      <c r="A916" t="s">
        <v>45</v>
      </c>
      <c r="B916" t="s">
        <v>1893</v>
      </c>
      <c r="C916" t="s">
        <v>47</v>
      </c>
      <c r="D916" t="s">
        <v>1943</v>
      </c>
      <c r="E916" t="s">
        <v>1943</v>
      </c>
      <c r="F916" t="s">
        <v>49</v>
      </c>
      <c r="G916" t="s">
        <v>1944</v>
      </c>
      <c r="H916" t="s">
        <v>1945</v>
      </c>
      <c r="J916" t="str">
        <f>HYPERLINK("https://www.youtube.com/watch?v=lgTr6XT0s8g&amp;lc=UgweTI6s5j7hsKWb3PF4AaABAg","https://www.youtube.com/watch?v=lgTr6XT0s8g&amp;lc=UgweTI6s5j7hsKWb3PF4AaABAg")</f>
        <v>https://www.youtube.com/watch?v=lgTr6XT0s8g&amp;lc=UgweTI6s5j7hsKWb3PF4AaABAg</v>
      </c>
      <c r="O916">
        <v>0</v>
      </c>
      <c r="P916">
        <v>0</v>
      </c>
      <c r="Q916">
        <v>0</v>
      </c>
      <c r="S916">
        <v>0</v>
      </c>
      <c r="T916">
        <v>0</v>
      </c>
      <c r="U916">
        <v>0</v>
      </c>
      <c r="W916" t="s">
        <v>52</v>
      </c>
    </row>
    <row r="917" spans="1:23" x14ac:dyDescent="0.35">
      <c r="A917" t="s">
        <v>45</v>
      </c>
      <c r="B917" t="s">
        <v>1893</v>
      </c>
      <c r="C917" t="s">
        <v>93</v>
      </c>
      <c r="D917" t="s">
        <v>895</v>
      </c>
      <c r="E917" t="s">
        <v>896</v>
      </c>
      <c r="F917" t="s">
        <v>49</v>
      </c>
      <c r="G917" t="s">
        <v>1946</v>
      </c>
      <c r="H917" t="s">
        <v>1947</v>
      </c>
      <c r="J917" t="str">
        <f>HYPERLINK("https://twitter.com/ae3095fccc0c483/status/1767071259483947385","https://twitter.com/ae3095fccc0c483/status/1767071259483947385")</f>
        <v>https://twitter.com/ae3095fccc0c483/status/1767071259483947385</v>
      </c>
      <c r="K917" t="s">
        <v>67</v>
      </c>
      <c r="O917">
        <v>0</v>
      </c>
      <c r="P917">
        <v>0</v>
      </c>
      <c r="Q917">
        <v>34</v>
      </c>
      <c r="R917" t="s">
        <v>899</v>
      </c>
      <c r="S917">
        <v>0</v>
      </c>
      <c r="T917">
        <v>0</v>
      </c>
      <c r="U917">
        <v>0</v>
      </c>
      <c r="W917" t="s">
        <v>99</v>
      </c>
    </row>
    <row r="918" spans="1:23" x14ac:dyDescent="0.35">
      <c r="A918" t="s">
        <v>45</v>
      </c>
      <c r="B918" t="s">
        <v>1893</v>
      </c>
      <c r="C918" t="s">
        <v>47</v>
      </c>
      <c r="D918" t="s">
        <v>1948</v>
      </c>
      <c r="E918" t="s">
        <v>1948</v>
      </c>
      <c r="F918" t="s">
        <v>54</v>
      </c>
      <c r="G918" t="s">
        <v>1949</v>
      </c>
      <c r="H918" t="s">
        <v>1950</v>
      </c>
      <c r="J918" t="str">
        <f>HYPERLINK("https://www.youtube.com/watch?v=wJJ455CgzKg&amp;lc=UgxsWn7D6qkGVN9wB_B4AaABAg","https://www.youtube.com/watch?v=wJJ455CgzKg&amp;lc=UgxsWn7D6qkGVN9wB_B4AaABAg")</f>
        <v>https://www.youtube.com/watch?v=wJJ455CgzKg&amp;lc=UgxsWn7D6qkGVN9wB_B4AaABAg</v>
      </c>
      <c r="O918">
        <v>0</v>
      </c>
      <c r="P918">
        <v>0</v>
      </c>
      <c r="Q918">
        <v>0</v>
      </c>
      <c r="S918">
        <v>0</v>
      </c>
      <c r="T918">
        <v>0</v>
      </c>
      <c r="U918">
        <v>0</v>
      </c>
      <c r="W918" t="s">
        <v>52</v>
      </c>
    </row>
    <row r="919" spans="1:23" x14ac:dyDescent="0.35">
      <c r="A919" t="s">
        <v>45</v>
      </c>
      <c r="B919" t="s">
        <v>1893</v>
      </c>
      <c r="C919" t="s">
        <v>93</v>
      </c>
      <c r="D919" t="s">
        <v>895</v>
      </c>
      <c r="E919" t="s">
        <v>896</v>
      </c>
      <c r="F919" t="s">
        <v>49</v>
      </c>
      <c r="G919" t="s">
        <v>1951</v>
      </c>
      <c r="H919" t="s">
        <v>1952</v>
      </c>
      <c r="J919" t="str">
        <f>HYPERLINK("https://twitter.com/ae3095fccc0c483/status/1767062904812265594","https://twitter.com/ae3095fccc0c483/status/1767062904812265594")</f>
        <v>https://twitter.com/ae3095fccc0c483/status/1767062904812265594</v>
      </c>
      <c r="K919" t="s">
        <v>67</v>
      </c>
      <c r="O919">
        <v>0</v>
      </c>
      <c r="P919">
        <v>0</v>
      </c>
      <c r="Q919">
        <v>34</v>
      </c>
      <c r="R919" t="s">
        <v>899</v>
      </c>
      <c r="S919">
        <v>0</v>
      </c>
      <c r="T919">
        <v>0</v>
      </c>
      <c r="U919">
        <v>0</v>
      </c>
      <c r="W919" t="s">
        <v>99</v>
      </c>
    </row>
    <row r="920" spans="1:23" x14ac:dyDescent="0.35">
      <c r="A920" t="s">
        <v>45</v>
      </c>
      <c r="B920" t="s">
        <v>1893</v>
      </c>
      <c r="C920" t="s">
        <v>93</v>
      </c>
      <c r="D920" t="s">
        <v>94</v>
      </c>
      <c r="E920" t="s">
        <v>45</v>
      </c>
      <c r="F920" t="s">
        <v>49</v>
      </c>
      <c r="G920" t="s">
        <v>1953</v>
      </c>
      <c r="H920" t="s">
        <v>1954</v>
      </c>
      <c r="J920" t="str">
        <f>HYPERLINK("https://twitter.com/SpiceMoneyIndia/status/1767029498438898089","https://twitter.com/SpiceMoneyIndia/status/1767029498438898089")</f>
        <v>https://twitter.com/SpiceMoneyIndia/status/1767029498438898089</v>
      </c>
      <c r="K920" t="s">
        <v>67</v>
      </c>
      <c r="O920">
        <v>0</v>
      </c>
      <c r="P920">
        <v>0</v>
      </c>
      <c r="Q920">
        <v>6066</v>
      </c>
      <c r="R920" t="s">
        <v>97</v>
      </c>
      <c r="S920">
        <v>0</v>
      </c>
      <c r="T920">
        <v>0</v>
      </c>
      <c r="U920">
        <v>0</v>
      </c>
      <c r="V920" t="s">
        <v>98</v>
      </c>
      <c r="W920" t="s">
        <v>99</v>
      </c>
    </row>
    <row r="921" spans="1:23" x14ac:dyDescent="0.35">
      <c r="A921" t="s">
        <v>45</v>
      </c>
      <c r="B921" t="s">
        <v>1893</v>
      </c>
      <c r="C921" t="s">
        <v>47</v>
      </c>
      <c r="D921" t="s">
        <v>68</v>
      </c>
      <c r="E921" t="s">
        <v>68</v>
      </c>
      <c r="F921" t="s">
        <v>49</v>
      </c>
      <c r="G921" t="s">
        <v>162</v>
      </c>
      <c r="H921" t="s">
        <v>1955</v>
      </c>
      <c r="J921" t="str">
        <f>HYPERLINK("https://www.youtube.com/watch?v=zkfWhYOCqb8&amp;lc=UgyZAaKmqNogLvejzLZ4AaABAg.A0o1KjYX2bjA0pTWmHTd6h","https://www.youtube.com/watch?v=zkfWhYOCqb8&amp;lc=UgyZAaKmqNogLvejzLZ4AaABAg.A0o1KjYX2bjA0pTWmHTd6h")</f>
        <v>https://www.youtube.com/watch?v=zkfWhYOCqb8&amp;lc=UgyZAaKmqNogLvejzLZ4AaABAg.A0o1KjYX2bjA0pTWmHTd6h</v>
      </c>
      <c r="O921">
        <v>0</v>
      </c>
      <c r="P921">
        <v>0</v>
      </c>
      <c r="Q921">
        <v>0</v>
      </c>
      <c r="S921">
        <v>0</v>
      </c>
      <c r="T921">
        <v>0</v>
      </c>
      <c r="U921">
        <v>0</v>
      </c>
      <c r="W921" t="s">
        <v>52</v>
      </c>
    </row>
    <row r="922" spans="1:23" x14ac:dyDescent="0.35">
      <c r="A922" t="s">
        <v>45</v>
      </c>
      <c r="B922" t="s">
        <v>1893</v>
      </c>
      <c r="C922" t="s">
        <v>93</v>
      </c>
      <c r="D922" t="s">
        <v>1956</v>
      </c>
      <c r="E922" t="s">
        <v>1957</v>
      </c>
      <c r="F922" t="s">
        <v>49</v>
      </c>
      <c r="G922" t="s">
        <v>1958</v>
      </c>
      <c r="H922" t="s">
        <v>1959</v>
      </c>
      <c r="J922" t="str">
        <f>HYPERLINK("https://twitter.com/SevaAmar24947/status/1767029035262235112","https://twitter.com/SevaAmar24947/status/1767029035262235112")</f>
        <v>https://twitter.com/SevaAmar24947/status/1767029035262235112</v>
      </c>
      <c r="K922" t="s">
        <v>67</v>
      </c>
      <c r="O922">
        <v>0</v>
      </c>
      <c r="P922">
        <v>0</v>
      </c>
      <c r="Q922">
        <v>0</v>
      </c>
      <c r="S922">
        <v>0</v>
      </c>
      <c r="T922">
        <v>0</v>
      </c>
      <c r="U922">
        <v>0</v>
      </c>
      <c r="W922" t="s">
        <v>99</v>
      </c>
    </row>
    <row r="923" spans="1:23" x14ac:dyDescent="0.35">
      <c r="A923" t="s">
        <v>45</v>
      </c>
      <c r="B923" t="s">
        <v>1960</v>
      </c>
      <c r="C923" t="s">
        <v>47</v>
      </c>
      <c r="D923" t="s">
        <v>1961</v>
      </c>
      <c r="E923" t="s">
        <v>1961</v>
      </c>
      <c r="F923" t="s">
        <v>49</v>
      </c>
      <c r="G923" t="s">
        <v>1962</v>
      </c>
      <c r="H923" t="s">
        <v>1963</v>
      </c>
      <c r="J923" t="str">
        <f>HYPERLINK("https://www.youtube.com/watch?v=zkfWhYOCqb8&amp;lc=UgyZAaKmqNogLvejzLZ4AaABAg","https://www.youtube.com/watch?v=zkfWhYOCqb8&amp;lc=UgyZAaKmqNogLvejzLZ4AaABAg")</f>
        <v>https://www.youtube.com/watch?v=zkfWhYOCqb8&amp;lc=UgyZAaKmqNogLvejzLZ4AaABAg</v>
      </c>
      <c r="O923">
        <v>0</v>
      </c>
      <c r="P923">
        <v>0</v>
      </c>
      <c r="Q923">
        <v>0</v>
      </c>
      <c r="S923">
        <v>0</v>
      </c>
      <c r="T923">
        <v>0</v>
      </c>
      <c r="U923">
        <v>0</v>
      </c>
      <c r="W923" t="s">
        <v>52</v>
      </c>
    </row>
    <row r="924" spans="1:23" x14ac:dyDescent="0.35">
      <c r="A924" t="s">
        <v>45</v>
      </c>
      <c r="B924" t="s">
        <v>1960</v>
      </c>
      <c r="C924" t="s">
        <v>60</v>
      </c>
      <c r="D924" t="s">
        <v>61</v>
      </c>
      <c r="E924" t="s">
        <v>61</v>
      </c>
      <c r="F924" t="s">
        <v>49</v>
      </c>
      <c r="G924" t="s">
        <v>1964</v>
      </c>
      <c r="H924" t="s">
        <v>1965</v>
      </c>
      <c r="J924" t="str">
        <f>HYPERLINK("https://www.facebook.com/634639855377280/posts/803432851831312?comment_id=2657426387741596&amp;reply_comment_id=427398203081333","https://www.facebook.com/634639855377280/posts/803432851831312?comment_id=2657426387741596&amp;reply_comment_id=427398203081333")</f>
        <v>https://www.facebook.com/634639855377280/posts/803432851831312?comment_id=2657426387741596&amp;reply_comment_id=427398203081333</v>
      </c>
      <c r="O924">
        <v>0</v>
      </c>
      <c r="P924">
        <v>0</v>
      </c>
      <c r="Q924">
        <v>0</v>
      </c>
      <c r="S924">
        <v>0</v>
      </c>
      <c r="T924">
        <v>0</v>
      </c>
      <c r="U924">
        <v>0</v>
      </c>
      <c r="W924" t="s">
        <v>52</v>
      </c>
    </row>
    <row r="925" spans="1:23" x14ac:dyDescent="0.35">
      <c r="A925" t="s">
        <v>45</v>
      </c>
      <c r="B925" t="s">
        <v>1960</v>
      </c>
      <c r="C925" t="s">
        <v>60</v>
      </c>
      <c r="D925" t="s">
        <v>61</v>
      </c>
      <c r="E925" t="s">
        <v>61</v>
      </c>
      <c r="F925" t="s">
        <v>49</v>
      </c>
      <c r="G925" t="s">
        <v>1966</v>
      </c>
      <c r="H925" t="s">
        <v>1967</v>
      </c>
      <c r="J925" t="str">
        <f>HYPERLINK("https://www.facebook.com/634639855377280/posts/803432851831312?comment_id=2657426387741596&amp;reply_comment_id=957070029459442","https://www.facebook.com/634639855377280/posts/803432851831312?comment_id=2657426387741596&amp;reply_comment_id=957070029459442")</f>
        <v>https://www.facebook.com/634639855377280/posts/803432851831312?comment_id=2657426387741596&amp;reply_comment_id=957070029459442</v>
      </c>
      <c r="O925">
        <v>0</v>
      </c>
      <c r="P925">
        <v>0</v>
      </c>
      <c r="Q925">
        <v>0</v>
      </c>
      <c r="S925">
        <v>0</v>
      </c>
      <c r="T925">
        <v>0</v>
      </c>
      <c r="U925">
        <v>0</v>
      </c>
      <c r="W925" t="s">
        <v>52</v>
      </c>
    </row>
    <row r="926" spans="1:23" x14ac:dyDescent="0.35">
      <c r="A926" t="s">
        <v>45</v>
      </c>
      <c r="B926" t="s">
        <v>1960</v>
      </c>
      <c r="C926" t="s">
        <v>60</v>
      </c>
      <c r="D926" t="s">
        <v>61</v>
      </c>
      <c r="E926" t="s">
        <v>61</v>
      </c>
      <c r="F926" t="s">
        <v>49</v>
      </c>
      <c r="G926" t="s">
        <v>1968</v>
      </c>
      <c r="H926" t="s">
        <v>1969</v>
      </c>
      <c r="J926" t="str">
        <f>HYPERLINK("https://www.facebook.com/634639855377280/posts/803432851831312?comment_id=946132886908344","https://www.facebook.com/634639855377280/posts/803432851831312?comment_id=946132886908344")</f>
        <v>https://www.facebook.com/634639855377280/posts/803432851831312?comment_id=946132886908344</v>
      </c>
      <c r="O926">
        <v>0</v>
      </c>
      <c r="P926">
        <v>0</v>
      </c>
      <c r="Q926">
        <v>0</v>
      </c>
      <c r="S926">
        <v>0</v>
      </c>
      <c r="T926">
        <v>0</v>
      </c>
      <c r="U926">
        <v>0</v>
      </c>
      <c r="W926" t="s">
        <v>52</v>
      </c>
    </row>
    <row r="927" spans="1:23" x14ac:dyDescent="0.35">
      <c r="A927" t="s">
        <v>45</v>
      </c>
      <c r="B927" t="s">
        <v>1960</v>
      </c>
      <c r="C927" t="s">
        <v>60</v>
      </c>
      <c r="D927" t="s">
        <v>61</v>
      </c>
      <c r="E927" t="s">
        <v>61</v>
      </c>
      <c r="F927" t="s">
        <v>49</v>
      </c>
      <c r="G927" t="s">
        <v>1970</v>
      </c>
      <c r="H927" t="s">
        <v>1971</v>
      </c>
      <c r="J927" t="str">
        <f>HYPERLINK("https://www.facebook.com/634639855377280/posts/804629415044989?comment_id=934178238443836","https://www.facebook.com/634639855377280/posts/804629415044989?comment_id=934178238443836")</f>
        <v>https://www.facebook.com/634639855377280/posts/804629415044989?comment_id=934178238443836</v>
      </c>
      <c r="O927">
        <v>0</v>
      </c>
      <c r="P927">
        <v>0</v>
      </c>
      <c r="Q927">
        <v>0</v>
      </c>
      <c r="S927">
        <v>0</v>
      </c>
      <c r="T927">
        <v>0</v>
      </c>
      <c r="U927">
        <v>0</v>
      </c>
      <c r="W927" t="s">
        <v>52</v>
      </c>
    </row>
    <row r="928" spans="1:23" x14ac:dyDescent="0.35">
      <c r="A928" t="s">
        <v>45</v>
      </c>
      <c r="B928" t="s">
        <v>1960</v>
      </c>
      <c r="C928" t="s">
        <v>60</v>
      </c>
      <c r="D928" t="s">
        <v>61</v>
      </c>
      <c r="E928" t="s">
        <v>61</v>
      </c>
      <c r="F928" t="s">
        <v>49</v>
      </c>
      <c r="G928" t="s">
        <v>1972</v>
      </c>
      <c r="H928" t="s">
        <v>1973</v>
      </c>
      <c r="J928" t="str">
        <f>HYPERLINK("https://www.facebook.com/634639855377280/posts/804939111680686?comment_id=415508171169606","https://www.facebook.com/634639855377280/posts/804939111680686?comment_id=415508171169606")</f>
        <v>https://www.facebook.com/634639855377280/posts/804939111680686?comment_id=415508171169606</v>
      </c>
      <c r="O928">
        <v>0</v>
      </c>
      <c r="P928">
        <v>0</v>
      </c>
      <c r="Q928">
        <v>0</v>
      </c>
      <c r="S928">
        <v>0</v>
      </c>
      <c r="T928">
        <v>0</v>
      </c>
      <c r="U928">
        <v>0</v>
      </c>
      <c r="W928" t="s">
        <v>52</v>
      </c>
    </row>
    <row r="929" spans="1:23" x14ac:dyDescent="0.35">
      <c r="A929" t="s">
        <v>45</v>
      </c>
      <c r="B929" t="s">
        <v>1960</v>
      </c>
      <c r="C929" t="s">
        <v>47</v>
      </c>
      <c r="D929" t="s">
        <v>351</v>
      </c>
      <c r="E929" t="s">
        <v>351</v>
      </c>
      <c r="F929" t="s">
        <v>49</v>
      </c>
      <c r="G929" t="s">
        <v>1974</v>
      </c>
      <c r="H929" t="s">
        <v>1975</v>
      </c>
      <c r="J929" t="str">
        <f>HYPERLINK("https://www.youtube.com/watch?v=lgTr6XT0s8g&amp;lc=Ugwu3ostSp9KYpE4nol4AaABAg.A0j04DxafXXA0nnkEBwFJI","https://www.youtube.com/watch?v=lgTr6XT0s8g&amp;lc=Ugwu3ostSp9KYpE4nol4AaABAg.A0j04DxafXXA0nnkEBwFJI")</f>
        <v>https://www.youtube.com/watch?v=lgTr6XT0s8g&amp;lc=Ugwu3ostSp9KYpE4nol4AaABAg.A0j04DxafXXA0nnkEBwFJI</v>
      </c>
      <c r="O929">
        <v>0</v>
      </c>
      <c r="P929">
        <v>0</v>
      </c>
      <c r="Q929">
        <v>0</v>
      </c>
      <c r="S929">
        <v>0</v>
      </c>
      <c r="T929">
        <v>0</v>
      </c>
      <c r="U929">
        <v>0</v>
      </c>
      <c r="W929" t="s">
        <v>52</v>
      </c>
    </row>
    <row r="930" spans="1:23" x14ac:dyDescent="0.35">
      <c r="A930" t="s">
        <v>45</v>
      </c>
      <c r="B930" t="s">
        <v>1960</v>
      </c>
      <c r="C930" t="s">
        <v>60</v>
      </c>
      <c r="D930" t="s">
        <v>61</v>
      </c>
      <c r="E930" t="s">
        <v>61</v>
      </c>
      <c r="F930" t="s">
        <v>49</v>
      </c>
      <c r="G930" t="s">
        <v>1976</v>
      </c>
      <c r="H930" t="s">
        <v>1977</v>
      </c>
      <c r="J930" t="str">
        <f>HYPERLINK("https://www.facebook.com/634639855377280/posts/803432851831312?comment_id=725809716369050","https://www.facebook.com/634639855377280/posts/803432851831312?comment_id=725809716369050")</f>
        <v>https://www.facebook.com/634639855377280/posts/803432851831312?comment_id=725809716369050</v>
      </c>
      <c r="O930">
        <v>0</v>
      </c>
      <c r="P930">
        <v>0</v>
      </c>
      <c r="Q930">
        <v>0</v>
      </c>
      <c r="S930">
        <v>0</v>
      </c>
      <c r="T930">
        <v>0</v>
      </c>
      <c r="U930">
        <v>0</v>
      </c>
      <c r="W930" t="s">
        <v>52</v>
      </c>
    </row>
    <row r="931" spans="1:23" x14ac:dyDescent="0.35">
      <c r="A931" t="s">
        <v>45</v>
      </c>
      <c r="B931" t="s">
        <v>1960</v>
      </c>
      <c r="C931" t="s">
        <v>93</v>
      </c>
      <c r="D931" t="s">
        <v>94</v>
      </c>
      <c r="E931" t="s">
        <v>45</v>
      </c>
      <c r="F931" t="s">
        <v>49</v>
      </c>
      <c r="G931" t="s">
        <v>1978</v>
      </c>
      <c r="H931" t="s">
        <v>1979</v>
      </c>
      <c r="J931" t="str">
        <f>HYPERLINK("https://twitter.com/SpiceMoneyIndia/status/1766762488857522470","https://twitter.com/SpiceMoneyIndia/status/1766762488857522470")</f>
        <v>https://twitter.com/SpiceMoneyIndia/status/1766762488857522470</v>
      </c>
      <c r="K931" t="s">
        <v>67</v>
      </c>
      <c r="O931">
        <v>0</v>
      </c>
      <c r="P931">
        <v>0</v>
      </c>
      <c r="Q931">
        <v>6064</v>
      </c>
      <c r="R931" t="s">
        <v>97</v>
      </c>
      <c r="S931">
        <v>0</v>
      </c>
      <c r="T931">
        <v>0</v>
      </c>
      <c r="U931">
        <v>0</v>
      </c>
      <c r="V931" t="s">
        <v>98</v>
      </c>
      <c r="W931" t="s">
        <v>99</v>
      </c>
    </row>
    <row r="932" spans="1:23" x14ac:dyDescent="0.35">
      <c r="A932" t="s">
        <v>45</v>
      </c>
      <c r="B932" t="s">
        <v>1960</v>
      </c>
      <c r="C932" t="s">
        <v>47</v>
      </c>
      <c r="D932" t="s">
        <v>68</v>
      </c>
      <c r="E932" t="s">
        <v>68</v>
      </c>
      <c r="F932" t="s">
        <v>49</v>
      </c>
      <c r="G932" t="s">
        <v>1980</v>
      </c>
      <c r="H932" t="s">
        <v>1981</v>
      </c>
      <c r="J932" t="str">
        <f>HYPERLINK("https://www.youtube.com/watch?v=lgTr6XT0s8g&amp;lc=UgxvjJbeM1Z-5nJQccJ4AaABAg.A0iiTMW3XKaA0nZkZYez12","https://www.youtube.com/watch?v=lgTr6XT0s8g&amp;lc=UgxvjJbeM1Z-5nJQccJ4AaABAg.A0iiTMW3XKaA0nZkZYez12")</f>
        <v>https://www.youtube.com/watch?v=lgTr6XT0s8g&amp;lc=UgxvjJbeM1Z-5nJQccJ4AaABAg.A0iiTMW3XKaA0nZkZYez12</v>
      </c>
      <c r="O932">
        <v>0</v>
      </c>
      <c r="P932">
        <v>0</v>
      </c>
      <c r="Q932">
        <v>0</v>
      </c>
      <c r="S932">
        <v>0</v>
      </c>
      <c r="T932">
        <v>0</v>
      </c>
      <c r="U932">
        <v>0</v>
      </c>
      <c r="W932" t="s">
        <v>52</v>
      </c>
    </row>
    <row r="933" spans="1:23" x14ac:dyDescent="0.35">
      <c r="A933" t="s">
        <v>45</v>
      </c>
      <c r="B933" t="s">
        <v>1960</v>
      </c>
      <c r="C933" t="s">
        <v>93</v>
      </c>
      <c r="D933" t="s">
        <v>94</v>
      </c>
      <c r="E933" t="s">
        <v>45</v>
      </c>
      <c r="F933" t="s">
        <v>49</v>
      </c>
      <c r="G933" t="s">
        <v>1982</v>
      </c>
      <c r="H933" t="s">
        <v>1983</v>
      </c>
      <c r="J933" t="str">
        <f>HYPERLINK("https://twitter.com/SpiceMoneyIndia/status/1766756713321931231","https://twitter.com/SpiceMoneyIndia/status/1766756713321931231")</f>
        <v>https://twitter.com/SpiceMoneyIndia/status/1766756713321931231</v>
      </c>
      <c r="K933" t="s">
        <v>67</v>
      </c>
      <c r="O933">
        <v>0</v>
      </c>
      <c r="P933">
        <v>0</v>
      </c>
      <c r="Q933">
        <v>6064</v>
      </c>
      <c r="R933" t="s">
        <v>97</v>
      </c>
      <c r="S933">
        <v>0</v>
      </c>
      <c r="T933">
        <v>0</v>
      </c>
      <c r="U933">
        <v>0</v>
      </c>
      <c r="V933" t="s">
        <v>98</v>
      </c>
      <c r="W933" t="s">
        <v>99</v>
      </c>
    </row>
    <row r="934" spans="1:23" x14ac:dyDescent="0.35">
      <c r="A934" t="s">
        <v>45</v>
      </c>
      <c r="B934" t="s">
        <v>1960</v>
      </c>
      <c r="C934" t="s">
        <v>93</v>
      </c>
      <c r="D934" t="s">
        <v>94</v>
      </c>
      <c r="E934" t="s">
        <v>45</v>
      </c>
      <c r="F934" t="s">
        <v>49</v>
      </c>
      <c r="G934" t="s">
        <v>1984</v>
      </c>
      <c r="H934" t="s">
        <v>1985</v>
      </c>
      <c r="J934" t="str">
        <f>HYPERLINK("https://twitter.com/SpiceMoneyIndia/status/1766730912291549211","https://twitter.com/SpiceMoneyIndia/status/1766730912291549211")</f>
        <v>https://twitter.com/SpiceMoneyIndia/status/1766730912291549211</v>
      </c>
      <c r="K934" t="s">
        <v>67</v>
      </c>
      <c r="O934">
        <v>0</v>
      </c>
      <c r="P934">
        <v>0</v>
      </c>
      <c r="Q934">
        <v>6064</v>
      </c>
      <c r="R934" t="s">
        <v>97</v>
      </c>
      <c r="S934">
        <v>0</v>
      </c>
      <c r="T934">
        <v>0</v>
      </c>
      <c r="U934">
        <v>0</v>
      </c>
      <c r="V934" t="s">
        <v>98</v>
      </c>
      <c r="W934" t="s">
        <v>99</v>
      </c>
    </row>
    <row r="935" spans="1:23" x14ac:dyDescent="0.35">
      <c r="A935" t="s">
        <v>45</v>
      </c>
      <c r="B935" t="s">
        <v>1960</v>
      </c>
      <c r="C935" t="s">
        <v>93</v>
      </c>
      <c r="D935" t="s">
        <v>94</v>
      </c>
      <c r="E935" t="s">
        <v>45</v>
      </c>
      <c r="F935" t="s">
        <v>49</v>
      </c>
      <c r="G935" t="s">
        <v>1986</v>
      </c>
      <c r="H935" t="s">
        <v>1987</v>
      </c>
      <c r="J935" t="str">
        <f>HYPERLINK("https://twitter.com/SpiceMoneyIndia/status/1766730787687137746","https://twitter.com/SpiceMoneyIndia/status/1766730787687137746")</f>
        <v>https://twitter.com/SpiceMoneyIndia/status/1766730787687137746</v>
      </c>
      <c r="K935" t="s">
        <v>67</v>
      </c>
      <c r="O935">
        <v>0</v>
      </c>
      <c r="P935">
        <v>0</v>
      </c>
      <c r="Q935">
        <v>6064</v>
      </c>
      <c r="R935" t="s">
        <v>97</v>
      </c>
      <c r="S935">
        <v>0</v>
      </c>
      <c r="T935">
        <v>0</v>
      </c>
      <c r="U935">
        <v>0</v>
      </c>
      <c r="V935" t="s">
        <v>98</v>
      </c>
      <c r="W935" t="s">
        <v>99</v>
      </c>
    </row>
    <row r="936" spans="1:23" x14ac:dyDescent="0.35">
      <c r="A936" t="s">
        <v>45</v>
      </c>
      <c r="B936" t="s">
        <v>1960</v>
      </c>
      <c r="C936" t="s">
        <v>47</v>
      </c>
      <c r="D936" t="s">
        <v>68</v>
      </c>
      <c r="E936" t="s">
        <v>68</v>
      </c>
      <c r="F936" t="s">
        <v>49</v>
      </c>
      <c r="G936" t="s">
        <v>102</v>
      </c>
      <c r="H936" t="s">
        <v>1988</v>
      </c>
      <c r="J936" t="str">
        <f>HYPERLINK("https://www.youtube.com/watch?v=lgTr6XT0s8g&amp;lc=UgyDo4xv0imTuZmfXdF4AaABAg.A0mbO71W2BfA0nH82dgXY0","https://www.youtube.com/watch?v=lgTr6XT0s8g&amp;lc=UgyDo4xv0imTuZmfXdF4AaABAg.A0mbO71W2BfA0nH82dgXY0")</f>
        <v>https://www.youtube.com/watch?v=lgTr6XT0s8g&amp;lc=UgyDo4xv0imTuZmfXdF4AaABAg.A0mbO71W2BfA0nH82dgXY0</v>
      </c>
      <c r="O936">
        <v>0</v>
      </c>
      <c r="P936">
        <v>0</v>
      </c>
      <c r="Q936">
        <v>0</v>
      </c>
      <c r="S936">
        <v>0</v>
      </c>
      <c r="T936">
        <v>0</v>
      </c>
      <c r="U936">
        <v>0</v>
      </c>
      <c r="W936" t="s">
        <v>52</v>
      </c>
    </row>
    <row r="937" spans="1:23" x14ac:dyDescent="0.35">
      <c r="A937" t="s">
        <v>45</v>
      </c>
      <c r="B937" t="s">
        <v>1960</v>
      </c>
      <c r="C937" t="s">
        <v>60</v>
      </c>
      <c r="D937" t="s">
        <v>64</v>
      </c>
      <c r="E937" t="s">
        <v>64</v>
      </c>
      <c r="F937" t="s">
        <v>49</v>
      </c>
      <c r="G937" t="s">
        <v>1595</v>
      </c>
      <c r="H937" t="s">
        <v>1989</v>
      </c>
      <c r="J937" t="str">
        <f>HYPERLINK("https://www.facebook.com/634639855377280/posts/803432851831312?comment_id=1331168810885522&amp;reply_comment_id=1558394061395758","https://www.facebook.com/634639855377280/posts/803432851831312?comment_id=1331168810885522&amp;reply_comment_id=1558394061395758")</f>
        <v>https://www.facebook.com/634639855377280/posts/803432851831312?comment_id=1331168810885522&amp;reply_comment_id=1558394061395758</v>
      </c>
      <c r="K937" t="s">
        <v>67</v>
      </c>
      <c r="O937">
        <v>0</v>
      </c>
      <c r="P937">
        <v>0</v>
      </c>
      <c r="Q937">
        <v>0</v>
      </c>
      <c r="S937">
        <v>0</v>
      </c>
      <c r="T937">
        <v>0</v>
      </c>
      <c r="U937">
        <v>0</v>
      </c>
      <c r="W937" t="s">
        <v>52</v>
      </c>
    </row>
    <row r="938" spans="1:23" x14ac:dyDescent="0.35">
      <c r="A938" t="s">
        <v>45</v>
      </c>
      <c r="B938" t="s">
        <v>1960</v>
      </c>
      <c r="C938" t="s">
        <v>47</v>
      </c>
      <c r="D938" t="s">
        <v>68</v>
      </c>
      <c r="E938" t="s">
        <v>68</v>
      </c>
      <c r="F938" t="s">
        <v>49</v>
      </c>
      <c r="G938" t="s">
        <v>1990</v>
      </c>
      <c r="H938" t="s">
        <v>1991</v>
      </c>
      <c r="J938" t="str">
        <f>HYPERLINK("https://www.youtube.com/watch?v=-JmhdqYQjqw&amp;lc=Ugz3-lw1nv4WvGfU4FB4AaABAg.A0i3jLlDJcSA0nGhUt7kLL","https://www.youtube.com/watch?v=-JmhdqYQjqw&amp;lc=Ugz3-lw1nv4WvGfU4FB4AaABAg.A0i3jLlDJcSA0nGhUt7kLL")</f>
        <v>https://www.youtube.com/watch?v=-JmhdqYQjqw&amp;lc=Ugz3-lw1nv4WvGfU4FB4AaABAg.A0i3jLlDJcSA0nGhUt7kLL</v>
      </c>
      <c r="O938">
        <v>0</v>
      </c>
      <c r="P938">
        <v>0</v>
      </c>
      <c r="Q938">
        <v>0</v>
      </c>
      <c r="S938">
        <v>0</v>
      </c>
      <c r="T938">
        <v>0</v>
      </c>
      <c r="U938">
        <v>0</v>
      </c>
      <c r="W938" t="s">
        <v>52</v>
      </c>
    </row>
    <row r="939" spans="1:23" x14ac:dyDescent="0.35">
      <c r="A939" t="s">
        <v>45</v>
      </c>
      <c r="B939" t="s">
        <v>1960</v>
      </c>
      <c r="C939" t="s">
        <v>60</v>
      </c>
      <c r="D939" t="s">
        <v>64</v>
      </c>
      <c r="E939" t="s">
        <v>64</v>
      </c>
      <c r="F939" t="s">
        <v>49</v>
      </c>
      <c r="G939" t="s">
        <v>492</v>
      </c>
      <c r="H939" t="s">
        <v>1992</v>
      </c>
      <c r="J939" t="str">
        <f>HYPERLINK("https://www.facebook.com/634639855377280/posts/804939111680686?comment_id=1463669024576023&amp;reply_comment_id=3695055614113786","https://www.facebook.com/634639855377280/posts/804939111680686?comment_id=1463669024576023&amp;reply_comment_id=3695055614113786")</f>
        <v>https://www.facebook.com/634639855377280/posts/804939111680686?comment_id=1463669024576023&amp;reply_comment_id=3695055614113786</v>
      </c>
      <c r="K939" t="s">
        <v>67</v>
      </c>
      <c r="O939">
        <v>0</v>
      </c>
      <c r="P939">
        <v>0</v>
      </c>
      <c r="Q939">
        <v>0</v>
      </c>
      <c r="S939">
        <v>0</v>
      </c>
      <c r="T939">
        <v>0</v>
      </c>
      <c r="U939">
        <v>0</v>
      </c>
      <c r="W939" t="s">
        <v>52</v>
      </c>
    </row>
    <row r="940" spans="1:23" x14ac:dyDescent="0.35">
      <c r="A940" t="s">
        <v>45</v>
      </c>
      <c r="B940" t="s">
        <v>1960</v>
      </c>
      <c r="C940" t="s">
        <v>60</v>
      </c>
      <c r="D940" t="s">
        <v>61</v>
      </c>
      <c r="E940" t="s">
        <v>61</v>
      </c>
      <c r="F940" t="s">
        <v>49</v>
      </c>
      <c r="G940">
        <v>7575040322</v>
      </c>
      <c r="H940" t="s">
        <v>1993</v>
      </c>
      <c r="J940" t="str">
        <f>HYPERLINK("https://www.facebook.com/634639855377280/posts/804939111680686?comment_id=715868400627967","https://www.facebook.com/634639855377280/posts/804939111680686?comment_id=715868400627967")</f>
        <v>https://www.facebook.com/634639855377280/posts/804939111680686?comment_id=715868400627967</v>
      </c>
      <c r="O940">
        <v>0</v>
      </c>
      <c r="P940">
        <v>0</v>
      </c>
      <c r="Q940">
        <v>0</v>
      </c>
      <c r="S940">
        <v>0</v>
      </c>
      <c r="T940">
        <v>0</v>
      </c>
      <c r="U940">
        <v>0</v>
      </c>
      <c r="W940" t="s">
        <v>52</v>
      </c>
    </row>
    <row r="941" spans="1:23" x14ac:dyDescent="0.35">
      <c r="A941" t="s">
        <v>45</v>
      </c>
      <c r="B941" t="s">
        <v>1960</v>
      </c>
      <c r="C941" t="s">
        <v>60</v>
      </c>
      <c r="D941" t="s">
        <v>61</v>
      </c>
      <c r="E941" t="s">
        <v>61</v>
      </c>
      <c r="F941" t="s">
        <v>49</v>
      </c>
      <c r="G941" t="s">
        <v>1994</v>
      </c>
      <c r="H941" t="s">
        <v>1995</v>
      </c>
      <c r="J941" t="str">
        <f>HYPERLINK("https://www.facebook.com/634639855377280/posts/804939111680686?comment_id=1463669024576023","https://www.facebook.com/634639855377280/posts/804939111680686?comment_id=1463669024576023")</f>
        <v>https://www.facebook.com/634639855377280/posts/804939111680686?comment_id=1463669024576023</v>
      </c>
      <c r="O941">
        <v>0</v>
      </c>
      <c r="P941">
        <v>0</v>
      </c>
      <c r="Q941">
        <v>0</v>
      </c>
      <c r="S941">
        <v>0</v>
      </c>
      <c r="T941">
        <v>0</v>
      </c>
      <c r="U941">
        <v>0</v>
      </c>
      <c r="W941" t="s">
        <v>52</v>
      </c>
    </row>
    <row r="942" spans="1:23" x14ac:dyDescent="0.35">
      <c r="A942" t="s">
        <v>45</v>
      </c>
      <c r="B942" t="s">
        <v>1960</v>
      </c>
      <c r="C942" t="s">
        <v>93</v>
      </c>
      <c r="D942" t="s">
        <v>1996</v>
      </c>
      <c r="E942" t="s">
        <v>1997</v>
      </c>
      <c r="F942" t="s">
        <v>54</v>
      </c>
      <c r="G942" t="s">
        <v>1998</v>
      </c>
      <c r="H942" t="s">
        <v>1999</v>
      </c>
      <c r="J942" t="str">
        <f>HYPERLINK("https://twitter.com/KapilIndurkahya/status/1766661528978382940","https://twitter.com/KapilIndurkahya/status/1766661528978382940")</f>
        <v>https://twitter.com/KapilIndurkahya/status/1766661528978382940</v>
      </c>
      <c r="K942" t="s">
        <v>67</v>
      </c>
      <c r="O942">
        <v>0</v>
      </c>
      <c r="P942">
        <v>0</v>
      </c>
      <c r="Q942">
        <v>0</v>
      </c>
      <c r="S942">
        <v>0</v>
      </c>
      <c r="T942">
        <v>0</v>
      </c>
      <c r="U942">
        <v>0</v>
      </c>
      <c r="W942" t="s">
        <v>99</v>
      </c>
    </row>
    <row r="943" spans="1:23" x14ac:dyDescent="0.35">
      <c r="A943" t="s">
        <v>45</v>
      </c>
      <c r="B943" t="s">
        <v>1960</v>
      </c>
      <c r="C943" t="s">
        <v>93</v>
      </c>
      <c r="D943" t="s">
        <v>94</v>
      </c>
      <c r="E943" t="s">
        <v>45</v>
      </c>
      <c r="F943" t="s">
        <v>49</v>
      </c>
      <c r="G943" t="s">
        <v>2000</v>
      </c>
      <c r="H943" t="s">
        <v>2001</v>
      </c>
      <c r="J943" t="str">
        <f>HYPERLINK("https://twitter.com/SpiceMoneyIndia/status/1766660526296191468","https://twitter.com/SpiceMoneyIndia/status/1766660526296191468")</f>
        <v>https://twitter.com/SpiceMoneyIndia/status/1766660526296191468</v>
      </c>
      <c r="K943" t="s">
        <v>67</v>
      </c>
      <c r="O943">
        <v>0</v>
      </c>
      <c r="P943">
        <v>0</v>
      </c>
      <c r="Q943">
        <v>6063</v>
      </c>
      <c r="R943" t="s">
        <v>97</v>
      </c>
      <c r="S943">
        <v>0</v>
      </c>
      <c r="T943">
        <v>0</v>
      </c>
      <c r="U943">
        <v>0</v>
      </c>
      <c r="V943" t="s">
        <v>98</v>
      </c>
      <c r="W943" t="s">
        <v>99</v>
      </c>
    </row>
    <row r="944" spans="1:23" x14ac:dyDescent="0.35">
      <c r="A944" t="s">
        <v>45</v>
      </c>
      <c r="B944" t="s">
        <v>1960</v>
      </c>
      <c r="C944" t="s">
        <v>47</v>
      </c>
      <c r="D944" t="s">
        <v>68</v>
      </c>
      <c r="E944" t="s">
        <v>68</v>
      </c>
      <c r="F944" t="s">
        <v>49</v>
      </c>
      <c r="G944" t="s">
        <v>102</v>
      </c>
      <c r="H944" t="s">
        <v>2002</v>
      </c>
      <c r="J944" t="str">
        <f>HYPERLINK("https://www.youtube.com/watch?v=lgTr6XT0s8g&amp;lc=Ugwjqd8qRwhDbzDV_Wx4AaABAg.A0lXqKeYI2aA0mqmEXHnMG","https://www.youtube.com/watch?v=lgTr6XT0s8g&amp;lc=Ugwjqd8qRwhDbzDV_Wx4AaABAg.A0lXqKeYI2aA0mqmEXHnMG")</f>
        <v>https://www.youtube.com/watch?v=lgTr6XT0s8g&amp;lc=Ugwjqd8qRwhDbzDV_Wx4AaABAg.A0lXqKeYI2aA0mqmEXHnMG</v>
      </c>
      <c r="O944">
        <v>0</v>
      </c>
      <c r="P944">
        <v>0</v>
      </c>
      <c r="Q944">
        <v>0</v>
      </c>
      <c r="S944">
        <v>0</v>
      </c>
      <c r="T944">
        <v>0</v>
      </c>
      <c r="U944">
        <v>0</v>
      </c>
      <c r="W944" t="s">
        <v>52</v>
      </c>
    </row>
    <row r="945" spans="1:42" x14ac:dyDescent="0.35">
      <c r="A945" t="s">
        <v>45</v>
      </c>
      <c r="B945" t="s">
        <v>1960</v>
      </c>
      <c r="C945" t="s">
        <v>47</v>
      </c>
      <c r="D945" t="s">
        <v>2003</v>
      </c>
      <c r="E945" t="s">
        <v>2003</v>
      </c>
      <c r="F945" t="s">
        <v>49</v>
      </c>
      <c r="G945" t="s">
        <v>2004</v>
      </c>
      <c r="H945" t="s">
        <v>2005</v>
      </c>
      <c r="J945" t="str">
        <f>HYPERLINK("https://www.youtube.com/watch?v=lgTr6XT0s8g&amp;lc=UgyDo4xv0imTuZmfXdF4AaABAg","https://www.youtube.com/watch?v=lgTr6XT0s8g&amp;lc=UgyDo4xv0imTuZmfXdF4AaABAg")</f>
        <v>https://www.youtube.com/watch?v=lgTr6XT0s8g&amp;lc=UgyDo4xv0imTuZmfXdF4AaABAg</v>
      </c>
      <c r="O945">
        <v>0</v>
      </c>
      <c r="P945">
        <v>0</v>
      </c>
      <c r="Q945">
        <v>0</v>
      </c>
      <c r="S945">
        <v>0</v>
      </c>
      <c r="T945">
        <v>0</v>
      </c>
      <c r="U945">
        <v>0</v>
      </c>
      <c r="W945" t="s">
        <v>52</v>
      </c>
    </row>
    <row r="946" spans="1:42" x14ac:dyDescent="0.35">
      <c r="A946" t="s">
        <v>45</v>
      </c>
      <c r="B946" t="s">
        <v>2006</v>
      </c>
      <c r="C946" t="s">
        <v>47</v>
      </c>
      <c r="D946" t="s">
        <v>736</v>
      </c>
      <c r="E946" t="s">
        <v>736</v>
      </c>
      <c r="F946" t="s">
        <v>193</v>
      </c>
      <c r="G946" t="s">
        <v>2007</v>
      </c>
      <c r="H946" t="s">
        <v>2008</v>
      </c>
      <c r="J946" t="str">
        <f>HYPERLINK("https://www.youtube.com/watch?v=NjbH8lv8rXA","https://www.youtube.com/watch?v=NjbH8lv8rXA")</f>
        <v>https://www.youtube.com/watch?v=NjbH8lv8rXA</v>
      </c>
      <c r="O946">
        <v>0</v>
      </c>
      <c r="P946">
        <v>0</v>
      </c>
      <c r="Q946">
        <v>0</v>
      </c>
      <c r="S946">
        <v>0</v>
      </c>
      <c r="T946">
        <v>0</v>
      </c>
      <c r="U946">
        <v>0</v>
      </c>
      <c r="W946" t="s">
        <v>346</v>
      </c>
      <c r="AP946" t="s">
        <v>1420</v>
      </c>
    </row>
    <row r="947" spans="1:42" x14ac:dyDescent="0.35">
      <c r="A947" t="s">
        <v>45</v>
      </c>
      <c r="B947" t="s">
        <v>2006</v>
      </c>
      <c r="C947" t="s">
        <v>60</v>
      </c>
      <c r="D947" t="s">
        <v>61</v>
      </c>
      <c r="E947" t="s">
        <v>61</v>
      </c>
      <c r="F947" t="s">
        <v>54</v>
      </c>
      <c r="G947" t="s">
        <v>2009</v>
      </c>
      <c r="H947" t="s">
        <v>2010</v>
      </c>
      <c r="J947" t="str">
        <f>HYPERLINK("https://www.facebook.com/634639855377280/posts/803432851831312?comment_id=1331168810885522","https://www.facebook.com/634639855377280/posts/803432851831312?comment_id=1331168810885522")</f>
        <v>https://www.facebook.com/634639855377280/posts/803432851831312?comment_id=1331168810885522</v>
      </c>
      <c r="O947">
        <v>0</v>
      </c>
      <c r="P947">
        <v>0</v>
      </c>
      <c r="Q947">
        <v>0</v>
      </c>
      <c r="S947">
        <v>0</v>
      </c>
      <c r="T947">
        <v>0</v>
      </c>
      <c r="U947">
        <v>0</v>
      </c>
      <c r="W947" t="s">
        <v>52</v>
      </c>
    </row>
    <row r="948" spans="1:42" x14ac:dyDescent="0.35">
      <c r="A948" t="s">
        <v>45</v>
      </c>
      <c r="B948" t="s">
        <v>2006</v>
      </c>
      <c r="C948" t="s">
        <v>93</v>
      </c>
      <c r="D948" t="s">
        <v>2011</v>
      </c>
      <c r="E948" t="s">
        <v>2012</v>
      </c>
      <c r="F948" t="s">
        <v>49</v>
      </c>
      <c r="G948" t="s">
        <v>2013</v>
      </c>
      <c r="H948" t="s">
        <v>2014</v>
      </c>
      <c r="J948" t="str">
        <f>HYPERLINK("https://twitter.com/mstarhemanta/status/1766499257043865787","https://twitter.com/mstarhemanta/status/1766499257043865787")</f>
        <v>https://twitter.com/mstarhemanta/status/1766499257043865787</v>
      </c>
      <c r="K948" t="s">
        <v>67</v>
      </c>
      <c r="O948">
        <v>0</v>
      </c>
      <c r="P948">
        <v>0</v>
      </c>
      <c r="Q948">
        <v>11</v>
      </c>
      <c r="R948" t="s">
        <v>2015</v>
      </c>
      <c r="S948">
        <v>0</v>
      </c>
      <c r="T948">
        <v>0</v>
      </c>
      <c r="U948">
        <v>0</v>
      </c>
      <c r="W948" t="s">
        <v>99</v>
      </c>
    </row>
    <row r="949" spans="1:42" x14ac:dyDescent="0.35">
      <c r="A949" t="s">
        <v>45</v>
      </c>
      <c r="B949" t="s">
        <v>2006</v>
      </c>
      <c r="C949" t="s">
        <v>47</v>
      </c>
      <c r="D949" t="s">
        <v>205</v>
      </c>
      <c r="E949" t="s">
        <v>205</v>
      </c>
      <c r="F949" t="s">
        <v>49</v>
      </c>
      <c r="G949" t="s">
        <v>2016</v>
      </c>
      <c r="H949" t="s">
        <v>2017</v>
      </c>
      <c r="J949" t="str">
        <f>HYPERLINK("https://www.youtube.com/watch?v=-JmhdqYQjqw&amp;lc=Ugxr6IQ5KaVox43wkQV4AaABAg","https://www.youtube.com/watch?v=-JmhdqYQjqw&amp;lc=Ugxr6IQ5KaVox43wkQV4AaABAg")</f>
        <v>https://www.youtube.com/watch?v=-JmhdqYQjqw&amp;lc=Ugxr6IQ5KaVox43wkQV4AaABAg</v>
      </c>
      <c r="O949">
        <v>0</v>
      </c>
      <c r="P949">
        <v>0</v>
      </c>
      <c r="Q949">
        <v>0</v>
      </c>
      <c r="S949">
        <v>0</v>
      </c>
      <c r="T949">
        <v>0</v>
      </c>
      <c r="U949">
        <v>0</v>
      </c>
      <c r="W949" t="s">
        <v>52</v>
      </c>
    </row>
    <row r="950" spans="1:42" x14ac:dyDescent="0.35">
      <c r="A950" t="s">
        <v>45</v>
      </c>
      <c r="B950" t="s">
        <v>2006</v>
      </c>
      <c r="C950" t="s">
        <v>47</v>
      </c>
      <c r="D950" t="s">
        <v>2018</v>
      </c>
      <c r="E950" t="s">
        <v>2018</v>
      </c>
      <c r="F950" t="s">
        <v>54</v>
      </c>
      <c r="G950" t="s">
        <v>2019</v>
      </c>
      <c r="H950" t="s">
        <v>2020</v>
      </c>
      <c r="J950" t="str">
        <f>HYPERLINK("https://www.youtube.com/watch?v=lgTr6XT0s8g&amp;lc=Ugwjqd8qRwhDbzDV_Wx4AaABAg","https://www.youtube.com/watch?v=lgTr6XT0s8g&amp;lc=Ugwjqd8qRwhDbzDV_Wx4AaABAg")</f>
        <v>https://www.youtube.com/watch?v=lgTr6XT0s8g&amp;lc=Ugwjqd8qRwhDbzDV_Wx4AaABAg</v>
      </c>
      <c r="O950">
        <v>0</v>
      </c>
      <c r="P950">
        <v>0</v>
      </c>
      <c r="Q950">
        <v>0</v>
      </c>
      <c r="S950">
        <v>0</v>
      </c>
      <c r="T950">
        <v>0</v>
      </c>
      <c r="U950">
        <v>0</v>
      </c>
      <c r="W950" t="s">
        <v>52</v>
      </c>
    </row>
    <row r="951" spans="1:42" x14ac:dyDescent="0.35">
      <c r="A951" t="s">
        <v>45</v>
      </c>
      <c r="B951" t="s">
        <v>2006</v>
      </c>
      <c r="C951" t="s">
        <v>47</v>
      </c>
      <c r="D951" t="s">
        <v>2021</v>
      </c>
      <c r="E951" t="s">
        <v>2021</v>
      </c>
      <c r="F951" t="s">
        <v>49</v>
      </c>
      <c r="G951" t="s">
        <v>2022</v>
      </c>
      <c r="H951" t="s">
        <v>2023</v>
      </c>
      <c r="J951" t="str">
        <f>HYPERLINK("https://www.youtube.com/watch?v=-JmhdqYQjqw&amp;lc=Ugz3-lw1nv4WvGfU4FB4AaABAg.A0i3jLlDJcSA0lW5op2_BM","https://www.youtube.com/watch?v=-JmhdqYQjqw&amp;lc=Ugz3-lw1nv4WvGfU4FB4AaABAg.A0i3jLlDJcSA0lW5op2_BM")</f>
        <v>https://www.youtube.com/watch?v=-JmhdqYQjqw&amp;lc=Ugz3-lw1nv4WvGfU4FB4AaABAg.A0i3jLlDJcSA0lW5op2_BM</v>
      </c>
      <c r="O951">
        <v>0</v>
      </c>
      <c r="P951">
        <v>0</v>
      </c>
      <c r="Q951">
        <v>0</v>
      </c>
      <c r="S951">
        <v>0</v>
      </c>
      <c r="T951">
        <v>0</v>
      </c>
      <c r="U951">
        <v>0</v>
      </c>
      <c r="W951" t="s">
        <v>52</v>
      </c>
    </row>
    <row r="952" spans="1:42" x14ac:dyDescent="0.35">
      <c r="A952" t="s">
        <v>45</v>
      </c>
      <c r="B952" t="s">
        <v>2006</v>
      </c>
      <c r="C952" t="s">
        <v>60</v>
      </c>
      <c r="D952" t="s">
        <v>61</v>
      </c>
      <c r="E952" t="s">
        <v>61</v>
      </c>
      <c r="F952" t="s">
        <v>54</v>
      </c>
      <c r="G952" t="s">
        <v>2024</v>
      </c>
      <c r="H952" t="s">
        <v>2025</v>
      </c>
      <c r="J952" t="str">
        <f>HYPERLINK("https://www.facebook.com/634639855377280/posts/804767641697833?comment_id=950244170064240","https://www.facebook.com/634639855377280/posts/804767641697833?comment_id=950244170064240")</f>
        <v>https://www.facebook.com/634639855377280/posts/804767641697833?comment_id=950244170064240</v>
      </c>
      <c r="O952">
        <v>0</v>
      </c>
      <c r="P952">
        <v>0</v>
      </c>
      <c r="Q952">
        <v>0</v>
      </c>
      <c r="S952">
        <v>0</v>
      </c>
      <c r="T952">
        <v>0</v>
      </c>
      <c r="U952">
        <v>0</v>
      </c>
      <c r="W952" t="s">
        <v>52</v>
      </c>
    </row>
    <row r="953" spans="1:42" x14ac:dyDescent="0.35">
      <c r="A953" t="s">
        <v>45</v>
      </c>
      <c r="B953" t="s">
        <v>2006</v>
      </c>
      <c r="C953" t="s">
        <v>60</v>
      </c>
      <c r="D953" t="s">
        <v>61</v>
      </c>
      <c r="E953" t="s">
        <v>61</v>
      </c>
      <c r="F953" t="s">
        <v>54</v>
      </c>
      <c r="G953" t="s">
        <v>2024</v>
      </c>
      <c r="H953" t="s">
        <v>2026</v>
      </c>
      <c r="J953" t="str">
        <f>HYPERLINK("https://www.facebook.com/634639855377280/posts/804939111680686?comment_id=288823680728153","https://www.facebook.com/634639855377280/posts/804939111680686?comment_id=288823680728153")</f>
        <v>https://www.facebook.com/634639855377280/posts/804939111680686?comment_id=288823680728153</v>
      </c>
      <c r="O953">
        <v>0</v>
      </c>
      <c r="P953">
        <v>0</v>
      </c>
      <c r="Q953">
        <v>0</v>
      </c>
      <c r="S953">
        <v>0</v>
      </c>
      <c r="T953">
        <v>0</v>
      </c>
      <c r="U953">
        <v>0</v>
      </c>
      <c r="W953" t="s">
        <v>52</v>
      </c>
    </row>
    <row r="954" spans="1:42" x14ac:dyDescent="0.35">
      <c r="A954" t="s">
        <v>45</v>
      </c>
      <c r="B954" t="s">
        <v>2006</v>
      </c>
      <c r="C954" t="s">
        <v>60</v>
      </c>
      <c r="D954" t="s">
        <v>61</v>
      </c>
      <c r="E954" t="s">
        <v>61</v>
      </c>
      <c r="F954" t="s">
        <v>193</v>
      </c>
      <c r="G954" t="s">
        <v>2027</v>
      </c>
      <c r="H954" t="s">
        <v>2028</v>
      </c>
      <c r="J954" t="str">
        <f>HYPERLINK("https://www.facebook.com/634639855377280/posts/804767641697833?comment_id=708160697882926","https://www.facebook.com/634639855377280/posts/804767641697833?comment_id=708160697882926")</f>
        <v>https://www.facebook.com/634639855377280/posts/804767641697833?comment_id=708160697882926</v>
      </c>
      <c r="O954">
        <v>0</v>
      </c>
      <c r="P954">
        <v>0</v>
      </c>
      <c r="Q954">
        <v>0</v>
      </c>
      <c r="S954">
        <v>0</v>
      </c>
      <c r="T954">
        <v>0</v>
      </c>
      <c r="U954">
        <v>0</v>
      </c>
      <c r="W954" t="s">
        <v>52</v>
      </c>
    </row>
    <row r="955" spans="1:42" x14ac:dyDescent="0.35">
      <c r="A955" t="s">
        <v>45</v>
      </c>
      <c r="B955" t="s">
        <v>2006</v>
      </c>
      <c r="C955" t="s">
        <v>60</v>
      </c>
      <c r="D955" t="s">
        <v>64</v>
      </c>
      <c r="E955" t="s">
        <v>64</v>
      </c>
      <c r="F955" t="s">
        <v>49</v>
      </c>
      <c r="G955" t="s">
        <v>100</v>
      </c>
      <c r="H955" t="s">
        <v>2029</v>
      </c>
      <c r="J955" t="str">
        <f>HYPERLINK("https://www.facebook.com/634639855377280/posts/804230455084885?comment_id=3265264340446838&amp;reply_comment_id=390390880273916","https://www.facebook.com/634639855377280/posts/804230455084885?comment_id=3265264340446838&amp;reply_comment_id=390390880273916")</f>
        <v>https://www.facebook.com/634639855377280/posts/804230455084885?comment_id=3265264340446838&amp;reply_comment_id=390390880273916</v>
      </c>
      <c r="K955" t="s">
        <v>67</v>
      </c>
      <c r="O955">
        <v>0</v>
      </c>
      <c r="P955">
        <v>0</v>
      </c>
      <c r="Q955">
        <v>0</v>
      </c>
      <c r="S955">
        <v>0</v>
      </c>
      <c r="T955">
        <v>0</v>
      </c>
      <c r="U955">
        <v>0</v>
      </c>
      <c r="W955" t="s">
        <v>52</v>
      </c>
    </row>
    <row r="956" spans="1:42" x14ac:dyDescent="0.35">
      <c r="A956" t="s">
        <v>45</v>
      </c>
      <c r="B956" t="s">
        <v>2006</v>
      </c>
      <c r="C956" t="s">
        <v>60</v>
      </c>
      <c r="D956" t="s">
        <v>64</v>
      </c>
      <c r="E956" t="s">
        <v>64</v>
      </c>
      <c r="F956" t="s">
        <v>49</v>
      </c>
      <c r="G956" t="s">
        <v>380</v>
      </c>
      <c r="H956" t="s">
        <v>2030</v>
      </c>
      <c r="J956" t="str">
        <f>HYPERLINK("https://www.facebook.com/634639855377280/posts/804629415044989?comment_id=1674086510001557&amp;reply_comment_id=981356956947283","https://www.facebook.com/634639855377280/posts/804629415044989?comment_id=1674086510001557&amp;reply_comment_id=981356956947283")</f>
        <v>https://www.facebook.com/634639855377280/posts/804629415044989?comment_id=1674086510001557&amp;reply_comment_id=981356956947283</v>
      </c>
      <c r="K956" t="s">
        <v>67</v>
      </c>
      <c r="O956">
        <v>0</v>
      </c>
      <c r="P956">
        <v>0</v>
      </c>
      <c r="Q956">
        <v>0</v>
      </c>
      <c r="S956">
        <v>0</v>
      </c>
      <c r="T956">
        <v>0</v>
      </c>
      <c r="U956">
        <v>0</v>
      </c>
      <c r="W956" t="s">
        <v>52</v>
      </c>
    </row>
    <row r="957" spans="1:42" x14ac:dyDescent="0.35">
      <c r="A957" t="s">
        <v>45</v>
      </c>
      <c r="B957" t="s">
        <v>2006</v>
      </c>
      <c r="C957" t="s">
        <v>93</v>
      </c>
      <c r="D957" t="s">
        <v>94</v>
      </c>
      <c r="E957" t="s">
        <v>45</v>
      </c>
      <c r="F957" t="s">
        <v>49</v>
      </c>
      <c r="G957" t="s">
        <v>2031</v>
      </c>
      <c r="H957" t="s">
        <v>2032</v>
      </c>
      <c r="J957" t="str">
        <f>HYPERLINK("https://twitter.com/SpiceMoneyIndia/status/1766429257775939866","https://twitter.com/SpiceMoneyIndia/status/1766429257775939866")</f>
        <v>https://twitter.com/SpiceMoneyIndia/status/1766429257775939866</v>
      </c>
      <c r="K957" t="s">
        <v>67</v>
      </c>
      <c r="O957">
        <v>0</v>
      </c>
      <c r="P957">
        <v>0</v>
      </c>
      <c r="Q957">
        <v>6063</v>
      </c>
      <c r="R957" t="s">
        <v>97</v>
      </c>
      <c r="S957">
        <v>0</v>
      </c>
      <c r="T957">
        <v>0</v>
      </c>
      <c r="U957">
        <v>0</v>
      </c>
      <c r="V957" t="s">
        <v>98</v>
      </c>
      <c r="W957" t="s">
        <v>99</v>
      </c>
    </row>
    <row r="958" spans="1:42" x14ac:dyDescent="0.35">
      <c r="A958" t="s">
        <v>45</v>
      </c>
      <c r="B958" t="s">
        <v>2006</v>
      </c>
      <c r="C958" t="s">
        <v>60</v>
      </c>
      <c r="D958" t="s">
        <v>64</v>
      </c>
      <c r="E958" t="s">
        <v>64</v>
      </c>
      <c r="F958" t="s">
        <v>49</v>
      </c>
      <c r="G958" t="s">
        <v>164</v>
      </c>
      <c r="H958" t="s">
        <v>2033</v>
      </c>
      <c r="J958" t="str">
        <f>HYPERLINK("https://www.facebook.com/634639855377280/posts/804767641697833?comment_id=7563069193713889&amp;reply_comment_id=371119522459945","https://www.facebook.com/634639855377280/posts/804767641697833?comment_id=7563069193713889&amp;reply_comment_id=371119522459945")</f>
        <v>https://www.facebook.com/634639855377280/posts/804767641697833?comment_id=7563069193713889&amp;reply_comment_id=371119522459945</v>
      </c>
      <c r="K958" t="s">
        <v>67</v>
      </c>
      <c r="O958">
        <v>0</v>
      </c>
      <c r="P958">
        <v>0</v>
      </c>
      <c r="Q958">
        <v>0</v>
      </c>
      <c r="S958">
        <v>0</v>
      </c>
      <c r="T958">
        <v>0</v>
      </c>
      <c r="U958">
        <v>0</v>
      </c>
      <c r="W958" t="s">
        <v>52</v>
      </c>
    </row>
    <row r="959" spans="1:42" x14ac:dyDescent="0.35">
      <c r="A959" t="s">
        <v>45</v>
      </c>
      <c r="B959" t="s">
        <v>2006</v>
      </c>
      <c r="C959" t="s">
        <v>93</v>
      </c>
      <c r="D959" t="s">
        <v>94</v>
      </c>
      <c r="E959" t="s">
        <v>45</v>
      </c>
      <c r="F959" t="s">
        <v>49</v>
      </c>
      <c r="G959" t="s">
        <v>1880</v>
      </c>
      <c r="H959" t="s">
        <v>2034</v>
      </c>
      <c r="J959" t="str">
        <f>HYPERLINK("https://twitter.com/SpiceMoneyIndia/status/1766428433830084733","https://twitter.com/SpiceMoneyIndia/status/1766428433830084733")</f>
        <v>https://twitter.com/SpiceMoneyIndia/status/1766428433830084733</v>
      </c>
      <c r="K959" t="s">
        <v>67</v>
      </c>
      <c r="O959">
        <v>0</v>
      </c>
      <c r="P959">
        <v>0</v>
      </c>
      <c r="Q959">
        <v>6063</v>
      </c>
      <c r="R959" t="s">
        <v>97</v>
      </c>
      <c r="S959">
        <v>0</v>
      </c>
      <c r="T959">
        <v>0</v>
      </c>
      <c r="U959">
        <v>0</v>
      </c>
      <c r="V959" t="s">
        <v>98</v>
      </c>
      <c r="W959" t="s">
        <v>99</v>
      </c>
    </row>
    <row r="960" spans="1:42" x14ac:dyDescent="0.35">
      <c r="A960" t="s">
        <v>45</v>
      </c>
      <c r="B960" t="s">
        <v>2006</v>
      </c>
      <c r="C960" t="s">
        <v>93</v>
      </c>
      <c r="D960" t="s">
        <v>94</v>
      </c>
      <c r="E960" t="s">
        <v>45</v>
      </c>
      <c r="F960" t="s">
        <v>49</v>
      </c>
      <c r="G960" t="s">
        <v>2035</v>
      </c>
      <c r="H960" t="s">
        <v>2036</v>
      </c>
      <c r="J960" t="str">
        <f>HYPERLINK("https://twitter.com/SpiceMoneyIndia/status/1766428046427337209","https://twitter.com/SpiceMoneyIndia/status/1766428046427337209")</f>
        <v>https://twitter.com/SpiceMoneyIndia/status/1766428046427337209</v>
      </c>
      <c r="K960" t="s">
        <v>67</v>
      </c>
      <c r="O960">
        <v>0</v>
      </c>
      <c r="P960">
        <v>0</v>
      </c>
      <c r="Q960">
        <v>6063</v>
      </c>
      <c r="R960" t="s">
        <v>97</v>
      </c>
      <c r="S960">
        <v>0</v>
      </c>
      <c r="T960">
        <v>0</v>
      </c>
      <c r="U960">
        <v>0</v>
      </c>
      <c r="V960" t="s">
        <v>98</v>
      </c>
      <c r="W960" t="s">
        <v>99</v>
      </c>
    </row>
    <row r="961" spans="1:23" x14ac:dyDescent="0.35">
      <c r="A961" t="s">
        <v>45</v>
      </c>
      <c r="B961" t="s">
        <v>2006</v>
      </c>
      <c r="C961" t="s">
        <v>93</v>
      </c>
      <c r="D961" t="s">
        <v>1826</v>
      </c>
      <c r="E961" t="s">
        <v>1827</v>
      </c>
      <c r="F961" t="s">
        <v>49</v>
      </c>
      <c r="G961" t="s">
        <v>2037</v>
      </c>
      <c r="H961" t="s">
        <v>2038</v>
      </c>
      <c r="J961" t="str">
        <f>HYPERLINK("https://twitter.com/Sachinpatel952/status/1766427654776054201","https://twitter.com/Sachinpatel952/status/1766427654776054201")</f>
        <v>https://twitter.com/Sachinpatel952/status/1766427654776054201</v>
      </c>
      <c r="K961" t="s">
        <v>67</v>
      </c>
      <c r="O961">
        <v>0</v>
      </c>
      <c r="P961">
        <v>0</v>
      </c>
      <c r="Q961">
        <v>1</v>
      </c>
      <c r="S961">
        <v>0</v>
      </c>
      <c r="T961">
        <v>0</v>
      </c>
      <c r="U961">
        <v>0</v>
      </c>
      <c r="W961" t="s">
        <v>99</v>
      </c>
    </row>
    <row r="962" spans="1:23" x14ac:dyDescent="0.35">
      <c r="A962" t="s">
        <v>45</v>
      </c>
      <c r="B962" t="s">
        <v>2006</v>
      </c>
      <c r="C962" t="s">
        <v>47</v>
      </c>
      <c r="D962" t="s">
        <v>68</v>
      </c>
      <c r="E962" t="s">
        <v>68</v>
      </c>
      <c r="F962" t="s">
        <v>49</v>
      </c>
      <c r="G962" t="s">
        <v>2039</v>
      </c>
      <c r="H962" t="s">
        <v>2040</v>
      </c>
      <c r="J962" t="str">
        <f>HYPERLINK("https://www.youtube.com/watch?v=-JmhdqYQjqw&amp;lc=UgxNLu_AwX1v4oLvERl4AaABAg.A0i_Uq-I37cA0lB4T1eYXm","https://www.youtube.com/watch?v=-JmhdqYQjqw&amp;lc=UgxNLu_AwX1v4oLvERl4AaABAg.A0i_Uq-I37cA0lB4T1eYXm")</f>
        <v>https://www.youtube.com/watch?v=-JmhdqYQjqw&amp;lc=UgxNLu_AwX1v4oLvERl4AaABAg.A0i_Uq-I37cA0lB4T1eYXm</v>
      </c>
      <c r="O962">
        <v>0</v>
      </c>
      <c r="P962">
        <v>0</v>
      </c>
      <c r="Q962">
        <v>0</v>
      </c>
      <c r="S962">
        <v>0</v>
      </c>
      <c r="T962">
        <v>0</v>
      </c>
      <c r="U962">
        <v>0</v>
      </c>
      <c r="W962" t="s">
        <v>52</v>
      </c>
    </row>
    <row r="963" spans="1:23" x14ac:dyDescent="0.35">
      <c r="A963" t="s">
        <v>45</v>
      </c>
      <c r="B963" t="s">
        <v>2006</v>
      </c>
      <c r="C963" t="s">
        <v>47</v>
      </c>
      <c r="D963" t="s">
        <v>68</v>
      </c>
      <c r="E963" t="s">
        <v>68</v>
      </c>
      <c r="F963" t="s">
        <v>49</v>
      </c>
      <c r="G963" t="s">
        <v>162</v>
      </c>
      <c r="H963" t="s">
        <v>2041</v>
      </c>
      <c r="J963" t="str">
        <f>HYPERLINK("https://www.youtube.com/watch?v=zkfWhYOCqb8&amp;lc=UgwZH-hOvar7JHhoueJ4AaABAg.A0gl2g5Db_AA0l8oDWMB_z","https://www.youtube.com/watch?v=zkfWhYOCqb8&amp;lc=UgwZH-hOvar7JHhoueJ4AaABAg.A0gl2g5Db_AA0l8oDWMB_z")</f>
        <v>https://www.youtube.com/watch?v=zkfWhYOCqb8&amp;lc=UgwZH-hOvar7JHhoueJ4AaABAg.A0gl2g5Db_AA0l8oDWMB_z</v>
      </c>
      <c r="O963">
        <v>0</v>
      </c>
      <c r="P963">
        <v>0</v>
      </c>
      <c r="Q963">
        <v>0</v>
      </c>
      <c r="S963">
        <v>0</v>
      </c>
      <c r="T963">
        <v>0</v>
      </c>
      <c r="U963">
        <v>0</v>
      </c>
      <c r="W963" t="s">
        <v>52</v>
      </c>
    </row>
    <row r="964" spans="1:23" x14ac:dyDescent="0.35">
      <c r="A964" t="s">
        <v>45</v>
      </c>
      <c r="B964" t="s">
        <v>2006</v>
      </c>
      <c r="C964" t="s">
        <v>60</v>
      </c>
      <c r="D964" t="s">
        <v>64</v>
      </c>
      <c r="E964" t="s">
        <v>64</v>
      </c>
      <c r="F964" t="s">
        <v>49</v>
      </c>
      <c r="G964" t="s">
        <v>83</v>
      </c>
      <c r="H964" t="s">
        <v>2042</v>
      </c>
      <c r="J964" t="str">
        <f>HYPERLINK("https://www.facebook.com/634639855377280/posts/802946451879952?comment_id=715613107395342&amp;reply_comment_id=216740658154897","https://www.facebook.com/634639855377280/posts/802946451879952?comment_id=715613107395342&amp;reply_comment_id=216740658154897")</f>
        <v>https://www.facebook.com/634639855377280/posts/802946451879952?comment_id=715613107395342&amp;reply_comment_id=216740658154897</v>
      </c>
      <c r="K964" t="s">
        <v>67</v>
      </c>
      <c r="O964">
        <v>0</v>
      </c>
      <c r="P964">
        <v>0</v>
      </c>
      <c r="Q964">
        <v>0</v>
      </c>
      <c r="S964">
        <v>0</v>
      </c>
      <c r="T964">
        <v>0</v>
      </c>
      <c r="U964">
        <v>0</v>
      </c>
      <c r="W964" t="s">
        <v>52</v>
      </c>
    </row>
    <row r="965" spans="1:23" x14ac:dyDescent="0.35">
      <c r="A965" t="s">
        <v>45</v>
      </c>
      <c r="B965" t="s">
        <v>2006</v>
      </c>
      <c r="C965" t="s">
        <v>93</v>
      </c>
      <c r="D965" t="s">
        <v>94</v>
      </c>
      <c r="E965" t="s">
        <v>45</v>
      </c>
      <c r="F965" t="s">
        <v>49</v>
      </c>
      <c r="G965" t="s">
        <v>520</v>
      </c>
      <c r="H965" t="s">
        <v>2043</v>
      </c>
      <c r="J965" t="str">
        <f>HYPERLINK("https://twitter.com/SpiceMoneyIndia/status/1766419903760761166","https://twitter.com/SpiceMoneyIndia/status/1766419903760761166")</f>
        <v>https://twitter.com/SpiceMoneyIndia/status/1766419903760761166</v>
      </c>
      <c r="K965" t="s">
        <v>67</v>
      </c>
      <c r="O965">
        <v>0</v>
      </c>
      <c r="P965">
        <v>0</v>
      </c>
      <c r="Q965">
        <v>6063</v>
      </c>
      <c r="R965" t="s">
        <v>97</v>
      </c>
      <c r="S965">
        <v>0</v>
      </c>
      <c r="T965">
        <v>0</v>
      </c>
      <c r="U965">
        <v>0</v>
      </c>
      <c r="V965" t="s">
        <v>98</v>
      </c>
      <c r="W965" t="s">
        <v>99</v>
      </c>
    </row>
    <row r="966" spans="1:23" x14ac:dyDescent="0.35">
      <c r="A966" t="s">
        <v>45</v>
      </c>
      <c r="B966" t="s">
        <v>2006</v>
      </c>
      <c r="C966" t="s">
        <v>47</v>
      </c>
      <c r="D966" t="s">
        <v>68</v>
      </c>
      <c r="E966" t="s">
        <v>68</v>
      </c>
      <c r="F966" t="s">
        <v>49</v>
      </c>
      <c r="G966" t="s">
        <v>253</v>
      </c>
      <c r="H966" t="s">
        <v>2044</v>
      </c>
      <c r="J966" t="str">
        <f>HYPERLINK("https://www.youtube.com/watch?v=KRT5g20Nqy8&amp;lc=UgxGxZD_YRZDKrca_tB4AaABAg.A0gd1SfXf1GA0l8NBOiJ6h","https://www.youtube.com/watch?v=KRT5g20Nqy8&amp;lc=UgxGxZD_YRZDKrca_tB4AaABAg.A0gd1SfXf1GA0l8NBOiJ6h")</f>
        <v>https://www.youtube.com/watch?v=KRT5g20Nqy8&amp;lc=UgxGxZD_YRZDKrca_tB4AaABAg.A0gd1SfXf1GA0l8NBOiJ6h</v>
      </c>
      <c r="O966">
        <v>0</v>
      </c>
      <c r="P966">
        <v>0</v>
      </c>
      <c r="Q966">
        <v>0</v>
      </c>
      <c r="S966">
        <v>0</v>
      </c>
      <c r="T966">
        <v>0</v>
      </c>
      <c r="U966">
        <v>0</v>
      </c>
      <c r="W966" t="s">
        <v>52</v>
      </c>
    </row>
    <row r="967" spans="1:23" x14ac:dyDescent="0.35">
      <c r="A967" t="s">
        <v>45</v>
      </c>
      <c r="B967" t="s">
        <v>2006</v>
      </c>
      <c r="C967" t="s">
        <v>47</v>
      </c>
      <c r="D967" t="s">
        <v>2045</v>
      </c>
      <c r="E967" t="s">
        <v>2045</v>
      </c>
      <c r="F967" t="s">
        <v>54</v>
      </c>
      <c r="G967" t="s">
        <v>2046</v>
      </c>
      <c r="H967" t="s">
        <v>2047</v>
      </c>
      <c r="J967" t="str">
        <f>HYPERLINK("https://www.youtube.com/watch?v=zkfWhYOCqb8&amp;lc=Ugy-6VOlbgC3lIhbrgt4AaABAg","https://www.youtube.com/watch?v=zkfWhYOCqb8&amp;lc=Ugy-6VOlbgC3lIhbrgt4AaABAg")</f>
        <v>https://www.youtube.com/watch?v=zkfWhYOCqb8&amp;lc=Ugy-6VOlbgC3lIhbrgt4AaABAg</v>
      </c>
      <c r="O967">
        <v>0</v>
      </c>
      <c r="P967">
        <v>0</v>
      </c>
      <c r="Q967">
        <v>0</v>
      </c>
      <c r="S967">
        <v>0</v>
      </c>
      <c r="T967">
        <v>0</v>
      </c>
      <c r="U967">
        <v>0</v>
      </c>
      <c r="W967" t="s">
        <v>52</v>
      </c>
    </row>
    <row r="968" spans="1:23" x14ac:dyDescent="0.35">
      <c r="A968" t="s">
        <v>45</v>
      </c>
      <c r="B968" t="s">
        <v>2006</v>
      </c>
      <c r="C968" t="s">
        <v>47</v>
      </c>
      <c r="D968" t="s">
        <v>68</v>
      </c>
      <c r="E968" t="s">
        <v>68</v>
      </c>
      <c r="F968" t="s">
        <v>49</v>
      </c>
      <c r="G968" t="s">
        <v>2048</v>
      </c>
      <c r="H968" t="s">
        <v>2049</v>
      </c>
      <c r="J968" t="str">
        <f>HYPERLINK("https://www.youtube.com/watch?v=-JmhdqYQjqw&amp;lc=Ugz3-lw1nv4WvGfU4FB4AaABAg.A0i3jLlDJcSA0l2VOHmhR_","https://www.youtube.com/watch?v=-JmhdqYQjqw&amp;lc=Ugz3-lw1nv4WvGfU4FB4AaABAg.A0i3jLlDJcSA0l2VOHmhR_")</f>
        <v>https://www.youtube.com/watch?v=-JmhdqYQjqw&amp;lc=Ugz3-lw1nv4WvGfU4FB4AaABAg.A0i3jLlDJcSA0l2VOHmhR_</v>
      </c>
      <c r="O968">
        <v>0</v>
      </c>
      <c r="P968">
        <v>0</v>
      </c>
      <c r="Q968">
        <v>0</v>
      </c>
      <c r="S968">
        <v>0</v>
      </c>
      <c r="T968">
        <v>0</v>
      </c>
      <c r="U968">
        <v>0</v>
      </c>
      <c r="W968" t="s">
        <v>52</v>
      </c>
    </row>
    <row r="969" spans="1:23" x14ac:dyDescent="0.35">
      <c r="A969" t="s">
        <v>45</v>
      </c>
      <c r="B969" t="s">
        <v>2006</v>
      </c>
      <c r="C969" t="s">
        <v>93</v>
      </c>
      <c r="D969" t="s">
        <v>569</v>
      </c>
      <c r="E969" t="s">
        <v>570</v>
      </c>
      <c r="F969" t="s">
        <v>49</v>
      </c>
      <c r="G969" t="s">
        <v>2050</v>
      </c>
      <c r="H969" t="s">
        <v>2051</v>
      </c>
      <c r="J969" t="str">
        <f>HYPERLINK("https://twitter.com/excelhinditips/status/1766406150637969661","https://twitter.com/excelhinditips/status/1766406150637969661")</f>
        <v>https://twitter.com/excelhinditips/status/1766406150637969661</v>
      </c>
      <c r="O969">
        <v>0</v>
      </c>
      <c r="P969">
        <v>0</v>
      </c>
      <c r="Q969">
        <v>16</v>
      </c>
      <c r="R969" t="s">
        <v>573</v>
      </c>
      <c r="S969">
        <v>0</v>
      </c>
      <c r="T969">
        <v>0</v>
      </c>
      <c r="U969">
        <v>0</v>
      </c>
      <c r="W969" t="s">
        <v>99</v>
      </c>
    </row>
    <row r="970" spans="1:23" x14ac:dyDescent="0.35">
      <c r="A970" t="s">
        <v>45</v>
      </c>
      <c r="B970" t="s">
        <v>2006</v>
      </c>
      <c r="C970" t="s">
        <v>47</v>
      </c>
      <c r="D970" t="s">
        <v>68</v>
      </c>
      <c r="E970" t="s">
        <v>68</v>
      </c>
      <c r="F970" t="s">
        <v>49</v>
      </c>
      <c r="G970" t="s">
        <v>253</v>
      </c>
      <c r="H970" t="s">
        <v>2052</v>
      </c>
      <c r="J970" t="str">
        <f>HYPERLINK("https://www.youtube.com/watch?v=lgTr6XT0s8g&amp;lc=Ugx4OSwbcpH0VXCuDSZ4AaABAg.A0isRKGqc_cA0l2-P7tkcP","https://www.youtube.com/watch?v=lgTr6XT0s8g&amp;lc=Ugx4OSwbcpH0VXCuDSZ4AaABAg.A0isRKGqc_cA0l2-P7tkcP")</f>
        <v>https://www.youtube.com/watch?v=lgTr6XT0s8g&amp;lc=Ugx4OSwbcpH0VXCuDSZ4AaABAg.A0isRKGqc_cA0l2-P7tkcP</v>
      </c>
      <c r="O970">
        <v>0</v>
      </c>
      <c r="P970">
        <v>0</v>
      </c>
      <c r="Q970">
        <v>0</v>
      </c>
      <c r="S970">
        <v>0</v>
      </c>
      <c r="T970">
        <v>0</v>
      </c>
      <c r="U970">
        <v>0</v>
      </c>
      <c r="W970" t="s">
        <v>52</v>
      </c>
    </row>
    <row r="971" spans="1:23" x14ac:dyDescent="0.35">
      <c r="A971" t="s">
        <v>45</v>
      </c>
      <c r="B971" t="s">
        <v>2006</v>
      </c>
      <c r="C971" t="s">
        <v>47</v>
      </c>
      <c r="D971" t="s">
        <v>68</v>
      </c>
      <c r="E971" t="s">
        <v>68</v>
      </c>
      <c r="F971" t="s">
        <v>49</v>
      </c>
      <c r="G971" t="s">
        <v>253</v>
      </c>
      <c r="H971" t="s">
        <v>2053</v>
      </c>
      <c r="J971" t="str">
        <f>HYPERLINK("https://www.youtube.com/watch?v=Sw8taVwDscg&amp;lc=Ugw6NiosA0nxeQZnYEJ4AaABAg.A0iF7ZSUd0tA0l1yJ7p-RA","https://www.youtube.com/watch?v=Sw8taVwDscg&amp;lc=Ugw6NiosA0nxeQZnYEJ4AaABAg.A0iF7ZSUd0tA0l1yJ7p-RA")</f>
        <v>https://www.youtube.com/watch?v=Sw8taVwDscg&amp;lc=Ugw6NiosA0nxeQZnYEJ4AaABAg.A0iF7ZSUd0tA0l1yJ7p-RA</v>
      </c>
      <c r="O971">
        <v>0</v>
      </c>
      <c r="P971">
        <v>0</v>
      </c>
      <c r="Q971">
        <v>0</v>
      </c>
      <c r="S971">
        <v>0</v>
      </c>
      <c r="T971">
        <v>0</v>
      </c>
      <c r="U971">
        <v>0</v>
      </c>
      <c r="W971" t="s">
        <v>52</v>
      </c>
    </row>
    <row r="972" spans="1:23" x14ac:dyDescent="0.35">
      <c r="A972" t="s">
        <v>45</v>
      </c>
      <c r="B972" t="s">
        <v>2006</v>
      </c>
      <c r="C972" t="s">
        <v>60</v>
      </c>
      <c r="D972" t="s">
        <v>61</v>
      </c>
      <c r="E972" t="s">
        <v>61</v>
      </c>
      <c r="F972" t="s">
        <v>49</v>
      </c>
      <c r="G972" t="s">
        <v>2054</v>
      </c>
      <c r="H972" t="s">
        <v>2055</v>
      </c>
      <c r="J972" t="str">
        <f>HYPERLINK("https://www.facebook.com/634639855377280/posts/802946451879952?comment_id=715613107395342","https://www.facebook.com/634639855377280/posts/802946451879952?comment_id=715613107395342")</f>
        <v>https://www.facebook.com/634639855377280/posts/802946451879952?comment_id=715613107395342</v>
      </c>
      <c r="O972">
        <v>0</v>
      </c>
      <c r="P972">
        <v>0</v>
      </c>
      <c r="Q972">
        <v>0</v>
      </c>
      <c r="S972">
        <v>0</v>
      </c>
      <c r="T972">
        <v>0</v>
      </c>
      <c r="U972">
        <v>0</v>
      </c>
      <c r="W972" t="s">
        <v>52</v>
      </c>
    </row>
    <row r="973" spans="1:23" x14ac:dyDescent="0.35">
      <c r="A973" t="s">
        <v>45</v>
      </c>
      <c r="B973" t="s">
        <v>2006</v>
      </c>
      <c r="C973" t="s">
        <v>47</v>
      </c>
      <c r="D973" t="s">
        <v>2056</v>
      </c>
      <c r="E973" t="s">
        <v>2056</v>
      </c>
      <c r="F973" t="s">
        <v>49</v>
      </c>
      <c r="G973" t="s">
        <v>2057</v>
      </c>
      <c r="H973" t="s">
        <v>2058</v>
      </c>
      <c r="J973" t="str">
        <f>HYPERLINK("https://www.youtube.com/watch?v=Sw8taVwDscg&amp;lc=Ugw6NiosA0nxeQZnYEJ4AaABAg.A0iF7ZSUd0tA0kyvkIzJLZ","https://www.youtube.com/watch?v=Sw8taVwDscg&amp;lc=Ugw6NiosA0nxeQZnYEJ4AaABAg.A0iF7ZSUd0tA0kyvkIzJLZ")</f>
        <v>https://www.youtube.com/watch?v=Sw8taVwDscg&amp;lc=Ugw6NiosA0nxeQZnYEJ4AaABAg.A0iF7ZSUd0tA0kyvkIzJLZ</v>
      </c>
      <c r="O973">
        <v>0</v>
      </c>
      <c r="P973">
        <v>0</v>
      </c>
      <c r="Q973">
        <v>0</v>
      </c>
      <c r="S973">
        <v>0</v>
      </c>
      <c r="T973">
        <v>0</v>
      </c>
      <c r="U973">
        <v>0</v>
      </c>
      <c r="W973" t="s">
        <v>52</v>
      </c>
    </row>
    <row r="974" spans="1:23" x14ac:dyDescent="0.35">
      <c r="A974" t="s">
        <v>45</v>
      </c>
      <c r="B974" t="s">
        <v>2006</v>
      </c>
      <c r="C974" t="s">
        <v>47</v>
      </c>
      <c r="D974" t="s">
        <v>68</v>
      </c>
      <c r="E974" t="s">
        <v>68</v>
      </c>
      <c r="F974" t="s">
        <v>49</v>
      </c>
      <c r="G974" t="s">
        <v>280</v>
      </c>
      <c r="H974" t="s">
        <v>2059</v>
      </c>
      <c r="J974" t="str">
        <f>HYPERLINK("https://www.youtube.com/watch?v=-JmhdqYQjqw&amp;lc=UgzivDmswaaF1ICNXj94AaABAg.A0i3QRrJGUjA0kvpMP1Mfa","https://www.youtube.com/watch?v=-JmhdqYQjqw&amp;lc=UgzivDmswaaF1ICNXj94AaABAg.A0i3QRrJGUjA0kvpMP1Mfa")</f>
        <v>https://www.youtube.com/watch?v=-JmhdqYQjqw&amp;lc=UgzivDmswaaF1ICNXj94AaABAg.A0i3QRrJGUjA0kvpMP1Mfa</v>
      </c>
      <c r="O974">
        <v>0</v>
      </c>
      <c r="P974">
        <v>0</v>
      </c>
      <c r="Q974">
        <v>0</v>
      </c>
      <c r="S974">
        <v>0</v>
      </c>
      <c r="T974">
        <v>0</v>
      </c>
      <c r="U974">
        <v>0</v>
      </c>
      <c r="W974" t="s">
        <v>52</v>
      </c>
    </row>
    <row r="975" spans="1:23" x14ac:dyDescent="0.35">
      <c r="A975" t="s">
        <v>45</v>
      </c>
      <c r="B975" t="s">
        <v>2006</v>
      </c>
      <c r="C975" t="s">
        <v>47</v>
      </c>
      <c r="D975" t="s">
        <v>68</v>
      </c>
      <c r="E975" t="s">
        <v>68</v>
      </c>
      <c r="F975" t="s">
        <v>49</v>
      </c>
      <c r="G975" t="s">
        <v>102</v>
      </c>
      <c r="H975" t="s">
        <v>2060</v>
      </c>
      <c r="J975" t="str">
        <f>HYPERLINK("https://www.youtube.com/watch?v=YQSdpP96l0U&amp;lc=Ugx5ZF5Cl5pByoXpV494AaABAg.A0i-bs_ZDOCA0kvlOBv8Cp","https://www.youtube.com/watch?v=YQSdpP96l0U&amp;lc=Ugx5ZF5Cl5pByoXpV494AaABAg.A0i-bs_ZDOCA0kvlOBv8Cp")</f>
        <v>https://www.youtube.com/watch?v=YQSdpP96l0U&amp;lc=Ugx5ZF5Cl5pByoXpV494AaABAg.A0i-bs_ZDOCA0kvlOBv8Cp</v>
      </c>
      <c r="O975">
        <v>0</v>
      </c>
      <c r="P975">
        <v>0</v>
      </c>
      <c r="Q975">
        <v>0</v>
      </c>
      <c r="S975">
        <v>0</v>
      </c>
      <c r="T975">
        <v>0</v>
      </c>
      <c r="U975">
        <v>0</v>
      </c>
      <c r="W975" t="s">
        <v>52</v>
      </c>
    </row>
    <row r="976" spans="1:23" x14ac:dyDescent="0.35">
      <c r="A976" t="s">
        <v>45</v>
      </c>
      <c r="B976" t="s">
        <v>2006</v>
      </c>
      <c r="C976" t="s">
        <v>47</v>
      </c>
      <c r="D976" t="s">
        <v>68</v>
      </c>
      <c r="E976" t="s">
        <v>68</v>
      </c>
      <c r="F976" t="s">
        <v>49</v>
      </c>
      <c r="G976" t="s">
        <v>102</v>
      </c>
      <c r="H976" t="s">
        <v>2061</v>
      </c>
      <c r="J976" t="str">
        <f>HYPERLINK("https://www.youtube.com/watch?v=Sw8taVwDscg&amp;lc=Ugw6NiosA0nxeQZnYEJ4AaABAg.A0iF7ZSUd0tA0kvQtxuCFf","https://www.youtube.com/watch?v=Sw8taVwDscg&amp;lc=Ugw6NiosA0nxeQZnYEJ4AaABAg.A0iF7ZSUd0tA0kvQtxuCFf")</f>
        <v>https://www.youtube.com/watch?v=Sw8taVwDscg&amp;lc=Ugw6NiosA0nxeQZnYEJ4AaABAg.A0iF7ZSUd0tA0kvQtxuCFf</v>
      </c>
      <c r="O976">
        <v>0</v>
      </c>
      <c r="P976">
        <v>0</v>
      </c>
      <c r="Q976">
        <v>0</v>
      </c>
      <c r="S976">
        <v>0</v>
      </c>
      <c r="T976">
        <v>0</v>
      </c>
      <c r="U976">
        <v>0</v>
      </c>
      <c r="W976" t="s">
        <v>52</v>
      </c>
    </row>
    <row r="977" spans="1:23" x14ac:dyDescent="0.35">
      <c r="A977" t="s">
        <v>45</v>
      </c>
      <c r="B977" t="s">
        <v>2006</v>
      </c>
      <c r="C977" t="s">
        <v>47</v>
      </c>
      <c r="D977" t="s">
        <v>68</v>
      </c>
      <c r="E977" t="s">
        <v>68</v>
      </c>
      <c r="F977" t="s">
        <v>49</v>
      </c>
      <c r="G977" t="s">
        <v>102</v>
      </c>
      <c r="H977" t="s">
        <v>2062</v>
      </c>
      <c r="J977" t="str">
        <f>HYPERLINK("https://www.youtube.com/watch?v=lgTr6XT0s8g&amp;lc=Ugybpeg9eQIrM6KwKoJ4AaABAg.A0iiA4t7tuKA0kuuzQ7alF","https://www.youtube.com/watch?v=lgTr6XT0s8g&amp;lc=Ugybpeg9eQIrM6KwKoJ4AaABAg.A0iiA4t7tuKA0kuuzQ7alF")</f>
        <v>https://www.youtube.com/watch?v=lgTr6XT0s8g&amp;lc=Ugybpeg9eQIrM6KwKoJ4AaABAg.A0iiA4t7tuKA0kuuzQ7alF</v>
      </c>
      <c r="O977">
        <v>0</v>
      </c>
      <c r="P977">
        <v>0</v>
      </c>
      <c r="Q977">
        <v>0</v>
      </c>
      <c r="S977">
        <v>0</v>
      </c>
      <c r="T977">
        <v>0</v>
      </c>
      <c r="U977">
        <v>0</v>
      </c>
      <c r="W977" t="s">
        <v>52</v>
      </c>
    </row>
    <row r="978" spans="1:23" x14ac:dyDescent="0.35">
      <c r="A978" t="s">
        <v>45</v>
      </c>
      <c r="B978" t="s">
        <v>2006</v>
      </c>
      <c r="C978" t="s">
        <v>47</v>
      </c>
      <c r="D978" t="s">
        <v>2063</v>
      </c>
      <c r="E978" t="s">
        <v>2063</v>
      </c>
      <c r="F978" t="s">
        <v>49</v>
      </c>
      <c r="G978" t="s">
        <v>2064</v>
      </c>
      <c r="H978" t="s">
        <v>2065</v>
      </c>
      <c r="J978" t="str">
        <f>HYPERLINK("https://www.youtube.com/watch?v=-JmhdqYQjqw&amp;lc=UgxNLu_AwX1v4oLvERl4AaABAg.A0i_Uq-I37cA0kuuQ_opT4","https://www.youtube.com/watch?v=-JmhdqYQjqw&amp;lc=UgxNLu_AwX1v4oLvERl4AaABAg.A0i_Uq-I37cA0kuuQ_opT4")</f>
        <v>https://www.youtube.com/watch?v=-JmhdqYQjqw&amp;lc=UgxNLu_AwX1v4oLvERl4AaABAg.A0i_Uq-I37cA0kuuQ_opT4</v>
      </c>
      <c r="O978">
        <v>0</v>
      </c>
      <c r="P978">
        <v>0</v>
      </c>
      <c r="Q978">
        <v>0</v>
      </c>
      <c r="S978">
        <v>0</v>
      </c>
      <c r="T978">
        <v>0</v>
      </c>
      <c r="U978">
        <v>0</v>
      </c>
      <c r="W978" t="s">
        <v>52</v>
      </c>
    </row>
    <row r="979" spans="1:23" x14ac:dyDescent="0.35">
      <c r="A979" t="s">
        <v>45</v>
      </c>
      <c r="B979" t="s">
        <v>2006</v>
      </c>
      <c r="C979" t="s">
        <v>47</v>
      </c>
      <c r="D979" t="s">
        <v>68</v>
      </c>
      <c r="E979" t="s">
        <v>68</v>
      </c>
      <c r="F979" t="s">
        <v>49</v>
      </c>
      <c r="G979" t="s">
        <v>164</v>
      </c>
      <c r="H979" t="s">
        <v>2066</v>
      </c>
      <c r="J979" t="str">
        <f>HYPERLINK("https://www.youtube.com/watch?v=lgTr6XT0s8g&amp;lc=UgwDdqniHaiwNLXjRkN4AaABAg.A0iiNOxnla7A0kurAacUl3","https://www.youtube.com/watch?v=lgTr6XT0s8g&amp;lc=UgwDdqniHaiwNLXjRkN4AaABAg.A0iiNOxnla7A0kurAacUl3")</f>
        <v>https://www.youtube.com/watch?v=lgTr6XT0s8g&amp;lc=UgwDdqniHaiwNLXjRkN4AaABAg.A0iiNOxnla7A0kurAacUl3</v>
      </c>
      <c r="O979">
        <v>0</v>
      </c>
      <c r="P979">
        <v>0</v>
      </c>
      <c r="Q979">
        <v>0</v>
      </c>
      <c r="S979">
        <v>0</v>
      </c>
      <c r="T979">
        <v>0</v>
      </c>
      <c r="U979">
        <v>0</v>
      </c>
      <c r="W979" t="s">
        <v>52</v>
      </c>
    </row>
    <row r="980" spans="1:23" x14ac:dyDescent="0.35">
      <c r="A980" t="s">
        <v>45</v>
      </c>
      <c r="B980" t="s">
        <v>2006</v>
      </c>
      <c r="C980" t="s">
        <v>47</v>
      </c>
      <c r="D980" t="s">
        <v>1016</v>
      </c>
      <c r="E980" t="s">
        <v>1016</v>
      </c>
      <c r="F980" t="s">
        <v>49</v>
      </c>
      <c r="G980" t="s">
        <v>2067</v>
      </c>
      <c r="H980" t="s">
        <v>2068</v>
      </c>
      <c r="J980" t="str">
        <f>HYPERLINK("https://www.youtube.com/watch?v=lgTr6XT0s8g&amp;lc=Ugx4OSwbcpH0VXCuDSZ4AaABAg.A0isRKGqc_cA0kubvdd1fY","https://www.youtube.com/watch?v=lgTr6XT0s8g&amp;lc=Ugx4OSwbcpH0VXCuDSZ4AaABAg.A0isRKGqc_cA0kubvdd1fY")</f>
        <v>https://www.youtube.com/watch?v=lgTr6XT0s8g&amp;lc=Ugx4OSwbcpH0VXCuDSZ4AaABAg.A0isRKGqc_cA0kubvdd1fY</v>
      </c>
      <c r="O980">
        <v>0</v>
      </c>
      <c r="P980">
        <v>0</v>
      </c>
      <c r="Q980">
        <v>0</v>
      </c>
      <c r="S980">
        <v>0</v>
      </c>
      <c r="T980">
        <v>0</v>
      </c>
      <c r="U980">
        <v>0</v>
      </c>
      <c r="W980" t="s">
        <v>52</v>
      </c>
    </row>
    <row r="981" spans="1:23" x14ac:dyDescent="0.35">
      <c r="A981" t="s">
        <v>45</v>
      </c>
      <c r="B981" t="s">
        <v>2006</v>
      </c>
      <c r="C981" t="s">
        <v>47</v>
      </c>
      <c r="D981" t="s">
        <v>68</v>
      </c>
      <c r="E981" t="s">
        <v>68</v>
      </c>
      <c r="F981" t="s">
        <v>49</v>
      </c>
      <c r="G981" t="s">
        <v>253</v>
      </c>
      <c r="H981" t="s">
        <v>2069</v>
      </c>
      <c r="J981" t="str">
        <f>HYPERLINK("https://www.youtube.com/watch?v=-JmhdqYQjqw&amp;lc=UgxNLu_AwX1v4oLvERl4AaABAg.A0i_Uq-I37cA0kuKCrD6qr","https://www.youtube.com/watch?v=-JmhdqYQjqw&amp;lc=UgxNLu_AwX1v4oLvERl4AaABAg.A0i_Uq-I37cA0kuKCrD6qr")</f>
        <v>https://www.youtube.com/watch?v=-JmhdqYQjqw&amp;lc=UgxNLu_AwX1v4oLvERl4AaABAg.A0i_Uq-I37cA0kuKCrD6qr</v>
      </c>
      <c r="O981">
        <v>0</v>
      </c>
      <c r="P981">
        <v>0</v>
      </c>
      <c r="Q981">
        <v>0</v>
      </c>
      <c r="S981">
        <v>0</v>
      </c>
      <c r="T981">
        <v>0</v>
      </c>
      <c r="U981">
        <v>0</v>
      </c>
      <c r="W981" t="s">
        <v>52</v>
      </c>
    </row>
    <row r="982" spans="1:23" x14ac:dyDescent="0.35">
      <c r="A982" t="s">
        <v>45</v>
      </c>
      <c r="B982" t="s">
        <v>2006</v>
      </c>
      <c r="C982" t="s">
        <v>47</v>
      </c>
      <c r="D982" t="s">
        <v>68</v>
      </c>
      <c r="E982" t="s">
        <v>68</v>
      </c>
      <c r="F982" t="s">
        <v>49</v>
      </c>
      <c r="G982" t="s">
        <v>492</v>
      </c>
      <c r="H982" t="s">
        <v>2070</v>
      </c>
      <c r="J982" t="str">
        <f>HYPERLINK("https://www.youtube.com/watch?v=7N6n0nCAmV8&amp;lc=UgxB97MmvIqez_ssVVR4AaABAg.A0irUQJre7uA0ktMyoLT9o","https://www.youtube.com/watch?v=7N6n0nCAmV8&amp;lc=UgxB97MmvIqez_ssVVR4AaABAg.A0irUQJre7uA0ktMyoLT9o")</f>
        <v>https://www.youtube.com/watch?v=7N6n0nCAmV8&amp;lc=UgxB97MmvIqez_ssVVR4AaABAg.A0irUQJre7uA0ktMyoLT9o</v>
      </c>
      <c r="O982">
        <v>0</v>
      </c>
      <c r="P982">
        <v>0</v>
      </c>
      <c r="Q982">
        <v>0</v>
      </c>
      <c r="S982">
        <v>0</v>
      </c>
      <c r="T982">
        <v>0</v>
      </c>
      <c r="U982">
        <v>0</v>
      </c>
      <c r="W982" t="s">
        <v>52</v>
      </c>
    </row>
    <row r="983" spans="1:23" x14ac:dyDescent="0.35">
      <c r="A983" t="s">
        <v>45</v>
      </c>
      <c r="B983" t="s">
        <v>2006</v>
      </c>
      <c r="C983" t="s">
        <v>47</v>
      </c>
      <c r="D983" t="s">
        <v>68</v>
      </c>
      <c r="E983" t="s">
        <v>68</v>
      </c>
      <c r="F983" t="s">
        <v>49</v>
      </c>
      <c r="G983" t="s">
        <v>102</v>
      </c>
      <c r="H983" t="s">
        <v>2071</v>
      </c>
      <c r="J983" t="str">
        <f>HYPERLINK("https://www.youtube.com/watch?v=lgTr6XT0s8g&amp;lc=Ugx4OSwbcpH0VXCuDSZ4AaABAg.A0isRKGqc_cA0ktHCx-Imr","https://www.youtube.com/watch?v=lgTr6XT0s8g&amp;lc=Ugx4OSwbcpH0VXCuDSZ4AaABAg.A0isRKGqc_cA0ktHCx-Imr")</f>
        <v>https://www.youtube.com/watch?v=lgTr6XT0s8g&amp;lc=Ugx4OSwbcpH0VXCuDSZ4AaABAg.A0isRKGqc_cA0ktHCx-Imr</v>
      </c>
      <c r="O983">
        <v>0</v>
      </c>
      <c r="P983">
        <v>0</v>
      </c>
      <c r="Q983">
        <v>0</v>
      </c>
      <c r="S983">
        <v>0</v>
      </c>
      <c r="T983">
        <v>0</v>
      </c>
      <c r="U983">
        <v>0</v>
      </c>
      <c r="W983" t="s">
        <v>52</v>
      </c>
    </row>
    <row r="984" spans="1:23" x14ac:dyDescent="0.35">
      <c r="A984" t="s">
        <v>45</v>
      </c>
      <c r="B984" t="s">
        <v>2006</v>
      </c>
      <c r="C984" t="s">
        <v>47</v>
      </c>
      <c r="D984" t="s">
        <v>68</v>
      </c>
      <c r="E984" t="s">
        <v>68</v>
      </c>
      <c r="F984" t="s">
        <v>49</v>
      </c>
      <c r="G984" t="s">
        <v>102</v>
      </c>
      <c r="H984" t="s">
        <v>2072</v>
      </c>
      <c r="J984" t="str">
        <f>HYPERLINK("https://www.youtube.com/watch?v=LDfg0un_-5c&amp;lc=Ugw0-U9cpmxLnxsoovx4AaABAg.A0irTl95b57A0kt8HLBbti","https://www.youtube.com/watch?v=LDfg0un_-5c&amp;lc=Ugw0-U9cpmxLnxsoovx4AaABAg.A0irTl95b57A0kt8HLBbti")</f>
        <v>https://www.youtube.com/watch?v=LDfg0un_-5c&amp;lc=Ugw0-U9cpmxLnxsoovx4AaABAg.A0irTl95b57A0kt8HLBbti</v>
      </c>
      <c r="O984">
        <v>0</v>
      </c>
      <c r="P984">
        <v>0</v>
      </c>
      <c r="Q984">
        <v>0</v>
      </c>
      <c r="S984">
        <v>0</v>
      </c>
      <c r="T984">
        <v>0</v>
      </c>
      <c r="U984">
        <v>0</v>
      </c>
      <c r="W984" t="s">
        <v>52</v>
      </c>
    </row>
    <row r="985" spans="1:23" x14ac:dyDescent="0.35">
      <c r="A985" t="s">
        <v>45</v>
      </c>
      <c r="B985" t="s">
        <v>2006</v>
      </c>
      <c r="C985" t="s">
        <v>47</v>
      </c>
      <c r="D985" t="s">
        <v>2073</v>
      </c>
      <c r="E985" t="s">
        <v>2073</v>
      </c>
      <c r="F985" t="s">
        <v>49</v>
      </c>
      <c r="G985" t="s">
        <v>2074</v>
      </c>
      <c r="H985" t="s">
        <v>2075</v>
      </c>
      <c r="J985" t="str">
        <f>HYPERLINK("https://www.youtube.com/watch?v=KRT5g20Nqy8&amp;lc=UgzfJKl2C6UBuLP_TTV4AaABAg","https://www.youtube.com/watch?v=KRT5g20Nqy8&amp;lc=UgzfJKl2C6UBuLP_TTV4AaABAg")</f>
        <v>https://www.youtube.com/watch?v=KRT5g20Nqy8&amp;lc=UgzfJKl2C6UBuLP_TTV4AaABAg</v>
      </c>
      <c r="O985">
        <v>0</v>
      </c>
      <c r="P985">
        <v>0</v>
      </c>
      <c r="Q985">
        <v>0</v>
      </c>
      <c r="S985">
        <v>0</v>
      </c>
      <c r="T985">
        <v>0</v>
      </c>
      <c r="U985">
        <v>0</v>
      </c>
      <c r="W985" t="s">
        <v>52</v>
      </c>
    </row>
    <row r="986" spans="1:23" x14ac:dyDescent="0.35">
      <c r="A986" t="s">
        <v>45</v>
      </c>
      <c r="B986" t="s">
        <v>2006</v>
      </c>
      <c r="C986" t="s">
        <v>47</v>
      </c>
      <c r="D986" t="s">
        <v>68</v>
      </c>
      <c r="E986" t="s">
        <v>68</v>
      </c>
      <c r="F986" t="s">
        <v>49</v>
      </c>
      <c r="G986" t="s">
        <v>102</v>
      </c>
      <c r="H986" t="s">
        <v>2076</v>
      </c>
      <c r="J986" t="str">
        <f>HYPERLINK("https://www.youtube.com/watch?v=lgTr6XT0s8g&amp;lc=Ugy66UIOwEbYo8dZ8EB4AaABAg.A0j-zNrCAlgA0kT4Y0uLGS","https://www.youtube.com/watch?v=lgTr6XT0s8g&amp;lc=Ugy66UIOwEbYo8dZ8EB4AaABAg.A0j-zNrCAlgA0kT4Y0uLGS")</f>
        <v>https://www.youtube.com/watch?v=lgTr6XT0s8g&amp;lc=Ugy66UIOwEbYo8dZ8EB4AaABAg.A0j-zNrCAlgA0kT4Y0uLGS</v>
      </c>
      <c r="O986">
        <v>0</v>
      </c>
      <c r="P986">
        <v>0</v>
      </c>
      <c r="Q986">
        <v>0</v>
      </c>
      <c r="S986">
        <v>0</v>
      </c>
      <c r="T986">
        <v>0</v>
      </c>
      <c r="U986">
        <v>0</v>
      </c>
      <c r="W986" t="s">
        <v>52</v>
      </c>
    </row>
    <row r="987" spans="1:23" x14ac:dyDescent="0.35">
      <c r="A987" t="s">
        <v>45</v>
      </c>
      <c r="B987" t="s">
        <v>2006</v>
      </c>
      <c r="C987" t="s">
        <v>60</v>
      </c>
      <c r="D987" t="s">
        <v>61</v>
      </c>
      <c r="E987" t="s">
        <v>61</v>
      </c>
      <c r="F987" t="s">
        <v>54</v>
      </c>
      <c r="G987" t="s">
        <v>680</v>
      </c>
      <c r="H987" t="s">
        <v>2077</v>
      </c>
      <c r="J987" t="str">
        <f>HYPERLINK("https://www.facebook.com/634639855377280/posts/804767641697833?comment_id=283635051429894","https://www.facebook.com/634639855377280/posts/804767641697833?comment_id=283635051429894")</f>
        <v>https://www.facebook.com/634639855377280/posts/804767641697833?comment_id=283635051429894</v>
      </c>
      <c r="O987">
        <v>0</v>
      </c>
      <c r="P987">
        <v>0</v>
      </c>
      <c r="Q987">
        <v>0</v>
      </c>
      <c r="S987">
        <v>0</v>
      </c>
      <c r="T987">
        <v>0</v>
      </c>
      <c r="U987">
        <v>0</v>
      </c>
      <c r="W987" t="s">
        <v>52</v>
      </c>
    </row>
    <row r="988" spans="1:23" x14ac:dyDescent="0.35">
      <c r="A988" t="s">
        <v>45</v>
      </c>
      <c r="B988" t="s">
        <v>2006</v>
      </c>
      <c r="C988" t="s">
        <v>60</v>
      </c>
      <c r="D988" t="s">
        <v>61</v>
      </c>
      <c r="E988" t="s">
        <v>61</v>
      </c>
      <c r="F988" t="s">
        <v>49</v>
      </c>
      <c r="H988" t="s">
        <v>2078</v>
      </c>
      <c r="J988" t="str">
        <f>HYPERLINK("https://www.facebook.com/634639855377280/posts/804767641697833?comment_id=25838846379035805","https://www.facebook.com/634639855377280/posts/804767641697833?comment_id=25838846379035805")</f>
        <v>https://www.facebook.com/634639855377280/posts/804767641697833?comment_id=25838846379035805</v>
      </c>
      <c r="O988">
        <v>0</v>
      </c>
      <c r="P988">
        <v>0</v>
      </c>
      <c r="Q988">
        <v>0</v>
      </c>
      <c r="S988">
        <v>0</v>
      </c>
      <c r="T988">
        <v>0</v>
      </c>
      <c r="U988">
        <v>0</v>
      </c>
      <c r="W988" t="s">
        <v>52</v>
      </c>
    </row>
    <row r="989" spans="1:23" x14ac:dyDescent="0.35">
      <c r="A989" t="s">
        <v>45</v>
      </c>
      <c r="B989" t="s">
        <v>2006</v>
      </c>
      <c r="C989" t="s">
        <v>47</v>
      </c>
      <c r="D989" t="s">
        <v>2079</v>
      </c>
      <c r="E989" t="s">
        <v>2079</v>
      </c>
      <c r="F989" t="s">
        <v>49</v>
      </c>
      <c r="G989" t="s">
        <v>2080</v>
      </c>
      <c r="H989" t="s">
        <v>2081</v>
      </c>
      <c r="J989" t="str">
        <f>HYPERLINK("https://www.youtube.com/watch?v=vryirakqo_4&amp;lc=UgxswftyW2QcPXAQl6F4AaABAg","https://www.youtube.com/watch?v=vryirakqo_4&amp;lc=UgxswftyW2QcPXAQl6F4AaABAg")</f>
        <v>https://www.youtube.com/watch?v=vryirakqo_4&amp;lc=UgxswftyW2QcPXAQl6F4AaABAg</v>
      </c>
      <c r="O989">
        <v>0</v>
      </c>
      <c r="P989">
        <v>0</v>
      </c>
      <c r="Q989">
        <v>0</v>
      </c>
      <c r="S989">
        <v>0</v>
      </c>
      <c r="T989">
        <v>0</v>
      </c>
      <c r="U989">
        <v>0</v>
      </c>
      <c r="W989" t="s">
        <v>52</v>
      </c>
    </row>
    <row r="990" spans="1:23" x14ac:dyDescent="0.35">
      <c r="A990" t="s">
        <v>45</v>
      </c>
      <c r="B990" t="s">
        <v>2006</v>
      </c>
      <c r="C990" t="s">
        <v>60</v>
      </c>
      <c r="D990" t="s">
        <v>61</v>
      </c>
      <c r="E990" t="s">
        <v>61</v>
      </c>
      <c r="F990" t="s">
        <v>49</v>
      </c>
      <c r="H990" t="s">
        <v>2082</v>
      </c>
      <c r="J990" t="str">
        <f>HYPERLINK("https://www.facebook.com/634639855377280/posts/804230455084885?comment_id=1097218408189504","https://www.facebook.com/634639855377280/posts/804230455084885?comment_id=1097218408189504")</f>
        <v>https://www.facebook.com/634639855377280/posts/804230455084885?comment_id=1097218408189504</v>
      </c>
      <c r="O990">
        <v>0</v>
      </c>
      <c r="P990">
        <v>0</v>
      </c>
      <c r="Q990">
        <v>0</v>
      </c>
      <c r="S990">
        <v>0</v>
      </c>
      <c r="T990">
        <v>0</v>
      </c>
      <c r="U990">
        <v>0</v>
      </c>
      <c r="W990" t="s">
        <v>52</v>
      </c>
    </row>
    <row r="991" spans="1:23" x14ac:dyDescent="0.35">
      <c r="A991" t="s">
        <v>45</v>
      </c>
      <c r="B991" t="s">
        <v>2006</v>
      </c>
      <c r="C991" t="s">
        <v>60</v>
      </c>
      <c r="D991" t="s">
        <v>61</v>
      </c>
      <c r="E991" t="s">
        <v>61</v>
      </c>
      <c r="F991" t="s">
        <v>49</v>
      </c>
      <c r="G991" t="s">
        <v>2083</v>
      </c>
      <c r="H991" t="s">
        <v>2084</v>
      </c>
      <c r="J991" t="str">
        <f>HYPERLINK("https://www.facebook.com/634639855377280/posts/804767641697833?comment_id=729039569342809","https://www.facebook.com/634639855377280/posts/804767641697833?comment_id=729039569342809")</f>
        <v>https://www.facebook.com/634639855377280/posts/804767641697833?comment_id=729039569342809</v>
      </c>
      <c r="O991">
        <v>0</v>
      </c>
      <c r="P991">
        <v>0</v>
      </c>
      <c r="Q991">
        <v>0</v>
      </c>
      <c r="S991">
        <v>0</v>
      </c>
      <c r="T991">
        <v>0</v>
      </c>
      <c r="U991">
        <v>0</v>
      </c>
      <c r="W991" t="s">
        <v>52</v>
      </c>
    </row>
    <row r="992" spans="1:23" x14ac:dyDescent="0.35">
      <c r="A992" t="s">
        <v>45</v>
      </c>
      <c r="B992" t="s">
        <v>2006</v>
      </c>
      <c r="C992" t="s">
        <v>60</v>
      </c>
      <c r="D992" t="s">
        <v>61</v>
      </c>
      <c r="E992" t="s">
        <v>61</v>
      </c>
      <c r="F992" t="s">
        <v>49</v>
      </c>
      <c r="G992" t="s">
        <v>2085</v>
      </c>
      <c r="H992" t="s">
        <v>2086</v>
      </c>
      <c r="J992" t="str">
        <f>HYPERLINK("https://www.facebook.com/634639855377280/posts/804939111680686?comment_id=1616938775717393","https://www.facebook.com/634639855377280/posts/804939111680686?comment_id=1616938775717393")</f>
        <v>https://www.facebook.com/634639855377280/posts/804939111680686?comment_id=1616938775717393</v>
      </c>
      <c r="O992">
        <v>0</v>
      </c>
      <c r="P992">
        <v>0</v>
      </c>
      <c r="Q992">
        <v>0</v>
      </c>
      <c r="S992">
        <v>0</v>
      </c>
      <c r="T992">
        <v>0</v>
      </c>
      <c r="U992">
        <v>0</v>
      </c>
      <c r="W992" t="s">
        <v>52</v>
      </c>
    </row>
    <row r="993" spans="1:23" x14ac:dyDescent="0.35">
      <c r="A993" t="s">
        <v>45</v>
      </c>
      <c r="B993" t="s">
        <v>2087</v>
      </c>
      <c r="C993" t="s">
        <v>93</v>
      </c>
      <c r="D993" t="s">
        <v>2088</v>
      </c>
      <c r="E993" t="s">
        <v>2089</v>
      </c>
      <c r="F993" t="s">
        <v>49</v>
      </c>
      <c r="G993" t="s">
        <v>2090</v>
      </c>
      <c r="H993" t="s">
        <v>2091</v>
      </c>
      <c r="J993" t="str">
        <f>HYPERLINK("https://twitter.com/Arbaj956518/status/1766159421238030559","https://twitter.com/Arbaj956518/status/1766159421238030559")</f>
        <v>https://twitter.com/Arbaj956518/status/1766159421238030559</v>
      </c>
      <c r="K993" t="s">
        <v>67</v>
      </c>
      <c r="O993">
        <v>0</v>
      </c>
      <c r="P993">
        <v>0</v>
      </c>
      <c r="Q993">
        <v>0</v>
      </c>
      <c r="S993">
        <v>0</v>
      </c>
      <c r="T993">
        <v>0</v>
      </c>
      <c r="U993">
        <v>0</v>
      </c>
      <c r="W993" t="s">
        <v>99</v>
      </c>
    </row>
    <row r="994" spans="1:23" x14ac:dyDescent="0.35">
      <c r="A994" t="s">
        <v>45</v>
      </c>
      <c r="B994" t="s">
        <v>2087</v>
      </c>
      <c r="C994" t="s">
        <v>60</v>
      </c>
      <c r="D994" t="s">
        <v>61</v>
      </c>
      <c r="E994" t="s">
        <v>61</v>
      </c>
      <c r="F994" t="s">
        <v>49</v>
      </c>
      <c r="G994" t="s">
        <v>2092</v>
      </c>
      <c r="H994" t="s">
        <v>2093</v>
      </c>
      <c r="J994" t="str">
        <f>HYPERLINK("https://www.facebook.com/634639855377280/posts/804767641697833?comment_id=1464699277810004","https://www.facebook.com/634639855377280/posts/804767641697833?comment_id=1464699277810004")</f>
        <v>https://www.facebook.com/634639855377280/posts/804767641697833?comment_id=1464699277810004</v>
      </c>
      <c r="O994">
        <v>0</v>
      </c>
      <c r="P994">
        <v>0</v>
      </c>
      <c r="Q994">
        <v>0</v>
      </c>
      <c r="S994">
        <v>0</v>
      </c>
      <c r="T994">
        <v>0</v>
      </c>
      <c r="U994">
        <v>0</v>
      </c>
      <c r="W994" t="s">
        <v>52</v>
      </c>
    </row>
    <row r="995" spans="1:23" x14ac:dyDescent="0.35">
      <c r="A995" t="s">
        <v>45</v>
      </c>
      <c r="B995" t="s">
        <v>2087</v>
      </c>
      <c r="C995" t="s">
        <v>47</v>
      </c>
      <c r="D995" t="s">
        <v>2094</v>
      </c>
      <c r="E995" t="s">
        <v>2094</v>
      </c>
      <c r="F995" t="s">
        <v>49</v>
      </c>
      <c r="G995" t="s">
        <v>2095</v>
      </c>
      <c r="H995" t="s">
        <v>2096</v>
      </c>
      <c r="J995" t="str">
        <f>HYPERLINK("https://www.youtube.com/watch?v=lgTr6XT0s8g&amp;lc=Ugwu3ostSp9KYpE4nol4AaABAg","https://www.youtube.com/watch?v=lgTr6XT0s8g&amp;lc=Ugwu3ostSp9KYpE4nol4AaABAg")</f>
        <v>https://www.youtube.com/watch?v=lgTr6XT0s8g&amp;lc=Ugwu3ostSp9KYpE4nol4AaABAg</v>
      </c>
      <c r="O995">
        <v>0</v>
      </c>
      <c r="P995">
        <v>0</v>
      </c>
      <c r="Q995">
        <v>0</v>
      </c>
      <c r="S995">
        <v>0</v>
      </c>
      <c r="T995">
        <v>0</v>
      </c>
      <c r="U995">
        <v>0</v>
      </c>
      <c r="W995" t="s">
        <v>52</v>
      </c>
    </row>
    <row r="996" spans="1:23" x14ac:dyDescent="0.35">
      <c r="A996" t="s">
        <v>45</v>
      </c>
      <c r="B996" t="s">
        <v>2087</v>
      </c>
      <c r="C996" t="s">
        <v>47</v>
      </c>
      <c r="D996" t="s">
        <v>2094</v>
      </c>
      <c r="E996" t="s">
        <v>2094</v>
      </c>
      <c r="F996" t="s">
        <v>49</v>
      </c>
      <c r="G996" t="s">
        <v>2097</v>
      </c>
      <c r="H996" t="s">
        <v>2098</v>
      </c>
      <c r="J996" t="str">
        <f>HYPERLINK("https://www.youtube.com/watch?v=lgTr6XT0s8g&amp;lc=Ugy66UIOwEbYo8dZ8EB4AaABAg","https://www.youtube.com/watch?v=lgTr6XT0s8g&amp;lc=Ugy66UIOwEbYo8dZ8EB4AaABAg")</f>
        <v>https://www.youtube.com/watch?v=lgTr6XT0s8g&amp;lc=Ugy66UIOwEbYo8dZ8EB4AaABAg</v>
      </c>
      <c r="O996">
        <v>0</v>
      </c>
      <c r="P996">
        <v>0</v>
      </c>
      <c r="Q996">
        <v>0</v>
      </c>
      <c r="S996">
        <v>0</v>
      </c>
      <c r="T996">
        <v>0</v>
      </c>
      <c r="U996">
        <v>0</v>
      </c>
      <c r="W996" t="s">
        <v>52</v>
      </c>
    </row>
    <row r="997" spans="1:23" x14ac:dyDescent="0.35">
      <c r="A997" t="s">
        <v>45</v>
      </c>
      <c r="B997" t="s">
        <v>2087</v>
      </c>
      <c r="C997" t="s">
        <v>47</v>
      </c>
      <c r="D997" t="s">
        <v>2099</v>
      </c>
      <c r="E997" t="s">
        <v>2099</v>
      </c>
      <c r="F997" t="s">
        <v>54</v>
      </c>
      <c r="G997" t="s">
        <v>2100</v>
      </c>
      <c r="H997" t="s">
        <v>2101</v>
      </c>
      <c r="J997" t="str">
        <f>HYPERLINK("https://www.youtube.com/watch?v=LDfg0un_-5c&amp;lc=Ugy_UjTFCGFvIBDkK054AaABAg","https://www.youtube.com/watch?v=LDfg0un_-5c&amp;lc=Ugy_UjTFCGFvIBDkK054AaABAg")</f>
        <v>https://www.youtube.com/watch?v=LDfg0un_-5c&amp;lc=Ugy_UjTFCGFvIBDkK054AaABAg</v>
      </c>
      <c r="O997">
        <v>0</v>
      </c>
      <c r="P997">
        <v>0</v>
      </c>
      <c r="Q997">
        <v>0</v>
      </c>
      <c r="S997">
        <v>0</v>
      </c>
      <c r="T997">
        <v>0</v>
      </c>
      <c r="U997">
        <v>0</v>
      </c>
      <c r="W997" t="s">
        <v>52</v>
      </c>
    </row>
    <row r="998" spans="1:23" x14ac:dyDescent="0.35">
      <c r="A998" t="s">
        <v>45</v>
      </c>
      <c r="B998" t="s">
        <v>2087</v>
      </c>
      <c r="C998" t="s">
        <v>47</v>
      </c>
      <c r="D998" t="s">
        <v>1016</v>
      </c>
      <c r="E998" t="s">
        <v>1016</v>
      </c>
      <c r="F998" t="s">
        <v>49</v>
      </c>
      <c r="G998" t="s">
        <v>2102</v>
      </c>
      <c r="H998" t="s">
        <v>2103</v>
      </c>
      <c r="J998" t="str">
        <f>HYPERLINK("https://www.youtube.com/watch?v=lgTr6XT0s8g&amp;lc=Ugx4OSwbcpH0VXCuDSZ4AaABAg","https://www.youtube.com/watch?v=lgTr6XT0s8g&amp;lc=Ugx4OSwbcpH0VXCuDSZ4AaABAg")</f>
        <v>https://www.youtube.com/watch?v=lgTr6XT0s8g&amp;lc=Ugx4OSwbcpH0VXCuDSZ4AaABAg</v>
      </c>
      <c r="O998">
        <v>0</v>
      </c>
      <c r="P998">
        <v>0</v>
      </c>
      <c r="Q998">
        <v>0</v>
      </c>
      <c r="S998">
        <v>0</v>
      </c>
      <c r="T998">
        <v>0</v>
      </c>
      <c r="U998">
        <v>0</v>
      </c>
      <c r="W998" t="s">
        <v>52</v>
      </c>
    </row>
    <row r="999" spans="1:23" x14ac:dyDescent="0.35">
      <c r="A999" t="s">
        <v>45</v>
      </c>
      <c r="B999" t="s">
        <v>2087</v>
      </c>
      <c r="C999" t="s">
        <v>47</v>
      </c>
      <c r="D999" t="s">
        <v>1016</v>
      </c>
      <c r="E999" t="s">
        <v>1016</v>
      </c>
      <c r="F999" t="s">
        <v>49</v>
      </c>
      <c r="G999" t="s">
        <v>2104</v>
      </c>
      <c r="H999" t="s">
        <v>2105</v>
      </c>
      <c r="J999" t="str">
        <f>HYPERLINK("https://www.youtube.com/watch?v=lgTr6XT0s8g&amp;lc=Ugybpeg9eQIrM6KwKoJ4AaABAg.A0iiA4t7tuKA0irzpt0Rue","https://www.youtube.com/watch?v=lgTr6XT0s8g&amp;lc=Ugybpeg9eQIrM6KwKoJ4AaABAg.A0iiA4t7tuKA0irzpt0Rue")</f>
        <v>https://www.youtube.com/watch?v=lgTr6XT0s8g&amp;lc=Ugybpeg9eQIrM6KwKoJ4AaABAg.A0iiA4t7tuKA0irzpt0Rue</v>
      </c>
      <c r="O999">
        <v>0</v>
      </c>
      <c r="P999">
        <v>0</v>
      </c>
      <c r="Q999">
        <v>0</v>
      </c>
      <c r="S999">
        <v>0</v>
      </c>
      <c r="T999">
        <v>0</v>
      </c>
      <c r="U999">
        <v>0</v>
      </c>
      <c r="W999" t="s">
        <v>52</v>
      </c>
    </row>
    <row r="1000" spans="1:23" x14ac:dyDescent="0.35">
      <c r="A1000" t="s">
        <v>45</v>
      </c>
      <c r="B1000" t="s">
        <v>2087</v>
      </c>
      <c r="C1000" t="s">
        <v>47</v>
      </c>
      <c r="D1000" t="s">
        <v>2106</v>
      </c>
      <c r="E1000" t="s">
        <v>2106</v>
      </c>
      <c r="F1000" t="s">
        <v>49</v>
      </c>
      <c r="G1000" t="s">
        <v>2107</v>
      </c>
      <c r="H1000" t="s">
        <v>2108</v>
      </c>
      <c r="J1000" t="str">
        <f>HYPERLINK("https://www.youtube.com/watch?v=7N6n0nCAmV8&amp;lc=UgxB97MmvIqez_ssVVR4AaABAg","https://www.youtube.com/watch?v=7N6n0nCAmV8&amp;lc=UgxB97MmvIqez_ssVVR4AaABAg")</f>
        <v>https://www.youtube.com/watch?v=7N6n0nCAmV8&amp;lc=UgxB97MmvIqez_ssVVR4AaABAg</v>
      </c>
      <c r="O1000">
        <v>0</v>
      </c>
      <c r="P1000">
        <v>0</v>
      </c>
      <c r="Q1000">
        <v>0</v>
      </c>
      <c r="S1000">
        <v>0</v>
      </c>
      <c r="T1000">
        <v>0</v>
      </c>
      <c r="U1000">
        <v>0</v>
      </c>
      <c r="W1000" t="s">
        <v>52</v>
      </c>
    </row>
    <row r="1001" spans="1:23" x14ac:dyDescent="0.35">
      <c r="A1001" t="s">
        <v>45</v>
      </c>
      <c r="B1001" t="s">
        <v>2087</v>
      </c>
      <c r="C1001" t="s">
        <v>47</v>
      </c>
      <c r="D1001" t="s">
        <v>843</v>
      </c>
      <c r="E1001" t="s">
        <v>843</v>
      </c>
      <c r="F1001" t="s">
        <v>193</v>
      </c>
      <c r="G1001" t="s">
        <v>2109</v>
      </c>
      <c r="H1001" t="s">
        <v>2110</v>
      </c>
      <c r="J1001" t="str">
        <f>HYPERLINK("https://www.youtube.com/watch?v=LDfg0un_-5c&amp;lc=Ugw0-U9cpmxLnxsoovx4AaABAg","https://www.youtube.com/watch?v=LDfg0un_-5c&amp;lc=Ugw0-U9cpmxLnxsoovx4AaABAg")</f>
        <v>https://www.youtube.com/watch?v=LDfg0un_-5c&amp;lc=Ugw0-U9cpmxLnxsoovx4AaABAg</v>
      </c>
      <c r="O1001">
        <v>0</v>
      </c>
      <c r="P1001">
        <v>0</v>
      </c>
      <c r="Q1001">
        <v>0</v>
      </c>
      <c r="S1001">
        <v>0</v>
      </c>
      <c r="T1001">
        <v>0</v>
      </c>
      <c r="U1001">
        <v>0</v>
      </c>
      <c r="W1001" t="s">
        <v>52</v>
      </c>
    </row>
    <row r="1002" spans="1:23" x14ac:dyDescent="0.35">
      <c r="A1002" t="s">
        <v>45</v>
      </c>
      <c r="B1002" t="s">
        <v>2087</v>
      </c>
      <c r="C1002" t="s">
        <v>47</v>
      </c>
      <c r="D1002" t="s">
        <v>843</v>
      </c>
      <c r="E1002" t="s">
        <v>843</v>
      </c>
      <c r="F1002" t="s">
        <v>49</v>
      </c>
      <c r="G1002" t="s">
        <v>2111</v>
      </c>
      <c r="H1002" t="s">
        <v>2112</v>
      </c>
      <c r="J1002" t="str">
        <f>HYPERLINK("https://www.youtube.com/watch?v=LDfg0un_-5c&amp;lc=Ugx9kRqDkO6iOLjP9eh4AaABAg.A0i063NW4tFA0ir0NgB0X4","https://www.youtube.com/watch?v=LDfg0un_-5c&amp;lc=Ugx9kRqDkO6iOLjP9eh4AaABAg.A0i063NW4tFA0ir0NgB0X4")</f>
        <v>https://www.youtube.com/watch?v=LDfg0un_-5c&amp;lc=Ugx9kRqDkO6iOLjP9eh4AaABAg.A0i063NW4tFA0ir0NgB0X4</v>
      </c>
      <c r="O1002">
        <v>0</v>
      </c>
      <c r="P1002">
        <v>0</v>
      </c>
      <c r="Q1002">
        <v>0</v>
      </c>
      <c r="S1002">
        <v>0</v>
      </c>
      <c r="T1002">
        <v>0</v>
      </c>
      <c r="U1002">
        <v>0</v>
      </c>
      <c r="W1002" t="s">
        <v>52</v>
      </c>
    </row>
    <row r="1003" spans="1:23" x14ac:dyDescent="0.35">
      <c r="A1003" t="s">
        <v>45</v>
      </c>
      <c r="B1003" t="s">
        <v>2087</v>
      </c>
      <c r="C1003" t="s">
        <v>93</v>
      </c>
      <c r="D1003" t="s">
        <v>895</v>
      </c>
      <c r="E1003" t="s">
        <v>896</v>
      </c>
      <c r="F1003" t="s">
        <v>49</v>
      </c>
      <c r="G1003" t="s">
        <v>2113</v>
      </c>
      <c r="H1003" t="s">
        <v>2114</v>
      </c>
      <c r="J1003" t="str">
        <f>HYPERLINK("https://twitter.com/ae3095fccc0c483/status/1766096476881686585","https://twitter.com/ae3095fccc0c483/status/1766096476881686585")</f>
        <v>https://twitter.com/ae3095fccc0c483/status/1766096476881686585</v>
      </c>
      <c r="K1003" t="s">
        <v>67</v>
      </c>
      <c r="O1003">
        <v>0</v>
      </c>
      <c r="P1003">
        <v>0</v>
      </c>
      <c r="Q1003">
        <v>34</v>
      </c>
      <c r="R1003" t="s">
        <v>899</v>
      </c>
      <c r="S1003">
        <v>0</v>
      </c>
      <c r="T1003">
        <v>0</v>
      </c>
      <c r="U1003">
        <v>0</v>
      </c>
      <c r="W1003" t="s">
        <v>99</v>
      </c>
    </row>
    <row r="1004" spans="1:23" x14ac:dyDescent="0.35">
      <c r="A1004" t="s">
        <v>45</v>
      </c>
      <c r="B1004" t="s">
        <v>2087</v>
      </c>
      <c r="C1004" t="s">
        <v>60</v>
      </c>
      <c r="D1004" t="s">
        <v>64</v>
      </c>
      <c r="E1004" t="s">
        <v>64</v>
      </c>
      <c r="F1004" t="s">
        <v>49</v>
      </c>
      <c r="G1004" t="s">
        <v>2115</v>
      </c>
      <c r="H1004" t="s">
        <v>2116</v>
      </c>
      <c r="J1004" t="str">
        <f>HYPERLINK("https://www.facebook.com/634639855377280/posts/804939111680686","https://www.facebook.com/634639855377280/posts/804939111680686")</f>
        <v>https://www.facebook.com/634639855377280/posts/804939111680686</v>
      </c>
      <c r="O1004">
        <v>0</v>
      </c>
      <c r="P1004">
        <v>0</v>
      </c>
      <c r="Q1004">
        <v>0</v>
      </c>
      <c r="S1004">
        <v>4</v>
      </c>
      <c r="T1004">
        <v>276</v>
      </c>
      <c r="U1004">
        <v>4</v>
      </c>
      <c r="W1004" t="s">
        <v>346</v>
      </c>
    </row>
    <row r="1005" spans="1:23" x14ac:dyDescent="0.35">
      <c r="A1005" t="s">
        <v>45</v>
      </c>
      <c r="B1005" t="s">
        <v>2087</v>
      </c>
      <c r="C1005" t="s">
        <v>47</v>
      </c>
      <c r="D1005" t="s">
        <v>843</v>
      </c>
      <c r="E1005" t="s">
        <v>843</v>
      </c>
      <c r="F1005" t="s">
        <v>49</v>
      </c>
      <c r="G1005" t="s">
        <v>2117</v>
      </c>
      <c r="H1005" t="s">
        <v>2118</v>
      </c>
      <c r="J1005" t="str">
        <f>HYPERLINK("https://www.youtube.com/watch?v=lgTr6XT0s8g&amp;lc=UgxpuexD4aO0JiFs5R14AaABAg","https://www.youtube.com/watch?v=lgTr6XT0s8g&amp;lc=UgxpuexD4aO0JiFs5R14AaABAg")</f>
        <v>https://www.youtube.com/watch?v=lgTr6XT0s8g&amp;lc=UgxpuexD4aO0JiFs5R14AaABAg</v>
      </c>
      <c r="O1005">
        <v>0</v>
      </c>
      <c r="P1005">
        <v>0</v>
      </c>
      <c r="Q1005">
        <v>0</v>
      </c>
      <c r="S1005">
        <v>0</v>
      </c>
      <c r="T1005">
        <v>0</v>
      </c>
      <c r="U1005">
        <v>0</v>
      </c>
      <c r="W1005" t="s">
        <v>52</v>
      </c>
    </row>
    <row r="1006" spans="1:23" x14ac:dyDescent="0.35">
      <c r="A1006" t="s">
        <v>45</v>
      </c>
      <c r="B1006" t="s">
        <v>2087</v>
      </c>
      <c r="C1006" t="s">
        <v>47</v>
      </c>
      <c r="D1006" t="s">
        <v>351</v>
      </c>
      <c r="E1006" t="s">
        <v>351</v>
      </c>
      <c r="F1006" t="s">
        <v>49</v>
      </c>
      <c r="G1006" t="s">
        <v>2119</v>
      </c>
      <c r="H1006" t="s">
        <v>2120</v>
      </c>
      <c r="J1006" t="str">
        <f>HYPERLINK("https://www.youtube.com/watch?v=lgTr6XT0s8g&amp;lc=UgxvjJbeM1Z-5nJQccJ4AaABAg","https://www.youtube.com/watch?v=lgTr6XT0s8g&amp;lc=UgxvjJbeM1Z-5nJQccJ4AaABAg")</f>
        <v>https://www.youtube.com/watch?v=lgTr6XT0s8g&amp;lc=UgxvjJbeM1Z-5nJQccJ4AaABAg</v>
      </c>
      <c r="O1006">
        <v>0</v>
      </c>
      <c r="P1006">
        <v>0</v>
      </c>
      <c r="Q1006">
        <v>0</v>
      </c>
      <c r="S1006">
        <v>0</v>
      </c>
      <c r="T1006">
        <v>0</v>
      </c>
      <c r="U1006">
        <v>0</v>
      </c>
      <c r="W1006" t="s">
        <v>52</v>
      </c>
    </row>
    <row r="1007" spans="1:23" x14ac:dyDescent="0.35">
      <c r="A1007" t="s">
        <v>45</v>
      </c>
      <c r="B1007" t="s">
        <v>2087</v>
      </c>
      <c r="C1007" t="s">
        <v>47</v>
      </c>
      <c r="D1007" t="s">
        <v>351</v>
      </c>
      <c r="E1007" t="s">
        <v>351</v>
      </c>
      <c r="F1007" t="s">
        <v>49</v>
      </c>
      <c r="G1007" t="s">
        <v>2121</v>
      </c>
      <c r="H1007" t="s">
        <v>2122</v>
      </c>
      <c r="J1007" t="str">
        <f>HYPERLINK("https://www.youtube.com/watch?v=lgTr6XT0s8g&amp;lc=UgwDdqniHaiwNLXjRkN4AaABAg","https://www.youtube.com/watch?v=lgTr6XT0s8g&amp;lc=UgwDdqniHaiwNLXjRkN4AaABAg")</f>
        <v>https://www.youtube.com/watch?v=lgTr6XT0s8g&amp;lc=UgwDdqniHaiwNLXjRkN4AaABAg</v>
      </c>
      <c r="O1007">
        <v>0</v>
      </c>
      <c r="P1007">
        <v>0</v>
      </c>
      <c r="Q1007">
        <v>0</v>
      </c>
      <c r="S1007">
        <v>0</v>
      </c>
      <c r="T1007">
        <v>0</v>
      </c>
      <c r="U1007">
        <v>0</v>
      </c>
      <c r="W1007" t="s">
        <v>52</v>
      </c>
    </row>
    <row r="1008" spans="1:23" x14ac:dyDescent="0.35">
      <c r="A1008" t="s">
        <v>45</v>
      </c>
      <c r="B1008" t="s">
        <v>2087</v>
      </c>
      <c r="C1008" t="s">
        <v>47</v>
      </c>
      <c r="D1008" t="s">
        <v>351</v>
      </c>
      <c r="E1008" t="s">
        <v>351</v>
      </c>
      <c r="F1008" t="s">
        <v>49</v>
      </c>
      <c r="G1008" t="s">
        <v>2123</v>
      </c>
      <c r="H1008" t="s">
        <v>2124</v>
      </c>
      <c r="J1008" t="str">
        <f>HYPERLINK("https://www.youtube.com/watch?v=lgTr6XT0s8g&amp;lc=UgxTXyAJb7USPp-39Pt4AaABAg","https://www.youtube.com/watch?v=lgTr6XT0s8g&amp;lc=UgxTXyAJb7USPp-39Pt4AaABAg")</f>
        <v>https://www.youtube.com/watch?v=lgTr6XT0s8g&amp;lc=UgxTXyAJb7USPp-39Pt4AaABAg</v>
      </c>
      <c r="O1008">
        <v>0</v>
      </c>
      <c r="P1008">
        <v>0</v>
      </c>
      <c r="Q1008">
        <v>0</v>
      </c>
      <c r="S1008">
        <v>0</v>
      </c>
      <c r="T1008">
        <v>0</v>
      </c>
      <c r="U1008">
        <v>0</v>
      </c>
      <c r="W1008" t="s">
        <v>52</v>
      </c>
    </row>
    <row r="1009" spans="1:23" x14ac:dyDescent="0.35">
      <c r="A1009" t="s">
        <v>45</v>
      </c>
      <c r="B1009" t="s">
        <v>2087</v>
      </c>
      <c r="C1009" t="s">
        <v>47</v>
      </c>
      <c r="D1009" t="s">
        <v>2125</v>
      </c>
      <c r="E1009" t="s">
        <v>2125</v>
      </c>
      <c r="F1009" t="s">
        <v>193</v>
      </c>
      <c r="G1009" t="s">
        <v>2126</v>
      </c>
      <c r="H1009" t="s">
        <v>2127</v>
      </c>
      <c r="J1009" t="str">
        <f>HYPERLINK("https://www.youtube.com/watch?v=lgTr6XT0s8g&amp;lc=Ugybpeg9eQIrM6KwKoJ4AaABAg","https://www.youtube.com/watch?v=lgTr6XT0s8g&amp;lc=Ugybpeg9eQIrM6KwKoJ4AaABAg")</f>
        <v>https://www.youtube.com/watch?v=lgTr6XT0s8g&amp;lc=Ugybpeg9eQIrM6KwKoJ4AaABAg</v>
      </c>
      <c r="O1009">
        <v>0</v>
      </c>
      <c r="P1009">
        <v>0</v>
      </c>
      <c r="Q1009">
        <v>0</v>
      </c>
      <c r="S1009">
        <v>0</v>
      </c>
      <c r="T1009">
        <v>0</v>
      </c>
      <c r="U1009">
        <v>0</v>
      </c>
      <c r="W1009" t="s">
        <v>52</v>
      </c>
    </row>
    <row r="1010" spans="1:23" x14ac:dyDescent="0.35">
      <c r="A1010" t="s">
        <v>45</v>
      </c>
      <c r="B1010" t="s">
        <v>2087</v>
      </c>
      <c r="C1010" t="s">
        <v>47</v>
      </c>
      <c r="D1010" t="s">
        <v>45</v>
      </c>
      <c r="E1010" t="s">
        <v>45</v>
      </c>
      <c r="F1010" t="s">
        <v>49</v>
      </c>
      <c r="G1010" t="s">
        <v>832</v>
      </c>
      <c r="H1010" t="s">
        <v>2128</v>
      </c>
      <c r="J1010" t="str">
        <f>HYPERLINK("https://www.youtube.com/watch?v=lgTr6XT0s8g","https://www.youtube.com/watch?v=lgTr6XT0s8g")</f>
        <v>https://www.youtube.com/watch?v=lgTr6XT0s8g</v>
      </c>
      <c r="O1010">
        <v>0</v>
      </c>
      <c r="P1010">
        <v>0</v>
      </c>
      <c r="Q1010">
        <v>0</v>
      </c>
      <c r="S1010">
        <v>0</v>
      </c>
      <c r="T1010">
        <v>0</v>
      </c>
      <c r="U1010">
        <v>0</v>
      </c>
      <c r="W1010" t="s">
        <v>346</v>
      </c>
    </row>
    <row r="1011" spans="1:23" x14ac:dyDescent="0.35">
      <c r="A1011" t="s">
        <v>45</v>
      </c>
      <c r="B1011" t="s">
        <v>2087</v>
      </c>
      <c r="C1011" t="s">
        <v>47</v>
      </c>
      <c r="D1011" t="s">
        <v>2063</v>
      </c>
      <c r="E1011" t="s">
        <v>2063</v>
      </c>
      <c r="F1011" t="s">
        <v>49</v>
      </c>
      <c r="G1011" t="s">
        <v>2129</v>
      </c>
      <c r="H1011" t="s">
        <v>2130</v>
      </c>
      <c r="J1011" t="str">
        <f>HYPERLINK("https://www.youtube.com/watch?v=-JmhdqYQjqw&amp;lc=UgxNLu_AwX1v4oLvERl4AaABAg","https://www.youtube.com/watch?v=-JmhdqYQjqw&amp;lc=UgxNLu_AwX1v4oLvERl4AaABAg")</f>
        <v>https://www.youtube.com/watch?v=-JmhdqYQjqw&amp;lc=UgxNLu_AwX1v4oLvERl4AaABAg</v>
      </c>
      <c r="O1011">
        <v>0</v>
      </c>
      <c r="P1011">
        <v>0</v>
      </c>
      <c r="Q1011">
        <v>0</v>
      </c>
      <c r="S1011">
        <v>0</v>
      </c>
      <c r="T1011">
        <v>0</v>
      </c>
      <c r="U1011">
        <v>0</v>
      </c>
      <c r="W1011" t="s">
        <v>52</v>
      </c>
    </row>
    <row r="1012" spans="1:23" x14ac:dyDescent="0.35">
      <c r="A1012" t="s">
        <v>45</v>
      </c>
      <c r="B1012" t="s">
        <v>2087</v>
      </c>
      <c r="C1012" t="s">
        <v>93</v>
      </c>
      <c r="D1012" t="s">
        <v>1826</v>
      </c>
      <c r="E1012" t="s">
        <v>1827</v>
      </c>
      <c r="F1012" t="s">
        <v>49</v>
      </c>
      <c r="G1012" t="s">
        <v>2131</v>
      </c>
      <c r="H1012" t="s">
        <v>2132</v>
      </c>
      <c r="J1012" t="str">
        <f>HYPERLINK("https://twitter.com/Sachinpatel952/status/1766055224895246543","https://twitter.com/Sachinpatel952/status/1766055224895246543")</f>
        <v>https://twitter.com/Sachinpatel952/status/1766055224895246543</v>
      </c>
      <c r="K1012" t="s">
        <v>67</v>
      </c>
      <c r="O1012">
        <v>0</v>
      </c>
      <c r="P1012">
        <v>0</v>
      </c>
      <c r="Q1012">
        <v>1</v>
      </c>
      <c r="S1012">
        <v>0</v>
      </c>
      <c r="T1012">
        <v>0</v>
      </c>
      <c r="U1012">
        <v>0</v>
      </c>
      <c r="W1012" t="s">
        <v>433</v>
      </c>
    </row>
    <row r="1013" spans="1:23" x14ac:dyDescent="0.35">
      <c r="A1013" t="s">
        <v>45</v>
      </c>
      <c r="B1013" t="s">
        <v>2087</v>
      </c>
      <c r="C1013" t="s">
        <v>47</v>
      </c>
      <c r="D1013" t="s">
        <v>1038</v>
      </c>
      <c r="E1013" t="s">
        <v>1038</v>
      </c>
      <c r="F1013" t="s">
        <v>54</v>
      </c>
      <c r="G1013" t="s">
        <v>2133</v>
      </c>
      <c r="H1013" t="s">
        <v>2134</v>
      </c>
      <c r="J1013" t="str">
        <f>HYPERLINK("https://www.youtube.com/watch?v=-JmhdqYQjqw&amp;lc=Ugxz0MJ7D9wDwU5H0Ct4AaABAg","https://www.youtube.com/watch?v=-JmhdqYQjqw&amp;lc=Ugxz0MJ7D9wDwU5H0Ct4AaABAg")</f>
        <v>https://www.youtube.com/watch?v=-JmhdqYQjqw&amp;lc=Ugxz0MJ7D9wDwU5H0Ct4AaABAg</v>
      </c>
      <c r="O1013">
        <v>0</v>
      </c>
      <c r="P1013">
        <v>0</v>
      </c>
      <c r="Q1013">
        <v>0</v>
      </c>
      <c r="S1013">
        <v>0</v>
      </c>
      <c r="T1013">
        <v>0</v>
      </c>
      <c r="U1013">
        <v>0</v>
      </c>
      <c r="W1013" t="s">
        <v>52</v>
      </c>
    </row>
    <row r="1014" spans="1:23" x14ac:dyDescent="0.35">
      <c r="A1014" t="s">
        <v>45</v>
      </c>
      <c r="B1014" t="s">
        <v>2087</v>
      </c>
      <c r="C1014" t="s">
        <v>47</v>
      </c>
      <c r="D1014" t="s">
        <v>1016</v>
      </c>
      <c r="E1014" t="s">
        <v>1016</v>
      </c>
      <c r="F1014" t="s">
        <v>49</v>
      </c>
      <c r="G1014" t="s">
        <v>2102</v>
      </c>
      <c r="H1014" t="s">
        <v>2135</v>
      </c>
      <c r="J1014" t="str">
        <f>HYPERLINK("https://www.youtube.com/watch?v=-JmhdqYQjqw&amp;lc=UgyLQ-rQnvYeMQ49nsF4AaABAg","https://www.youtube.com/watch?v=-JmhdqYQjqw&amp;lc=UgyLQ-rQnvYeMQ49nsF4AaABAg")</f>
        <v>https://www.youtube.com/watch?v=-JmhdqYQjqw&amp;lc=UgyLQ-rQnvYeMQ49nsF4AaABAg</v>
      </c>
      <c r="O1014">
        <v>0</v>
      </c>
      <c r="P1014">
        <v>0</v>
      </c>
      <c r="Q1014">
        <v>0</v>
      </c>
      <c r="S1014">
        <v>0</v>
      </c>
      <c r="T1014">
        <v>0</v>
      </c>
      <c r="U1014">
        <v>0</v>
      </c>
      <c r="W1014" t="s">
        <v>52</v>
      </c>
    </row>
    <row r="1015" spans="1:23" x14ac:dyDescent="0.35">
      <c r="A1015" t="s">
        <v>45</v>
      </c>
      <c r="B1015" t="s">
        <v>2087</v>
      </c>
      <c r="C1015" t="s">
        <v>60</v>
      </c>
      <c r="D1015" t="s">
        <v>61</v>
      </c>
      <c r="E1015" t="s">
        <v>61</v>
      </c>
      <c r="F1015" t="s">
        <v>49</v>
      </c>
      <c r="G1015" t="s">
        <v>2136</v>
      </c>
      <c r="H1015" t="s">
        <v>2137</v>
      </c>
      <c r="J1015" t="str">
        <f>HYPERLINK("https://www.facebook.com/634639855377280/posts/804629415044989?comment_id=442804528100360","https://www.facebook.com/634639855377280/posts/804629415044989?comment_id=442804528100360")</f>
        <v>https://www.facebook.com/634639855377280/posts/804629415044989?comment_id=442804528100360</v>
      </c>
      <c r="O1015">
        <v>0</v>
      </c>
      <c r="P1015">
        <v>0</v>
      </c>
      <c r="Q1015">
        <v>0</v>
      </c>
      <c r="S1015">
        <v>0</v>
      </c>
      <c r="T1015">
        <v>0</v>
      </c>
      <c r="U1015">
        <v>0</v>
      </c>
      <c r="W1015" t="s">
        <v>52</v>
      </c>
    </row>
    <row r="1016" spans="1:23" x14ac:dyDescent="0.35">
      <c r="A1016" t="s">
        <v>45</v>
      </c>
      <c r="B1016" t="s">
        <v>2087</v>
      </c>
      <c r="C1016" t="s">
        <v>60</v>
      </c>
      <c r="D1016" t="s">
        <v>61</v>
      </c>
      <c r="E1016" t="s">
        <v>61</v>
      </c>
      <c r="F1016" t="s">
        <v>49</v>
      </c>
      <c r="G1016" t="s">
        <v>2136</v>
      </c>
      <c r="H1016" t="s">
        <v>2138</v>
      </c>
      <c r="J1016" t="str">
        <f>HYPERLINK("https://www.facebook.com/634639855377280/posts/803432851831312?comment_id=1075131506893539","https://www.facebook.com/634639855377280/posts/803432851831312?comment_id=1075131506893539")</f>
        <v>https://www.facebook.com/634639855377280/posts/803432851831312?comment_id=1075131506893539</v>
      </c>
      <c r="O1016">
        <v>0</v>
      </c>
      <c r="P1016">
        <v>0</v>
      </c>
      <c r="Q1016">
        <v>0</v>
      </c>
      <c r="S1016">
        <v>0</v>
      </c>
      <c r="T1016">
        <v>0</v>
      </c>
      <c r="U1016">
        <v>0</v>
      </c>
      <c r="W1016" t="s">
        <v>52</v>
      </c>
    </row>
    <row r="1017" spans="1:23" x14ac:dyDescent="0.35">
      <c r="A1017" t="s">
        <v>45</v>
      </c>
      <c r="B1017" t="s">
        <v>2087</v>
      </c>
      <c r="C1017" t="s">
        <v>60</v>
      </c>
      <c r="D1017" t="s">
        <v>61</v>
      </c>
      <c r="E1017" t="s">
        <v>61</v>
      </c>
      <c r="F1017" t="s">
        <v>49</v>
      </c>
      <c r="G1017" t="s">
        <v>2136</v>
      </c>
      <c r="H1017" t="s">
        <v>2139</v>
      </c>
      <c r="J1017" t="str">
        <f>HYPERLINK("https://www.facebook.com/634639855377280/posts/804629415044989?comment_id=335429538952090","https://www.facebook.com/634639855377280/posts/804629415044989?comment_id=335429538952090")</f>
        <v>https://www.facebook.com/634639855377280/posts/804629415044989?comment_id=335429538952090</v>
      </c>
      <c r="O1017">
        <v>0</v>
      </c>
      <c r="P1017">
        <v>0</v>
      </c>
      <c r="Q1017">
        <v>0</v>
      </c>
      <c r="S1017">
        <v>0</v>
      </c>
      <c r="T1017">
        <v>0</v>
      </c>
      <c r="U1017">
        <v>0</v>
      </c>
      <c r="W1017" t="s">
        <v>52</v>
      </c>
    </row>
    <row r="1018" spans="1:23" x14ac:dyDescent="0.35">
      <c r="A1018" t="s">
        <v>45</v>
      </c>
      <c r="B1018" t="s">
        <v>2087</v>
      </c>
      <c r="C1018" t="s">
        <v>60</v>
      </c>
      <c r="D1018" t="s">
        <v>61</v>
      </c>
      <c r="E1018" t="s">
        <v>61</v>
      </c>
      <c r="F1018" t="s">
        <v>49</v>
      </c>
      <c r="G1018" t="s">
        <v>2140</v>
      </c>
      <c r="H1018" t="s">
        <v>2141</v>
      </c>
      <c r="J1018" t="str">
        <f>HYPERLINK("https://www.facebook.com/634639855377280/posts/804629415044989?comment_id=957125898626112","https://www.facebook.com/634639855377280/posts/804629415044989?comment_id=957125898626112")</f>
        <v>https://www.facebook.com/634639855377280/posts/804629415044989?comment_id=957125898626112</v>
      </c>
      <c r="O1018">
        <v>0</v>
      </c>
      <c r="P1018">
        <v>0</v>
      </c>
      <c r="Q1018">
        <v>0</v>
      </c>
      <c r="S1018">
        <v>0</v>
      </c>
      <c r="T1018">
        <v>0</v>
      </c>
      <c r="U1018">
        <v>0</v>
      </c>
      <c r="W1018" t="s">
        <v>52</v>
      </c>
    </row>
    <row r="1019" spans="1:23" x14ac:dyDescent="0.35">
      <c r="A1019" t="s">
        <v>45</v>
      </c>
      <c r="B1019" t="s">
        <v>2087</v>
      </c>
      <c r="C1019" t="s">
        <v>60</v>
      </c>
      <c r="D1019" t="s">
        <v>61</v>
      </c>
      <c r="E1019" t="s">
        <v>61</v>
      </c>
      <c r="F1019" t="s">
        <v>49</v>
      </c>
      <c r="G1019" t="s">
        <v>2142</v>
      </c>
      <c r="H1019" t="s">
        <v>2143</v>
      </c>
      <c r="J1019" t="str">
        <f>HYPERLINK("https://www.facebook.com/634639855377280/posts/804767641697833?comment_id=7563069193713889","https://www.facebook.com/634639855377280/posts/804767641697833?comment_id=7563069193713889")</f>
        <v>https://www.facebook.com/634639855377280/posts/804767641697833?comment_id=7563069193713889</v>
      </c>
      <c r="O1019">
        <v>0</v>
      </c>
      <c r="P1019">
        <v>0</v>
      </c>
      <c r="Q1019">
        <v>0</v>
      </c>
      <c r="S1019">
        <v>0</v>
      </c>
      <c r="T1019">
        <v>0</v>
      </c>
      <c r="U1019">
        <v>0</v>
      </c>
      <c r="W1019" t="s">
        <v>52</v>
      </c>
    </row>
    <row r="1020" spans="1:23" x14ac:dyDescent="0.35">
      <c r="A1020" t="s">
        <v>45</v>
      </c>
      <c r="B1020" t="s">
        <v>2087</v>
      </c>
      <c r="C1020" t="s">
        <v>47</v>
      </c>
      <c r="D1020" t="s">
        <v>2056</v>
      </c>
      <c r="E1020" t="s">
        <v>2056</v>
      </c>
      <c r="F1020" t="s">
        <v>49</v>
      </c>
      <c r="G1020" t="s">
        <v>2144</v>
      </c>
      <c r="H1020" t="s">
        <v>2145</v>
      </c>
      <c r="J1020" t="str">
        <f>HYPERLINK("https://www.youtube.com/watch?v=Sw8taVwDscg&amp;lc=Ugw6NiosA0nxeQZnYEJ4AaABAg.A0iF7ZSUd0tA0iFATD2bFV","https://www.youtube.com/watch?v=Sw8taVwDscg&amp;lc=Ugw6NiosA0nxeQZnYEJ4AaABAg.A0iF7ZSUd0tA0iFATD2bFV")</f>
        <v>https://www.youtube.com/watch?v=Sw8taVwDscg&amp;lc=Ugw6NiosA0nxeQZnYEJ4AaABAg.A0iF7ZSUd0tA0iFATD2bFV</v>
      </c>
      <c r="O1020">
        <v>0</v>
      </c>
      <c r="P1020">
        <v>0</v>
      </c>
      <c r="Q1020">
        <v>0</v>
      </c>
      <c r="S1020">
        <v>0</v>
      </c>
      <c r="T1020">
        <v>0</v>
      </c>
      <c r="U1020">
        <v>0</v>
      </c>
      <c r="W1020" t="s">
        <v>52</v>
      </c>
    </row>
    <row r="1021" spans="1:23" x14ac:dyDescent="0.35">
      <c r="A1021" t="s">
        <v>45</v>
      </c>
      <c r="B1021" t="s">
        <v>2087</v>
      </c>
      <c r="C1021" t="s">
        <v>47</v>
      </c>
      <c r="D1021" t="s">
        <v>2056</v>
      </c>
      <c r="E1021" t="s">
        <v>2056</v>
      </c>
      <c r="F1021" t="s">
        <v>49</v>
      </c>
      <c r="G1021" t="s">
        <v>2146</v>
      </c>
      <c r="H1021" t="s">
        <v>2147</v>
      </c>
      <c r="J1021" t="str">
        <f>HYPERLINK("https://www.youtube.com/watch?v=Sw8taVwDscg&amp;lc=Ugw6NiosA0nxeQZnYEJ4AaABAg","https://www.youtube.com/watch?v=Sw8taVwDscg&amp;lc=Ugw6NiosA0nxeQZnYEJ4AaABAg")</f>
        <v>https://www.youtube.com/watch?v=Sw8taVwDscg&amp;lc=Ugw6NiosA0nxeQZnYEJ4AaABAg</v>
      </c>
      <c r="O1021">
        <v>0</v>
      </c>
      <c r="P1021">
        <v>0</v>
      </c>
      <c r="Q1021">
        <v>0</v>
      </c>
      <c r="S1021">
        <v>0</v>
      </c>
      <c r="T1021">
        <v>0</v>
      </c>
      <c r="U1021">
        <v>0</v>
      </c>
      <c r="W1021" t="s">
        <v>52</v>
      </c>
    </row>
    <row r="1022" spans="1:23" x14ac:dyDescent="0.35">
      <c r="A1022" t="s">
        <v>45</v>
      </c>
      <c r="B1022" t="s">
        <v>2087</v>
      </c>
      <c r="C1022" t="s">
        <v>60</v>
      </c>
      <c r="D1022" t="s">
        <v>64</v>
      </c>
      <c r="E1022" t="s">
        <v>64</v>
      </c>
      <c r="F1022" t="s">
        <v>49</v>
      </c>
      <c r="G1022" t="s">
        <v>2115</v>
      </c>
      <c r="H1022" t="s">
        <v>2148</v>
      </c>
      <c r="J1022" t="str">
        <f>HYPERLINK("https://www.facebook.com/634639855377280/posts/804767641697833","https://www.facebook.com/634639855377280/posts/804767641697833")</f>
        <v>https://www.facebook.com/634639855377280/posts/804767641697833</v>
      </c>
      <c r="O1022">
        <v>0</v>
      </c>
      <c r="P1022">
        <v>0</v>
      </c>
      <c r="Q1022">
        <v>0</v>
      </c>
      <c r="S1022">
        <v>6</v>
      </c>
      <c r="T1022">
        <v>219</v>
      </c>
      <c r="U1022">
        <v>5</v>
      </c>
      <c r="W1022" t="s">
        <v>346</v>
      </c>
    </row>
    <row r="1023" spans="1:23" x14ac:dyDescent="0.35">
      <c r="A1023" t="s">
        <v>45</v>
      </c>
      <c r="B1023" t="s">
        <v>2087</v>
      </c>
      <c r="C1023" t="s">
        <v>93</v>
      </c>
      <c r="D1023" t="s">
        <v>1830</v>
      </c>
      <c r="E1023" t="s">
        <v>1831</v>
      </c>
      <c r="F1023" t="s">
        <v>193</v>
      </c>
      <c r="G1023" t="s">
        <v>2149</v>
      </c>
      <c r="H1023" t="s">
        <v>2150</v>
      </c>
      <c r="J1023" t="str">
        <f>HYPERLINK("https://twitter.com/HamdKhan4/status/1765988433624006674","https://twitter.com/HamdKhan4/status/1765988433624006674")</f>
        <v>https://twitter.com/HamdKhan4/status/1765988433624006674</v>
      </c>
      <c r="K1023" t="s">
        <v>67</v>
      </c>
      <c r="O1023">
        <v>0</v>
      </c>
      <c r="P1023">
        <v>0</v>
      </c>
      <c r="Q1023">
        <v>25</v>
      </c>
      <c r="R1023" t="s">
        <v>1834</v>
      </c>
      <c r="S1023">
        <v>0</v>
      </c>
      <c r="T1023">
        <v>0</v>
      </c>
      <c r="U1023">
        <v>0</v>
      </c>
      <c r="W1023" t="s">
        <v>99</v>
      </c>
    </row>
    <row r="1024" spans="1:23" x14ac:dyDescent="0.35">
      <c r="A1024" t="s">
        <v>45</v>
      </c>
      <c r="B1024" t="s">
        <v>2087</v>
      </c>
      <c r="C1024" t="s">
        <v>60</v>
      </c>
      <c r="D1024" t="s">
        <v>64</v>
      </c>
      <c r="E1024" t="s">
        <v>64</v>
      </c>
      <c r="F1024" t="s">
        <v>49</v>
      </c>
      <c r="G1024" t="s">
        <v>2151</v>
      </c>
      <c r="H1024" t="s">
        <v>2152</v>
      </c>
      <c r="J1024" t="str">
        <f>HYPERLINK("https://www.facebook.com/634639855377280/posts/804749031699694","https://www.facebook.com/634639855377280/posts/804749031699694")</f>
        <v>https://www.facebook.com/634639855377280/posts/804749031699694</v>
      </c>
      <c r="O1024">
        <v>0</v>
      </c>
      <c r="P1024">
        <v>0</v>
      </c>
      <c r="Q1024">
        <v>0</v>
      </c>
      <c r="S1024">
        <v>0</v>
      </c>
      <c r="T1024">
        <v>26</v>
      </c>
      <c r="U1024">
        <v>1</v>
      </c>
      <c r="W1024" t="s">
        <v>346</v>
      </c>
    </row>
    <row r="1025" spans="1:23" x14ac:dyDescent="0.35">
      <c r="A1025" t="s">
        <v>45</v>
      </c>
      <c r="B1025" t="s">
        <v>2087</v>
      </c>
      <c r="C1025" t="s">
        <v>93</v>
      </c>
      <c r="D1025" t="s">
        <v>94</v>
      </c>
      <c r="E1025" t="s">
        <v>45</v>
      </c>
      <c r="F1025" t="s">
        <v>49</v>
      </c>
      <c r="G1025" t="s">
        <v>2153</v>
      </c>
      <c r="H1025" t="s">
        <v>2154</v>
      </c>
      <c r="J1025" t="str">
        <f>HYPERLINK("https://twitter.com/SpiceMoneyIndia/status/1765988319458959621","https://twitter.com/SpiceMoneyIndia/status/1765988319458959621")</f>
        <v>https://twitter.com/SpiceMoneyIndia/status/1765988319458959621</v>
      </c>
      <c r="K1025" t="s">
        <v>67</v>
      </c>
      <c r="O1025">
        <v>0</v>
      </c>
      <c r="P1025">
        <v>0</v>
      </c>
      <c r="Q1025">
        <v>6061</v>
      </c>
      <c r="R1025" t="s">
        <v>97</v>
      </c>
      <c r="S1025">
        <v>0</v>
      </c>
      <c r="T1025">
        <v>0</v>
      </c>
      <c r="U1025">
        <v>0</v>
      </c>
      <c r="V1025" t="s">
        <v>98</v>
      </c>
      <c r="W1025" t="s">
        <v>99</v>
      </c>
    </row>
    <row r="1026" spans="1:23" x14ac:dyDescent="0.35">
      <c r="A1026" t="s">
        <v>45</v>
      </c>
      <c r="B1026" t="s">
        <v>2087</v>
      </c>
      <c r="C1026" t="s">
        <v>47</v>
      </c>
      <c r="D1026" t="s">
        <v>2021</v>
      </c>
      <c r="E1026" t="s">
        <v>2021</v>
      </c>
      <c r="F1026" t="s">
        <v>49</v>
      </c>
      <c r="G1026" t="s">
        <v>2155</v>
      </c>
      <c r="H1026" t="s">
        <v>2156</v>
      </c>
      <c r="J1026" t="str">
        <f>HYPERLINK("https://www.youtube.com/watch?v=-JmhdqYQjqw&amp;lc=Ugz3-lw1nv4WvGfU4FB4AaABAg","https://www.youtube.com/watch?v=-JmhdqYQjqw&amp;lc=Ugz3-lw1nv4WvGfU4FB4AaABAg")</f>
        <v>https://www.youtube.com/watch?v=-JmhdqYQjqw&amp;lc=Ugz3-lw1nv4WvGfU4FB4AaABAg</v>
      </c>
      <c r="O1026">
        <v>0</v>
      </c>
      <c r="P1026">
        <v>0</v>
      </c>
      <c r="Q1026">
        <v>0</v>
      </c>
      <c r="S1026">
        <v>0</v>
      </c>
      <c r="T1026">
        <v>0</v>
      </c>
      <c r="U1026">
        <v>0</v>
      </c>
      <c r="W1026" t="s">
        <v>52</v>
      </c>
    </row>
    <row r="1027" spans="1:23" x14ac:dyDescent="0.35">
      <c r="A1027" t="s">
        <v>45</v>
      </c>
      <c r="B1027" t="s">
        <v>2087</v>
      </c>
      <c r="C1027" t="s">
        <v>47</v>
      </c>
      <c r="D1027" t="s">
        <v>2157</v>
      </c>
      <c r="E1027" t="s">
        <v>2157</v>
      </c>
      <c r="F1027" t="s">
        <v>54</v>
      </c>
      <c r="G1027" t="s">
        <v>2158</v>
      </c>
      <c r="H1027" t="s">
        <v>2159</v>
      </c>
      <c r="J1027" t="str">
        <f>HYPERLINK("https://www.youtube.com/watch?v=-JmhdqYQjqw&amp;lc=UgzivDmswaaF1ICNXj94AaABAg","https://www.youtube.com/watch?v=-JmhdqYQjqw&amp;lc=UgzivDmswaaF1ICNXj94AaABAg")</f>
        <v>https://www.youtube.com/watch?v=-JmhdqYQjqw&amp;lc=UgzivDmswaaF1ICNXj94AaABAg</v>
      </c>
      <c r="O1027">
        <v>0</v>
      </c>
      <c r="P1027">
        <v>0</v>
      </c>
      <c r="Q1027">
        <v>0</v>
      </c>
      <c r="S1027">
        <v>0</v>
      </c>
      <c r="T1027">
        <v>0</v>
      </c>
      <c r="U1027">
        <v>0</v>
      </c>
      <c r="W1027" t="s">
        <v>52</v>
      </c>
    </row>
    <row r="1028" spans="1:23" x14ac:dyDescent="0.35">
      <c r="A1028" t="s">
        <v>45</v>
      </c>
      <c r="B1028" t="s">
        <v>2087</v>
      </c>
      <c r="C1028" t="s">
        <v>47</v>
      </c>
      <c r="D1028" t="s">
        <v>45</v>
      </c>
      <c r="E1028" t="s">
        <v>45</v>
      </c>
      <c r="F1028" t="s">
        <v>49</v>
      </c>
      <c r="G1028" t="s">
        <v>2160</v>
      </c>
      <c r="H1028" t="s">
        <v>2161</v>
      </c>
      <c r="J1028" t="str">
        <f>HYPERLINK("https://www.youtube.com/watch?v=-JmhdqYQjqw","https://www.youtube.com/watch?v=-JmhdqYQjqw")</f>
        <v>https://www.youtube.com/watch?v=-JmhdqYQjqw</v>
      </c>
      <c r="O1028">
        <v>0</v>
      </c>
      <c r="P1028">
        <v>0</v>
      </c>
      <c r="Q1028">
        <v>0</v>
      </c>
      <c r="S1028">
        <v>0</v>
      </c>
      <c r="T1028">
        <v>0</v>
      </c>
      <c r="U1028">
        <v>0</v>
      </c>
      <c r="W1028" t="s">
        <v>346</v>
      </c>
    </row>
    <row r="1029" spans="1:23" x14ac:dyDescent="0.35">
      <c r="A1029" t="s">
        <v>45</v>
      </c>
      <c r="B1029" t="s">
        <v>2087</v>
      </c>
      <c r="C1029" t="s">
        <v>47</v>
      </c>
      <c r="D1029" t="s">
        <v>1016</v>
      </c>
      <c r="E1029" t="s">
        <v>1016</v>
      </c>
      <c r="F1029" t="s">
        <v>49</v>
      </c>
      <c r="G1029" t="s">
        <v>2162</v>
      </c>
      <c r="H1029" t="s">
        <v>2163</v>
      </c>
      <c r="J1029" t="str">
        <f>HYPERLINK("https://www.youtube.com/watch?v=LDfg0un_-5c&amp;lc=Ugx9kRqDkO6iOLjP9eh4AaABAg","https://www.youtube.com/watch?v=LDfg0un_-5c&amp;lc=Ugx9kRqDkO6iOLjP9eh4AaABAg")</f>
        <v>https://www.youtube.com/watch?v=LDfg0un_-5c&amp;lc=Ugx9kRqDkO6iOLjP9eh4AaABAg</v>
      </c>
      <c r="O1029">
        <v>0</v>
      </c>
      <c r="P1029">
        <v>0</v>
      </c>
      <c r="Q1029">
        <v>0</v>
      </c>
      <c r="S1029">
        <v>0</v>
      </c>
      <c r="T1029">
        <v>0</v>
      </c>
      <c r="U1029">
        <v>0</v>
      </c>
      <c r="W1029" t="s">
        <v>52</v>
      </c>
    </row>
    <row r="1030" spans="1:23" x14ac:dyDescent="0.35">
      <c r="A1030" t="s">
        <v>45</v>
      </c>
      <c r="B1030" t="s">
        <v>2087</v>
      </c>
      <c r="C1030" t="s">
        <v>47</v>
      </c>
      <c r="D1030" t="s">
        <v>2164</v>
      </c>
      <c r="E1030" t="s">
        <v>2164</v>
      </c>
      <c r="F1030" t="s">
        <v>49</v>
      </c>
      <c r="G1030" t="s">
        <v>2165</v>
      </c>
      <c r="H1030" t="s">
        <v>2166</v>
      </c>
      <c r="J1030" t="str">
        <f>HYPERLINK("https://www.youtube.com/watch?v=YQSdpP96l0U&amp;lc=Ugx5ZF5Cl5pByoXpV494AaABAg","https://www.youtube.com/watch?v=YQSdpP96l0U&amp;lc=Ugx5ZF5Cl5pByoXpV494AaABAg")</f>
        <v>https://www.youtube.com/watch?v=YQSdpP96l0U&amp;lc=Ugx5ZF5Cl5pByoXpV494AaABAg</v>
      </c>
      <c r="O1030">
        <v>0</v>
      </c>
      <c r="P1030">
        <v>0</v>
      </c>
      <c r="Q1030">
        <v>0</v>
      </c>
      <c r="S1030">
        <v>0</v>
      </c>
      <c r="T1030">
        <v>0</v>
      </c>
      <c r="U1030">
        <v>0</v>
      </c>
      <c r="W1030" t="s">
        <v>52</v>
      </c>
    </row>
    <row r="1031" spans="1:23" x14ac:dyDescent="0.35">
      <c r="A1031" t="s">
        <v>45</v>
      </c>
      <c r="B1031" t="s">
        <v>2087</v>
      </c>
      <c r="C1031" t="s">
        <v>47</v>
      </c>
      <c r="D1031" t="s">
        <v>45</v>
      </c>
      <c r="E1031" t="s">
        <v>45</v>
      </c>
      <c r="F1031" t="s">
        <v>49</v>
      </c>
      <c r="G1031" t="s">
        <v>832</v>
      </c>
      <c r="H1031" t="s">
        <v>2167</v>
      </c>
      <c r="J1031" t="str">
        <f>HYPERLINK("https://www.youtube.com/watch?v=LDfg0un_-5c","https://www.youtube.com/watch?v=LDfg0un_-5c")</f>
        <v>https://www.youtube.com/watch?v=LDfg0un_-5c</v>
      </c>
      <c r="O1031">
        <v>0</v>
      </c>
      <c r="P1031">
        <v>0</v>
      </c>
      <c r="Q1031">
        <v>0</v>
      </c>
      <c r="S1031">
        <v>0</v>
      </c>
      <c r="T1031">
        <v>0</v>
      </c>
      <c r="U1031">
        <v>0</v>
      </c>
      <c r="W1031" t="s">
        <v>346</v>
      </c>
    </row>
    <row r="1032" spans="1:23" x14ac:dyDescent="0.35">
      <c r="A1032" t="s">
        <v>45</v>
      </c>
      <c r="B1032" t="s">
        <v>2087</v>
      </c>
      <c r="C1032" t="s">
        <v>60</v>
      </c>
      <c r="D1032" t="s">
        <v>2168</v>
      </c>
      <c r="E1032" t="s">
        <v>2168</v>
      </c>
      <c r="F1032" t="s">
        <v>49</v>
      </c>
      <c r="G1032" t="s">
        <v>2169</v>
      </c>
      <c r="H1032" t="s">
        <v>2170</v>
      </c>
      <c r="J1032" t="str">
        <f>HYPERLINK("https://www.facebook.com/634639855377280/posts/804629415044989?comment_id=1903943410038054","https://www.facebook.com/634639855377280/posts/804629415044989?comment_id=1903943410038054")</f>
        <v>https://www.facebook.com/634639855377280/posts/804629415044989?comment_id=1903943410038054</v>
      </c>
      <c r="O1032">
        <v>0</v>
      </c>
      <c r="P1032">
        <v>0</v>
      </c>
      <c r="Q1032">
        <v>0</v>
      </c>
      <c r="S1032">
        <v>0</v>
      </c>
      <c r="T1032">
        <v>0</v>
      </c>
      <c r="U1032">
        <v>0</v>
      </c>
      <c r="W1032" t="s">
        <v>52</v>
      </c>
    </row>
    <row r="1033" spans="1:23" x14ac:dyDescent="0.35">
      <c r="A1033" t="s">
        <v>45</v>
      </c>
      <c r="B1033" t="s">
        <v>2087</v>
      </c>
      <c r="C1033" t="s">
        <v>60</v>
      </c>
      <c r="D1033" t="s">
        <v>61</v>
      </c>
      <c r="E1033" t="s">
        <v>61</v>
      </c>
      <c r="F1033" t="s">
        <v>49</v>
      </c>
      <c r="G1033" t="s">
        <v>2171</v>
      </c>
      <c r="H1033" t="s">
        <v>2172</v>
      </c>
      <c r="J1033" t="str">
        <f>HYPERLINK("https://www.facebook.com/634639855377280/posts/803432851831312?comment_id=3283737791935274","https://www.facebook.com/634639855377280/posts/803432851831312?comment_id=3283737791935274")</f>
        <v>https://www.facebook.com/634639855377280/posts/803432851831312?comment_id=3283737791935274</v>
      </c>
      <c r="O1033">
        <v>0</v>
      </c>
      <c r="P1033">
        <v>0</v>
      </c>
      <c r="Q1033">
        <v>0</v>
      </c>
      <c r="S1033">
        <v>0</v>
      </c>
      <c r="T1033">
        <v>0</v>
      </c>
      <c r="U1033">
        <v>0</v>
      </c>
      <c r="W1033" t="s">
        <v>52</v>
      </c>
    </row>
    <row r="1034" spans="1:23" x14ac:dyDescent="0.35">
      <c r="A1034" t="s">
        <v>45</v>
      </c>
      <c r="B1034" t="s">
        <v>2087</v>
      </c>
      <c r="C1034" t="s">
        <v>93</v>
      </c>
      <c r="D1034" t="s">
        <v>2173</v>
      </c>
      <c r="E1034" t="s">
        <v>2174</v>
      </c>
      <c r="F1034" t="s">
        <v>49</v>
      </c>
      <c r="G1034" t="s">
        <v>2175</v>
      </c>
      <c r="H1034" t="s">
        <v>2176</v>
      </c>
      <c r="J1034" t="str">
        <f>HYPERLINK("https://twitter.com/sujoy232428/status/1765962928862421293","https://twitter.com/sujoy232428/status/1765962928862421293")</f>
        <v>https://twitter.com/sujoy232428/status/1765962928862421293</v>
      </c>
      <c r="K1034" t="s">
        <v>67</v>
      </c>
      <c r="O1034">
        <v>0</v>
      </c>
      <c r="P1034">
        <v>0</v>
      </c>
      <c r="Q1034">
        <v>0</v>
      </c>
      <c r="S1034">
        <v>0</v>
      </c>
      <c r="T1034">
        <v>0</v>
      </c>
      <c r="U1034">
        <v>0</v>
      </c>
      <c r="W1034" t="s">
        <v>99</v>
      </c>
    </row>
    <row r="1035" spans="1:23" x14ac:dyDescent="0.35">
      <c r="A1035" t="s">
        <v>45</v>
      </c>
      <c r="B1035" t="s">
        <v>2087</v>
      </c>
      <c r="C1035" t="s">
        <v>93</v>
      </c>
      <c r="D1035" t="s">
        <v>895</v>
      </c>
      <c r="E1035" t="s">
        <v>896</v>
      </c>
      <c r="F1035" t="s">
        <v>49</v>
      </c>
      <c r="G1035" t="s">
        <v>2177</v>
      </c>
      <c r="H1035" t="s">
        <v>2178</v>
      </c>
      <c r="J1035" t="str">
        <f>HYPERLINK("https://twitter.com/ae3095fccc0c483/status/1765956000040058979","https://twitter.com/ae3095fccc0c483/status/1765956000040058979")</f>
        <v>https://twitter.com/ae3095fccc0c483/status/1765956000040058979</v>
      </c>
      <c r="K1035" t="s">
        <v>67</v>
      </c>
      <c r="O1035">
        <v>0</v>
      </c>
      <c r="P1035">
        <v>0</v>
      </c>
      <c r="Q1035">
        <v>34</v>
      </c>
      <c r="R1035" t="s">
        <v>899</v>
      </c>
      <c r="S1035">
        <v>0</v>
      </c>
      <c r="T1035">
        <v>0</v>
      </c>
      <c r="U1035">
        <v>0</v>
      </c>
      <c r="W1035" t="s">
        <v>99</v>
      </c>
    </row>
    <row r="1036" spans="1:23" x14ac:dyDescent="0.35">
      <c r="A1036" t="s">
        <v>45</v>
      </c>
      <c r="B1036" t="s">
        <v>2087</v>
      </c>
      <c r="C1036" t="s">
        <v>47</v>
      </c>
      <c r="D1036" t="s">
        <v>2179</v>
      </c>
      <c r="E1036" t="s">
        <v>2179</v>
      </c>
      <c r="F1036" t="s">
        <v>49</v>
      </c>
      <c r="G1036" t="s">
        <v>2180</v>
      </c>
      <c r="H1036" t="s">
        <v>2181</v>
      </c>
      <c r="J1036" t="str">
        <f>HYPERLINK("https://www.youtube.com/watch?v=q-1_LF2aJVA&amp;lc=UgyPLTR7cvPNhqDorRJ4AaABAg","https://www.youtube.com/watch?v=q-1_LF2aJVA&amp;lc=UgyPLTR7cvPNhqDorRJ4AaABAg")</f>
        <v>https://www.youtube.com/watch?v=q-1_LF2aJVA&amp;lc=UgyPLTR7cvPNhqDorRJ4AaABAg</v>
      </c>
      <c r="O1036">
        <v>0</v>
      </c>
      <c r="P1036">
        <v>0</v>
      </c>
      <c r="Q1036">
        <v>0</v>
      </c>
      <c r="S1036">
        <v>0</v>
      </c>
      <c r="T1036">
        <v>0</v>
      </c>
      <c r="U1036">
        <v>0</v>
      </c>
      <c r="W1036" t="s">
        <v>52</v>
      </c>
    </row>
    <row r="1037" spans="1:23" x14ac:dyDescent="0.35">
      <c r="A1037" t="s">
        <v>45</v>
      </c>
      <c r="B1037" t="s">
        <v>2087</v>
      </c>
      <c r="C1037" t="s">
        <v>60</v>
      </c>
      <c r="D1037" t="s">
        <v>61</v>
      </c>
      <c r="E1037" t="s">
        <v>61</v>
      </c>
      <c r="F1037" t="s">
        <v>54</v>
      </c>
      <c r="G1037" t="s">
        <v>2182</v>
      </c>
      <c r="H1037" t="s">
        <v>2183</v>
      </c>
      <c r="J1037" t="str">
        <f>HYPERLINK("https://www.facebook.com/634639855377280/posts/804629415044989?comment_id=781768360468506","https://www.facebook.com/634639855377280/posts/804629415044989?comment_id=781768360468506")</f>
        <v>https://www.facebook.com/634639855377280/posts/804629415044989?comment_id=781768360468506</v>
      </c>
      <c r="O1037">
        <v>0</v>
      </c>
      <c r="P1037">
        <v>0</v>
      </c>
      <c r="Q1037">
        <v>0</v>
      </c>
      <c r="S1037">
        <v>0</v>
      </c>
      <c r="T1037">
        <v>0</v>
      </c>
      <c r="U1037">
        <v>0</v>
      </c>
      <c r="W1037" t="s">
        <v>52</v>
      </c>
    </row>
    <row r="1038" spans="1:23" x14ac:dyDescent="0.35">
      <c r="A1038" t="s">
        <v>45</v>
      </c>
      <c r="B1038" t="s">
        <v>2087</v>
      </c>
      <c r="C1038" t="s">
        <v>60</v>
      </c>
      <c r="D1038" t="s">
        <v>61</v>
      </c>
      <c r="E1038" t="s">
        <v>61</v>
      </c>
      <c r="F1038" t="s">
        <v>49</v>
      </c>
      <c r="G1038" t="s">
        <v>2184</v>
      </c>
      <c r="H1038" t="s">
        <v>2185</v>
      </c>
      <c r="J1038" t="str">
        <f>HYPERLINK("https://www.facebook.com/634639855377280/posts/804629415044989?comment_id=409235354845820","https://www.facebook.com/634639855377280/posts/804629415044989?comment_id=409235354845820")</f>
        <v>https://www.facebook.com/634639855377280/posts/804629415044989?comment_id=409235354845820</v>
      </c>
      <c r="O1038">
        <v>0</v>
      </c>
      <c r="P1038">
        <v>0</v>
      </c>
      <c r="Q1038">
        <v>0</v>
      </c>
      <c r="S1038">
        <v>0</v>
      </c>
      <c r="T1038">
        <v>0</v>
      </c>
      <c r="U1038">
        <v>0</v>
      </c>
      <c r="W1038" t="s">
        <v>52</v>
      </c>
    </row>
    <row r="1039" spans="1:23" x14ac:dyDescent="0.35">
      <c r="A1039" t="s">
        <v>45</v>
      </c>
      <c r="B1039" t="s">
        <v>2087</v>
      </c>
      <c r="C1039" t="s">
        <v>60</v>
      </c>
      <c r="D1039" t="s">
        <v>61</v>
      </c>
      <c r="E1039" t="s">
        <v>61</v>
      </c>
      <c r="F1039" t="s">
        <v>49</v>
      </c>
      <c r="G1039" t="s">
        <v>2186</v>
      </c>
      <c r="H1039" t="s">
        <v>2187</v>
      </c>
      <c r="J1039" t="str">
        <f>HYPERLINK("https://www.facebook.com/634639855377280/posts/804629415044989?comment_id=451467597208703","https://www.facebook.com/634639855377280/posts/804629415044989?comment_id=451467597208703")</f>
        <v>https://www.facebook.com/634639855377280/posts/804629415044989?comment_id=451467597208703</v>
      </c>
      <c r="O1039">
        <v>0</v>
      </c>
      <c r="P1039">
        <v>0</v>
      </c>
      <c r="Q1039">
        <v>0</v>
      </c>
      <c r="S1039">
        <v>0</v>
      </c>
      <c r="T1039">
        <v>0</v>
      </c>
      <c r="U1039">
        <v>0</v>
      </c>
      <c r="W1039" t="s">
        <v>52</v>
      </c>
    </row>
    <row r="1040" spans="1:23" x14ac:dyDescent="0.35">
      <c r="A1040" t="s">
        <v>45</v>
      </c>
      <c r="B1040" t="s">
        <v>2087</v>
      </c>
      <c r="C1040" t="s">
        <v>60</v>
      </c>
      <c r="D1040" t="s">
        <v>61</v>
      </c>
      <c r="E1040" t="s">
        <v>61</v>
      </c>
      <c r="F1040" t="s">
        <v>54</v>
      </c>
      <c r="G1040" t="s">
        <v>2188</v>
      </c>
      <c r="H1040" t="s">
        <v>2189</v>
      </c>
      <c r="J1040" t="str">
        <f>HYPERLINK("https://www.facebook.com/634639855377280/posts/804629415044989?comment_id=937544617532737","https://www.facebook.com/634639855377280/posts/804629415044989?comment_id=937544617532737")</f>
        <v>https://www.facebook.com/634639855377280/posts/804629415044989?comment_id=937544617532737</v>
      </c>
      <c r="O1040">
        <v>0</v>
      </c>
      <c r="P1040">
        <v>0</v>
      </c>
      <c r="Q1040">
        <v>0</v>
      </c>
      <c r="S1040">
        <v>0</v>
      </c>
      <c r="T1040">
        <v>0</v>
      </c>
      <c r="U1040">
        <v>0</v>
      </c>
      <c r="W1040" t="s">
        <v>52</v>
      </c>
    </row>
    <row r="1041" spans="1:23" x14ac:dyDescent="0.35">
      <c r="A1041" t="s">
        <v>45</v>
      </c>
      <c r="B1041" t="s">
        <v>2087</v>
      </c>
      <c r="C1041" t="s">
        <v>60</v>
      </c>
      <c r="D1041" t="s">
        <v>61</v>
      </c>
      <c r="E1041" t="s">
        <v>61</v>
      </c>
      <c r="F1041" t="s">
        <v>193</v>
      </c>
      <c r="G1041" t="s">
        <v>2190</v>
      </c>
      <c r="H1041" t="s">
        <v>2191</v>
      </c>
      <c r="J1041" t="str">
        <f>HYPERLINK("https://www.facebook.com/634639855377280/posts/804629415044989?comment_id=1674086510001557","https://www.facebook.com/634639855377280/posts/804629415044989?comment_id=1674086510001557")</f>
        <v>https://www.facebook.com/634639855377280/posts/804629415044989?comment_id=1674086510001557</v>
      </c>
      <c r="O1041">
        <v>0</v>
      </c>
      <c r="P1041">
        <v>0</v>
      </c>
      <c r="Q1041">
        <v>0</v>
      </c>
      <c r="S1041">
        <v>0</v>
      </c>
      <c r="T1041">
        <v>0</v>
      </c>
      <c r="U1041">
        <v>0</v>
      </c>
      <c r="W1041" t="s">
        <v>52</v>
      </c>
    </row>
    <row r="1042" spans="1:23" x14ac:dyDescent="0.35">
      <c r="A1042" t="s">
        <v>45</v>
      </c>
      <c r="B1042" t="s">
        <v>2087</v>
      </c>
      <c r="C1042" t="s">
        <v>60</v>
      </c>
      <c r="D1042" t="s">
        <v>61</v>
      </c>
      <c r="E1042" t="s">
        <v>61</v>
      </c>
      <c r="F1042" t="s">
        <v>49</v>
      </c>
      <c r="H1042" t="s">
        <v>2192</v>
      </c>
      <c r="J1042" t="str">
        <f>HYPERLINK("https://www.facebook.com/634639855377280/posts/804629415044989?comment_id=1625972558215967","https://www.facebook.com/634639855377280/posts/804629415044989?comment_id=1625972558215967")</f>
        <v>https://www.facebook.com/634639855377280/posts/804629415044989?comment_id=1625972558215967</v>
      </c>
      <c r="O1042">
        <v>0</v>
      </c>
      <c r="P1042">
        <v>0</v>
      </c>
      <c r="Q1042">
        <v>0</v>
      </c>
      <c r="S1042">
        <v>0</v>
      </c>
      <c r="T1042">
        <v>0</v>
      </c>
      <c r="U1042">
        <v>0</v>
      </c>
      <c r="W1042" t="s">
        <v>52</v>
      </c>
    </row>
    <row r="1043" spans="1:23" x14ac:dyDescent="0.35">
      <c r="A1043" t="s">
        <v>45</v>
      </c>
      <c r="B1043" t="s">
        <v>2087</v>
      </c>
      <c r="C1043" t="s">
        <v>60</v>
      </c>
      <c r="D1043" t="s">
        <v>64</v>
      </c>
      <c r="E1043" t="s">
        <v>64</v>
      </c>
      <c r="F1043" t="s">
        <v>49</v>
      </c>
      <c r="G1043" t="s">
        <v>2193</v>
      </c>
      <c r="H1043" t="s">
        <v>2194</v>
      </c>
      <c r="J1043" t="str">
        <f>HYPERLINK("https://www.facebook.com/634639855377280/posts/804629415044989","https://www.facebook.com/634639855377280/posts/804629415044989")</f>
        <v>https://www.facebook.com/634639855377280/posts/804629415044989</v>
      </c>
      <c r="O1043">
        <v>0</v>
      </c>
      <c r="P1043">
        <v>0</v>
      </c>
      <c r="Q1043">
        <v>0</v>
      </c>
      <c r="S1043">
        <v>11</v>
      </c>
      <c r="T1043">
        <v>155</v>
      </c>
      <c r="U1043">
        <v>19</v>
      </c>
      <c r="W1043" t="s">
        <v>346</v>
      </c>
    </row>
    <row r="1044" spans="1:23" x14ac:dyDescent="0.35">
      <c r="A1044" t="s">
        <v>45</v>
      </c>
      <c r="B1044" t="s">
        <v>2087</v>
      </c>
      <c r="C1044" t="s">
        <v>93</v>
      </c>
      <c r="D1044" t="s">
        <v>94</v>
      </c>
      <c r="E1044" t="s">
        <v>45</v>
      </c>
      <c r="F1044" t="s">
        <v>49</v>
      </c>
      <c r="G1044" t="s">
        <v>2195</v>
      </c>
      <c r="H1044" t="s">
        <v>2196</v>
      </c>
      <c r="J1044" t="str">
        <f>HYPERLINK("https://twitter.com/SpiceMoneyIndia/status/1765912821681049958","https://twitter.com/SpiceMoneyIndia/status/1765912821681049958")</f>
        <v>https://twitter.com/SpiceMoneyIndia/status/1765912821681049958</v>
      </c>
      <c r="K1044" t="s">
        <v>67</v>
      </c>
      <c r="O1044">
        <v>0</v>
      </c>
      <c r="P1044">
        <v>0</v>
      </c>
      <c r="Q1044">
        <v>6060</v>
      </c>
      <c r="R1044" t="s">
        <v>97</v>
      </c>
      <c r="S1044">
        <v>0</v>
      </c>
      <c r="T1044">
        <v>0</v>
      </c>
      <c r="U1044">
        <v>0</v>
      </c>
      <c r="V1044" t="s">
        <v>98</v>
      </c>
      <c r="W1044" t="s">
        <v>99</v>
      </c>
    </row>
    <row r="1045" spans="1:23" x14ac:dyDescent="0.35">
      <c r="A1045" t="s">
        <v>45</v>
      </c>
      <c r="B1045" t="s">
        <v>2197</v>
      </c>
      <c r="C1045" t="s">
        <v>47</v>
      </c>
      <c r="D1045" t="s">
        <v>2198</v>
      </c>
      <c r="E1045" t="s">
        <v>2198</v>
      </c>
      <c r="F1045" t="s">
        <v>54</v>
      </c>
      <c r="G1045" t="s">
        <v>2199</v>
      </c>
      <c r="H1045" t="s">
        <v>2200</v>
      </c>
      <c r="J1045" t="str">
        <f>HYPERLINK("https://www.youtube.com/watch?v=zkfWhYOCqb8&amp;lc=UgwZH-hOvar7JHhoueJ4AaABAg","https://www.youtube.com/watch?v=zkfWhYOCqb8&amp;lc=UgwZH-hOvar7JHhoueJ4AaABAg")</f>
        <v>https://www.youtube.com/watch?v=zkfWhYOCqb8&amp;lc=UgwZH-hOvar7JHhoueJ4AaABAg</v>
      </c>
      <c r="O1045">
        <v>0</v>
      </c>
      <c r="P1045">
        <v>0</v>
      </c>
      <c r="Q1045">
        <v>0</v>
      </c>
      <c r="S1045">
        <v>0</v>
      </c>
      <c r="T1045">
        <v>0</v>
      </c>
      <c r="U1045">
        <v>0</v>
      </c>
      <c r="W1045" t="s">
        <v>52</v>
      </c>
    </row>
    <row r="1046" spans="1:23" x14ac:dyDescent="0.35">
      <c r="A1046" t="s">
        <v>45</v>
      </c>
      <c r="B1046" t="s">
        <v>2197</v>
      </c>
      <c r="C1046" t="s">
        <v>60</v>
      </c>
      <c r="D1046" t="s">
        <v>61</v>
      </c>
      <c r="E1046" t="s">
        <v>61</v>
      </c>
      <c r="F1046" t="s">
        <v>49</v>
      </c>
      <c r="G1046" t="s">
        <v>2201</v>
      </c>
      <c r="H1046" t="s">
        <v>2202</v>
      </c>
      <c r="J1046" t="str">
        <f>HYPERLINK("https://www.facebook.com/634639855377280/posts/804230455084885?comment_id=3265264340446838","https://www.facebook.com/634639855377280/posts/804230455084885?comment_id=3265264340446838")</f>
        <v>https://www.facebook.com/634639855377280/posts/804230455084885?comment_id=3265264340446838</v>
      </c>
      <c r="O1046">
        <v>0</v>
      </c>
      <c r="P1046">
        <v>0</v>
      </c>
      <c r="Q1046">
        <v>0</v>
      </c>
      <c r="S1046">
        <v>0</v>
      </c>
      <c r="T1046">
        <v>0</v>
      </c>
      <c r="U1046">
        <v>0</v>
      </c>
      <c r="W1046" t="s">
        <v>52</v>
      </c>
    </row>
    <row r="1047" spans="1:23" x14ac:dyDescent="0.35">
      <c r="A1047" t="s">
        <v>45</v>
      </c>
      <c r="B1047" t="s">
        <v>2197</v>
      </c>
      <c r="C1047" t="s">
        <v>47</v>
      </c>
      <c r="D1047" t="s">
        <v>1016</v>
      </c>
      <c r="E1047" t="s">
        <v>1016</v>
      </c>
      <c r="F1047" t="s">
        <v>49</v>
      </c>
      <c r="G1047" t="s">
        <v>2203</v>
      </c>
      <c r="H1047" t="s">
        <v>2204</v>
      </c>
      <c r="J1047" t="str">
        <f>HYPERLINK("https://www.youtube.com/watch?v=KRT5g20Nqy8&amp;lc=UgyxWQFNxUZxIP8BLfN4AaABAg","https://www.youtube.com/watch?v=KRT5g20Nqy8&amp;lc=UgyxWQFNxUZxIP8BLfN4AaABAg")</f>
        <v>https://www.youtube.com/watch?v=KRT5g20Nqy8&amp;lc=UgyxWQFNxUZxIP8BLfN4AaABAg</v>
      </c>
      <c r="O1047">
        <v>0</v>
      </c>
      <c r="P1047">
        <v>0</v>
      </c>
      <c r="Q1047">
        <v>0</v>
      </c>
      <c r="S1047">
        <v>0</v>
      </c>
      <c r="T1047">
        <v>0</v>
      </c>
      <c r="U1047">
        <v>0</v>
      </c>
      <c r="W1047" t="s">
        <v>52</v>
      </c>
    </row>
    <row r="1048" spans="1:23" x14ac:dyDescent="0.35">
      <c r="A1048" t="s">
        <v>45</v>
      </c>
      <c r="B1048" t="s">
        <v>2197</v>
      </c>
      <c r="C1048" t="s">
        <v>47</v>
      </c>
      <c r="D1048" t="s">
        <v>2205</v>
      </c>
      <c r="E1048" t="s">
        <v>2205</v>
      </c>
      <c r="F1048" t="s">
        <v>193</v>
      </c>
      <c r="G1048" t="s">
        <v>2206</v>
      </c>
      <c r="H1048" t="s">
        <v>2207</v>
      </c>
      <c r="J1048" t="str">
        <f>HYPERLINK("https://www.youtube.com/watch?v=KRT5g20Nqy8&amp;lc=UgxGxZD_YRZDKrca_tB4AaABAg","https://www.youtube.com/watch?v=KRT5g20Nqy8&amp;lc=UgxGxZD_YRZDKrca_tB4AaABAg")</f>
        <v>https://www.youtube.com/watch?v=KRT5g20Nqy8&amp;lc=UgxGxZD_YRZDKrca_tB4AaABAg</v>
      </c>
      <c r="O1048">
        <v>0</v>
      </c>
      <c r="P1048">
        <v>0</v>
      </c>
      <c r="Q1048">
        <v>0</v>
      </c>
      <c r="S1048">
        <v>0</v>
      </c>
      <c r="T1048">
        <v>0</v>
      </c>
      <c r="U1048">
        <v>0</v>
      </c>
      <c r="W1048" t="s">
        <v>52</v>
      </c>
    </row>
    <row r="1049" spans="1:23" x14ac:dyDescent="0.35">
      <c r="A1049" t="s">
        <v>45</v>
      </c>
      <c r="B1049" t="s">
        <v>2197</v>
      </c>
      <c r="C1049" t="s">
        <v>47</v>
      </c>
      <c r="D1049" t="s">
        <v>1016</v>
      </c>
      <c r="E1049" t="s">
        <v>1016</v>
      </c>
      <c r="F1049" t="s">
        <v>193</v>
      </c>
      <c r="G1049" t="s">
        <v>2208</v>
      </c>
      <c r="H1049" t="s">
        <v>2209</v>
      </c>
      <c r="J1049" t="str">
        <f>HYPERLINK("https://www.youtube.com/watch?v=KRT5g20Nqy8&amp;lc=UgzqZNsPDdzmfA6tCsR4AaABAg","https://www.youtube.com/watch?v=KRT5g20Nqy8&amp;lc=UgzqZNsPDdzmfA6tCsR4AaABAg")</f>
        <v>https://www.youtube.com/watch?v=KRT5g20Nqy8&amp;lc=UgzqZNsPDdzmfA6tCsR4AaABAg</v>
      </c>
      <c r="O1049">
        <v>0</v>
      </c>
      <c r="P1049">
        <v>0</v>
      </c>
      <c r="Q1049">
        <v>0</v>
      </c>
      <c r="S1049">
        <v>0</v>
      </c>
      <c r="T1049">
        <v>0</v>
      </c>
      <c r="U1049">
        <v>0</v>
      </c>
      <c r="W1049" t="s">
        <v>52</v>
      </c>
    </row>
    <row r="1050" spans="1:23" x14ac:dyDescent="0.35">
      <c r="A1050" t="s">
        <v>45</v>
      </c>
      <c r="B1050" t="s">
        <v>2197</v>
      </c>
      <c r="C1050" t="s">
        <v>60</v>
      </c>
      <c r="D1050" t="s">
        <v>64</v>
      </c>
      <c r="E1050" t="s">
        <v>64</v>
      </c>
      <c r="F1050" t="s">
        <v>49</v>
      </c>
      <c r="H1050" t="s">
        <v>2210</v>
      </c>
      <c r="J1050" t="str">
        <f>HYPERLINK("https://www.facebook.com/634639855377280/posts/922746062821120?substory_index=922746062821120","https://www.facebook.com/634639855377280/posts/922746062821120?substory_index=922746062821120")</f>
        <v>https://www.facebook.com/634639855377280/posts/922746062821120?substory_index=922746062821120</v>
      </c>
      <c r="O1050">
        <v>0</v>
      </c>
      <c r="P1050">
        <v>0</v>
      </c>
      <c r="Q1050">
        <v>0</v>
      </c>
      <c r="S1050">
        <v>0</v>
      </c>
      <c r="T1050">
        <v>0</v>
      </c>
      <c r="U1050">
        <v>0</v>
      </c>
      <c r="W1050" t="s">
        <v>346</v>
      </c>
    </row>
    <row r="1051" spans="1:23" x14ac:dyDescent="0.35">
      <c r="A1051" t="s">
        <v>45</v>
      </c>
      <c r="B1051" t="s">
        <v>2197</v>
      </c>
      <c r="C1051" t="s">
        <v>47</v>
      </c>
      <c r="D1051" t="s">
        <v>843</v>
      </c>
      <c r="E1051" t="s">
        <v>843</v>
      </c>
      <c r="F1051" t="s">
        <v>193</v>
      </c>
      <c r="G1051" t="s">
        <v>2211</v>
      </c>
      <c r="H1051" t="s">
        <v>2212</v>
      </c>
      <c r="J1051" t="str">
        <f>HYPERLINK("https://www.youtube.com/watch?v=KRT5g20Nqy8&amp;lc=UgwD3XN1KD0VwbnT8up4AaABAg","https://www.youtube.com/watch?v=KRT5g20Nqy8&amp;lc=UgwD3XN1KD0VwbnT8up4AaABAg")</f>
        <v>https://www.youtube.com/watch?v=KRT5g20Nqy8&amp;lc=UgwD3XN1KD0VwbnT8up4AaABAg</v>
      </c>
      <c r="O1051">
        <v>0</v>
      </c>
      <c r="P1051">
        <v>0</v>
      </c>
      <c r="Q1051">
        <v>0</v>
      </c>
      <c r="S1051">
        <v>0</v>
      </c>
      <c r="T1051">
        <v>0</v>
      </c>
      <c r="U1051">
        <v>0</v>
      </c>
      <c r="W1051" t="s">
        <v>52</v>
      </c>
    </row>
    <row r="1052" spans="1:23" x14ac:dyDescent="0.35">
      <c r="A1052" t="s">
        <v>45</v>
      </c>
      <c r="B1052" t="s">
        <v>2197</v>
      </c>
      <c r="C1052" t="s">
        <v>47</v>
      </c>
      <c r="D1052" t="s">
        <v>45</v>
      </c>
      <c r="E1052" t="s">
        <v>45</v>
      </c>
      <c r="F1052" t="s">
        <v>49</v>
      </c>
      <c r="G1052" t="s">
        <v>2213</v>
      </c>
      <c r="H1052" t="s">
        <v>2214</v>
      </c>
      <c r="J1052" t="str">
        <f>HYPERLINK("https://www.youtube.com/watch?v=-JmhdqYQjqw","https://www.youtube.com/watch?v=-JmhdqYQjqw")</f>
        <v>https://www.youtube.com/watch?v=-JmhdqYQjqw</v>
      </c>
      <c r="O1052">
        <v>0</v>
      </c>
      <c r="P1052">
        <v>0</v>
      </c>
      <c r="Q1052">
        <v>0</v>
      </c>
      <c r="S1052">
        <v>0</v>
      </c>
      <c r="T1052">
        <v>0</v>
      </c>
      <c r="U1052">
        <v>0</v>
      </c>
      <c r="W1052" t="s">
        <v>346</v>
      </c>
    </row>
    <row r="1053" spans="1:23" x14ac:dyDescent="0.35">
      <c r="A1053" t="s">
        <v>45</v>
      </c>
      <c r="B1053" t="s">
        <v>2197</v>
      </c>
      <c r="C1053" t="s">
        <v>47</v>
      </c>
      <c r="D1053" t="s">
        <v>68</v>
      </c>
      <c r="E1053" t="s">
        <v>68</v>
      </c>
      <c r="F1053" t="s">
        <v>49</v>
      </c>
      <c r="G1053" t="s">
        <v>1980</v>
      </c>
      <c r="H1053" t="s">
        <v>2215</v>
      </c>
      <c r="J1053" t="str">
        <f>HYPERLINK("https://www.youtube.com/watch?v=KRT5g20Nqy8&amp;lc=UgwNR3_VmjL4ZBmquMp4AaABAg.A0fpwsnekUoA0fzSafy-sm","https://www.youtube.com/watch?v=KRT5g20Nqy8&amp;lc=UgwNR3_VmjL4ZBmquMp4AaABAg.A0fpwsnekUoA0fzSafy-sm")</f>
        <v>https://www.youtube.com/watch?v=KRT5g20Nqy8&amp;lc=UgwNR3_VmjL4ZBmquMp4AaABAg.A0fpwsnekUoA0fzSafy-sm</v>
      </c>
      <c r="O1053">
        <v>0</v>
      </c>
      <c r="P1053">
        <v>0</v>
      </c>
      <c r="Q1053">
        <v>0</v>
      </c>
      <c r="S1053">
        <v>0</v>
      </c>
      <c r="T1053">
        <v>0</v>
      </c>
      <c r="U1053">
        <v>0</v>
      </c>
      <c r="W1053" t="s">
        <v>52</v>
      </c>
    </row>
    <row r="1054" spans="1:23" x14ac:dyDescent="0.35">
      <c r="A1054" t="s">
        <v>45</v>
      </c>
      <c r="B1054" t="s">
        <v>2197</v>
      </c>
      <c r="C1054" t="s">
        <v>60</v>
      </c>
      <c r="D1054" t="s">
        <v>61</v>
      </c>
      <c r="E1054" t="s">
        <v>61</v>
      </c>
      <c r="F1054" t="s">
        <v>49</v>
      </c>
      <c r="H1054" t="s">
        <v>2216</v>
      </c>
      <c r="J1054" t="str">
        <f>HYPERLINK("https://www.facebook.com/634639855377280/posts/804230455084885?comment_id=1197745004727469","https://www.facebook.com/634639855377280/posts/804230455084885?comment_id=1197745004727469")</f>
        <v>https://www.facebook.com/634639855377280/posts/804230455084885?comment_id=1197745004727469</v>
      </c>
      <c r="O1054">
        <v>0</v>
      </c>
      <c r="P1054">
        <v>0</v>
      </c>
      <c r="Q1054">
        <v>0</v>
      </c>
      <c r="S1054">
        <v>0</v>
      </c>
      <c r="T1054">
        <v>0</v>
      </c>
      <c r="U1054">
        <v>0</v>
      </c>
      <c r="W1054" t="s">
        <v>52</v>
      </c>
    </row>
    <row r="1055" spans="1:23" x14ac:dyDescent="0.35">
      <c r="A1055" t="s">
        <v>45</v>
      </c>
      <c r="B1055" t="s">
        <v>2197</v>
      </c>
      <c r="C1055" t="s">
        <v>47</v>
      </c>
      <c r="D1055" t="s">
        <v>351</v>
      </c>
      <c r="E1055" t="s">
        <v>351</v>
      </c>
      <c r="F1055" t="s">
        <v>49</v>
      </c>
      <c r="G1055" t="s">
        <v>2217</v>
      </c>
      <c r="H1055" t="s">
        <v>2218</v>
      </c>
      <c r="J1055" t="str">
        <f>HYPERLINK("https://www.youtube.com/watch?v=KRT5g20Nqy8&amp;lc=UgzQFwufMXjr3KHKxgl4AaABAg.A0fpb2Q1DKpA0fuH5wcsZ9","https://www.youtube.com/watch?v=KRT5g20Nqy8&amp;lc=UgzQFwufMXjr3KHKxgl4AaABAg.A0fpb2Q1DKpA0fuH5wcsZ9")</f>
        <v>https://www.youtube.com/watch?v=KRT5g20Nqy8&amp;lc=UgzQFwufMXjr3KHKxgl4AaABAg.A0fpb2Q1DKpA0fuH5wcsZ9</v>
      </c>
      <c r="O1055">
        <v>0</v>
      </c>
      <c r="P1055">
        <v>0</v>
      </c>
      <c r="Q1055">
        <v>0</v>
      </c>
      <c r="S1055">
        <v>0</v>
      </c>
      <c r="T1055">
        <v>0</v>
      </c>
      <c r="U1055">
        <v>0</v>
      </c>
      <c r="W1055" t="s">
        <v>52</v>
      </c>
    </row>
    <row r="1056" spans="1:23" x14ac:dyDescent="0.35">
      <c r="A1056" t="s">
        <v>45</v>
      </c>
      <c r="B1056" t="s">
        <v>2197</v>
      </c>
      <c r="C1056" t="s">
        <v>47</v>
      </c>
      <c r="D1056" t="s">
        <v>68</v>
      </c>
      <c r="E1056" t="s">
        <v>68</v>
      </c>
      <c r="F1056" t="s">
        <v>49</v>
      </c>
      <c r="G1056" t="s">
        <v>164</v>
      </c>
      <c r="H1056" t="s">
        <v>2219</v>
      </c>
      <c r="J1056" t="str">
        <f>HYPERLINK("https://www.youtube.com/watch?v=KRT5g20Nqy8&amp;lc=UgzQFwufMXjr3KHKxgl4AaABAg.A0fpb2Q1DKpA0fspYk4EOs","https://www.youtube.com/watch?v=KRT5g20Nqy8&amp;lc=UgzQFwufMXjr3KHKxgl4AaABAg.A0fpb2Q1DKpA0fspYk4EOs")</f>
        <v>https://www.youtube.com/watch?v=KRT5g20Nqy8&amp;lc=UgzQFwufMXjr3KHKxgl4AaABAg.A0fpb2Q1DKpA0fspYk4EOs</v>
      </c>
      <c r="O1056">
        <v>0</v>
      </c>
      <c r="P1056">
        <v>0</v>
      </c>
      <c r="Q1056">
        <v>0</v>
      </c>
      <c r="S1056">
        <v>0</v>
      </c>
      <c r="T1056">
        <v>0</v>
      </c>
      <c r="U1056">
        <v>0</v>
      </c>
      <c r="W1056" t="s">
        <v>52</v>
      </c>
    </row>
    <row r="1057" spans="1:23" x14ac:dyDescent="0.35">
      <c r="A1057" t="s">
        <v>45</v>
      </c>
      <c r="B1057" t="s">
        <v>2197</v>
      </c>
      <c r="C1057" t="s">
        <v>93</v>
      </c>
      <c r="D1057" t="s">
        <v>94</v>
      </c>
      <c r="E1057" t="s">
        <v>45</v>
      </c>
      <c r="F1057" t="s">
        <v>49</v>
      </c>
      <c r="G1057" t="s">
        <v>2220</v>
      </c>
      <c r="H1057" t="s">
        <v>2221</v>
      </c>
      <c r="J1057" t="str">
        <f>HYPERLINK("https://twitter.com/SpiceMoneyIndia/status/1765679399158858179","https://twitter.com/SpiceMoneyIndia/status/1765679399158858179")</f>
        <v>https://twitter.com/SpiceMoneyIndia/status/1765679399158858179</v>
      </c>
      <c r="K1057" t="s">
        <v>67</v>
      </c>
      <c r="O1057">
        <v>0</v>
      </c>
      <c r="P1057">
        <v>0</v>
      </c>
      <c r="Q1057">
        <v>6059</v>
      </c>
      <c r="R1057" t="s">
        <v>97</v>
      </c>
      <c r="S1057">
        <v>0</v>
      </c>
      <c r="T1057">
        <v>0</v>
      </c>
      <c r="U1057">
        <v>0</v>
      </c>
      <c r="V1057" t="s">
        <v>98</v>
      </c>
      <c r="W1057" t="s">
        <v>99</v>
      </c>
    </row>
    <row r="1058" spans="1:23" x14ac:dyDescent="0.35">
      <c r="A1058" t="s">
        <v>45</v>
      </c>
      <c r="B1058" t="s">
        <v>2197</v>
      </c>
      <c r="C1058" t="s">
        <v>93</v>
      </c>
      <c r="D1058" t="s">
        <v>94</v>
      </c>
      <c r="E1058" t="s">
        <v>45</v>
      </c>
      <c r="F1058" t="s">
        <v>49</v>
      </c>
      <c r="G1058" t="s">
        <v>2222</v>
      </c>
      <c r="H1058" t="s">
        <v>2223</v>
      </c>
      <c r="J1058" t="str">
        <f>HYPERLINK("https://twitter.com/SpiceMoneyIndia/status/1765679190261502089","https://twitter.com/SpiceMoneyIndia/status/1765679190261502089")</f>
        <v>https://twitter.com/SpiceMoneyIndia/status/1765679190261502089</v>
      </c>
      <c r="K1058" t="s">
        <v>67</v>
      </c>
      <c r="O1058">
        <v>0</v>
      </c>
      <c r="P1058">
        <v>0</v>
      </c>
      <c r="Q1058">
        <v>6059</v>
      </c>
      <c r="R1058" t="s">
        <v>97</v>
      </c>
      <c r="S1058">
        <v>0</v>
      </c>
      <c r="T1058">
        <v>0</v>
      </c>
      <c r="U1058">
        <v>0</v>
      </c>
      <c r="V1058" t="s">
        <v>98</v>
      </c>
      <c r="W1058" t="s">
        <v>99</v>
      </c>
    </row>
    <row r="1059" spans="1:23" x14ac:dyDescent="0.35">
      <c r="A1059" t="s">
        <v>45</v>
      </c>
      <c r="B1059" t="s">
        <v>2197</v>
      </c>
      <c r="C1059" t="s">
        <v>93</v>
      </c>
      <c r="D1059" t="s">
        <v>94</v>
      </c>
      <c r="E1059" t="s">
        <v>45</v>
      </c>
      <c r="F1059" t="s">
        <v>49</v>
      </c>
      <c r="G1059" t="s">
        <v>2224</v>
      </c>
      <c r="H1059" t="s">
        <v>2225</v>
      </c>
      <c r="J1059" t="str">
        <f>HYPERLINK("https://twitter.com/SpiceMoneyIndia/status/1765679043632861427","https://twitter.com/SpiceMoneyIndia/status/1765679043632861427")</f>
        <v>https://twitter.com/SpiceMoneyIndia/status/1765679043632861427</v>
      </c>
      <c r="K1059" t="s">
        <v>67</v>
      </c>
      <c r="O1059">
        <v>0</v>
      </c>
      <c r="P1059">
        <v>0</v>
      </c>
      <c r="Q1059">
        <v>6059</v>
      </c>
      <c r="R1059" t="s">
        <v>97</v>
      </c>
      <c r="S1059">
        <v>0</v>
      </c>
      <c r="T1059">
        <v>0</v>
      </c>
      <c r="U1059">
        <v>0</v>
      </c>
      <c r="V1059" t="s">
        <v>98</v>
      </c>
      <c r="W1059" t="s">
        <v>99</v>
      </c>
    </row>
    <row r="1060" spans="1:23" x14ac:dyDescent="0.35">
      <c r="A1060" t="s">
        <v>45</v>
      </c>
      <c r="B1060" t="s">
        <v>2197</v>
      </c>
      <c r="C1060" t="s">
        <v>60</v>
      </c>
      <c r="D1060" t="s">
        <v>64</v>
      </c>
      <c r="E1060" t="s">
        <v>64</v>
      </c>
      <c r="F1060" t="s">
        <v>49</v>
      </c>
      <c r="G1060" t="s">
        <v>280</v>
      </c>
      <c r="H1060" t="s">
        <v>2226</v>
      </c>
      <c r="J1060" t="str">
        <f>HYPERLINK("https://www.facebook.com/634639855377280/posts/803432851831312?comment_id=1348554352474929&amp;reply_comment_id=744382551118996","https://www.facebook.com/634639855377280/posts/803432851831312?comment_id=1348554352474929&amp;reply_comment_id=744382551118996")</f>
        <v>https://www.facebook.com/634639855377280/posts/803432851831312?comment_id=1348554352474929&amp;reply_comment_id=744382551118996</v>
      </c>
      <c r="K1060" t="s">
        <v>67</v>
      </c>
      <c r="O1060">
        <v>0</v>
      </c>
      <c r="P1060">
        <v>0</v>
      </c>
      <c r="Q1060">
        <v>0</v>
      </c>
      <c r="S1060">
        <v>0</v>
      </c>
      <c r="T1060">
        <v>0</v>
      </c>
      <c r="U1060">
        <v>0</v>
      </c>
      <c r="W1060" t="s">
        <v>52</v>
      </c>
    </row>
    <row r="1061" spans="1:23" x14ac:dyDescent="0.35">
      <c r="A1061" t="s">
        <v>45</v>
      </c>
      <c r="B1061" t="s">
        <v>2197</v>
      </c>
      <c r="C1061" t="s">
        <v>60</v>
      </c>
      <c r="D1061" t="s">
        <v>64</v>
      </c>
      <c r="E1061" t="s">
        <v>64</v>
      </c>
      <c r="F1061" t="s">
        <v>49</v>
      </c>
      <c r="G1061" t="s">
        <v>2227</v>
      </c>
      <c r="H1061" t="s">
        <v>2228</v>
      </c>
      <c r="J1061" t="str">
        <f>HYPERLINK("https://www.facebook.com/634639855377280/posts/804230455084885","https://www.facebook.com/634639855377280/posts/804230455084885")</f>
        <v>https://www.facebook.com/634639855377280/posts/804230455084885</v>
      </c>
      <c r="O1061">
        <v>0</v>
      </c>
      <c r="P1061">
        <v>0</v>
      </c>
      <c r="Q1061">
        <v>0</v>
      </c>
      <c r="S1061">
        <v>3</v>
      </c>
      <c r="T1061">
        <v>10</v>
      </c>
      <c r="U1061">
        <v>1</v>
      </c>
      <c r="W1061" t="s">
        <v>346</v>
      </c>
    </row>
    <row r="1062" spans="1:23" x14ac:dyDescent="0.35">
      <c r="A1062" t="s">
        <v>45</v>
      </c>
      <c r="B1062" t="s">
        <v>2197</v>
      </c>
      <c r="C1062" t="s">
        <v>47</v>
      </c>
      <c r="D1062" t="s">
        <v>351</v>
      </c>
      <c r="E1062" t="s">
        <v>351</v>
      </c>
      <c r="F1062" t="s">
        <v>54</v>
      </c>
      <c r="G1062" t="s">
        <v>2229</v>
      </c>
      <c r="H1062" t="s">
        <v>2230</v>
      </c>
      <c r="J1062" t="str">
        <f>HYPERLINK("https://www.youtube.com/watch?v=KRT5g20Nqy8&amp;lc=Ugzpv299H_U_dzQfqVl4AaABAg","https://www.youtube.com/watch?v=KRT5g20Nqy8&amp;lc=Ugzpv299H_U_dzQfqVl4AaABAg")</f>
        <v>https://www.youtube.com/watch?v=KRT5g20Nqy8&amp;lc=Ugzpv299H_U_dzQfqVl4AaABAg</v>
      </c>
      <c r="O1062">
        <v>0</v>
      </c>
      <c r="P1062">
        <v>0</v>
      </c>
      <c r="Q1062">
        <v>0</v>
      </c>
      <c r="S1062">
        <v>0</v>
      </c>
      <c r="T1062">
        <v>0</v>
      </c>
      <c r="U1062">
        <v>0</v>
      </c>
      <c r="W1062" t="s">
        <v>52</v>
      </c>
    </row>
    <row r="1063" spans="1:23" x14ac:dyDescent="0.35">
      <c r="A1063" t="s">
        <v>45</v>
      </c>
      <c r="B1063" t="s">
        <v>2197</v>
      </c>
      <c r="C1063" t="s">
        <v>47</v>
      </c>
      <c r="D1063" t="s">
        <v>351</v>
      </c>
      <c r="E1063" t="s">
        <v>351</v>
      </c>
      <c r="F1063" t="s">
        <v>49</v>
      </c>
      <c r="G1063" t="s">
        <v>2231</v>
      </c>
      <c r="H1063" t="s">
        <v>2232</v>
      </c>
      <c r="J1063" t="str">
        <f>HYPERLINK("https://www.youtube.com/watch?v=KRT5g20Nqy8&amp;lc=UgwG98nER9hLcWFTmBl4AaABAg","https://www.youtube.com/watch?v=KRT5g20Nqy8&amp;lc=UgwG98nER9hLcWFTmBl4AaABAg")</f>
        <v>https://www.youtube.com/watch?v=KRT5g20Nqy8&amp;lc=UgwG98nER9hLcWFTmBl4AaABAg</v>
      </c>
      <c r="O1063">
        <v>0</v>
      </c>
      <c r="P1063">
        <v>0</v>
      </c>
      <c r="Q1063">
        <v>0</v>
      </c>
      <c r="S1063">
        <v>0</v>
      </c>
      <c r="T1063">
        <v>0</v>
      </c>
      <c r="U1063">
        <v>0</v>
      </c>
      <c r="W1063" t="s">
        <v>52</v>
      </c>
    </row>
    <row r="1064" spans="1:23" x14ac:dyDescent="0.35">
      <c r="A1064" t="s">
        <v>45</v>
      </c>
      <c r="B1064" t="s">
        <v>2197</v>
      </c>
      <c r="C1064" t="s">
        <v>47</v>
      </c>
      <c r="D1064" t="s">
        <v>351</v>
      </c>
      <c r="E1064" t="s">
        <v>351</v>
      </c>
      <c r="F1064" t="s">
        <v>49</v>
      </c>
      <c r="G1064" t="s">
        <v>2233</v>
      </c>
      <c r="H1064" t="s">
        <v>2234</v>
      </c>
      <c r="J1064" t="str">
        <f>HYPERLINK("https://www.youtube.com/watch?v=KRT5g20Nqy8&amp;lc=Ugwev5YRYT8NVQgVr1V4AaABAg","https://www.youtube.com/watch?v=KRT5g20Nqy8&amp;lc=Ugwev5YRYT8NVQgVr1V4AaABAg")</f>
        <v>https://www.youtube.com/watch?v=KRT5g20Nqy8&amp;lc=Ugwev5YRYT8NVQgVr1V4AaABAg</v>
      </c>
      <c r="O1064">
        <v>0</v>
      </c>
      <c r="P1064">
        <v>0</v>
      </c>
      <c r="Q1064">
        <v>0</v>
      </c>
      <c r="S1064">
        <v>0</v>
      </c>
      <c r="T1064">
        <v>0</v>
      </c>
      <c r="U1064">
        <v>0</v>
      </c>
      <c r="W1064" t="s">
        <v>52</v>
      </c>
    </row>
    <row r="1065" spans="1:23" x14ac:dyDescent="0.35">
      <c r="A1065" t="s">
        <v>45</v>
      </c>
      <c r="B1065" t="s">
        <v>2197</v>
      </c>
      <c r="C1065" t="s">
        <v>47</v>
      </c>
      <c r="D1065" t="s">
        <v>351</v>
      </c>
      <c r="E1065" t="s">
        <v>351</v>
      </c>
      <c r="F1065" t="s">
        <v>49</v>
      </c>
      <c r="G1065" t="s">
        <v>2235</v>
      </c>
      <c r="H1065" t="s">
        <v>2236</v>
      </c>
      <c r="J1065" t="str">
        <f>HYPERLINK("https://www.youtube.com/watch?v=KRT5g20Nqy8&amp;lc=UgwNR3_VmjL4ZBmquMp4AaABAg","https://www.youtube.com/watch?v=KRT5g20Nqy8&amp;lc=UgwNR3_VmjL4ZBmquMp4AaABAg")</f>
        <v>https://www.youtube.com/watch?v=KRT5g20Nqy8&amp;lc=UgwNR3_VmjL4ZBmquMp4AaABAg</v>
      </c>
      <c r="O1065">
        <v>0</v>
      </c>
      <c r="P1065">
        <v>0</v>
      </c>
      <c r="Q1065">
        <v>0</v>
      </c>
      <c r="S1065">
        <v>0</v>
      </c>
      <c r="T1065">
        <v>0</v>
      </c>
      <c r="U1065">
        <v>0</v>
      </c>
      <c r="W1065" t="s">
        <v>52</v>
      </c>
    </row>
    <row r="1066" spans="1:23" x14ac:dyDescent="0.35">
      <c r="A1066" t="s">
        <v>45</v>
      </c>
      <c r="B1066" t="s">
        <v>2197</v>
      </c>
      <c r="C1066" t="s">
        <v>47</v>
      </c>
      <c r="D1066" t="s">
        <v>351</v>
      </c>
      <c r="E1066" t="s">
        <v>351</v>
      </c>
      <c r="F1066" t="s">
        <v>49</v>
      </c>
      <c r="G1066" t="s">
        <v>2237</v>
      </c>
      <c r="H1066" t="s">
        <v>2238</v>
      </c>
      <c r="J1066" t="str">
        <f>HYPERLINK("https://www.youtube.com/watch?v=KRT5g20Nqy8&amp;lc=UgzQFwufMXjr3KHKxgl4AaABAg","https://www.youtube.com/watch?v=KRT5g20Nqy8&amp;lc=UgzQFwufMXjr3KHKxgl4AaABAg")</f>
        <v>https://www.youtube.com/watch?v=KRT5g20Nqy8&amp;lc=UgzQFwufMXjr3KHKxgl4AaABAg</v>
      </c>
      <c r="O1066">
        <v>0</v>
      </c>
      <c r="P1066">
        <v>0</v>
      </c>
      <c r="Q1066">
        <v>0</v>
      </c>
      <c r="S1066">
        <v>0</v>
      </c>
      <c r="T1066">
        <v>0</v>
      </c>
      <c r="U1066">
        <v>0</v>
      </c>
      <c r="W1066" t="s">
        <v>52</v>
      </c>
    </row>
    <row r="1067" spans="1:23" x14ac:dyDescent="0.35">
      <c r="A1067" t="s">
        <v>45</v>
      </c>
      <c r="B1067" t="s">
        <v>2197</v>
      </c>
      <c r="C1067" t="s">
        <v>60</v>
      </c>
      <c r="D1067" t="s">
        <v>64</v>
      </c>
      <c r="E1067" t="s">
        <v>64</v>
      </c>
      <c r="F1067" t="s">
        <v>49</v>
      </c>
      <c r="G1067" t="s">
        <v>100</v>
      </c>
      <c r="H1067" t="s">
        <v>2239</v>
      </c>
      <c r="J1067" t="str">
        <f>HYPERLINK("https://www.facebook.com/634639855377280/posts/803432851831312?comment_id=2657426387741596&amp;reply_comment_id=373124565645186","https://www.facebook.com/634639855377280/posts/803432851831312?comment_id=2657426387741596&amp;reply_comment_id=373124565645186")</f>
        <v>https://www.facebook.com/634639855377280/posts/803432851831312?comment_id=2657426387741596&amp;reply_comment_id=373124565645186</v>
      </c>
      <c r="K1067" t="s">
        <v>67</v>
      </c>
      <c r="O1067">
        <v>0</v>
      </c>
      <c r="P1067">
        <v>0</v>
      </c>
      <c r="Q1067">
        <v>0</v>
      </c>
      <c r="S1067">
        <v>0</v>
      </c>
      <c r="T1067">
        <v>0</v>
      </c>
      <c r="U1067">
        <v>0</v>
      </c>
      <c r="W1067" t="s">
        <v>52</v>
      </c>
    </row>
    <row r="1068" spans="1:23" x14ac:dyDescent="0.35">
      <c r="A1068" t="s">
        <v>45</v>
      </c>
      <c r="B1068" t="s">
        <v>2197</v>
      </c>
      <c r="C1068" t="s">
        <v>93</v>
      </c>
      <c r="D1068" t="s">
        <v>94</v>
      </c>
      <c r="E1068" t="s">
        <v>45</v>
      </c>
      <c r="F1068" t="s">
        <v>49</v>
      </c>
      <c r="G1068" t="s">
        <v>2240</v>
      </c>
      <c r="H1068" t="s">
        <v>2241</v>
      </c>
      <c r="J1068" t="str">
        <f>HYPERLINK("https://twitter.com/SpiceMoneyIndia/status/1765672162671702259","https://twitter.com/SpiceMoneyIndia/status/1765672162671702259")</f>
        <v>https://twitter.com/SpiceMoneyIndia/status/1765672162671702259</v>
      </c>
      <c r="K1068" t="s">
        <v>67</v>
      </c>
      <c r="O1068">
        <v>0</v>
      </c>
      <c r="P1068">
        <v>0</v>
      </c>
      <c r="Q1068">
        <v>6059</v>
      </c>
      <c r="R1068" t="s">
        <v>97</v>
      </c>
      <c r="S1068">
        <v>0</v>
      </c>
      <c r="T1068">
        <v>0</v>
      </c>
      <c r="U1068">
        <v>0</v>
      </c>
      <c r="V1068" t="s">
        <v>98</v>
      </c>
      <c r="W1068" t="s">
        <v>99</v>
      </c>
    </row>
    <row r="1069" spans="1:23" x14ac:dyDescent="0.35">
      <c r="A1069" t="s">
        <v>45</v>
      </c>
      <c r="B1069" t="s">
        <v>2197</v>
      </c>
      <c r="C1069" t="s">
        <v>47</v>
      </c>
      <c r="D1069" t="s">
        <v>45</v>
      </c>
      <c r="E1069" t="s">
        <v>45</v>
      </c>
      <c r="F1069" t="s">
        <v>49</v>
      </c>
      <c r="G1069" t="s">
        <v>835</v>
      </c>
      <c r="H1069" t="s">
        <v>2242</v>
      </c>
      <c r="J1069" t="str">
        <f>HYPERLINK("https://www.youtube.com/watch?v=KRT5g20Nqy8","https://www.youtube.com/watch?v=KRT5g20Nqy8")</f>
        <v>https://www.youtube.com/watch?v=KRT5g20Nqy8</v>
      </c>
      <c r="O1069">
        <v>0</v>
      </c>
      <c r="P1069">
        <v>0</v>
      </c>
      <c r="Q1069">
        <v>0</v>
      </c>
      <c r="S1069">
        <v>0</v>
      </c>
      <c r="T1069">
        <v>0</v>
      </c>
      <c r="U1069">
        <v>0</v>
      </c>
      <c r="W1069" t="s">
        <v>346</v>
      </c>
    </row>
    <row r="1070" spans="1:23" x14ac:dyDescent="0.35">
      <c r="A1070" t="s">
        <v>45</v>
      </c>
      <c r="B1070" t="s">
        <v>2197</v>
      </c>
      <c r="C1070" t="s">
        <v>93</v>
      </c>
      <c r="D1070" t="s">
        <v>2243</v>
      </c>
      <c r="E1070" t="s">
        <v>2244</v>
      </c>
      <c r="F1070" t="s">
        <v>49</v>
      </c>
      <c r="G1070" t="s">
        <v>2245</v>
      </c>
      <c r="H1070" t="s">
        <v>2246</v>
      </c>
      <c r="J1070" t="str">
        <f>HYPERLINK("https://twitter.com/DangilBabu/status/1765665295794950591","https://twitter.com/DangilBabu/status/1765665295794950591")</f>
        <v>https://twitter.com/DangilBabu/status/1765665295794950591</v>
      </c>
      <c r="O1070">
        <v>0</v>
      </c>
      <c r="P1070">
        <v>0</v>
      </c>
      <c r="Q1070">
        <v>0</v>
      </c>
      <c r="S1070">
        <v>0</v>
      </c>
      <c r="T1070">
        <v>0</v>
      </c>
      <c r="U1070">
        <v>0</v>
      </c>
      <c r="W1070" t="s">
        <v>99</v>
      </c>
    </row>
    <row r="1071" spans="1:23" x14ac:dyDescent="0.35">
      <c r="A1071" t="s">
        <v>45</v>
      </c>
      <c r="B1071" t="s">
        <v>2197</v>
      </c>
      <c r="C1071" t="s">
        <v>93</v>
      </c>
      <c r="D1071" t="s">
        <v>2173</v>
      </c>
      <c r="E1071" t="s">
        <v>2174</v>
      </c>
      <c r="F1071" t="s">
        <v>49</v>
      </c>
      <c r="G1071" t="s">
        <v>2247</v>
      </c>
      <c r="H1071" t="s">
        <v>2248</v>
      </c>
      <c r="J1071" t="str">
        <f>HYPERLINK("https://twitter.com/sujoy232428/status/1765648221785768150","https://twitter.com/sujoy232428/status/1765648221785768150")</f>
        <v>https://twitter.com/sujoy232428/status/1765648221785768150</v>
      </c>
      <c r="K1071" t="s">
        <v>67</v>
      </c>
      <c r="O1071">
        <v>0</v>
      </c>
      <c r="P1071">
        <v>0</v>
      </c>
      <c r="Q1071">
        <v>0</v>
      </c>
      <c r="S1071">
        <v>0</v>
      </c>
      <c r="T1071">
        <v>0</v>
      </c>
      <c r="U1071">
        <v>0</v>
      </c>
      <c r="W1071" t="s">
        <v>99</v>
      </c>
    </row>
    <row r="1072" spans="1:23" x14ac:dyDescent="0.35">
      <c r="A1072" t="s">
        <v>45</v>
      </c>
      <c r="B1072" t="s">
        <v>2197</v>
      </c>
      <c r="C1072" t="s">
        <v>93</v>
      </c>
      <c r="D1072" t="s">
        <v>2173</v>
      </c>
      <c r="E1072" t="s">
        <v>2174</v>
      </c>
      <c r="F1072" t="s">
        <v>49</v>
      </c>
      <c r="G1072" t="s">
        <v>2249</v>
      </c>
      <c r="H1072" t="s">
        <v>2250</v>
      </c>
      <c r="J1072" t="str">
        <f>HYPERLINK("https://twitter.com/sujoy232428/status/1765648217142870370","https://twitter.com/sujoy232428/status/1765648217142870370")</f>
        <v>https://twitter.com/sujoy232428/status/1765648217142870370</v>
      </c>
      <c r="K1072" t="s">
        <v>67</v>
      </c>
      <c r="O1072">
        <v>0</v>
      </c>
      <c r="P1072">
        <v>0</v>
      </c>
      <c r="Q1072">
        <v>0</v>
      </c>
      <c r="S1072">
        <v>0</v>
      </c>
      <c r="T1072">
        <v>0</v>
      </c>
      <c r="U1072">
        <v>0</v>
      </c>
      <c r="W1072" t="s">
        <v>99</v>
      </c>
    </row>
    <row r="1073" spans="1:42" x14ac:dyDescent="0.35">
      <c r="A1073" t="s">
        <v>45</v>
      </c>
      <c r="B1073" t="s">
        <v>2197</v>
      </c>
      <c r="C1073" t="s">
        <v>93</v>
      </c>
      <c r="D1073" t="s">
        <v>2173</v>
      </c>
      <c r="E1073" t="s">
        <v>2174</v>
      </c>
      <c r="F1073" t="s">
        <v>49</v>
      </c>
      <c r="G1073" t="s">
        <v>2251</v>
      </c>
      <c r="H1073" t="s">
        <v>2252</v>
      </c>
      <c r="J1073" t="str">
        <f>HYPERLINK("https://twitter.com/sujoy232428/status/1765648208364241315","https://twitter.com/sujoy232428/status/1765648208364241315")</f>
        <v>https://twitter.com/sujoy232428/status/1765648208364241315</v>
      </c>
      <c r="K1073" t="s">
        <v>67</v>
      </c>
      <c r="O1073">
        <v>0</v>
      </c>
      <c r="P1073">
        <v>0</v>
      </c>
      <c r="Q1073">
        <v>0</v>
      </c>
      <c r="S1073">
        <v>0</v>
      </c>
      <c r="T1073">
        <v>0</v>
      </c>
      <c r="U1073">
        <v>0</v>
      </c>
      <c r="W1073" t="s">
        <v>99</v>
      </c>
    </row>
    <row r="1074" spans="1:42" x14ac:dyDescent="0.35">
      <c r="A1074" t="s">
        <v>45</v>
      </c>
      <c r="B1074" t="s">
        <v>2197</v>
      </c>
      <c r="C1074" t="s">
        <v>60</v>
      </c>
      <c r="D1074" t="s">
        <v>61</v>
      </c>
      <c r="E1074" t="s">
        <v>61</v>
      </c>
      <c r="F1074" t="s">
        <v>49</v>
      </c>
      <c r="G1074" t="s">
        <v>2253</v>
      </c>
      <c r="H1074" t="s">
        <v>2254</v>
      </c>
      <c r="J1074" t="str">
        <f>HYPERLINK("https://www.facebook.com/634639855377280/posts/803432851831312?comment_id=385193917612886","https://www.facebook.com/634639855377280/posts/803432851831312?comment_id=385193917612886")</f>
        <v>https://www.facebook.com/634639855377280/posts/803432851831312?comment_id=385193917612886</v>
      </c>
      <c r="O1074">
        <v>0</v>
      </c>
      <c r="P1074">
        <v>0</v>
      </c>
      <c r="Q1074">
        <v>0</v>
      </c>
      <c r="S1074">
        <v>0</v>
      </c>
      <c r="T1074">
        <v>0</v>
      </c>
      <c r="U1074">
        <v>0</v>
      </c>
      <c r="W1074" t="s">
        <v>52</v>
      </c>
    </row>
    <row r="1075" spans="1:42" x14ac:dyDescent="0.35">
      <c r="A1075" t="s">
        <v>45</v>
      </c>
      <c r="B1075" t="s">
        <v>2197</v>
      </c>
      <c r="C1075" t="s">
        <v>93</v>
      </c>
      <c r="D1075" t="s">
        <v>2255</v>
      </c>
      <c r="E1075" t="s">
        <v>2256</v>
      </c>
      <c r="F1075" t="s">
        <v>193</v>
      </c>
      <c r="G1075" t="s">
        <v>2257</v>
      </c>
      <c r="H1075" t="s">
        <v>2258</v>
      </c>
      <c r="J1075" t="str">
        <f>HYPERLINK("https://twitter.com/vikaskavi08/status/1765645123503685883","https://twitter.com/vikaskavi08/status/1765645123503685883")</f>
        <v>https://twitter.com/vikaskavi08/status/1765645123503685883</v>
      </c>
      <c r="K1075" t="s">
        <v>67</v>
      </c>
      <c r="O1075">
        <v>0</v>
      </c>
      <c r="P1075">
        <v>0</v>
      </c>
      <c r="Q1075">
        <v>41</v>
      </c>
      <c r="R1075" t="s">
        <v>2259</v>
      </c>
      <c r="S1075">
        <v>0</v>
      </c>
      <c r="T1075">
        <v>0</v>
      </c>
      <c r="U1075">
        <v>0</v>
      </c>
      <c r="W1075" t="s">
        <v>433</v>
      </c>
    </row>
    <row r="1076" spans="1:42" x14ac:dyDescent="0.35">
      <c r="A1076" t="s">
        <v>45</v>
      </c>
      <c r="B1076" t="s">
        <v>2197</v>
      </c>
      <c r="C1076" t="s">
        <v>93</v>
      </c>
      <c r="D1076" t="s">
        <v>2255</v>
      </c>
      <c r="E1076" t="s">
        <v>2256</v>
      </c>
      <c r="F1076" t="s">
        <v>193</v>
      </c>
      <c r="G1076" t="s">
        <v>2257</v>
      </c>
      <c r="H1076" t="s">
        <v>2260</v>
      </c>
      <c r="J1076" t="str">
        <f>HYPERLINK("https://twitter.com/vikaskavi08/status/1765644444261376094","https://twitter.com/vikaskavi08/status/1765644444261376094")</f>
        <v>https://twitter.com/vikaskavi08/status/1765644444261376094</v>
      </c>
      <c r="K1076" t="s">
        <v>67</v>
      </c>
      <c r="O1076">
        <v>0</v>
      </c>
      <c r="P1076">
        <v>0</v>
      </c>
      <c r="Q1076">
        <v>41</v>
      </c>
      <c r="R1076" t="s">
        <v>2259</v>
      </c>
      <c r="S1076">
        <v>0</v>
      </c>
      <c r="T1076">
        <v>0</v>
      </c>
      <c r="U1076">
        <v>0</v>
      </c>
      <c r="W1076" t="s">
        <v>99</v>
      </c>
    </row>
    <row r="1077" spans="1:42" x14ac:dyDescent="0.35">
      <c r="A1077" t="s">
        <v>45</v>
      </c>
      <c r="B1077" t="s">
        <v>2197</v>
      </c>
      <c r="C1077" t="s">
        <v>47</v>
      </c>
      <c r="D1077" t="s">
        <v>2261</v>
      </c>
      <c r="E1077" t="s">
        <v>2261</v>
      </c>
      <c r="F1077" t="s">
        <v>49</v>
      </c>
      <c r="G1077" t="s">
        <v>2262</v>
      </c>
      <c r="H1077" t="s">
        <v>2263</v>
      </c>
      <c r="J1077" t="str">
        <f>HYPERLINK("https://www.youtube.com/watch?v=mMPeE6n4BNQ","https://www.youtube.com/watch?v=mMPeE6n4BNQ")</f>
        <v>https://www.youtube.com/watch?v=mMPeE6n4BNQ</v>
      </c>
      <c r="O1077">
        <v>0</v>
      </c>
      <c r="P1077">
        <v>0</v>
      </c>
      <c r="Q1077">
        <v>0</v>
      </c>
      <c r="S1077">
        <v>0</v>
      </c>
      <c r="T1077">
        <v>0</v>
      </c>
      <c r="U1077">
        <v>0</v>
      </c>
      <c r="W1077" t="s">
        <v>346</v>
      </c>
      <c r="AP1077" t="s">
        <v>1288</v>
      </c>
    </row>
    <row r="1078" spans="1:42" x14ac:dyDescent="0.35">
      <c r="A1078" t="s">
        <v>45</v>
      </c>
      <c r="B1078" t="s">
        <v>2197</v>
      </c>
      <c r="C1078" t="s">
        <v>60</v>
      </c>
      <c r="D1078" t="s">
        <v>61</v>
      </c>
      <c r="E1078" t="s">
        <v>61</v>
      </c>
      <c r="F1078" t="s">
        <v>49</v>
      </c>
      <c r="G1078" t="s">
        <v>2264</v>
      </c>
      <c r="H1078" t="s">
        <v>2265</v>
      </c>
      <c r="J1078" t="str">
        <f>HYPERLINK("https://www.facebook.com/634639855377280/posts/803432851831312?comment_id=1348554352474929","https://www.facebook.com/634639855377280/posts/803432851831312?comment_id=1348554352474929")</f>
        <v>https://www.facebook.com/634639855377280/posts/803432851831312?comment_id=1348554352474929</v>
      </c>
      <c r="O1078">
        <v>0</v>
      </c>
      <c r="P1078">
        <v>0</v>
      </c>
      <c r="Q1078">
        <v>0</v>
      </c>
      <c r="S1078">
        <v>0</v>
      </c>
      <c r="T1078">
        <v>0</v>
      </c>
      <c r="U1078">
        <v>0</v>
      </c>
      <c r="W1078" t="s">
        <v>52</v>
      </c>
    </row>
    <row r="1079" spans="1:42" x14ac:dyDescent="0.35">
      <c r="A1079" t="s">
        <v>45</v>
      </c>
      <c r="B1079" t="s">
        <v>2197</v>
      </c>
      <c r="C1079" t="s">
        <v>47</v>
      </c>
      <c r="D1079" t="s">
        <v>45</v>
      </c>
      <c r="E1079" t="s">
        <v>45</v>
      </c>
      <c r="F1079" t="s">
        <v>49</v>
      </c>
      <c r="G1079" t="s">
        <v>882</v>
      </c>
      <c r="H1079" t="s">
        <v>2266</v>
      </c>
      <c r="J1079" t="str">
        <f>HYPERLINK("https://www.youtube.com/watch?v=7pMfSyYFp5U","https://www.youtube.com/watch?v=7pMfSyYFp5U")</f>
        <v>https://www.youtube.com/watch?v=7pMfSyYFp5U</v>
      </c>
      <c r="O1079">
        <v>0</v>
      </c>
      <c r="P1079">
        <v>0</v>
      </c>
      <c r="Q1079">
        <v>0</v>
      </c>
      <c r="S1079">
        <v>0</v>
      </c>
      <c r="T1079">
        <v>0</v>
      </c>
      <c r="U1079">
        <v>0</v>
      </c>
      <c r="W1079" t="s">
        <v>346</v>
      </c>
    </row>
    <row r="1080" spans="1:42" x14ac:dyDescent="0.35">
      <c r="A1080" t="s">
        <v>45</v>
      </c>
      <c r="B1080" t="s">
        <v>2197</v>
      </c>
      <c r="C1080" t="s">
        <v>60</v>
      </c>
      <c r="D1080" t="s">
        <v>61</v>
      </c>
      <c r="E1080" t="s">
        <v>61</v>
      </c>
      <c r="F1080" t="s">
        <v>49</v>
      </c>
      <c r="G1080" t="s">
        <v>2267</v>
      </c>
      <c r="H1080" t="s">
        <v>2268</v>
      </c>
      <c r="J1080" t="str">
        <f>HYPERLINK("https://www.facebook.com/634639855377280/posts/803432851831312?comment_id=2657426387741596&amp;reply_comment_id=935573887964184","https://www.facebook.com/634639855377280/posts/803432851831312?comment_id=2657426387741596&amp;reply_comment_id=935573887964184")</f>
        <v>https://www.facebook.com/634639855377280/posts/803432851831312?comment_id=2657426387741596&amp;reply_comment_id=935573887964184</v>
      </c>
      <c r="O1080">
        <v>0</v>
      </c>
      <c r="P1080">
        <v>0</v>
      </c>
      <c r="Q1080">
        <v>0</v>
      </c>
      <c r="S1080">
        <v>0</v>
      </c>
      <c r="T1080">
        <v>0</v>
      </c>
      <c r="U1080">
        <v>0</v>
      </c>
      <c r="W1080" t="s">
        <v>52</v>
      </c>
    </row>
    <row r="1081" spans="1:42" x14ac:dyDescent="0.35">
      <c r="A1081" t="s">
        <v>45</v>
      </c>
      <c r="B1081" t="s">
        <v>2197</v>
      </c>
      <c r="C1081" t="s">
        <v>93</v>
      </c>
      <c r="D1081" t="s">
        <v>1826</v>
      </c>
      <c r="E1081" t="s">
        <v>1827</v>
      </c>
      <c r="F1081" t="s">
        <v>49</v>
      </c>
      <c r="G1081" t="s">
        <v>2131</v>
      </c>
      <c r="H1081" t="s">
        <v>2269</v>
      </c>
      <c r="J1081" t="str">
        <f>HYPERLINK("https://twitter.com/Sachinpatel952/status/1765589194699878542","https://twitter.com/Sachinpatel952/status/1765589194699878542")</f>
        <v>https://twitter.com/Sachinpatel952/status/1765589194699878542</v>
      </c>
      <c r="K1081" t="s">
        <v>67</v>
      </c>
      <c r="O1081">
        <v>0</v>
      </c>
      <c r="P1081">
        <v>0</v>
      </c>
      <c r="Q1081">
        <v>1</v>
      </c>
      <c r="S1081">
        <v>0</v>
      </c>
      <c r="T1081">
        <v>0</v>
      </c>
      <c r="U1081">
        <v>0</v>
      </c>
      <c r="W1081" t="s">
        <v>99</v>
      </c>
    </row>
    <row r="1082" spans="1:42" x14ac:dyDescent="0.35">
      <c r="A1082" t="s">
        <v>45</v>
      </c>
      <c r="B1082" t="s">
        <v>2197</v>
      </c>
      <c r="C1082" t="s">
        <v>93</v>
      </c>
      <c r="D1082" t="s">
        <v>1826</v>
      </c>
      <c r="E1082" t="s">
        <v>1827</v>
      </c>
      <c r="F1082" t="s">
        <v>193</v>
      </c>
      <c r="G1082" t="s">
        <v>2270</v>
      </c>
      <c r="H1082" t="s">
        <v>2271</v>
      </c>
      <c r="J1082" t="str">
        <f>HYPERLINK("https://twitter.com/Sachinpatel952/status/1765587209963667814","https://twitter.com/Sachinpatel952/status/1765587209963667814")</f>
        <v>https://twitter.com/Sachinpatel952/status/1765587209963667814</v>
      </c>
      <c r="K1082" t="s">
        <v>67</v>
      </c>
      <c r="O1082">
        <v>0</v>
      </c>
      <c r="P1082">
        <v>0</v>
      </c>
      <c r="Q1082">
        <v>1</v>
      </c>
      <c r="S1082">
        <v>0</v>
      </c>
      <c r="T1082">
        <v>0</v>
      </c>
      <c r="U1082">
        <v>0</v>
      </c>
      <c r="W1082" t="s">
        <v>99</v>
      </c>
    </row>
    <row r="1083" spans="1:42" x14ac:dyDescent="0.35">
      <c r="A1083" t="s">
        <v>45</v>
      </c>
      <c r="B1083" t="s">
        <v>2197</v>
      </c>
      <c r="C1083" t="s">
        <v>93</v>
      </c>
      <c r="D1083" t="s">
        <v>94</v>
      </c>
      <c r="E1083" t="s">
        <v>45</v>
      </c>
      <c r="F1083" t="s">
        <v>49</v>
      </c>
      <c r="G1083" t="s">
        <v>2272</v>
      </c>
      <c r="H1083" t="s">
        <v>2273</v>
      </c>
      <c r="J1083" t="str">
        <f>HYPERLINK("https://twitter.com/SpiceMoneyIndia/status/1765569782890307820","https://twitter.com/SpiceMoneyIndia/status/1765569782890307820")</f>
        <v>https://twitter.com/SpiceMoneyIndia/status/1765569782890307820</v>
      </c>
      <c r="K1083" t="s">
        <v>67</v>
      </c>
      <c r="O1083">
        <v>0</v>
      </c>
      <c r="P1083">
        <v>0</v>
      </c>
      <c r="Q1083">
        <v>6057</v>
      </c>
      <c r="R1083" t="s">
        <v>97</v>
      </c>
      <c r="S1083">
        <v>0</v>
      </c>
      <c r="T1083">
        <v>0</v>
      </c>
      <c r="U1083">
        <v>0</v>
      </c>
      <c r="V1083" t="s">
        <v>98</v>
      </c>
      <c r="W1083" t="s">
        <v>99</v>
      </c>
    </row>
    <row r="1084" spans="1:42" x14ac:dyDescent="0.35">
      <c r="A1084" t="s">
        <v>45</v>
      </c>
      <c r="B1084" t="s">
        <v>2197</v>
      </c>
      <c r="C1084" t="s">
        <v>60</v>
      </c>
      <c r="D1084" t="s">
        <v>61</v>
      </c>
      <c r="E1084" t="s">
        <v>61</v>
      </c>
      <c r="F1084" t="s">
        <v>49</v>
      </c>
      <c r="G1084" t="s">
        <v>2274</v>
      </c>
      <c r="H1084" t="s">
        <v>2275</v>
      </c>
      <c r="J1084" t="str">
        <f>HYPERLINK("https://www.facebook.com/634639855377280/posts/803432851831312?comment_id=433266542597276&amp;reply_comment_id=327136543166763","https://www.facebook.com/634639855377280/posts/803432851831312?comment_id=433266542597276&amp;reply_comment_id=327136543166763")</f>
        <v>https://www.facebook.com/634639855377280/posts/803432851831312?comment_id=433266542597276&amp;reply_comment_id=327136543166763</v>
      </c>
      <c r="O1084">
        <v>0</v>
      </c>
      <c r="P1084">
        <v>0</v>
      </c>
      <c r="Q1084">
        <v>0</v>
      </c>
      <c r="S1084">
        <v>0</v>
      </c>
      <c r="T1084">
        <v>0</v>
      </c>
      <c r="U1084">
        <v>0</v>
      </c>
      <c r="W1084" t="s">
        <v>52</v>
      </c>
    </row>
    <row r="1085" spans="1:42" x14ac:dyDescent="0.35">
      <c r="A1085" t="s">
        <v>45</v>
      </c>
      <c r="B1085" t="s">
        <v>2197</v>
      </c>
      <c r="C1085" t="s">
        <v>60</v>
      </c>
      <c r="D1085" t="s">
        <v>64</v>
      </c>
      <c r="E1085" t="s">
        <v>64</v>
      </c>
      <c r="F1085" t="s">
        <v>49</v>
      </c>
      <c r="G1085" t="s">
        <v>83</v>
      </c>
      <c r="H1085" t="s">
        <v>2276</v>
      </c>
      <c r="J1085" t="str">
        <f>HYPERLINK("https://www.facebook.com/634639855377280/posts/803432851831312?comment_id=2657426387741596&amp;reply_comment_id=7334487806637147","https://www.facebook.com/634639855377280/posts/803432851831312?comment_id=2657426387741596&amp;reply_comment_id=7334487806637147")</f>
        <v>https://www.facebook.com/634639855377280/posts/803432851831312?comment_id=2657426387741596&amp;reply_comment_id=7334487806637147</v>
      </c>
      <c r="K1085" t="s">
        <v>67</v>
      </c>
      <c r="O1085">
        <v>0</v>
      </c>
      <c r="P1085">
        <v>0</v>
      </c>
      <c r="Q1085">
        <v>0</v>
      </c>
      <c r="S1085">
        <v>0</v>
      </c>
      <c r="T1085">
        <v>0</v>
      </c>
      <c r="U1085">
        <v>0</v>
      </c>
      <c r="W1085" t="s">
        <v>52</v>
      </c>
    </row>
    <row r="1086" spans="1:42" x14ac:dyDescent="0.35">
      <c r="A1086" t="s">
        <v>45</v>
      </c>
      <c r="B1086" t="s">
        <v>2197</v>
      </c>
      <c r="C1086" t="s">
        <v>60</v>
      </c>
      <c r="D1086" t="s">
        <v>64</v>
      </c>
      <c r="E1086" t="s">
        <v>64</v>
      </c>
      <c r="F1086" t="s">
        <v>49</v>
      </c>
      <c r="G1086" t="s">
        <v>164</v>
      </c>
      <c r="H1086" t="s">
        <v>2277</v>
      </c>
      <c r="J1086" t="str">
        <f>HYPERLINK("https://www.facebook.com/634639855377280/posts/803432851831312?comment_id=433266542597276&amp;reply_comment_id=1165833264580860","https://www.facebook.com/634639855377280/posts/803432851831312?comment_id=433266542597276&amp;reply_comment_id=1165833264580860")</f>
        <v>https://www.facebook.com/634639855377280/posts/803432851831312?comment_id=433266542597276&amp;reply_comment_id=1165833264580860</v>
      </c>
      <c r="K1086" t="s">
        <v>67</v>
      </c>
      <c r="O1086">
        <v>0</v>
      </c>
      <c r="P1086">
        <v>0</v>
      </c>
      <c r="Q1086">
        <v>0</v>
      </c>
      <c r="S1086">
        <v>0</v>
      </c>
      <c r="T1086">
        <v>0</v>
      </c>
      <c r="U1086">
        <v>0</v>
      </c>
      <c r="W1086" t="s">
        <v>52</v>
      </c>
    </row>
    <row r="1087" spans="1:42" x14ac:dyDescent="0.35">
      <c r="A1087" t="s">
        <v>45</v>
      </c>
      <c r="B1087" t="s">
        <v>2278</v>
      </c>
      <c r="C1087" t="s">
        <v>93</v>
      </c>
      <c r="D1087" t="s">
        <v>2279</v>
      </c>
      <c r="E1087" t="s">
        <v>2280</v>
      </c>
      <c r="F1087" t="s">
        <v>49</v>
      </c>
      <c r="G1087" t="s">
        <v>2281</v>
      </c>
      <c r="H1087" t="s">
        <v>2282</v>
      </c>
      <c r="J1087" t="str">
        <f>HYPERLINK("https://twitter.com/NitishK3665381/status/1765385847132848294","https://twitter.com/NitishK3665381/status/1765385847132848294")</f>
        <v>https://twitter.com/NitishK3665381/status/1765385847132848294</v>
      </c>
      <c r="K1087" t="s">
        <v>67</v>
      </c>
      <c r="O1087">
        <v>0</v>
      </c>
      <c r="P1087">
        <v>0</v>
      </c>
      <c r="Q1087">
        <v>0</v>
      </c>
      <c r="S1087">
        <v>0</v>
      </c>
      <c r="T1087">
        <v>0</v>
      </c>
      <c r="U1087">
        <v>0</v>
      </c>
      <c r="W1087" t="s">
        <v>99</v>
      </c>
    </row>
    <row r="1088" spans="1:42" x14ac:dyDescent="0.35">
      <c r="A1088" t="s">
        <v>45</v>
      </c>
      <c r="B1088" t="s">
        <v>2278</v>
      </c>
      <c r="C1088" t="s">
        <v>60</v>
      </c>
      <c r="D1088" t="s">
        <v>61</v>
      </c>
      <c r="E1088" t="s">
        <v>61</v>
      </c>
      <c r="F1088" t="s">
        <v>49</v>
      </c>
      <c r="G1088" t="s">
        <v>2283</v>
      </c>
      <c r="H1088" t="s">
        <v>2284</v>
      </c>
      <c r="J1088" t="str">
        <f>HYPERLINK("https://www.facebook.com/634639855377280/posts/803432851831312?comment_id=2657426387741596","https://www.facebook.com/634639855377280/posts/803432851831312?comment_id=2657426387741596")</f>
        <v>https://www.facebook.com/634639855377280/posts/803432851831312?comment_id=2657426387741596</v>
      </c>
      <c r="O1088">
        <v>0</v>
      </c>
      <c r="P1088">
        <v>0</v>
      </c>
      <c r="Q1088">
        <v>0</v>
      </c>
      <c r="S1088">
        <v>0</v>
      </c>
      <c r="T1088">
        <v>0</v>
      </c>
      <c r="U1088">
        <v>0</v>
      </c>
      <c r="W1088" t="s">
        <v>52</v>
      </c>
    </row>
    <row r="1089" spans="1:23" x14ac:dyDescent="0.35">
      <c r="A1089" t="s">
        <v>45</v>
      </c>
      <c r="B1089" t="s">
        <v>2278</v>
      </c>
      <c r="C1089" t="s">
        <v>60</v>
      </c>
      <c r="D1089" t="s">
        <v>61</v>
      </c>
      <c r="E1089" t="s">
        <v>61</v>
      </c>
      <c r="F1089" t="s">
        <v>193</v>
      </c>
      <c r="G1089" t="s">
        <v>2285</v>
      </c>
      <c r="H1089" t="s">
        <v>2286</v>
      </c>
      <c r="J1089" t="str">
        <f>HYPERLINK("https://www.facebook.com/634639855377280/posts/803432851831312?comment_id=433266542597276","https://www.facebook.com/634639855377280/posts/803432851831312?comment_id=433266542597276")</f>
        <v>https://www.facebook.com/634639855377280/posts/803432851831312?comment_id=433266542597276</v>
      </c>
      <c r="O1089">
        <v>0</v>
      </c>
      <c r="P1089">
        <v>0</v>
      </c>
      <c r="Q1089">
        <v>0</v>
      </c>
      <c r="S1089">
        <v>0</v>
      </c>
      <c r="T1089">
        <v>0</v>
      </c>
      <c r="U1089">
        <v>0</v>
      </c>
      <c r="W1089" t="s">
        <v>52</v>
      </c>
    </row>
    <row r="1090" spans="1:23" x14ac:dyDescent="0.35">
      <c r="A1090" t="s">
        <v>45</v>
      </c>
      <c r="B1090" t="s">
        <v>2278</v>
      </c>
      <c r="C1090" t="s">
        <v>60</v>
      </c>
      <c r="D1090" t="s">
        <v>64</v>
      </c>
      <c r="E1090" t="s">
        <v>64</v>
      </c>
      <c r="F1090" t="s">
        <v>49</v>
      </c>
      <c r="G1090" t="s">
        <v>100</v>
      </c>
      <c r="H1090" t="s">
        <v>2287</v>
      </c>
      <c r="J1090" t="str">
        <f>HYPERLINK("https://www.facebook.com/634639855377280/posts/802328508608413?comment_id=372764878850570&amp;reply_comment_id=1909727689461205","https://www.facebook.com/634639855377280/posts/802328508608413?comment_id=372764878850570&amp;reply_comment_id=1909727689461205")</f>
        <v>https://www.facebook.com/634639855377280/posts/802328508608413?comment_id=372764878850570&amp;reply_comment_id=1909727689461205</v>
      </c>
      <c r="K1090" t="s">
        <v>67</v>
      </c>
      <c r="O1090">
        <v>0</v>
      </c>
      <c r="P1090">
        <v>0</v>
      </c>
      <c r="Q1090">
        <v>0</v>
      </c>
      <c r="S1090">
        <v>0</v>
      </c>
      <c r="T1090">
        <v>0</v>
      </c>
      <c r="U1090">
        <v>0</v>
      </c>
      <c r="W1090" t="s">
        <v>52</v>
      </c>
    </row>
    <row r="1091" spans="1:23" x14ac:dyDescent="0.35">
      <c r="A1091" t="s">
        <v>45</v>
      </c>
      <c r="B1091" t="s">
        <v>2278</v>
      </c>
      <c r="C1091" t="s">
        <v>60</v>
      </c>
      <c r="D1091" t="s">
        <v>64</v>
      </c>
      <c r="E1091" t="s">
        <v>64</v>
      </c>
      <c r="F1091" t="s">
        <v>49</v>
      </c>
      <c r="G1091" t="s">
        <v>83</v>
      </c>
      <c r="H1091" t="s">
        <v>2288</v>
      </c>
      <c r="J1091" t="str">
        <f>HYPERLINK("https://www.facebook.com/634639855377280/posts/803432851831312?comment_id=766366948407858&amp;reply_comment_id=1115871113012372","https://www.facebook.com/634639855377280/posts/803432851831312?comment_id=766366948407858&amp;reply_comment_id=1115871113012372")</f>
        <v>https://www.facebook.com/634639855377280/posts/803432851831312?comment_id=766366948407858&amp;reply_comment_id=1115871113012372</v>
      </c>
      <c r="K1091" t="s">
        <v>67</v>
      </c>
      <c r="O1091">
        <v>0</v>
      </c>
      <c r="P1091">
        <v>0</v>
      </c>
      <c r="Q1091">
        <v>0</v>
      </c>
      <c r="S1091">
        <v>0</v>
      </c>
      <c r="T1091">
        <v>0</v>
      </c>
      <c r="U1091">
        <v>0</v>
      </c>
      <c r="W1091" t="s">
        <v>52</v>
      </c>
    </row>
    <row r="1092" spans="1:23" x14ac:dyDescent="0.35">
      <c r="A1092" t="s">
        <v>45</v>
      </c>
      <c r="B1092" t="s">
        <v>2278</v>
      </c>
      <c r="C1092" t="s">
        <v>60</v>
      </c>
      <c r="D1092" t="s">
        <v>64</v>
      </c>
      <c r="E1092" t="s">
        <v>64</v>
      </c>
      <c r="F1092" t="s">
        <v>49</v>
      </c>
      <c r="G1092" t="s">
        <v>1276</v>
      </c>
      <c r="H1092" t="s">
        <v>2289</v>
      </c>
      <c r="J1092" t="str">
        <f>HYPERLINK("https://www.facebook.com/634639855377280/posts/801117022062895?comment_id=1792971974543641&amp;reply_comment_id=859198752677309","https://www.facebook.com/634639855377280/posts/801117022062895?comment_id=1792971974543641&amp;reply_comment_id=859198752677309")</f>
        <v>https://www.facebook.com/634639855377280/posts/801117022062895?comment_id=1792971974543641&amp;reply_comment_id=859198752677309</v>
      </c>
      <c r="K1092" t="s">
        <v>67</v>
      </c>
      <c r="O1092">
        <v>0</v>
      </c>
      <c r="P1092">
        <v>0</v>
      </c>
      <c r="Q1092">
        <v>0</v>
      </c>
      <c r="S1092">
        <v>0</v>
      </c>
      <c r="T1092">
        <v>0</v>
      </c>
      <c r="U1092">
        <v>0</v>
      </c>
      <c r="W1092" t="s">
        <v>52</v>
      </c>
    </row>
    <row r="1093" spans="1:23" x14ac:dyDescent="0.35">
      <c r="A1093" t="s">
        <v>45</v>
      </c>
      <c r="B1093" t="s">
        <v>2278</v>
      </c>
      <c r="C1093" t="s">
        <v>93</v>
      </c>
      <c r="D1093" t="s">
        <v>94</v>
      </c>
      <c r="E1093" t="s">
        <v>45</v>
      </c>
      <c r="F1093" t="s">
        <v>49</v>
      </c>
      <c r="G1093" t="s">
        <v>2290</v>
      </c>
      <c r="H1093" t="s">
        <v>2291</v>
      </c>
      <c r="J1093" t="str">
        <f>HYPERLINK("https://twitter.com/SpiceMoneyIndia/status/1765344327268475065","https://twitter.com/SpiceMoneyIndia/status/1765344327268475065")</f>
        <v>https://twitter.com/SpiceMoneyIndia/status/1765344327268475065</v>
      </c>
      <c r="K1093" t="s">
        <v>67</v>
      </c>
      <c r="O1093">
        <v>0</v>
      </c>
      <c r="P1093">
        <v>0</v>
      </c>
      <c r="Q1093">
        <v>6054</v>
      </c>
      <c r="R1093" t="s">
        <v>97</v>
      </c>
      <c r="S1093">
        <v>0</v>
      </c>
      <c r="T1093">
        <v>0</v>
      </c>
      <c r="U1093">
        <v>0</v>
      </c>
      <c r="V1093" t="s">
        <v>98</v>
      </c>
      <c r="W1093" t="s">
        <v>99</v>
      </c>
    </row>
    <row r="1094" spans="1:23" x14ac:dyDescent="0.35">
      <c r="A1094" t="s">
        <v>45</v>
      </c>
      <c r="B1094" t="s">
        <v>2278</v>
      </c>
      <c r="C1094" t="s">
        <v>93</v>
      </c>
      <c r="D1094" t="s">
        <v>94</v>
      </c>
      <c r="E1094" t="s">
        <v>45</v>
      </c>
      <c r="F1094" t="s">
        <v>49</v>
      </c>
      <c r="G1094" t="s">
        <v>2292</v>
      </c>
      <c r="H1094" t="s">
        <v>2293</v>
      </c>
      <c r="J1094" t="str">
        <f>HYPERLINK("https://twitter.com/SpiceMoneyIndia/status/1765342655704113260","https://twitter.com/SpiceMoneyIndia/status/1765342655704113260")</f>
        <v>https://twitter.com/SpiceMoneyIndia/status/1765342655704113260</v>
      </c>
      <c r="K1094" t="s">
        <v>67</v>
      </c>
      <c r="O1094">
        <v>0</v>
      </c>
      <c r="P1094">
        <v>0</v>
      </c>
      <c r="Q1094">
        <v>6054</v>
      </c>
      <c r="R1094" t="s">
        <v>97</v>
      </c>
      <c r="S1094">
        <v>0</v>
      </c>
      <c r="T1094">
        <v>0</v>
      </c>
      <c r="U1094">
        <v>0</v>
      </c>
      <c r="V1094" t="s">
        <v>98</v>
      </c>
      <c r="W1094" t="s">
        <v>99</v>
      </c>
    </row>
    <row r="1095" spans="1:23" x14ac:dyDescent="0.35">
      <c r="A1095" t="s">
        <v>45</v>
      </c>
      <c r="B1095" t="s">
        <v>2278</v>
      </c>
      <c r="C1095" t="s">
        <v>93</v>
      </c>
      <c r="D1095" t="s">
        <v>94</v>
      </c>
      <c r="E1095" t="s">
        <v>45</v>
      </c>
      <c r="F1095" t="s">
        <v>49</v>
      </c>
      <c r="G1095" t="s">
        <v>2294</v>
      </c>
      <c r="H1095" t="s">
        <v>2295</v>
      </c>
      <c r="J1095" t="str">
        <f>HYPERLINK("https://twitter.com/SpiceMoneyIndia/status/1765320737437409778","https://twitter.com/SpiceMoneyIndia/status/1765320737437409778")</f>
        <v>https://twitter.com/SpiceMoneyIndia/status/1765320737437409778</v>
      </c>
      <c r="K1095" t="s">
        <v>67</v>
      </c>
      <c r="O1095">
        <v>0</v>
      </c>
      <c r="P1095">
        <v>0</v>
      </c>
      <c r="Q1095">
        <v>6054</v>
      </c>
      <c r="R1095" t="s">
        <v>97</v>
      </c>
      <c r="S1095">
        <v>0</v>
      </c>
      <c r="T1095">
        <v>0</v>
      </c>
      <c r="U1095">
        <v>0</v>
      </c>
      <c r="V1095" t="s">
        <v>98</v>
      </c>
      <c r="W1095" t="s">
        <v>99</v>
      </c>
    </row>
    <row r="1096" spans="1:23" x14ac:dyDescent="0.35">
      <c r="A1096" t="s">
        <v>45</v>
      </c>
      <c r="B1096" t="s">
        <v>2278</v>
      </c>
      <c r="C1096" t="s">
        <v>60</v>
      </c>
      <c r="D1096" t="s">
        <v>61</v>
      </c>
      <c r="E1096" t="s">
        <v>61</v>
      </c>
      <c r="F1096" t="s">
        <v>49</v>
      </c>
      <c r="G1096" t="s">
        <v>2296</v>
      </c>
      <c r="H1096" t="s">
        <v>2297</v>
      </c>
      <c r="J1096" t="str">
        <f>HYPERLINK("https://www.facebook.com/634639855377280/posts/802946451879952?comment_id=761842385888243&amp;reply_comment_id=1129816431776992","https://www.facebook.com/634639855377280/posts/802946451879952?comment_id=761842385888243&amp;reply_comment_id=1129816431776992")</f>
        <v>https://www.facebook.com/634639855377280/posts/802946451879952?comment_id=761842385888243&amp;reply_comment_id=1129816431776992</v>
      </c>
      <c r="O1096">
        <v>0</v>
      </c>
      <c r="P1096">
        <v>0</v>
      </c>
      <c r="Q1096">
        <v>0</v>
      </c>
      <c r="S1096">
        <v>0</v>
      </c>
      <c r="T1096">
        <v>0</v>
      </c>
      <c r="U1096">
        <v>0</v>
      </c>
      <c r="W1096" t="s">
        <v>52</v>
      </c>
    </row>
    <row r="1097" spans="1:23" x14ac:dyDescent="0.35">
      <c r="A1097" t="s">
        <v>45</v>
      </c>
      <c r="B1097" t="s">
        <v>2278</v>
      </c>
      <c r="C1097" t="s">
        <v>93</v>
      </c>
      <c r="D1097" t="s">
        <v>94</v>
      </c>
      <c r="E1097" t="s">
        <v>45</v>
      </c>
      <c r="F1097" t="s">
        <v>49</v>
      </c>
      <c r="G1097" t="s">
        <v>2298</v>
      </c>
      <c r="H1097" t="s">
        <v>2299</v>
      </c>
      <c r="J1097" t="str">
        <f>HYPERLINK("https://twitter.com/SpiceMoneyIndia/status/1765307390688153771","https://twitter.com/SpiceMoneyIndia/status/1765307390688153771")</f>
        <v>https://twitter.com/SpiceMoneyIndia/status/1765307390688153771</v>
      </c>
      <c r="K1097" t="s">
        <v>67</v>
      </c>
      <c r="O1097">
        <v>0</v>
      </c>
      <c r="P1097">
        <v>0</v>
      </c>
      <c r="Q1097">
        <v>6055</v>
      </c>
      <c r="R1097" t="s">
        <v>97</v>
      </c>
      <c r="S1097">
        <v>0</v>
      </c>
      <c r="T1097">
        <v>0</v>
      </c>
      <c r="U1097">
        <v>0</v>
      </c>
      <c r="V1097" t="s">
        <v>98</v>
      </c>
      <c r="W1097" t="s">
        <v>99</v>
      </c>
    </row>
    <row r="1098" spans="1:23" x14ac:dyDescent="0.35">
      <c r="A1098" t="s">
        <v>45</v>
      </c>
      <c r="B1098" t="s">
        <v>2278</v>
      </c>
      <c r="C1098" t="s">
        <v>93</v>
      </c>
      <c r="D1098" t="s">
        <v>2300</v>
      </c>
      <c r="E1098" t="s">
        <v>2301</v>
      </c>
      <c r="F1098" t="s">
        <v>49</v>
      </c>
      <c r="G1098" t="s">
        <v>2302</v>
      </c>
      <c r="H1098" t="s">
        <v>2303</v>
      </c>
      <c r="J1098" t="str">
        <f>HYPERLINK("https://twitter.com/pentyala_satish/status/1765306858443800932","https://twitter.com/pentyala_satish/status/1765306858443800932")</f>
        <v>https://twitter.com/pentyala_satish/status/1765306858443800932</v>
      </c>
      <c r="K1098" t="s">
        <v>67</v>
      </c>
      <c r="O1098">
        <v>0</v>
      </c>
      <c r="P1098">
        <v>0</v>
      </c>
      <c r="Q1098">
        <v>304</v>
      </c>
      <c r="R1098" t="s">
        <v>2304</v>
      </c>
      <c r="S1098">
        <v>0</v>
      </c>
      <c r="T1098">
        <v>0</v>
      </c>
      <c r="U1098">
        <v>0</v>
      </c>
      <c r="W1098" t="s">
        <v>99</v>
      </c>
    </row>
    <row r="1099" spans="1:23" x14ac:dyDescent="0.35">
      <c r="A1099" t="s">
        <v>45</v>
      </c>
      <c r="B1099" t="s">
        <v>2278</v>
      </c>
      <c r="C1099" t="s">
        <v>93</v>
      </c>
      <c r="D1099" t="s">
        <v>2305</v>
      </c>
      <c r="E1099" t="s">
        <v>2306</v>
      </c>
      <c r="F1099" t="s">
        <v>193</v>
      </c>
      <c r="G1099" t="s">
        <v>2307</v>
      </c>
      <c r="H1099" t="s">
        <v>2308</v>
      </c>
      <c r="J1099" t="str">
        <f>HYPERLINK("https://twitter.com/baghelrajesh418/status/1765303479009157249","https://twitter.com/baghelrajesh418/status/1765303479009157249")</f>
        <v>https://twitter.com/baghelrajesh418/status/1765303479009157249</v>
      </c>
      <c r="K1099" t="s">
        <v>67</v>
      </c>
      <c r="O1099">
        <v>0</v>
      </c>
      <c r="P1099">
        <v>0</v>
      </c>
      <c r="Q1099">
        <v>0</v>
      </c>
      <c r="S1099">
        <v>0</v>
      </c>
      <c r="T1099">
        <v>0</v>
      </c>
      <c r="U1099">
        <v>0</v>
      </c>
      <c r="W1099" t="s">
        <v>99</v>
      </c>
    </row>
    <row r="1100" spans="1:23" x14ac:dyDescent="0.35">
      <c r="A1100" t="s">
        <v>45</v>
      </c>
      <c r="B1100" t="s">
        <v>2278</v>
      </c>
      <c r="C1100" t="s">
        <v>60</v>
      </c>
      <c r="D1100" t="s">
        <v>61</v>
      </c>
      <c r="E1100" t="s">
        <v>61</v>
      </c>
      <c r="F1100" t="s">
        <v>49</v>
      </c>
      <c r="G1100" t="s">
        <v>2309</v>
      </c>
      <c r="H1100" t="s">
        <v>2310</v>
      </c>
      <c r="J1100" t="str">
        <f>HYPERLINK("https://www.facebook.com/634639855377280/posts/802946451879952?comment_id=963654905406413","https://www.facebook.com/634639855377280/posts/802946451879952?comment_id=963654905406413")</f>
        <v>https://www.facebook.com/634639855377280/posts/802946451879952?comment_id=963654905406413</v>
      </c>
      <c r="O1100">
        <v>0</v>
      </c>
      <c r="P1100">
        <v>0</v>
      </c>
      <c r="Q1100">
        <v>0</v>
      </c>
      <c r="S1100">
        <v>0</v>
      </c>
      <c r="T1100">
        <v>0</v>
      </c>
      <c r="U1100">
        <v>0</v>
      </c>
      <c r="W1100" t="s">
        <v>52</v>
      </c>
    </row>
    <row r="1101" spans="1:23" x14ac:dyDescent="0.35">
      <c r="A1101" t="s">
        <v>45</v>
      </c>
      <c r="B1101" t="s">
        <v>2278</v>
      </c>
      <c r="C1101" t="s">
        <v>60</v>
      </c>
      <c r="D1101" t="s">
        <v>61</v>
      </c>
      <c r="E1101" t="s">
        <v>61</v>
      </c>
      <c r="F1101" t="s">
        <v>49</v>
      </c>
      <c r="G1101" t="s">
        <v>2311</v>
      </c>
      <c r="H1101" t="s">
        <v>2312</v>
      </c>
      <c r="J1101" t="str">
        <f>HYPERLINK("https://www.facebook.com/634639855377280/posts/802946451879952?comment_id=7383167068408045","https://www.facebook.com/634639855377280/posts/802946451879952?comment_id=7383167068408045")</f>
        <v>https://www.facebook.com/634639855377280/posts/802946451879952?comment_id=7383167068408045</v>
      </c>
      <c r="O1101">
        <v>0</v>
      </c>
      <c r="P1101">
        <v>0</v>
      </c>
      <c r="Q1101">
        <v>0</v>
      </c>
      <c r="S1101">
        <v>0</v>
      </c>
      <c r="T1101">
        <v>0</v>
      </c>
      <c r="U1101">
        <v>0</v>
      </c>
      <c r="W1101" t="s">
        <v>52</v>
      </c>
    </row>
    <row r="1102" spans="1:23" x14ac:dyDescent="0.35">
      <c r="A1102" t="s">
        <v>45</v>
      </c>
      <c r="B1102" t="s">
        <v>2278</v>
      </c>
      <c r="C1102" t="s">
        <v>93</v>
      </c>
      <c r="D1102" t="s">
        <v>2279</v>
      </c>
      <c r="E1102" t="s">
        <v>2280</v>
      </c>
      <c r="F1102" t="s">
        <v>49</v>
      </c>
      <c r="G1102" t="s">
        <v>2313</v>
      </c>
      <c r="H1102" t="s">
        <v>2314</v>
      </c>
      <c r="J1102" t="str">
        <f>HYPERLINK("https://twitter.com/NitishK3665381/status/1765280664272937007","https://twitter.com/NitishK3665381/status/1765280664272937007")</f>
        <v>https://twitter.com/NitishK3665381/status/1765280664272937007</v>
      </c>
      <c r="K1102" t="s">
        <v>67</v>
      </c>
      <c r="O1102">
        <v>0</v>
      </c>
      <c r="P1102">
        <v>0</v>
      </c>
      <c r="Q1102">
        <v>0</v>
      </c>
      <c r="S1102">
        <v>0</v>
      </c>
      <c r="T1102">
        <v>0</v>
      </c>
      <c r="U1102">
        <v>0</v>
      </c>
      <c r="W1102" t="s">
        <v>99</v>
      </c>
    </row>
    <row r="1103" spans="1:23" x14ac:dyDescent="0.35">
      <c r="A1103" t="s">
        <v>45</v>
      </c>
      <c r="B1103" t="s">
        <v>2278</v>
      </c>
      <c r="C1103" t="s">
        <v>93</v>
      </c>
      <c r="D1103" t="s">
        <v>2279</v>
      </c>
      <c r="E1103" t="s">
        <v>2280</v>
      </c>
      <c r="F1103" t="s">
        <v>49</v>
      </c>
      <c r="G1103" t="s">
        <v>2315</v>
      </c>
      <c r="H1103" t="s">
        <v>2316</v>
      </c>
      <c r="J1103" t="str">
        <f>HYPERLINK("https://twitter.com/NitishK3665381/status/1765280444139102219","https://twitter.com/NitishK3665381/status/1765280444139102219")</f>
        <v>https://twitter.com/NitishK3665381/status/1765280444139102219</v>
      </c>
      <c r="K1103" t="s">
        <v>67</v>
      </c>
      <c r="O1103">
        <v>0</v>
      </c>
      <c r="P1103">
        <v>0</v>
      </c>
      <c r="Q1103">
        <v>0</v>
      </c>
      <c r="S1103">
        <v>0</v>
      </c>
      <c r="T1103">
        <v>0</v>
      </c>
      <c r="U1103">
        <v>0</v>
      </c>
      <c r="W1103" t="s">
        <v>99</v>
      </c>
    </row>
    <row r="1104" spans="1:23" x14ac:dyDescent="0.35">
      <c r="A1104" t="s">
        <v>45</v>
      </c>
      <c r="B1104" t="s">
        <v>2278</v>
      </c>
      <c r="C1104" t="s">
        <v>93</v>
      </c>
      <c r="D1104" t="s">
        <v>2279</v>
      </c>
      <c r="E1104" t="s">
        <v>2280</v>
      </c>
      <c r="F1104" t="s">
        <v>49</v>
      </c>
      <c r="G1104" t="s">
        <v>2317</v>
      </c>
      <c r="H1104" t="s">
        <v>2318</v>
      </c>
      <c r="J1104" t="str">
        <f>HYPERLINK("https://twitter.com/NitishK3665381/status/1765280262777344418","https://twitter.com/NitishK3665381/status/1765280262777344418")</f>
        <v>https://twitter.com/NitishK3665381/status/1765280262777344418</v>
      </c>
      <c r="K1104" t="s">
        <v>67</v>
      </c>
      <c r="O1104">
        <v>0</v>
      </c>
      <c r="P1104">
        <v>0</v>
      </c>
      <c r="Q1104">
        <v>0</v>
      </c>
      <c r="S1104">
        <v>0</v>
      </c>
      <c r="T1104">
        <v>0</v>
      </c>
      <c r="U1104">
        <v>0</v>
      </c>
      <c r="W1104" t="s">
        <v>433</v>
      </c>
    </row>
    <row r="1105" spans="1:23" x14ac:dyDescent="0.35">
      <c r="A1105" t="s">
        <v>45</v>
      </c>
      <c r="B1105" t="s">
        <v>2278</v>
      </c>
      <c r="C1105" t="s">
        <v>60</v>
      </c>
      <c r="D1105" t="s">
        <v>61</v>
      </c>
      <c r="E1105" t="s">
        <v>61</v>
      </c>
      <c r="F1105" t="s">
        <v>49</v>
      </c>
      <c r="G1105" t="s">
        <v>2319</v>
      </c>
      <c r="H1105" t="s">
        <v>2320</v>
      </c>
      <c r="J1105" t="str">
        <f>HYPERLINK("https://www.facebook.com/634639855377280/posts/803432851831312?comment_id=1123050002052748","https://www.facebook.com/634639855377280/posts/803432851831312?comment_id=1123050002052748")</f>
        <v>https://www.facebook.com/634639855377280/posts/803432851831312?comment_id=1123050002052748</v>
      </c>
      <c r="O1105">
        <v>0</v>
      </c>
      <c r="P1105">
        <v>0</v>
      </c>
      <c r="Q1105">
        <v>0</v>
      </c>
      <c r="S1105">
        <v>0</v>
      </c>
      <c r="T1105">
        <v>0</v>
      </c>
      <c r="U1105">
        <v>0</v>
      </c>
      <c r="W1105" t="s">
        <v>52</v>
      </c>
    </row>
    <row r="1106" spans="1:23" x14ac:dyDescent="0.35">
      <c r="A1106" t="s">
        <v>45</v>
      </c>
      <c r="B1106" t="s">
        <v>2278</v>
      </c>
      <c r="C1106" t="s">
        <v>93</v>
      </c>
      <c r="D1106" t="s">
        <v>2305</v>
      </c>
      <c r="E1106" t="s">
        <v>2306</v>
      </c>
      <c r="F1106" t="s">
        <v>49</v>
      </c>
      <c r="G1106" t="s">
        <v>2321</v>
      </c>
      <c r="H1106" t="s">
        <v>2322</v>
      </c>
      <c r="J1106" t="str">
        <f>HYPERLINK("https://twitter.com/baghelrajesh418/status/1765248533450625067","https://twitter.com/baghelrajesh418/status/1765248533450625067")</f>
        <v>https://twitter.com/baghelrajesh418/status/1765248533450625067</v>
      </c>
      <c r="K1106" t="s">
        <v>67</v>
      </c>
      <c r="O1106">
        <v>0</v>
      </c>
      <c r="P1106">
        <v>0</v>
      </c>
      <c r="Q1106">
        <v>0</v>
      </c>
      <c r="S1106">
        <v>0</v>
      </c>
      <c r="T1106">
        <v>0</v>
      </c>
      <c r="U1106">
        <v>0</v>
      </c>
      <c r="W1106" t="s">
        <v>99</v>
      </c>
    </row>
    <row r="1107" spans="1:23" x14ac:dyDescent="0.35">
      <c r="A1107" t="s">
        <v>45</v>
      </c>
      <c r="B1107" t="s">
        <v>2278</v>
      </c>
      <c r="C1107" t="s">
        <v>60</v>
      </c>
      <c r="D1107" t="s">
        <v>61</v>
      </c>
      <c r="E1107" t="s">
        <v>61</v>
      </c>
      <c r="F1107" t="s">
        <v>49</v>
      </c>
      <c r="G1107" t="s">
        <v>2323</v>
      </c>
      <c r="H1107" t="s">
        <v>2324</v>
      </c>
      <c r="J1107" t="str">
        <f>HYPERLINK("https://www.facebook.com/634639855377280/posts/803432851831312?comment_id=417321974308759","https://www.facebook.com/634639855377280/posts/803432851831312?comment_id=417321974308759")</f>
        <v>https://www.facebook.com/634639855377280/posts/803432851831312?comment_id=417321974308759</v>
      </c>
      <c r="O1107">
        <v>0</v>
      </c>
      <c r="P1107">
        <v>0</v>
      </c>
      <c r="Q1107">
        <v>0</v>
      </c>
      <c r="S1107">
        <v>0</v>
      </c>
      <c r="T1107">
        <v>0</v>
      </c>
      <c r="U1107">
        <v>0</v>
      </c>
      <c r="W1107" t="s">
        <v>52</v>
      </c>
    </row>
    <row r="1108" spans="1:23" x14ac:dyDescent="0.35">
      <c r="A1108" t="s">
        <v>45</v>
      </c>
      <c r="B1108" t="s">
        <v>2278</v>
      </c>
      <c r="C1108" t="s">
        <v>60</v>
      </c>
      <c r="D1108" t="s">
        <v>61</v>
      </c>
      <c r="E1108" t="s">
        <v>61</v>
      </c>
      <c r="F1108" t="s">
        <v>49</v>
      </c>
      <c r="G1108" t="s">
        <v>2325</v>
      </c>
      <c r="H1108" t="s">
        <v>2326</v>
      </c>
      <c r="J1108" t="str">
        <f>HYPERLINK("https://www.facebook.com/634639855377280/posts/803432851831312?comment_id=766366948407858","https://www.facebook.com/634639855377280/posts/803432851831312?comment_id=766366948407858")</f>
        <v>https://www.facebook.com/634639855377280/posts/803432851831312?comment_id=766366948407858</v>
      </c>
      <c r="O1108">
        <v>0</v>
      </c>
      <c r="P1108">
        <v>0</v>
      </c>
      <c r="Q1108">
        <v>0</v>
      </c>
      <c r="S1108">
        <v>0</v>
      </c>
      <c r="T1108">
        <v>0</v>
      </c>
      <c r="U1108">
        <v>0</v>
      </c>
      <c r="W1108" t="s">
        <v>52</v>
      </c>
    </row>
    <row r="1109" spans="1:23" x14ac:dyDescent="0.35">
      <c r="A1109" t="s">
        <v>45</v>
      </c>
      <c r="B1109" t="s">
        <v>2278</v>
      </c>
      <c r="C1109" t="s">
        <v>60</v>
      </c>
      <c r="D1109" t="s">
        <v>61</v>
      </c>
      <c r="E1109" t="s">
        <v>61</v>
      </c>
      <c r="F1109" t="s">
        <v>49</v>
      </c>
      <c r="G1109" t="s">
        <v>2327</v>
      </c>
      <c r="H1109" t="s">
        <v>2328</v>
      </c>
      <c r="J1109" t="str">
        <f>HYPERLINK("https://www.facebook.com/634639855377280/posts/803432851831312?comment_id=395528293227666","https://www.facebook.com/634639855377280/posts/803432851831312?comment_id=395528293227666")</f>
        <v>https://www.facebook.com/634639855377280/posts/803432851831312?comment_id=395528293227666</v>
      </c>
      <c r="O1109">
        <v>0</v>
      </c>
      <c r="P1109">
        <v>0</v>
      </c>
      <c r="Q1109">
        <v>0</v>
      </c>
      <c r="S1109">
        <v>0</v>
      </c>
      <c r="T1109">
        <v>0</v>
      </c>
      <c r="U1109">
        <v>0</v>
      </c>
      <c r="W1109" t="s">
        <v>52</v>
      </c>
    </row>
    <row r="1110" spans="1:23" x14ac:dyDescent="0.35">
      <c r="A1110" t="s">
        <v>45</v>
      </c>
      <c r="B1110" t="s">
        <v>2278</v>
      </c>
      <c r="C1110" t="s">
        <v>60</v>
      </c>
      <c r="D1110" t="s">
        <v>64</v>
      </c>
      <c r="E1110" t="s">
        <v>64</v>
      </c>
      <c r="F1110" t="s">
        <v>49</v>
      </c>
      <c r="G1110" t="s">
        <v>2329</v>
      </c>
      <c r="H1110" t="s">
        <v>2330</v>
      </c>
      <c r="J1110" t="str">
        <f>HYPERLINK("https://www.facebook.com/634639855377280/posts/803432851831312","https://www.facebook.com/634639855377280/posts/803432851831312")</f>
        <v>https://www.facebook.com/634639855377280/posts/803432851831312</v>
      </c>
      <c r="O1110">
        <v>0</v>
      </c>
      <c r="P1110">
        <v>0</v>
      </c>
      <c r="Q1110">
        <v>0</v>
      </c>
      <c r="S1110">
        <v>13</v>
      </c>
      <c r="T1110">
        <v>68</v>
      </c>
      <c r="U1110">
        <v>1</v>
      </c>
      <c r="W1110" t="s">
        <v>346</v>
      </c>
    </row>
    <row r="1111" spans="1:23" x14ac:dyDescent="0.35">
      <c r="A1111" t="s">
        <v>45</v>
      </c>
      <c r="B1111" t="s">
        <v>2278</v>
      </c>
      <c r="C1111" t="s">
        <v>93</v>
      </c>
      <c r="D1111" t="s">
        <v>94</v>
      </c>
      <c r="E1111" t="s">
        <v>45</v>
      </c>
      <c r="F1111" t="s">
        <v>49</v>
      </c>
      <c r="G1111" t="s">
        <v>2331</v>
      </c>
      <c r="H1111" t="s">
        <v>2332</v>
      </c>
      <c r="J1111" t="str">
        <f>HYPERLINK("https://twitter.com/SpiceMoneyIndia/status/1765233344974098696","https://twitter.com/SpiceMoneyIndia/status/1765233344974098696")</f>
        <v>https://twitter.com/SpiceMoneyIndia/status/1765233344974098696</v>
      </c>
      <c r="K1111" t="s">
        <v>67</v>
      </c>
      <c r="O1111">
        <v>0</v>
      </c>
      <c r="P1111">
        <v>0</v>
      </c>
      <c r="Q1111">
        <v>6054</v>
      </c>
      <c r="R1111" t="s">
        <v>97</v>
      </c>
      <c r="S1111">
        <v>0</v>
      </c>
      <c r="T1111">
        <v>0</v>
      </c>
      <c r="U1111">
        <v>0</v>
      </c>
      <c r="V1111" t="s">
        <v>98</v>
      </c>
      <c r="W1111" t="s">
        <v>99</v>
      </c>
    </row>
    <row r="1112" spans="1:23" x14ac:dyDescent="0.35">
      <c r="A1112" t="s">
        <v>45</v>
      </c>
      <c r="B1112" t="s">
        <v>2278</v>
      </c>
      <c r="C1112" t="s">
        <v>60</v>
      </c>
      <c r="D1112" t="s">
        <v>61</v>
      </c>
      <c r="E1112" t="s">
        <v>61</v>
      </c>
      <c r="F1112" t="s">
        <v>49</v>
      </c>
      <c r="G1112" t="s">
        <v>2333</v>
      </c>
      <c r="H1112" t="s">
        <v>2334</v>
      </c>
      <c r="J1112" t="str">
        <f>HYPERLINK("https://www.facebook.com/634639855377280/posts/802328508608413?comment_id=929643735360121&amp;reply_comment_id=7465671223486788","https://www.facebook.com/634639855377280/posts/802328508608413?comment_id=929643735360121&amp;reply_comment_id=7465671223486788")</f>
        <v>https://www.facebook.com/634639855377280/posts/802328508608413?comment_id=929643735360121&amp;reply_comment_id=7465671223486788</v>
      </c>
      <c r="O1112">
        <v>0</v>
      </c>
      <c r="P1112">
        <v>0</v>
      </c>
      <c r="Q1112">
        <v>0</v>
      </c>
      <c r="S1112">
        <v>0</v>
      </c>
      <c r="T1112">
        <v>0</v>
      </c>
      <c r="U1112">
        <v>0</v>
      </c>
      <c r="W1112" t="s">
        <v>52</v>
      </c>
    </row>
    <row r="1113" spans="1:23" x14ac:dyDescent="0.35">
      <c r="A1113" t="s">
        <v>45</v>
      </c>
      <c r="B1113" t="s">
        <v>2278</v>
      </c>
      <c r="C1113" t="s">
        <v>60</v>
      </c>
      <c r="D1113" t="s">
        <v>61</v>
      </c>
      <c r="E1113" t="s">
        <v>61</v>
      </c>
      <c r="F1113" t="s">
        <v>49</v>
      </c>
      <c r="G1113" t="s">
        <v>2335</v>
      </c>
      <c r="H1113" t="s">
        <v>2336</v>
      </c>
      <c r="J1113" t="str">
        <f>HYPERLINK("https://www.facebook.com/634639855377280/posts/802328508608413?comment_id=372764878850570","https://www.facebook.com/634639855377280/posts/802328508608413?comment_id=372764878850570")</f>
        <v>https://www.facebook.com/634639855377280/posts/802328508608413?comment_id=372764878850570</v>
      </c>
      <c r="O1113">
        <v>0</v>
      </c>
      <c r="P1113">
        <v>0</v>
      </c>
      <c r="Q1113">
        <v>0</v>
      </c>
      <c r="S1113">
        <v>0</v>
      </c>
      <c r="T1113">
        <v>0</v>
      </c>
      <c r="U1113">
        <v>0</v>
      </c>
      <c r="W1113" t="s">
        <v>52</v>
      </c>
    </row>
    <row r="1114" spans="1:23" x14ac:dyDescent="0.35">
      <c r="A1114" t="s">
        <v>45</v>
      </c>
      <c r="B1114" t="s">
        <v>2278</v>
      </c>
      <c r="C1114" t="s">
        <v>93</v>
      </c>
      <c r="D1114" t="s">
        <v>94</v>
      </c>
      <c r="E1114" t="s">
        <v>45</v>
      </c>
      <c r="F1114" t="s">
        <v>49</v>
      </c>
      <c r="G1114" t="s">
        <v>2337</v>
      </c>
      <c r="H1114" t="s">
        <v>2338</v>
      </c>
      <c r="J1114" t="str">
        <f>HYPERLINK("https://twitter.com/SpiceMoneyIndia/status/1765220708718624972","https://twitter.com/SpiceMoneyIndia/status/1765220708718624972")</f>
        <v>https://twitter.com/SpiceMoneyIndia/status/1765220708718624972</v>
      </c>
      <c r="K1114" t="s">
        <v>67</v>
      </c>
      <c r="O1114">
        <v>0</v>
      </c>
      <c r="P1114">
        <v>0</v>
      </c>
      <c r="Q1114">
        <v>6054</v>
      </c>
      <c r="R1114" t="s">
        <v>97</v>
      </c>
      <c r="S1114">
        <v>0</v>
      </c>
      <c r="T1114">
        <v>0</v>
      </c>
      <c r="U1114">
        <v>0</v>
      </c>
      <c r="V1114" t="s">
        <v>98</v>
      </c>
      <c r="W1114" t="s">
        <v>99</v>
      </c>
    </row>
    <row r="1115" spans="1:23" x14ac:dyDescent="0.35">
      <c r="A1115" t="s">
        <v>45</v>
      </c>
      <c r="B1115" t="s">
        <v>2278</v>
      </c>
      <c r="C1115" t="s">
        <v>60</v>
      </c>
      <c r="D1115" t="s">
        <v>64</v>
      </c>
      <c r="E1115" t="s">
        <v>64</v>
      </c>
      <c r="F1115" t="s">
        <v>49</v>
      </c>
      <c r="G1115" t="s">
        <v>100</v>
      </c>
      <c r="H1115" t="s">
        <v>2339</v>
      </c>
      <c r="J1115" t="str">
        <f>HYPERLINK("https://www.facebook.com/634639855377280/posts/802328508608413?comment_id=929643735360121&amp;reply_comment_id=1208044910166326","https://www.facebook.com/634639855377280/posts/802328508608413?comment_id=929643735360121&amp;reply_comment_id=1208044910166326")</f>
        <v>https://www.facebook.com/634639855377280/posts/802328508608413?comment_id=929643735360121&amp;reply_comment_id=1208044910166326</v>
      </c>
      <c r="K1115" t="s">
        <v>67</v>
      </c>
      <c r="O1115">
        <v>0</v>
      </c>
      <c r="P1115">
        <v>0</v>
      </c>
      <c r="Q1115">
        <v>0</v>
      </c>
      <c r="S1115">
        <v>0</v>
      </c>
      <c r="T1115">
        <v>0</v>
      </c>
      <c r="U1115">
        <v>0</v>
      </c>
      <c r="W1115" t="s">
        <v>52</v>
      </c>
    </row>
    <row r="1116" spans="1:23" x14ac:dyDescent="0.35">
      <c r="A1116" t="s">
        <v>45</v>
      </c>
      <c r="B1116" t="s">
        <v>2278</v>
      </c>
      <c r="C1116" t="s">
        <v>93</v>
      </c>
      <c r="D1116" t="s">
        <v>94</v>
      </c>
      <c r="E1116" t="s">
        <v>45</v>
      </c>
      <c r="F1116" t="s">
        <v>49</v>
      </c>
      <c r="G1116" t="s">
        <v>2317</v>
      </c>
      <c r="H1116" t="s">
        <v>2340</v>
      </c>
      <c r="J1116" t="str">
        <f>HYPERLINK("https://twitter.com/SpiceMoneyIndia/status/1765220196002759130","https://twitter.com/SpiceMoneyIndia/status/1765220196002759130")</f>
        <v>https://twitter.com/SpiceMoneyIndia/status/1765220196002759130</v>
      </c>
      <c r="K1116" t="s">
        <v>67</v>
      </c>
      <c r="O1116">
        <v>0</v>
      </c>
      <c r="P1116">
        <v>0</v>
      </c>
      <c r="Q1116">
        <v>6054</v>
      </c>
      <c r="R1116" t="s">
        <v>97</v>
      </c>
      <c r="S1116">
        <v>0</v>
      </c>
      <c r="T1116">
        <v>0</v>
      </c>
      <c r="U1116">
        <v>0</v>
      </c>
      <c r="V1116" t="s">
        <v>98</v>
      </c>
      <c r="W1116" t="s">
        <v>99</v>
      </c>
    </row>
    <row r="1117" spans="1:23" x14ac:dyDescent="0.35">
      <c r="A1117" t="s">
        <v>45</v>
      </c>
      <c r="B1117" t="s">
        <v>2278</v>
      </c>
      <c r="C1117" t="s">
        <v>93</v>
      </c>
      <c r="D1117" t="s">
        <v>2279</v>
      </c>
      <c r="E1117" t="s">
        <v>2280</v>
      </c>
      <c r="F1117" t="s">
        <v>49</v>
      </c>
      <c r="G1117" t="s">
        <v>2341</v>
      </c>
      <c r="H1117" t="s">
        <v>2342</v>
      </c>
      <c r="J1117" t="str">
        <f>HYPERLINK("https://twitter.com/NitishK3665381/status/1765178433146163545","https://twitter.com/NitishK3665381/status/1765178433146163545")</f>
        <v>https://twitter.com/NitishK3665381/status/1765178433146163545</v>
      </c>
      <c r="K1117" t="s">
        <v>67</v>
      </c>
      <c r="O1117">
        <v>0</v>
      </c>
      <c r="P1117">
        <v>0</v>
      </c>
      <c r="Q1117">
        <v>0</v>
      </c>
      <c r="S1117">
        <v>0</v>
      </c>
      <c r="T1117">
        <v>0</v>
      </c>
      <c r="U1117">
        <v>0</v>
      </c>
      <c r="W1117" t="s">
        <v>433</v>
      </c>
    </row>
    <row r="1118" spans="1:23" x14ac:dyDescent="0.35">
      <c r="A1118" t="s">
        <v>45</v>
      </c>
      <c r="B1118" t="s">
        <v>2278</v>
      </c>
      <c r="C1118" t="s">
        <v>93</v>
      </c>
      <c r="D1118" t="s">
        <v>2279</v>
      </c>
      <c r="E1118" t="s">
        <v>2280</v>
      </c>
      <c r="F1118" t="s">
        <v>49</v>
      </c>
      <c r="G1118" t="s">
        <v>2341</v>
      </c>
      <c r="H1118" t="s">
        <v>2343</v>
      </c>
      <c r="J1118" t="str">
        <f>HYPERLINK("https://twitter.com/NitishK3665381/status/1765178419309085117","https://twitter.com/NitishK3665381/status/1765178419309085117")</f>
        <v>https://twitter.com/NitishK3665381/status/1765178419309085117</v>
      </c>
      <c r="K1118" t="s">
        <v>67</v>
      </c>
      <c r="O1118">
        <v>0</v>
      </c>
      <c r="P1118">
        <v>0</v>
      </c>
      <c r="Q1118">
        <v>0</v>
      </c>
      <c r="S1118">
        <v>0</v>
      </c>
      <c r="T1118">
        <v>0</v>
      </c>
      <c r="U1118">
        <v>0</v>
      </c>
      <c r="W1118" t="s">
        <v>433</v>
      </c>
    </row>
    <row r="1119" spans="1:23" x14ac:dyDescent="0.35">
      <c r="A1119" t="s">
        <v>45</v>
      </c>
      <c r="B1119" t="s">
        <v>2278</v>
      </c>
      <c r="C1119" t="s">
        <v>93</v>
      </c>
      <c r="D1119" t="s">
        <v>2279</v>
      </c>
      <c r="E1119" t="s">
        <v>2280</v>
      </c>
      <c r="F1119" t="s">
        <v>49</v>
      </c>
      <c r="G1119" t="s">
        <v>2341</v>
      </c>
      <c r="H1119" t="s">
        <v>2344</v>
      </c>
      <c r="J1119" t="str">
        <f>HYPERLINK("https://twitter.com/NitishK3665381/status/1765178273661845793","https://twitter.com/NitishK3665381/status/1765178273661845793")</f>
        <v>https://twitter.com/NitishK3665381/status/1765178273661845793</v>
      </c>
      <c r="K1119" t="s">
        <v>67</v>
      </c>
      <c r="O1119">
        <v>0</v>
      </c>
      <c r="P1119">
        <v>0</v>
      </c>
      <c r="Q1119">
        <v>0</v>
      </c>
      <c r="S1119">
        <v>0</v>
      </c>
      <c r="T1119">
        <v>0</v>
      </c>
      <c r="U1119">
        <v>0</v>
      </c>
      <c r="W1119" t="s">
        <v>433</v>
      </c>
    </row>
    <row r="1120" spans="1:23" x14ac:dyDescent="0.35">
      <c r="A1120" t="s">
        <v>45</v>
      </c>
      <c r="B1120" t="s">
        <v>2278</v>
      </c>
      <c r="C1120" t="s">
        <v>93</v>
      </c>
      <c r="D1120" t="s">
        <v>2279</v>
      </c>
      <c r="E1120" t="s">
        <v>2280</v>
      </c>
      <c r="F1120" t="s">
        <v>49</v>
      </c>
      <c r="G1120" t="s">
        <v>2341</v>
      </c>
      <c r="H1120" t="s">
        <v>2345</v>
      </c>
      <c r="J1120" t="str">
        <f>HYPERLINK("https://twitter.com/NitishK3665381/status/1765178129684082981","https://twitter.com/NitishK3665381/status/1765178129684082981")</f>
        <v>https://twitter.com/NitishK3665381/status/1765178129684082981</v>
      </c>
      <c r="K1120" t="s">
        <v>67</v>
      </c>
      <c r="O1120">
        <v>0</v>
      </c>
      <c r="P1120">
        <v>0</v>
      </c>
      <c r="Q1120">
        <v>0</v>
      </c>
      <c r="S1120">
        <v>0</v>
      </c>
      <c r="T1120">
        <v>0</v>
      </c>
      <c r="U1120">
        <v>0</v>
      </c>
      <c r="W1120" t="s">
        <v>99</v>
      </c>
    </row>
    <row r="1121" spans="1:23" x14ac:dyDescent="0.35">
      <c r="A1121" t="s">
        <v>45</v>
      </c>
      <c r="B1121" t="s">
        <v>2278</v>
      </c>
      <c r="C1121" t="s">
        <v>60</v>
      </c>
      <c r="D1121" t="s">
        <v>61</v>
      </c>
      <c r="E1121" t="s">
        <v>61</v>
      </c>
      <c r="F1121" t="s">
        <v>193</v>
      </c>
      <c r="G1121" t="s">
        <v>2346</v>
      </c>
      <c r="H1121" t="s">
        <v>2347</v>
      </c>
      <c r="J1121" t="str">
        <f>HYPERLINK("https://www.facebook.com/634639855377280/posts/802328508608413?comment_id=929643735360121","https://www.facebook.com/634639855377280/posts/802328508608413?comment_id=929643735360121")</f>
        <v>https://www.facebook.com/634639855377280/posts/802328508608413?comment_id=929643735360121</v>
      </c>
      <c r="O1121">
        <v>0</v>
      </c>
      <c r="P1121">
        <v>0</v>
      </c>
      <c r="Q1121">
        <v>0</v>
      </c>
      <c r="S1121">
        <v>0</v>
      </c>
      <c r="T1121">
        <v>0</v>
      </c>
      <c r="U1121">
        <v>0</v>
      </c>
      <c r="W1121" t="s">
        <v>52</v>
      </c>
    </row>
    <row r="1122" spans="1:23" x14ac:dyDescent="0.35">
      <c r="A1122" t="s">
        <v>45</v>
      </c>
      <c r="B1122" t="s">
        <v>2348</v>
      </c>
      <c r="C1122" t="s">
        <v>93</v>
      </c>
      <c r="D1122" t="s">
        <v>2305</v>
      </c>
      <c r="E1122" t="s">
        <v>2306</v>
      </c>
      <c r="F1122" t="s">
        <v>193</v>
      </c>
      <c r="G1122" t="s">
        <v>2349</v>
      </c>
      <c r="H1122" t="s">
        <v>2350</v>
      </c>
      <c r="J1122" t="str">
        <f>HYPERLINK("https://twitter.com/baghelrajesh418/status/1764989066637136216","https://twitter.com/baghelrajesh418/status/1764989066637136216")</f>
        <v>https://twitter.com/baghelrajesh418/status/1764989066637136216</v>
      </c>
      <c r="K1122" t="s">
        <v>67</v>
      </c>
      <c r="O1122">
        <v>0</v>
      </c>
      <c r="P1122">
        <v>0</v>
      </c>
      <c r="Q1122">
        <v>0</v>
      </c>
      <c r="S1122">
        <v>0</v>
      </c>
      <c r="T1122">
        <v>0</v>
      </c>
      <c r="U1122">
        <v>0</v>
      </c>
      <c r="W1122" t="s">
        <v>99</v>
      </c>
    </row>
    <row r="1123" spans="1:23" x14ac:dyDescent="0.35">
      <c r="A1123" t="s">
        <v>45</v>
      </c>
      <c r="B1123" t="s">
        <v>2348</v>
      </c>
      <c r="C1123" t="s">
        <v>93</v>
      </c>
      <c r="D1123" t="s">
        <v>94</v>
      </c>
      <c r="E1123" t="s">
        <v>45</v>
      </c>
      <c r="F1123" t="s">
        <v>49</v>
      </c>
      <c r="G1123" t="s">
        <v>2351</v>
      </c>
      <c r="H1123" t="s">
        <v>2352</v>
      </c>
      <c r="J1123" t="str">
        <f>HYPERLINK("https://twitter.com/SpiceMoneyIndia/status/1764977419914457193","https://twitter.com/SpiceMoneyIndia/status/1764977419914457193")</f>
        <v>https://twitter.com/SpiceMoneyIndia/status/1764977419914457193</v>
      </c>
      <c r="K1123" t="s">
        <v>67</v>
      </c>
      <c r="O1123">
        <v>0</v>
      </c>
      <c r="P1123">
        <v>0</v>
      </c>
      <c r="Q1123">
        <v>6055</v>
      </c>
      <c r="R1123" t="s">
        <v>97</v>
      </c>
      <c r="S1123">
        <v>0</v>
      </c>
      <c r="T1123">
        <v>0</v>
      </c>
      <c r="U1123">
        <v>0</v>
      </c>
      <c r="V1123" t="s">
        <v>98</v>
      </c>
      <c r="W1123" t="s">
        <v>99</v>
      </c>
    </row>
    <row r="1124" spans="1:23" x14ac:dyDescent="0.35">
      <c r="A1124" t="s">
        <v>45</v>
      </c>
      <c r="B1124" t="s">
        <v>2348</v>
      </c>
      <c r="C1124" t="s">
        <v>60</v>
      </c>
      <c r="D1124" t="s">
        <v>61</v>
      </c>
      <c r="E1124" t="s">
        <v>61</v>
      </c>
      <c r="F1124" t="s">
        <v>49</v>
      </c>
      <c r="G1124" t="s">
        <v>2353</v>
      </c>
      <c r="H1124" t="s">
        <v>2354</v>
      </c>
      <c r="J1124" t="str">
        <f>HYPERLINK("https://www.facebook.com/634639855377280/posts/802946451879952?comment_id=761842385888243","https://www.facebook.com/634639855377280/posts/802946451879952?comment_id=761842385888243")</f>
        <v>https://www.facebook.com/634639855377280/posts/802946451879952?comment_id=761842385888243</v>
      </c>
      <c r="O1124">
        <v>0</v>
      </c>
      <c r="P1124">
        <v>0</v>
      </c>
      <c r="Q1124">
        <v>0</v>
      </c>
      <c r="S1124">
        <v>0</v>
      </c>
      <c r="T1124">
        <v>0</v>
      </c>
      <c r="U1124">
        <v>0</v>
      </c>
      <c r="W1124" t="s">
        <v>52</v>
      </c>
    </row>
    <row r="1125" spans="1:23" x14ac:dyDescent="0.35">
      <c r="A1125" t="s">
        <v>45</v>
      </c>
      <c r="B1125" t="s">
        <v>2348</v>
      </c>
      <c r="C1125" t="s">
        <v>93</v>
      </c>
      <c r="D1125" t="s">
        <v>94</v>
      </c>
      <c r="E1125" t="s">
        <v>45</v>
      </c>
      <c r="F1125" t="s">
        <v>49</v>
      </c>
      <c r="G1125" t="s">
        <v>2355</v>
      </c>
      <c r="H1125" t="s">
        <v>2356</v>
      </c>
      <c r="J1125" t="str">
        <f>HYPERLINK("https://twitter.com/SpiceMoneyIndia/status/1764973827782488131","https://twitter.com/SpiceMoneyIndia/status/1764973827782488131")</f>
        <v>https://twitter.com/SpiceMoneyIndia/status/1764973827782488131</v>
      </c>
      <c r="K1125" t="s">
        <v>67</v>
      </c>
      <c r="O1125">
        <v>0</v>
      </c>
      <c r="P1125">
        <v>0</v>
      </c>
      <c r="Q1125">
        <v>6055</v>
      </c>
      <c r="R1125" t="s">
        <v>97</v>
      </c>
      <c r="S1125">
        <v>0</v>
      </c>
      <c r="T1125">
        <v>0</v>
      </c>
      <c r="U1125">
        <v>0</v>
      </c>
      <c r="V1125" t="s">
        <v>98</v>
      </c>
      <c r="W1125" t="s">
        <v>99</v>
      </c>
    </row>
    <row r="1126" spans="1:23" x14ac:dyDescent="0.35">
      <c r="A1126" t="s">
        <v>45</v>
      </c>
      <c r="B1126" t="s">
        <v>2348</v>
      </c>
      <c r="C1126" t="s">
        <v>60</v>
      </c>
      <c r="D1126" t="s">
        <v>64</v>
      </c>
      <c r="E1126" t="s">
        <v>64</v>
      </c>
      <c r="F1126" t="s">
        <v>49</v>
      </c>
      <c r="G1126" t="s">
        <v>2357</v>
      </c>
      <c r="H1126" t="s">
        <v>2358</v>
      </c>
      <c r="J1126" t="str">
        <f>HYPERLINK("https://www.facebook.com/634639855377280/posts/802946451879952?comment_id=959194551722306&amp;reply_comment_id=1459268431468284","https://www.facebook.com/634639855377280/posts/802946451879952?comment_id=959194551722306&amp;reply_comment_id=1459268431468284")</f>
        <v>https://www.facebook.com/634639855377280/posts/802946451879952?comment_id=959194551722306&amp;reply_comment_id=1459268431468284</v>
      </c>
      <c r="K1126" t="s">
        <v>67</v>
      </c>
      <c r="O1126">
        <v>0</v>
      </c>
      <c r="P1126">
        <v>0</v>
      </c>
      <c r="Q1126">
        <v>0</v>
      </c>
      <c r="S1126">
        <v>0</v>
      </c>
      <c r="T1126">
        <v>0</v>
      </c>
      <c r="U1126">
        <v>0</v>
      </c>
      <c r="W1126" t="s">
        <v>52</v>
      </c>
    </row>
    <row r="1127" spans="1:23" x14ac:dyDescent="0.35">
      <c r="A1127" t="s">
        <v>45</v>
      </c>
      <c r="B1127" t="s">
        <v>2348</v>
      </c>
      <c r="C1127" t="s">
        <v>47</v>
      </c>
      <c r="D1127" t="s">
        <v>68</v>
      </c>
      <c r="E1127" t="s">
        <v>68</v>
      </c>
      <c r="F1127" t="s">
        <v>49</v>
      </c>
      <c r="G1127" t="s">
        <v>293</v>
      </c>
      <c r="H1127" t="s">
        <v>2359</v>
      </c>
      <c r="J1127" t="str">
        <f>HYPERLINK("https://www.youtube.com/watch?v=5DADCSRiE3A&amp;lc=UgxeNbO-BUMikKiQEwN4AaABAg.A0aaoEkj8IbA0apEWislZv","https://www.youtube.com/watch?v=5DADCSRiE3A&amp;lc=UgxeNbO-BUMikKiQEwN4AaABAg.A0aaoEkj8IbA0apEWislZv")</f>
        <v>https://www.youtube.com/watch?v=5DADCSRiE3A&amp;lc=UgxeNbO-BUMikKiQEwN4AaABAg.A0aaoEkj8IbA0apEWislZv</v>
      </c>
      <c r="O1127">
        <v>0</v>
      </c>
      <c r="P1127">
        <v>0</v>
      </c>
      <c r="Q1127">
        <v>0</v>
      </c>
      <c r="S1127">
        <v>0</v>
      </c>
      <c r="T1127">
        <v>0</v>
      </c>
      <c r="U1127">
        <v>0</v>
      </c>
      <c r="W1127" t="s">
        <v>52</v>
      </c>
    </row>
    <row r="1128" spans="1:23" x14ac:dyDescent="0.35">
      <c r="A1128" t="s">
        <v>45</v>
      </c>
      <c r="B1128" t="s">
        <v>2348</v>
      </c>
      <c r="C1128" t="s">
        <v>60</v>
      </c>
      <c r="D1128" t="s">
        <v>61</v>
      </c>
      <c r="E1128" t="s">
        <v>61</v>
      </c>
      <c r="F1128" t="s">
        <v>49</v>
      </c>
      <c r="G1128" t="s">
        <v>2360</v>
      </c>
      <c r="H1128" t="s">
        <v>2361</v>
      </c>
      <c r="J1128" t="str">
        <f>HYPERLINK("https://www.facebook.com/634639855377280/posts/802946451879952?comment_id=1847747268979914&amp;reply_comment_id=3206653416145869","https://www.facebook.com/634639855377280/posts/802946451879952?comment_id=1847747268979914&amp;reply_comment_id=3206653416145869")</f>
        <v>https://www.facebook.com/634639855377280/posts/802946451879952?comment_id=1847747268979914&amp;reply_comment_id=3206653416145869</v>
      </c>
      <c r="O1128">
        <v>0</v>
      </c>
      <c r="P1128">
        <v>0</v>
      </c>
      <c r="Q1128">
        <v>0</v>
      </c>
      <c r="S1128">
        <v>0</v>
      </c>
      <c r="T1128">
        <v>0</v>
      </c>
      <c r="U1128">
        <v>0</v>
      </c>
      <c r="W1128" t="s">
        <v>52</v>
      </c>
    </row>
    <row r="1129" spans="1:23" x14ac:dyDescent="0.35">
      <c r="A1129" t="s">
        <v>45</v>
      </c>
      <c r="B1129" t="s">
        <v>2348</v>
      </c>
      <c r="C1129" t="s">
        <v>93</v>
      </c>
      <c r="D1129" t="s">
        <v>94</v>
      </c>
      <c r="E1129" t="s">
        <v>45</v>
      </c>
      <c r="F1129" t="s">
        <v>49</v>
      </c>
      <c r="G1129" t="s">
        <v>2362</v>
      </c>
      <c r="H1129" t="s">
        <v>2363</v>
      </c>
      <c r="J1129" t="str">
        <f>HYPERLINK("https://twitter.com/SpiceMoneyIndia/status/1764955927780712648","https://twitter.com/SpiceMoneyIndia/status/1764955927780712648")</f>
        <v>https://twitter.com/SpiceMoneyIndia/status/1764955927780712648</v>
      </c>
      <c r="K1129" t="s">
        <v>67</v>
      </c>
      <c r="O1129">
        <v>0</v>
      </c>
      <c r="P1129">
        <v>0</v>
      </c>
      <c r="Q1129">
        <v>6055</v>
      </c>
      <c r="R1129" t="s">
        <v>97</v>
      </c>
      <c r="S1129">
        <v>0</v>
      </c>
      <c r="T1129">
        <v>0</v>
      </c>
      <c r="U1129">
        <v>0</v>
      </c>
      <c r="V1129" t="s">
        <v>98</v>
      </c>
      <c r="W1129" t="s">
        <v>99</v>
      </c>
    </row>
    <row r="1130" spans="1:23" x14ac:dyDescent="0.35">
      <c r="A1130" t="s">
        <v>45</v>
      </c>
      <c r="B1130" t="s">
        <v>2348</v>
      </c>
      <c r="C1130" t="s">
        <v>60</v>
      </c>
      <c r="D1130" t="s">
        <v>61</v>
      </c>
      <c r="E1130" t="s">
        <v>61</v>
      </c>
      <c r="F1130" t="s">
        <v>193</v>
      </c>
      <c r="G1130" t="s">
        <v>2364</v>
      </c>
      <c r="H1130" t="s">
        <v>2365</v>
      </c>
      <c r="J1130" t="str">
        <f>HYPERLINK("https://www.facebook.com/634639855377280/posts/802946451879952?comment_id=959194551722306","https://www.facebook.com/634639855377280/posts/802946451879952?comment_id=959194551722306")</f>
        <v>https://www.facebook.com/634639855377280/posts/802946451879952?comment_id=959194551722306</v>
      </c>
      <c r="O1130">
        <v>0</v>
      </c>
      <c r="P1130">
        <v>0</v>
      </c>
      <c r="Q1130">
        <v>0</v>
      </c>
      <c r="S1130">
        <v>0</v>
      </c>
      <c r="T1130">
        <v>0</v>
      </c>
      <c r="U1130">
        <v>0</v>
      </c>
      <c r="W1130" t="s">
        <v>52</v>
      </c>
    </row>
    <row r="1131" spans="1:23" x14ac:dyDescent="0.35">
      <c r="A1131" t="s">
        <v>45</v>
      </c>
      <c r="B1131" t="s">
        <v>2348</v>
      </c>
      <c r="C1131" t="s">
        <v>47</v>
      </c>
      <c r="D1131" t="s">
        <v>68</v>
      </c>
      <c r="E1131" t="s">
        <v>68</v>
      </c>
      <c r="F1131" t="s">
        <v>49</v>
      </c>
      <c r="G1131" t="s">
        <v>2366</v>
      </c>
      <c r="H1131" t="s">
        <v>2367</v>
      </c>
      <c r="J1131" t="str">
        <f>HYPERLINK("https://www.youtube.com/watch?v=YQSdpP96l0U&amp;lc=Ugz3_WBuySsX-f3C0u94AaABAg.A0aMaoh1DD4A0aimqcscC7","https://www.youtube.com/watch?v=YQSdpP96l0U&amp;lc=Ugz3_WBuySsX-f3C0u94AaABAg.A0aMaoh1DD4A0aimqcscC7")</f>
        <v>https://www.youtube.com/watch?v=YQSdpP96l0U&amp;lc=Ugz3_WBuySsX-f3C0u94AaABAg.A0aMaoh1DD4A0aimqcscC7</v>
      </c>
      <c r="O1131">
        <v>0</v>
      </c>
      <c r="P1131">
        <v>0</v>
      </c>
      <c r="Q1131">
        <v>0</v>
      </c>
      <c r="S1131">
        <v>0</v>
      </c>
      <c r="T1131">
        <v>0</v>
      </c>
      <c r="U1131">
        <v>0</v>
      </c>
      <c r="W1131" t="s">
        <v>52</v>
      </c>
    </row>
    <row r="1132" spans="1:23" x14ac:dyDescent="0.35">
      <c r="A1132" t="s">
        <v>45</v>
      </c>
      <c r="B1132" t="s">
        <v>2348</v>
      </c>
      <c r="C1132" t="s">
        <v>60</v>
      </c>
      <c r="D1132" t="s">
        <v>64</v>
      </c>
      <c r="E1132" t="s">
        <v>64</v>
      </c>
      <c r="F1132" t="s">
        <v>49</v>
      </c>
      <c r="G1132" t="s">
        <v>100</v>
      </c>
      <c r="H1132" t="s">
        <v>2368</v>
      </c>
      <c r="J1132" t="str">
        <f>HYPERLINK("https://www.facebook.com/634639855377280/posts/802946451879952?comment_id=302942399163207&amp;reply_comment_id=770857967914133","https://www.facebook.com/634639855377280/posts/802946451879952?comment_id=302942399163207&amp;reply_comment_id=770857967914133")</f>
        <v>https://www.facebook.com/634639855377280/posts/802946451879952?comment_id=302942399163207&amp;reply_comment_id=770857967914133</v>
      </c>
      <c r="K1132" t="s">
        <v>67</v>
      </c>
      <c r="O1132">
        <v>0</v>
      </c>
      <c r="P1132">
        <v>0</v>
      </c>
      <c r="Q1132">
        <v>0</v>
      </c>
      <c r="S1132">
        <v>0</v>
      </c>
      <c r="T1132">
        <v>0</v>
      </c>
      <c r="U1132">
        <v>0</v>
      </c>
      <c r="W1132" t="s">
        <v>52</v>
      </c>
    </row>
    <row r="1133" spans="1:23" x14ac:dyDescent="0.35">
      <c r="A1133" t="s">
        <v>45</v>
      </c>
      <c r="B1133" t="s">
        <v>2348</v>
      </c>
      <c r="C1133" t="s">
        <v>60</v>
      </c>
      <c r="D1133" t="s">
        <v>64</v>
      </c>
      <c r="E1133" t="s">
        <v>64</v>
      </c>
      <c r="F1133" t="s">
        <v>49</v>
      </c>
      <c r="G1133" t="s">
        <v>100</v>
      </c>
      <c r="H1133" t="s">
        <v>2369</v>
      </c>
      <c r="J1133" t="str">
        <f>HYPERLINK("https://www.facebook.com/634639855377280/posts/802946451879952?comment_id=1847747268979914&amp;reply_comment_id=1149654799287974","https://www.facebook.com/634639855377280/posts/802946451879952?comment_id=1847747268979914&amp;reply_comment_id=1149654799287974")</f>
        <v>https://www.facebook.com/634639855377280/posts/802946451879952?comment_id=1847747268979914&amp;reply_comment_id=1149654799287974</v>
      </c>
      <c r="K1133" t="s">
        <v>67</v>
      </c>
      <c r="O1133">
        <v>0</v>
      </c>
      <c r="P1133">
        <v>0</v>
      </c>
      <c r="Q1133">
        <v>0</v>
      </c>
      <c r="S1133">
        <v>0</v>
      </c>
      <c r="T1133">
        <v>0</v>
      </c>
      <c r="U1133">
        <v>0</v>
      </c>
      <c r="W1133" t="s">
        <v>52</v>
      </c>
    </row>
    <row r="1134" spans="1:23" x14ac:dyDescent="0.35">
      <c r="A1134" t="s">
        <v>45</v>
      </c>
      <c r="B1134" t="s">
        <v>2348</v>
      </c>
      <c r="C1134" t="s">
        <v>60</v>
      </c>
      <c r="D1134" t="s">
        <v>64</v>
      </c>
      <c r="E1134" t="s">
        <v>64</v>
      </c>
      <c r="F1134" t="s">
        <v>49</v>
      </c>
      <c r="G1134" t="s">
        <v>83</v>
      </c>
      <c r="H1134" t="s">
        <v>2370</v>
      </c>
      <c r="J1134" t="str">
        <f>HYPERLINK("https://www.facebook.com/634639855377280/posts/802946451879952?comment_id=1445216329724405&amp;reply_comment_id=2060372320997391","https://www.facebook.com/634639855377280/posts/802946451879952?comment_id=1445216329724405&amp;reply_comment_id=2060372320997391")</f>
        <v>https://www.facebook.com/634639855377280/posts/802946451879952?comment_id=1445216329724405&amp;reply_comment_id=2060372320997391</v>
      </c>
      <c r="K1134" t="s">
        <v>67</v>
      </c>
      <c r="O1134">
        <v>0</v>
      </c>
      <c r="P1134">
        <v>0</v>
      </c>
      <c r="Q1134">
        <v>0</v>
      </c>
      <c r="S1134">
        <v>0</v>
      </c>
      <c r="T1134">
        <v>0</v>
      </c>
      <c r="U1134">
        <v>0</v>
      </c>
      <c r="W1134" t="s">
        <v>52</v>
      </c>
    </row>
    <row r="1135" spans="1:23" x14ac:dyDescent="0.35">
      <c r="A1135" t="s">
        <v>45</v>
      </c>
      <c r="B1135" t="s">
        <v>2348</v>
      </c>
      <c r="C1135" t="s">
        <v>60</v>
      </c>
      <c r="D1135" t="s">
        <v>64</v>
      </c>
      <c r="E1135" t="s">
        <v>64</v>
      </c>
      <c r="F1135" t="s">
        <v>49</v>
      </c>
      <c r="G1135" t="s">
        <v>164</v>
      </c>
      <c r="H1135" t="s">
        <v>2371</v>
      </c>
      <c r="J1135" t="str">
        <f>HYPERLINK("https://www.facebook.com/634639855377280/posts/802328508608413?comment_id=935442228037153&amp;reply_comment_id=699231548956591","https://www.facebook.com/634639855377280/posts/802328508608413?comment_id=935442228037153&amp;reply_comment_id=699231548956591")</f>
        <v>https://www.facebook.com/634639855377280/posts/802328508608413?comment_id=935442228037153&amp;reply_comment_id=699231548956591</v>
      </c>
      <c r="K1135" t="s">
        <v>67</v>
      </c>
      <c r="O1135">
        <v>0</v>
      </c>
      <c r="P1135">
        <v>0</v>
      </c>
      <c r="Q1135">
        <v>0</v>
      </c>
      <c r="S1135">
        <v>0</v>
      </c>
      <c r="T1135">
        <v>0</v>
      </c>
      <c r="U1135">
        <v>0</v>
      </c>
      <c r="W1135" t="s">
        <v>52</v>
      </c>
    </row>
    <row r="1136" spans="1:23" x14ac:dyDescent="0.35">
      <c r="A1136" t="s">
        <v>45</v>
      </c>
      <c r="B1136" t="s">
        <v>2348</v>
      </c>
      <c r="C1136" t="s">
        <v>60</v>
      </c>
      <c r="D1136" t="s">
        <v>64</v>
      </c>
      <c r="E1136" t="s">
        <v>64</v>
      </c>
      <c r="F1136" t="s">
        <v>49</v>
      </c>
      <c r="G1136" t="s">
        <v>100</v>
      </c>
      <c r="H1136" t="s">
        <v>2372</v>
      </c>
      <c r="J1136" t="str">
        <f>HYPERLINK("https://www.facebook.com/634639855377280/posts/802328508608413?comment_id=312263901862557&amp;reply_comment_id=1847631862341146","https://www.facebook.com/634639855377280/posts/802328508608413?comment_id=312263901862557&amp;reply_comment_id=1847631862341146")</f>
        <v>https://www.facebook.com/634639855377280/posts/802328508608413?comment_id=312263901862557&amp;reply_comment_id=1847631862341146</v>
      </c>
      <c r="K1136" t="s">
        <v>67</v>
      </c>
      <c r="O1136">
        <v>0</v>
      </c>
      <c r="P1136">
        <v>0</v>
      </c>
      <c r="Q1136">
        <v>0</v>
      </c>
      <c r="S1136">
        <v>0</v>
      </c>
      <c r="T1136">
        <v>0</v>
      </c>
      <c r="U1136">
        <v>0</v>
      </c>
      <c r="W1136" t="s">
        <v>52</v>
      </c>
    </row>
    <row r="1137" spans="1:23" x14ac:dyDescent="0.35">
      <c r="A1137" t="s">
        <v>45</v>
      </c>
      <c r="B1137" t="s">
        <v>2348</v>
      </c>
      <c r="C1137" t="s">
        <v>60</v>
      </c>
      <c r="D1137" t="s">
        <v>61</v>
      </c>
      <c r="E1137" t="s">
        <v>61</v>
      </c>
      <c r="F1137" t="s">
        <v>49</v>
      </c>
      <c r="G1137" t="s">
        <v>2373</v>
      </c>
      <c r="H1137" t="s">
        <v>2374</v>
      </c>
      <c r="J1137" t="str">
        <f>HYPERLINK("https://www.facebook.com/634639855377280/posts/802946451879952?comment_id=302942399163207","https://www.facebook.com/634639855377280/posts/802946451879952?comment_id=302942399163207")</f>
        <v>https://www.facebook.com/634639855377280/posts/802946451879952?comment_id=302942399163207</v>
      </c>
      <c r="O1137">
        <v>0</v>
      </c>
      <c r="P1137">
        <v>0</v>
      </c>
      <c r="Q1137">
        <v>0</v>
      </c>
      <c r="S1137">
        <v>0</v>
      </c>
      <c r="T1137">
        <v>0</v>
      </c>
      <c r="U1137">
        <v>0</v>
      </c>
      <c r="W1137" t="s">
        <v>52</v>
      </c>
    </row>
    <row r="1138" spans="1:23" x14ac:dyDescent="0.35">
      <c r="A1138" t="s">
        <v>45</v>
      </c>
      <c r="B1138" t="s">
        <v>2348</v>
      </c>
      <c r="C1138" t="s">
        <v>60</v>
      </c>
      <c r="D1138" t="s">
        <v>61</v>
      </c>
      <c r="E1138" t="s">
        <v>61</v>
      </c>
      <c r="F1138" t="s">
        <v>49</v>
      </c>
      <c r="G1138" t="s">
        <v>2375</v>
      </c>
      <c r="H1138" t="s">
        <v>2376</v>
      </c>
      <c r="J1138" t="str">
        <f>HYPERLINK("https://www.facebook.com/634639855377280/posts/802946451879952?comment_id=1847747268979914","https://www.facebook.com/634639855377280/posts/802946451879952?comment_id=1847747268979914")</f>
        <v>https://www.facebook.com/634639855377280/posts/802946451879952?comment_id=1847747268979914</v>
      </c>
      <c r="O1138">
        <v>0</v>
      </c>
      <c r="P1138">
        <v>0</v>
      </c>
      <c r="Q1138">
        <v>0</v>
      </c>
      <c r="S1138">
        <v>0</v>
      </c>
      <c r="T1138">
        <v>0</v>
      </c>
      <c r="U1138">
        <v>0</v>
      </c>
      <c r="W1138" t="s">
        <v>52</v>
      </c>
    </row>
    <row r="1139" spans="1:23" x14ac:dyDescent="0.35">
      <c r="A1139" t="s">
        <v>45</v>
      </c>
      <c r="B1139" t="s">
        <v>2348</v>
      </c>
      <c r="C1139" t="s">
        <v>47</v>
      </c>
      <c r="D1139" t="s">
        <v>2377</v>
      </c>
      <c r="E1139" t="s">
        <v>2377</v>
      </c>
      <c r="F1139" t="s">
        <v>49</v>
      </c>
      <c r="G1139" t="s">
        <v>2378</v>
      </c>
      <c r="H1139" t="s">
        <v>2379</v>
      </c>
      <c r="J1139" t="str">
        <f>HYPERLINK("https://www.youtube.com/watch?v=5DADCSRiE3A&amp;lc=UgxeNbO-BUMikKiQEwN4AaABAg","https://www.youtube.com/watch?v=5DADCSRiE3A&amp;lc=UgxeNbO-BUMikKiQEwN4AaABAg")</f>
        <v>https://www.youtube.com/watch?v=5DADCSRiE3A&amp;lc=UgxeNbO-BUMikKiQEwN4AaABAg</v>
      </c>
      <c r="O1139">
        <v>0</v>
      </c>
      <c r="P1139">
        <v>0</v>
      </c>
      <c r="Q1139">
        <v>0</v>
      </c>
      <c r="S1139">
        <v>0</v>
      </c>
      <c r="T1139">
        <v>0</v>
      </c>
      <c r="U1139">
        <v>0</v>
      </c>
      <c r="W1139" t="s">
        <v>52</v>
      </c>
    </row>
    <row r="1140" spans="1:23" x14ac:dyDescent="0.35">
      <c r="A1140" t="s">
        <v>45</v>
      </c>
      <c r="B1140" t="s">
        <v>2348</v>
      </c>
      <c r="C1140" t="s">
        <v>60</v>
      </c>
      <c r="D1140" t="s">
        <v>61</v>
      </c>
      <c r="E1140" t="s">
        <v>61</v>
      </c>
      <c r="F1140" t="s">
        <v>49</v>
      </c>
      <c r="G1140" t="s">
        <v>2380</v>
      </c>
      <c r="H1140" t="s">
        <v>2381</v>
      </c>
      <c r="J1140" t="str">
        <f>HYPERLINK("https://www.facebook.com/634639855377280/posts/802946451879952?comment_id=1445216329724405","https://www.facebook.com/634639855377280/posts/802946451879952?comment_id=1445216329724405")</f>
        <v>https://www.facebook.com/634639855377280/posts/802946451879952?comment_id=1445216329724405</v>
      </c>
      <c r="O1140">
        <v>0</v>
      </c>
      <c r="P1140">
        <v>0</v>
      </c>
      <c r="Q1140">
        <v>0</v>
      </c>
      <c r="S1140">
        <v>0</v>
      </c>
      <c r="T1140">
        <v>0</v>
      </c>
      <c r="U1140">
        <v>0</v>
      </c>
      <c r="W1140" t="s">
        <v>52</v>
      </c>
    </row>
    <row r="1141" spans="1:23" x14ac:dyDescent="0.35">
      <c r="A1141" t="s">
        <v>45</v>
      </c>
      <c r="B1141" t="s">
        <v>2348</v>
      </c>
      <c r="C1141" t="s">
        <v>93</v>
      </c>
      <c r="D1141" t="s">
        <v>94</v>
      </c>
      <c r="E1141" t="s">
        <v>45</v>
      </c>
      <c r="F1141" t="s">
        <v>49</v>
      </c>
      <c r="G1141" t="s">
        <v>2382</v>
      </c>
      <c r="H1141" t="s">
        <v>2383</v>
      </c>
      <c r="J1141" t="str">
        <f>HYPERLINK("https://twitter.com/SpiceMoneyIndia/status/1764933539580035192","https://twitter.com/SpiceMoneyIndia/status/1764933539580035192")</f>
        <v>https://twitter.com/SpiceMoneyIndia/status/1764933539580035192</v>
      </c>
      <c r="K1141" t="s">
        <v>67</v>
      </c>
      <c r="O1141">
        <v>0</v>
      </c>
      <c r="P1141">
        <v>0</v>
      </c>
      <c r="Q1141">
        <v>6056</v>
      </c>
      <c r="R1141" t="s">
        <v>97</v>
      </c>
      <c r="S1141">
        <v>0</v>
      </c>
      <c r="T1141">
        <v>0</v>
      </c>
      <c r="U1141">
        <v>0</v>
      </c>
      <c r="V1141" t="s">
        <v>98</v>
      </c>
      <c r="W1141" t="s">
        <v>99</v>
      </c>
    </row>
    <row r="1142" spans="1:23" x14ac:dyDescent="0.35">
      <c r="A1142" t="s">
        <v>45</v>
      </c>
      <c r="B1142" t="s">
        <v>2348</v>
      </c>
      <c r="C1142" t="s">
        <v>60</v>
      </c>
      <c r="D1142" t="s">
        <v>64</v>
      </c>
      <c r="E1142" t="s">
        <v>64</v>
      </c>
      <c r="F1142" t="s">
        <v>49</v>
      </c>
      <c r="G1142" t="s">
        <v>2384</v>
      </c>
      <c r="H1142" t="s">
        <v>2385</v>
      </c>
      <c r="J1142" t="str">
        <f>HYPERLINK("https://www.facebook.com/634639855377280/posts/802946451879952","https://www.facebook.com/634639855377280/posts/802946451879952")</f>
        <v>https://www.facebook.com/634639855377280/posts/802946451879952</v>
      </c>
      <c r="O1142">
        <v>0</v>
      </c>
      <c r="P1142">
        <v>0</v>
      </c>
      <c r="Q1142">
        <v>0</v>
      </c>
      <c r="S1142">
        <v>8</v>
      </c>
      <c r="T1142">
        <v>56</v>
      </c>
      <c r="U1142">
        <v>3</v>
      </c>
      <c r="W1142" t="s">
        <v>346</v>
      </c>
    </row>
    <row r="1143" spans="1:23" x14ac:dyDescent="0.35">
      <c r="A1143" t="s">
        <v>45</v>
      </c>
      <c r="B1143" t="s">
        <v>2348</v>
      </c>
      <c r="C1143" t="s">
        <v>60</v>
      </c>
      <c r="D1143" t="s">
        <v>61</v>
      </c>
      <c r="E1143" t="s">
        <v>61</v>
      </c>
      <c r="F1143" t="s">
        <v>193</v>
      </c>
      <c r="G1143" t="s">
        <v>2386</v>
      </c>
      <c r="H1143" t="s">
        <v>2387</v>
      </c>
      <c r="J1143" t="str">
        <f>HYPERLINK("https://www.facebook.com/634639855377280/posts/802328508608413?comment_id=935442228037153","https://www.facebook.com/634639855377280/posts/802328508608413?comment_id=935442228037153")</f>
        <v>https://www.facebook.com/634639855377280/posts/802328508608413?comment_id=935442228037153</v>
      </c>
      <c r="O1143">
        <v>0</v>
      </c>
      <c r="P1143">
        <v>0</v>
      </c>
      <c r="Q1143">
        <v>0</v>
      </c>
      <c r="S1143">
        <v>0</v>
      </c>
      <c r="T1143">
        <v>0</v>
      </c>
      <c r="U1143">
        <v>0</v>
      </c>
      <c r="W1143" t="s">
        <v>52</v>
      </c>
    </row>
    <row r="1144" spans="1:23" x14ac:dyDescent="0.35">
      <c r="A1144" t="s">
        <v>45</v>
      </c>
      <c r="B1144" t="s">
        <v>2348</v>
      </c>
      <c r="C1144" t="s">
        <v>60</v>
      </c>
      <c r="D1144" t="s">
        <v>61</v>
      </c>
      <c r="E1144" t="s">
        <v>61</v>
      </c>
      <c r="F1144" t="s">
        <v>193</v>
      </c>
      <c r="G1144" t="s">
        <v>2388</v>
      </c>
      <c r="H1144" t="s">
        <v>2389</v>
      </c>
      <c r="J1144" t="str">
        <f>HYPERLINK("https://www.facebook.com/634639855377280/posts/802328508608413?comment_id=809601724519283","https://www.facebook.com/634639855377280/posts/802328508608413?comment_id=809601724519283")</f>
        <v>https://www.facebook.com/634639855377280/posts/802328508608413?comment_id=809601724519283</v>
      </c>
      <c r="O1144">
        <v>0</v>
      </c>
      <c r="P1144">
        <v>0</v>
      </c>
      <c r="Q1144">
        <v>0</v>
      </c>
      <c r="S1144">
        <v>0</v>
      </c>
      <c r="T1144">
        <v>0</v>
      </c>
      <c r="U1144">
        <v>0</v>
      </c>
      <c r="W1144" t="s">
        <v>52</v>
      </c>
    </row>
    <row r="1145" spans="1:23" x14ac:dyDescent="0.35">
      <c r="A1145" t="s">
        <v>45</v>
      </c>
      <c r="B1145" t="s">
        <v>2348</v>
      </c>
      <c r="C1145" t="s">
        <v>60</v>
      </c>
      <c r="D1145" t="s">
        <v>61</v>
      </c>
      <c r="E1145" t="s">
        <v>61</v>
      </c>
      <c r="F1145" t="s">
        <v>49</v>
      </c>
      <c r="G1145" t="s">
        <v>2390</v>
      </c>
      <c r="H1145" t="s">
        <v>2391</v>
      </c>
      <c r="J1145" t="str">
        <f>HYPERLINK("https://www.facebook.com/634639855377280/posts/802328508608413?comment_id=312263901862557","https://www.facebook.com/634639855377280/posts/802328508608413?comment_id=312263901862557")</f>
        <v>https://www.facebook.com/634639855377280/posts/802328508608413?comment_id=312263901862557</v>
      </c>
      <c r="O1145">
        <v>0</v>
      </c>
      <c r="P1145">
        <v>0</v>
      </c>
      <c r="Q1145">
        <v>0</v>
      </c>
      <c r="S1145">
        <v>0</v>
      </c>
      <c r="T1145">
        <v>0</v>
      </c>
      <c r="U1145">
        <v>0</v>
      </c>
      <c r="W1145" t="s">
        <v>52</v>
      </c>
    </row>
    <row r="1146" spans="1:23" x14ac:dyDescent="0.35">
      <c r="A1146" t="s">
        <v>45</v>
      </c>
      <c r="B1146" t="s">
        <v>2348</v>
      </c>
      <c r="C1146" t="s">
        <v>47</v>
      </c>
      <c r="D1146" t="s">
        <v>2392</v>
      </c>
      <c r="E1146" t="s">
        <v>2392</v>
      </c>
      <c r="F1146" t="s">
        <v>49</v>
      </c>
      <c r="G1146" t="s">
        <v>2393</v>
      </c>
      <c r="H1146" t="s">
        <v>2394</v>
      </c>
      <c r="J1146" t="str">
        <f>HYPERLINK("https://www.youtube.com/watch?v=YQSdpP96l0U&amp;lc=Ugz3_WBuySsX-f3C0u94AaABAg","https://www.youtube.com/watch?v=YQSdpP96l0U&amp;lc=Ugz3_WBuySsX-f3C0u94AaABAg")</f>
        <v>https://www.youtube.com/watch?v=YQSdpP96l0U&amp;lc=Ugz3_WBuySsX-f3C0u94AaABAg</v>
      </c>
      <c r="O1146">
        <v>0</v>
      </c>
      <c r="P1146">
        <v>0</v>
      </c>
      <c r="Q1146">
        <v>0</v>
      </c>
      <c r="S1146">
        <v>0</v>
      </c>
      <c r="T1146">
        <v>0</v>
      </c>
      <c r="U1146">
        <v>0</v>
      </c>
      <c r="W1146" t="s">
        <v>52</v>
      </c>
    </row>
    <row r="1147" spans="1:23" x14ac:dyDescent="0.35">
      <c r="A1147" t="s">
        <v>45</v>
      </c>
      <c r="B1147" t="s">
        <v>2348</v>
      </c>
      <c r="C1147" t="s">
        <v>47</v>
      </c>
      <c r="D1147" t="s">
        <v>68</v>
      </c>
      <c r="E1147" t="s">
        <v>68</v>
      </c>
      <c r="F1147" t="s">
        <v>49</v>
      </c>
      <c r="G1147" t="s">
        <v>102</v>
      </c>
      <c r="H1147" t="s">
        <v>2395</v>
      </c>
      <c r="J1147" t="str">
        <f>HYPERLINK("https://www.youtube.com/watch?v=k4Jk2Nl60tE&amp;lc=Ugyci5KFD4kOFcirbpl4AaABAg.A0ZSAmyv9R9A0a-5thRbfz","https://www.youtube.com/watch?v=k4Jk2Nl60tE&amp;lc=Ugyci5KFD4kOFcirbpl4AaABAg.A0ZSAmyv9R9A0a-5thRbfz")</f>
        <v>https://www.youtube.com/watch?v=k4Jk2Nl60tE&amp;lc=Ugyci5KFD4kOFcirbpl4AaABAg.A0ZSAmyv9R9A0a-5thRbfz</v>
      </c>
      <c r="O1147">
        <v>0</v>
      </c>
      <c r="P1147">
        <v>0</v>
      </c>
      <c r="Q1147">
        <v>0</v>
      </c>
      <c r="S1147">
        <v>0</v>
      </c>
      <c r="T1147">
        <v>0</v>
      </c>
      <c r="U1147">
        <v>0</v>
      </c>
      <c r="W1147" t="s">
        <v>52</v>
      </c>
    </row>
    <row r="1148" spans="1:23" x14ac:dyDescent="0.35">
      <c r="A1148" t="s">
        <v>45</v>
      </c>
      <c r="B1148" t="s">
        <v>2396</v>
      </c>
      <c r="C1148" t="s">
        <v>60</v>
      </c>
      <c r="D1148" t="s">
        <v>61</v>
      </c>
      <c r="E1148" t="s">
        <v>61</v>
      </c>
      <c r="F1148" t="s">
        <v>193</v>
      </c>
      <c r="G1148" t="s">
        <v>2397</v>
      </c>
      <c r="H1148" t="s">
        <v>2398</v>
      </c>
      <c r="J1148" t="str">
        <f>HYPERLINK("https://www.facebook.com/634639855377280/posts/801117022062895?comment_id=782961797054580","https://www.facebook.com/634639855377280/posts/801117022062895?comment_id=782961797054580")</f>
        <v>https://www.facebook.com/634639855377280/posts/801117022062895?comment_id=782961797054580</v>
      </c>
      <c r="O1148">
        <v>0</v>
      </c>
      <c r="P1148">
        <v>0</v>
      </c>
      <c r="Q1148">
        <v>0</v>
      </c>
      <c r="S1148">
        <v>0</v>
      </c>
      <c r="T1148">
        <v>0</v>
      </c>
      <c r="U1148">
        <v>0</v>
      </c>
      <c r="W1148" t="s">
        <v>52</v>
      </c>
    </row>
    <row r="1149" spans="1:23" x14ac:dyDescent="0.35">
      <c r="A1149" t="s">
        <v>45</v>
      </c>
      <c r="B1149" t="s">
        <v>2396</v>
      </c>
      <c r="C1149" t="s">
        <v>47</v>
      </c>
      <c r="D1149" t="s">
        <v>2399</v>
      </c>
      <c r="E1149" t="s">
        <v>2399</v>
      </c>
      <c r="F1149" t="s">
        <v>49</v>
      </c>
      <c r="G1149" t="s">
        <v>2400</v>
      </c>
      <c r="H1149" t="s">
        <v>2401</v>
      </c>
      <c r="J1149" t="str">
        <f>HYPERLINK("https://www.youtube.com/watch?v=k4Jk2Nl60tE&amp;lc=Ugyci5KFD4kOFcirbpl4AaABAg","https://www.youtube.com/watch?v=k4Jk2Nl60tE&amp;lc=Ugyci5KFD4kOFcirbpl4AaABAg")</f>
        <v>https://www.youtube.com/watch?v=k4Jk2Nl60tE&amp;lc=Ugyci5KFD4kOFcirbpl4AaABAg</v>
      </c>
      <c r="O1149">
        <v>0</v>
      </c>
      <c r="P1149">
        <v>0</v>
      </c>
      <c r="Q1149">
        <v>0</v>
      </c>
      <c r="S1149">
        <v>0</v>
      </c>
      <c r="T1149">
        <v>0</v>
      </c>
      <c r="U1149">
        <v>0</v>
      </c>
      <c r="W1149" t="s">
        <v>52</v>
      </c>
    </row>
    <row r="1150" spans="1:23" x14ac:dyDescent="0.35">
      <c r="A1150" t="s">
        <v>45</v>
      </c>
      <c r="B1150" t="s">
        <v>2396</v>
      </c>
      <c r="C1150" t="s">
        <v>93</v>
      </c>
      <c r="D1150" t="s">
        <v>2402</v>
      </c>
      <c r="E1150" t="s">
        <v>2403</v>
      </c>
      <c r="F1150" t="s">
        <v>193</v>
      </c>
      <c r="G1150" t="s">
        <v>2404</v>
      </c>
      <c r="H1150" t="s">
        <v>2405</v>
      </c>
      <c r="J1150" t="str">
        <f>HYPERLINK("https://twitter.com/samirmehar/status/1764632578995474819","https://twitter.com/samirmehar/status/1764632578995474819")</f>
        <v>https://twitter.com/samirmehar/status/1764632578995474819</v>
      </c>
      <c r="K1150" t="s">
        <v>67</v>
      </c>
      <c r="O1150">
        <v>0</v>
      </c>
      <c r="P1150">
        <v>0</v>
      </c>
      <c r="Q1150">
        <v>275</v>
      </c>
      <c r="R1150" t="s">
        <v>2406</v>
      </c>
      <c r="S1150">
        <v>0</v>
      </c>
      <c r="T1150">
        <v>0</v>
      </c>
      <c r="U1150">
        <v>0</v>
      </c>
      <c r="W1150" t="s">
        <v>99</v>
      </c>
    </row>
    <row r="1151" spans="1:23" x14ac:dyDescent="0.35">
      <c r="A1151" t="s">
        <v>45</v>
      </c>
      <c r="B1151" t="s">
        <v>2396</v>
      </c>
      <c r="C1151" t="s">
        <v>93</v>
      </c>
      <c r="D1151" t="s">
        <v>94</v>
      </c>
      <c r="E1151" t="s">
        <v>45</v>
      </c>
      <c r="F1151" t="s">
        <v>49</v>
      </c>
      <c r="G1151" t="s">
        <v>2407</v>
      </c>
      <c r="H1151" t="s">
        <v>2408</v>
      </c>
      <c r="J1151" t="str">
        <f>HYPERLINK("https://twitter.com/SpiceMoneyIndia/status/1764612856031404233","https://twitter.com/SpiceMoneyIndia/status/1764612856031404233")</f>
        <v>https://twitter.com/SpiceMoneyIndia/status/1764612856031404233</v>
      </c>
      <c r="K1151" t="s">
        <v>67</v>
      </c>
      <c r="O1151">
        <v>0</v>
      </c>
      <c r="P1151">
        <v>0</v>
      </c>
      <c r="Q1151">
        <v>6053</v>
      </c>
      <c r="R1151" t="s">
        <v>97</v>
      </c>
      <c r="S1151">
        <v>0</v>
      </c>
      <c r="T1151">
        <v>0</v>
      </c>
      <c r="U1151">
        <v>0</v>
      </c>
      <c r="V1151" t="s">
        <v>98</v>
      </c>
      <c r="W1151" t="s">
        <v>99</v>
      </c>
    </row>
    <row r="1152" spans="1:23" x14ac:dyDescent="0.35">
      <c r="A1152" t="s">
        <v>45</v>
      </c>
      <c r="B1152" t="s">
        <v>2396</v>
      </c>
      <c r="C1152" t="s">
        <v>60</v>
      </c>
      <c r="D1152" t="s">
        <v>64</v>
      </c>
      <c r="E1152" t="s">
        <v>64</v>
      </c>
      <c r="F1152" t="s">
        <v>49</v>
      </c>
      <c r="G1152" t="s">
        <v>162</v>
      </c>
      <c r="H1152" t="s">
        <v>2409</v>
      </c>
      <c r="J1152" t="str">
        <f>HYPERLINK("https://www.facebook.com/634639855377280/posts/800712535436677?comment_id=907560137532411&amp;reply_comment_id=928482655587624","https://www.facebook.com/634639855377280/posts/800712535436677?comment_id=907560137532411&amp;reply_comment_id=928482655587624")</f>
        <v>https://www.facebook.com/634639855377280/posts/800712535436677?comment_id=907560137532411&amp;reply_comment_id=928482655587624</v>
      </c>
      <c r="K1152" t="s">
        <v>67</v>
      </c>
      <c r="O1152">
        <v>0</v>
      </c>
      <c r="P1152">
        <v>0</v>
      </c>
      <c r="Q1152">
        <v>0</v>
      </c>
      <c r="S1152">
        <v>0</v>
      </c>
      <c r="T1152">
        <v>0</v>
      </c>
      <c r="U1152">
        <v>0</v>
      </c>
      <c r="W1152" t="s">
        <v>52</v>
      </c>
    </row>
    <row r="1153" spans="1:23" x14ac:dyDescent="0.35">
      <c r="A1153" t="s">
        <v>45</v>
      </c>
      <c r="B1153" t="s">
        <v>2396</v>
      </c>
      <c r="C1153" t="s">
        <v>47</v>
      </c>
      <c r="D1153" t="s">
        <v>68</v>
      </c>
      <c r="E1153" t="s">
        <v>68</v>
      </c>
      <c r="F1153" t="s">
        <v>49</v>
      </c>
      <c r="G1153" t="s">
        <v>102</v>
      </c>
      <c r="H1153" t="s">
        <v>2410</v>
      </c>
      <c r="J1153" t="str">
        <f>HYPERLINK("https://www.youtube.com/watch?v=5DADCSRiE3A&amp;lc=Ugzg9WVGkAyTdh3QM0F4AaABAg.A0Z2TZgpJOPA0ZIRqDbH4U","https://www.youtube.com/watch?v=5DADCSRiE3A&amp;lc=Ugzg9WVGkAyTdh3QM0F4AaABAg.A0Z2TZgpJOPA0ZIRqDbH4U")</f>
        <v>https://www.youtube.com/watch?v=5DADCSRiE3A&amp;lc=Ugzg9WVGkAyTdh3QM0F4AaABAg.A0Z2TZgpJOPA0ZIRqDbH4U</v>
      </c>
      <c r="O1153">
        <v>0</v>
      </c>
      <c r="P1153">
        <v>0</v>
      </c>
      <c r="Q1153">
        <v>0</v>
      </c>
      <c r="S1153">
        <v>0</v>
      </c>
      <c r="T1153">
        <v>0</v>
      </c>
      <c r="U1153">
        <v>0</v>
      </c>
      <c r="W1153" t="s">
        <v>52</v>
      </c>
    </row>
    <row r="1154" spans="1:23" x14ac:dyDescent="0.35">
      <c r="A1154" t="s">
        <v>45</v>
      </c>
      <c r="B1154" t="s">
        <v>2396</v>
      </c>
      <c r="C1154" t="s">
        <v>93</v>
      </c>
      <c r="D1154" t="s">
        <v>2411</v>
      </c>
      <c r="E1154" t="s">
        <v>2412</v>
      </c>
      <c r="F1154" t="s">
        <v>54</v>
      </c>
      <c r="G1154" t="s">
        <v>2413</v>
      </c>
      <c r="H1154" t="s">
        <v>2414</v>
      </c>
      <c r="J1154" t="str">
        <f>HYPERLINK("https://twitter.com/BriggsGreg51167/status/1764611780167299121","https://twitter.com/BriggsGreg51167/status/1764611780167299121")</f>
        <v>https://twitter.com/BriggsGreg51167/status/1764611780167299121</v>
      </c>
      <c r="K1154" t="s">
        <v>67</v>
      </c>
      <c r="O1154">
        <v>0</v>
      </c>
      <c r="P1154">
        <v>0</v>
      </c>
      <c r="Q1154">
        <v>2</v>
      </c>
      <c r="S1154">
        <v>0</v>
      </c>
      <c r="T1154">
        <v>0</v>
      </c>
      <c r="U1154">
        <v>0</v>
      </c>
      <c r="W1154" t="s">
        <v>99</v>
      </c>
    </row>
    <row r="1155" spans="1:23" x14ac:dyDescent="0.35">
      <c r="A1155" t="s">
        <v>45</v>
      </c>
      <c r="B1155" t="s">
        <v>2396</v>
      </c>
      <c r="C1155" t="s">
        <v>93</v>
      </c>
      <c r="D1155" t="s">
        <v>2411</v>
      </c>
      <c r="E1155" t="s">
        <v>2412</v>
      </c>
      <c r="F1155" t="s">
        <v>54</v>
      </c>
      <c r="G1155" t="s">
        <v>2415</v>
      </c>
      <c r="H1155" t="s">
        <v>2416</v>
      </c>
      <c r="J1155" t="str">
        <f>HYPERLINK("https://twitter.com/BriggsGreg51167/status/1764611768175738882","https://twitter.com/BriggsGreg51167/status/1764611768175738882")</f>
        <v>https://twitter.com/BriggsGreg51167/status/1764611768175738882</v>
      </c>
      <c r="K1155" t="s">
        <v>67</v>
      </c>
      <c r="O1155">
        <v>0</v>
      </c>
      <c r="P1155">
        <v>0</v>
      </c>
      <c r="Q1155">
        <v>2</v>
      </c>
      <c r="S1155">
        <v>0</v>
      </c>
      <c r="T1155">
        <v>0</v>
      </c>
      <c r="U1155">
        <v>0</v>
      </c>
      <c r="W1155" t="s">
        <v>99</v>
      </c>
    </row>
    <row r="1156" spans="1:23" x14ac:dyDescent="0.35">
      <c r="A1156" t="s">
        <v>45</v>
      </c>
      <c r="B1156" t="s">
        <v>2396</v>
      </c>
      <c r="C1156" t="s">
        <v>93</v>
      </c>
      <c r="D1156" t="s">
        <v>2417</v>
      </c>
      <c r="E1156" t="s">
        <v>2418</v>
      </c>
      <c r="F1156" t="s">
        <v>54</v>
      </c>
      <c r="G1156" t="s">
        <v>2419</v>
      </c>
      <c r="H1156" t="s">
        <v>2420</v>
      </c>
      <c r="J1156" t="str">
        <f>HYPERLINK("https://twitter.com/JeremyAndr93725/status/1764606735564570887","https://twitter.com/JeremyAndr93725/status/1764606735564570887")</f>
        <v>https://twitter.com/JeremyAndr93725/status/1764606735564570887</v>
      </c>
      <c r="K1156" t="s">
        <v>67</v>
      </c>
      <c r="O1156">
        <v>0</v>
      </c>
      <c r="P1156">
        <v>0</v>
      </c>
      <c r="Q1156">
        <v>0</v>
      </c>
      <c r="S1156">
        <v>0</v>
      </c>
      <c r="T1156">
        <v>0</v>
      </c>
      <c r="U1156">
        <v>0</v>
      </c>
      <c r="W1156" t="s">
        <v>99</v>
      </c>
    </row>
    <row r="1157" spans="1:23" x14ac:dyDescent="0.35">
      <c r="A1157" t="s">
        <v>45</v>
      </c>
      <c r="B1157" t="s">
        <v>2396</v>
      </c>
      <c r="C1157" t="s">
        <v>93</v>
      </c>
      <c r="D1157" t="s">
        <v>2421</v>
      </c>
      <c r="E1157" t="s">
        <v>2422</v>
      </c>
      <c r="F1157" t="s">
        <v>49</v>
      </c>
      <c r="G1157" t="s">
        <v>2423</v>
      </c>
      <c r="H1157" t="s">
        <v>2424</v>
      </c>
      <c r="J1157" t="str">
        <f>HYPERLINK("https://twitter.com/PankajK0055/status/1764606673556250898","https://twitter.com/PankajK0055/status/1764606673556250898")</f>
        <v>https://twitter.com/PankajK0055/status/1764606673556250898</v>
      </c>
      <c r="K1157" t="s">
        <v>67</v>
      </c>
      <c r="O1157">
        <v>0</v>
      </c>
      <c r="P1157">
        <v>0</v>
      </c>
      <c r="Q1157">
        <v>2</v>
      </c>
      <c r="S1157">
        <v>0</v>
      </c>
      <c r="T1157">
        <v>0</v>
      </c>
      <c r="U1157">
        <v>0</v>
      </c>
      <c r="W1157" t="s">
        <v>99</v>
      </c>
    </row>
    <row r="1158" spans="1:23" x14ac:dyDescent="0.35">
      <c r="A1158" t="s">
        <v>45</v>
      </c>
      <c r="B1158" t="s">
        <v>2396</v>
      </c>
      <c r="C1158" t="s">
        <v>93</v>
      </c>
      <c r="D1158" t="s">
        <v>2425</v>
      </c>
      <c r="E1158" t="s">
        <v>2426</v>
      </c>
      <c r="F1158" t="s">
        <v>49</v>
      </c>
      <c r="G1158" t="s">
        <v>2427</v>
      </c>
      <c r="H1158" t="s">
        <v>2428</v>
      </c>
      <c r="J1158" t="str">
        <f>HYPERLINK("https://twitter.com/JordanR82817801/status/1764605611776377321","https://twitter.com/JordanR82817801/status/1764605611776377321")</f>
        <v>https://twitter.com/JordanR82817801/status/1764605611776377321</v>
      </c>
      <c r="K1158" t="s">
        <v>67</v>
      </c>
      <c r="O1158">
        <v>0</v>
      </c>
      <c r="P1158">
        <v>0</v>
      </c>
      <c r="Q1158">
        <v>1</v>
      </c>
      <c r="S1158">
        <v>0</v>
      </c>
      <c r="T1158">
        <v>0</v>
      </c>
      <c r="U1158">
        <v>0</v>
      </c>
      <c r="W1158" t="s">
        <v>99</v>
      </c>
    </row>
    <row r="1159" spans="1:23" x14ac:dyDescent="0.35">
      <c r="A1159" t="s">
        <v>45</v>
      </c>
      <c r="B1159" t="s">
        <v>2396</v>
      </c>
      <c r="C1159" t="s">
        <v>93</v>
      </c>
      <c r="D1159" t="s">
        <v>2425</v>
      </c>
      <c r="E1159" t="s">
        <v>2426</v>
      </c>
      <c r="F1159" t="s">
        <v>49</v>
      </c>
      <c r="G1159" t="s">
        <v>2429</v>
      </c>
      <c r="H1159" t="s">
        <v>2430</v>
      </c>
      <c r="J1159" t="str">
        <f>HYPERLINK("https://twitter.com/JordanR82817801/status/1764605597679231117","https://twitter.com/JordanR82817801/status/1764605597679231117")</f>
        <v>https://twitter.com/JordanR82817801/status/1764605597679231117</v>
      </c>
      <c r="K1159" t="s">
        <v>67</v>
      </c>
      <c r="O1159">
        <v>0</v>
      </c>
      <c r="P1159">
        <v>0</v>
      </c>
      <c r="Q1159">
        <v>1</v>
      </c>
      <c r="S1159">
        <v>0</v>
      </c>
      <c r="T1159">
        <v>0</v>
      </c>
      <c r="U1159">
        <v>0</v>
      </c>
      <c r="W1159" t="s">
        <v>99</v>
      </c>
    </row>
    <row r="1160" spans="1:23" x14ac:dyDescent="0.35">
      <c r="A1160" t="s">
        <v>45</v>
      </c>
      <c r="B1160" t="s">
        <v>2396</v>
      </c>
      <c r="C1160" t="s">
        <v>93</v>
      </c>
      <c r="D1160" t="s">
        <v>2421</v>
      </c>
      <c r="E1160" t="s">
        <v>2422</v>
      </c>
      <c r="F1160" t="s">
        <v>49</v>
      </c>
      <c r="G1160" t="s">
        <v>2431</v>
      </c>
      <c r="H1160" t="s">
        <v>2432</v>
      </c>
      <c r="J1160" t="str">
        <f>HYPERLINK("https://twitter.com/PankajK0055/status/1764605343097876665","https://twitter.com/PankajK0055/status/1764605343097876665")</f>
        <v>https://twitter.com/PankajK0055/status/1764605343097876665</v>
      </c>
      <c r="K1160" t="s">
        <v>67</v>
      </c>
      <c r="O1160">
        <v>0</v>
      </c>
      <c r="P1160">
        <v>0</v>
      </c>
      <c r="Q1160">
        <v>2</v>
      </c>
      <c r="S1160">
        <v>0</v>
      </c>
      <c r="T1160">
        <v>0</v>
      </c>
      <c r="U1160">
        <v>0</v>
      </c>
      <c r="W1160" t="s">
        <v>99</v>
      </c>
    </row>
    <row r="1161" spans="1:23" x14ac:dyDescent="0.35">
      <c r="A1161" t="s">
        <v>45</v>
      </c>
      <c r="B1161" t="s">
        <v>2396</v>
      </c>
      <c r="C1161" t="s">
        <v>47</v>
      </c>
      <c r="D1161" t="s">
        <v>2433</v>
      </c>
      <c r="E1161" t="s">
        <v>2433</v>
      </c>
      <c r="F1161" t="s">
        <v>49</v>
      </c>
      <c r="G1161" t="s">
        <v>2434</v>
      </c>
      <c r="H1161" t="s">
        <v>2435</v>
      </c>
      <c r="J1161" t="str">
        <f>HYPERLINK("https://www.youtube.com/watch?v=5DADCSRiE3A&amp;lc=Ugzg9WVGkAyTdh3QM0F4AaABAg","https://www.youtube.com/watch?v=5DADCSRiE3A&amp;lc=Ugzg9WVGkAyTdh3QM0F4AaABAg")</f>
        <v>https://www.youtube.com/watch?v=5DADCSRiE3A&amp;lc=Ugzg9WVGkAyTdh3QM0F4AaABAg</v>
      </c>
      <c r="O1161">
        <v>0</v>
      </c>
      <c r="P1161">
        <v>0</v>
      </c>
      <c r="Q1161">
        <v>0</v>
      </c>
      <c r="S1161">
        <v>0</v>
      </c>
      <c r="T1161">
        <v>0</v>
      </c>
      <c r="U1161">
        <v>0</v>
      </c>
      <c r="W1161" t="s">
        <v>52</v>
      </c>
    </row>
    <row r="1162" spans="1:23" x14ac:dyDescent="0.35">
      <c r="A1162" t="s">
        <v>45</v>
      </c>
      <c r="B1162" t="s">
        <v>2396</v>
      </c>
      <c r="C1162" t="s">
        <v>93</v>
      </c>
      <c r="D1162" t="s">
        <v>94</v>
      </c>
      <c r="E1162" t="s">
        <v>45</v>
      </c>
      <c r="F1162" t="s">
        <v>49</v>
      </c>
      <c r="G1162" t="s">
        <v>2436</v>
      </c>
      <c r="H1162" t="s">
        <v>2437</v>
      </c>
      <c r="J1162" t="str">
        <f>HYPERLINK("https://twitter.com/SpiceMoneyIndia/status/1764540490429415730","https://twitter.com/SpiceMoneyIndia/status/1764540490429415730")</f>
        <v>https://twitter.com/SpiceMoneyIndia/status/1764540490429415730</v>
      </c>
      <c r="K1162" t="s">
        <v>67</v>
      </c>
      <c r="O1162">
        <v>0</v>
      </c>
      <c r="P1162">
        <v>0</v>
      </c>
      <c r="Q1162">
        <v>6053</v>
      </c>
      <c r="R1162" t="s">
        <v>97</v>
      </c>
      <c r="S1162">
        <v>0</v>
      </c>
      <c r="T1162">
        <v>0</v>
      </c>
      <c r="U1162">
        <v>0</v>
      </c>
      <c r="V1162" t="s">
        <v>98</v>
      </c>
      <c r="W1162" t="s">
        <v>99</v>
      </c>
    </row>
    <row r="1163" spans="1:23" x14ac:dyDescent="0.35">
      <c r="A1163" t="s">
        <v>45</v>
      </c>
      <c r="B1163" t="s">
        <v>2396</v>
      </c>
      <c r="C1163" t="s">
        <v>60</v>
      </c>
      <c r="D1163" t="s">
        <v>64</v>
      </c>
      <c r="E1163" t="s">
        <v>64</v>
      </c>
      <c r="F1163" t="s">
        <v>49</v>
      </c>
      <c r="G1163" t="s">
        <v>2438</v>
      </c>
      <c r="H1163" t="s">
        <v>2439</v>
      </c>
      <c r="J1163" t="str">
        <f>HYPERLINK("https://www.facebook.com/634639855377280/posts/802328508608413","https://www.facebook.com/634639855377280/posts/802328508608413")</f>
        <v>https://www.facebook.com/634639855377280/posts/802328508608413</v>
      </c>
      <c r="O1163">
        <v>0</v>
      </c>
      <c r="P1163">
        <v>0</v>
      </c>
      <c r="Q1163">
        <v>0</v>
      </c>
      <c r="S1163">
        <v>5</v>
      </c>
      <c r="T1163">
        <v>34</v>
      </c>
      <c r="U1163">
        <v>1</v>
      </c>
      <c r="W1163" t="s">
        <v>346</v>
      </c>
    </row>
    <row r="1164" spans="1:23" x14ac:dyDescent="0.35">
      <c r="A1164" t="s">
        <v>45</v>
      </c>
      <c r="B1164" t="s">
        <v>2396</v>
      </c>
      <c r="C1164" t="s">
        <v>60</v>
      </c>
      <c r="D1164" t="s">
        <v>61</v>
      </c>
      <c r="E1164" t="s">
        <v>61</v>
      </c>
      <c r="F1164" t="s">
        <v>54</v>
      </c>
      <c r="G1164" t="s">
        <v>2440</v>
      </c>
      <c r="H1164" t="s">
        <v>2441</v>
      </c>
      <c r="J1164" t="str">
        <f>HYPERLINK("https://www.facebook.com/634639855377280/posts/800712535436677?comment_id=907560137532411","https://www.facebook.com/634639855377280/posts/800712535436677?comment_id=907560137532411")</f>
        <v>https://www.facebook.com/634639855377280/posts/800712535436677?comment_id=907560137532411</v>
      </c>
      <c r="O1164">
        <v>0</v>
      </c>
      <c r="P1164">
        <v>0</v>
      </c>
      <c r="Q1164">
        <v>0</v>
      </c>
      <c r="S1164">
        <v>0</v>
      </c>
      <c r="T1164">
        <v>0</v>
      </c>
      <c r="U1164">
        <v>0</v>
      </c>
      <c r="W1164" t="s">
        <v>52</v>
      </c>
    </row>
    <row r="1165" spans="1:23" x14ac:dyDescent="0.35">
      <c r="A1165" t="s">
        <v>45</v>
      </c>
      <c r="B1165" t="s">
        <v>2396</v>
      </c>
      <c r="C1165" t="s">
        <v>93</v>
      </c>
      <c r="D1165" t="s">
        <v>1996</v>
      </c>
      <c r="E1165" t="s">
        <v>1997</v>
      </c>
      <c r="F1165" t="s">
        <v>49</v>
      </c>
      <c r="G1165" t="s">
        <v>2442</v>
      </c>
      <c r="H1165" t="s">
        <v>2443</v>
      </c>
      <c r="J1165" t="str">
        <f>HYPERLINK("https://twitter.com/KapilIndurkahya/status/1764502901735723209","https://twitter.com/KapilIndurkahya/status/1764502901735723209")</f>
        <v>https://twitter.com/KapilIndurkahya/status/1764502901735723209</v>
      </c>
      <c r="K1165" t="s">
        <v>67</v>
      </c>
      <c r="O1165">
        <v>0</v>
      </c>
      <c r="P1165">
        <v>0</v>
      </c>
      <c r="Q1165">
        <v>0</v>
      </c>
      <c r="S1165">
        <v>0</v>
      </c>
      <c r="T1165">
        <v>0</v>
      </c>
      <c r="U1165">
        <v>0</v>
      </c>
      <c r="W1165" t="s">
        <v>99</v>
      </c>
    </row>
    <row r="1166" spans="1:23" x14ac:dyDescent="0.35">
      <c r="A1166" t="s">
        <v>45</v>
      </c>
      <c r="B1166" t="s">
        <v>2396</v>
      </c>
      <c r="C1166" t="s">
        <v>93</v>
      </c>
      <c r="D1166" t="s">
        <v>94</v>
      </c>
      <c r="E1166" t="s">
        <v>45</v>
      </c>
      <c r="F1166" t="s">
        <v>49</v>
      </c>
      <c r="G1166" t="s">
        <v>2444</v>
      </c>
      <c r="H1166" t="s">
        <v>2445</v>
      </c>
      <c r="J1166" t="str">
        <f>HYPERLINK("https://twitter.com/SpiceMoneyIndia/status/1764502254579495129","https://twitter.com/SpiceMoneyIndia/status/1764502254579495129")</f>
        <v>https://twitter.com/SpiceMoneyIndia/status/1764502254579495129</v>
      </c>
      <c r="K1166" t="s">
        <v>67</v>
      </c>
      <c r="O1166">
        <v>0</v>
      </c>
      <c r="P1166">
        <v>0</v>
      </c>
      <c r="Q1166">
        <v>6054</v>
      </c>
      <c r="R1166" t="s">
        <v>97</v>
      </c>
      <c r="S1166">
        <v>0</v>
      </c>
      <c r="T1166">
        <v>0</v>
      </c>
      <c r="U1166">
        <v>0</v>
      </c>
      <c r="V1166" t="s">
        <v>98</v>
      </c>
      <c r="W1166" t="s">
        <v>99</v>
      </c>
    </row>
    <row r="1167" spans="1:23" x14ac:dyDescent="0.35">
      <c r="A1167" t="s">
        <v>45</v>
      </c>
      <c r="B1167" t="s">
        <v>2396</v>
      </c>
      <c r="C1167" t="s">
        <v>93</v>
      </c>
      <c r="D1167" t="s">
        <v>94</v>
      </c>
      <c r="E1167" t="s">
        <v>45</v>
      </c>
      <c r="F1167" t="s">
        <v>49</v>
      </c>
      <c r="G1167" t="s">
        <v>2446</v>
      </c>
      <c r="H1167" t="s">
        <v>2447</v>
      </c>
      <c r="J1167" t="str">
        <f>HYPERLINK("https://twitter.com/SpiceMoneyIndia/status/1764495846257590480","https://twitter.com/SpiceMoneyIndia/status/1764495846257590480")</f>
        <v>https://twitter.com/SpiceMoneyIndia/status/1764495846257590480</v>
      </c>
      <c r="K1167" t="s">
        <v>67</v>
      </c>
      <c r="O1167">
        <v>0</v>
      </c>
      <c r="P1167">
        <v>0</v>
      </c>
      <c r="Q1167">
        <v>6054</v>
      </c>
      <c r="R1167" t="s">
        <v>97</v>
      </c>
      <c r="S1167">
        <v>0</v>
      </c>
      <c r="T1167">
        <v>0</v>
      </c>
      <c r="U1167">
        <v>0</v>
      </c>
      <c r="V1167" t="s">
        <v>98</v>
      </c>
      <c r="W1167" t="s">
        <v>99</v>
      </c>
    </row>
    <row r="1168" spans="1:23" x14ac:dyDescent="0.35">
      <c r="A1168" t="s">
        <v>45</v>
      </c>
      <c r="B1168" t="s">
        <v>2396</v>
      </c>
      <c r="C1168" t="s">
        <v>93</v>
      </c>
      <c r="D1168" t="s">
        <v>94</v>
      </c>
      <c r="E1168" t="s">
        <v>45</v>
      </c>
      <c r="F1168" t="s">
        <v>49</v>
      </c>
      <c r="G1168" t="s">
        <v>2448</v>
      </c>
      <c r="H1168" t="s">
        <v>2449</v>
      </c>
      <c r="J1168" t="str">
        <f>HYPERLINK("https://twitter.com/SpiceMoneyIndia/status/1764492557755564355","https://twitter.com/SpiceMoneyIndia/status/1764492557755564355")</f>
        <v>https://twitter.com/SpiceMoneyIndia/status/1764492557755564355</v>
      </c>
      <c r="K1168" t="s">
        <v>67</v>
      </c>
      <c r="O1168">
        <v>0</v>
      </c>
      <c r="P1168">
        <v>0</v>
      </c>
      <c r="Q1168">
        <v>6054</v>
      </c>
      <c r="R1168" t="s">
        <v>97</v>
      </c>
      <c r="S1168">
        <v>0</v>
      </c>
      <c r="T1168">
        <v>0</v>
      </c>
      <c r="U1168">
        <v>0</v>
      </c>
      <c r="V1168" t="s">
        <v>98</v>
      </c>
      <c r="W1168" t="s">
        <v>99</v>
      </c>
    </row>
    <row r="1169" spans="1:23" x14ac:dyDescent="0.35">
      <c r="A1169" t="s">
        <v>45</v>
      </c>
      <c r="B1169" t="s">
        <v>2396</v>
      </c>
      <c r="C1169" t="s">
        <v>93</v>
      </c>
      <c r="D1169" t="s">
        <v>94</v>
      </c>
      <c r="E1169" t="s">
        <v>45</v>
      </c>
      <c r="F1169" t="s">
        <v>49</v>
      </c>
      <c r="G1169" t="s">
        <v>2450</v>
      </c>
      <c r="H1169" t="s">
        <v>2451</v>
      </c>
      <c r="J1169" t="str">
        <f>HYPERLINK("https://twitter.com/SpiceMoneyIndia/status/1764492366205874307","https://twitter.com/SpiceMoneyIndia/status/1764492366205874307")</f>
        <v>https://twitter.com/SpiceMoneyIndia/status/1764492366205874307</v>
      </c>
      <c r="K1169" t="s">
        <v>67</v>
      </c>
      <c r="O1169">
        <v>0</v>
      </c>
      <c r="P1169">
        <v>0</v>
      </c>
      <c r="Q1169">
        <v>6054</v>
      </c>
      <c r="R1169" t="s">
        <v>97</v>
      </c>
      <c r="S1169">
        <v>0</v>
      </c>
      <c r="T1169">
        <v>0</v>
      </c>
      <c r="U1169">
        <v>0</v>
      </c>
      <c r="V1169" t="s">
        <v>98</v>
      </c>
      <c r="W1169" t="s">
        <v>99</v>
      </c>
    </row>
    <row r="1170" spans="1:23" x14ac:dyDescent="0.35">
      <c r="A1170" t="s">
        <v>45</v>
      </c>
      <c r="B1170" t="s">
        <v>2396</v>
      </c>
      <c r="C1170" t="s">
        <v>93</v>
      </c>
      <c r="D1170" t="s">
        <v>94</v>
      </c>
      <c r="E1170" t="s">
        <v>45</v>
      </c>
      <c r="F1170" t="s">
        <v>49</v>
      </c>
      <c r="G1170" t="s">
        <v>2452</v>
      </c>
      <c r="H1170" t="s">
        <v>2453</v>
      </c>
      <c r="J1170" t="str">
        <f>HYPERLINK("https://twitter.com/SpiceMoneyIndia/status/1764489666030444818","https://twitter.com/SpiceMoneyIndia/status/1764489666030444818")</f>
        <v>https://twitter.com/SpiceMoneyIndia/status/1764489666030444818</v>
      </c>
      <c r="K1170" t="s">
        <v>67</v>
      </c>
      <c r="O1170">
        <v>0</v>
      </c>
      <c r="P1170">
        <v>0</v>
      </c>
      <c r="Q1170">
        <v>6054</v>
      </c>
      <c r="R1170" t="s">
        <v>97</v>
      </c>
      <c r="S1170">
        <v>0</v>
      </c>
      <c r="T1170">
        <v>0</v>
      </c>
      <c r="U1170">
        <v>0</v>
      </c>
      <c r="V1170" t="s">
        <v>98</v>
      </c>
      <c r="W1170" t="s">
        <v>99</v>
      </c>
    </row>
    <row r="1171" spans="1:23" x14ac:dyDescent="0.35">
      <c r="A1171" t="s">
        <v>45</v>
      </c>
      <c r="B1171" t="s">
        <v>2396</v>
      </c>
      <c r="C1171" t="s">
        <v>93</v>
      </c>
      <c r="D1171" t="s">
        <v>2454</v>
      </c>
      <c r="E1171" t="s">
        <v>2455</v>
      </c>
      <c r="F1171" t="s">
        <v>54</v>
      </c>
      <c r="G1171" t="s">
        <v>2456</v>
      </c>
      <c r="H1171" t="s">
        <v>2457</v>
      </c>
      <c r="J1171" t="str">
        <f>HYPERLINK("https://twitter.com/AhirimSensin06/status/1764368993102581889","https://twitter.com/AhirimSensin06/status/1764368993102581889")</f>
        <v>https://twitter.com/AhirimSensin06/status/1764368993102581889</v>
      </c>
      <c r="O1171">
        <v>0</v>
      </c>
      <c r="P1171">
        <v>0</v>
      </c>
      <c r="Q1171">
        <v>947</v>
      </c>
      <c r="R1171" t="s">
        <v>2458</v>
      </c>
      <c r="S1171">
        <v>0</v>
      </c>
      <c r="T1171">
        <v>0</v>
      </c>
      <c r="U1171">
        <v>0</v>
      </c>
      <c r="W1171" t="s">
        <v>433</v>
      </c>
    </row>
    <row r="1172" spans="1:23" x14ac:dyDescent="0.35">
      <c r="A1172" t="s">
        <v>45</v>
      </c>
      <c r="B1172" t="s">
        <v>2396</v>
      </c>
      <c r="C1172" t="s">
        <v>93</v>
      </c>
      <c r="D1172" t="s">
        <v>2459</v>
      </c>
      <c r="E1172" t="s">
        <v>2460</v>
      </c>
      <c r="F1172" t="s">
        <v>54</v>
      </c>
      <c r="G1172" t="s">
        <v>2456</v>
      </c>
      <c r="H1172" t="s">
        <v>2461</v>
      </c>
      <c r="J1172" t="str">
        <f>HYPERLINK("https://twitter.com/AamirAdmirer/status/1764359475845042178","https://twitter.com/AamirAdmirer/status/1764359475845042178")</f>
        <v>https://twitter.com/AamirAdmirer/status/1764359475845042178</v>
      </c>
      <c r="O1172">
        <v>0</v>
      </c>
      <c r="P1172">
        <v>0</v>
      </c>
      <c r="Q1172">
        <v>337</v>
      </c>
      <c r="S1172">
        <v>0</v>
      </c>
      <c r="T1172">
        <v>0</v>
      </c>
      <c r="U1172">
        <v>0</v>
      </c>
      <c r="W1172" t="s">
        <v>433</v>
      </c>
    </row>
    <row r="1173" spans="1:23" x14ac:dyDescent="0.35">
      <c r="A1173" t="s">
        <v>45</v>
      </c>
      <c r="B1173" t="s">
        <v>2462</v>
      </c>
      <c r="C1173" t="s">
        <v>93</v>
      </c>
      <c r="D1173" t="s">
        <v>2463</v>
      </c>
      <c r="E1173" t="s">
        <v>2464</v>
      </c>
      <c r="F1173" t="s">
        <v>54</v>
      </c>
      <c r="G1173" t="s">
        <v>2456</v>
      </c>
      <c r="H1173" t="s">
        <v>2465</v>
      </c>
      <c r="J1173" t="str">
        <f>HYPERLINK("https://twitter.com/Vijay_aamir/status/1764355051953209529","https://twitter.com/Vijay_aamir/status/1764355051953209529")</f>
        <v>https://twitter.com/Vijay_aamir/status/1764355051953209529</v>
      </c>
      <c r="K1173" t="s">
        <v>67</v>
      </c>
      <c r="O1173">
        <v>0</v>
      </c>
      <c r="P1173">
        <v>0</v>
      </c>
      <c r="Q1173">
        <v>2155</v>
      </c>
      <c r="R1173" t="s">
        <v>2466</v>
      </c>
      <c r="S1173">
        <v>0</v>
      </c>
      <c r="T1173">
        <v>0</v>
      </c>
      <c r="U1173">
        <v>0</v>
      </c>
      <c r="W1173" t="s">
        <v>433</v>
      </c>
    </row>
    <row r="1174" spans="1:23" x14ac:dyDescent="0.35">
      <c r="A1174" t="s">
        <v>45</v>
      </c>
      <c r="B1174" t="s">
        <v>2462</v>
      </c>
      <c r="C1174" t="s">
        <v>93</v>
      </c>
      <c r="D1174" t="s">
        <v>2467</v>
      </c>
      <c r="E1174" t="s">
        <v>2468</v>
      </c>
      <c r="F1174" t="s">
        <v>54</v>
      </c>
      <c r="G1174" t="s">
        <v>2456</v>
      </c>
      <c r="H1174" t="s">
        <v>2469</v>
      </c>
      <c r="J1174" t="str">
        <f>HYPERLINK("https://twitter.com/AAMIRCRAZE/status/1764352535668928696","https://twitter.com/AAMIRCRAZE/status/1764352535668928696")</f>
        <v>https://twitter.com/AAMIRCRAZE/status/1764352535668928696</v>
      </c>
      <c r="O1174">
        <v>0</v>
      </c>
      <c r="P1174">
        <v>0</v>
      </c>
      <c r="Q1174">
        <v>2223</v>
      </c>
      <c r="R1174" t="s">
        <v>2470</v>
      </c>
      <c r="S1174">
        <v>0</v>
      </c>
      <c r="T1174">
        <v>0</v>
      </c>
      <c r="U1174">
        <v>0</v>
      </c>
      <c r="W1174" t="s">
        <v>433</v>
      </c>
    </row>
    <row r="1175" spans="1:23" x14ac:dyDescent="0.35">
      <c r="A1175" t="s">
        <v>45</v>
      </c>
      <c r="B1175" t="s">
        <v>2462</v>
      </c>
      <c r="C1175" t="s">
        <v>93</v>
      </c>
      <c r="D1175" t="s">
        <v>2300</v>
      </c>
      <c r="E1175" t="s">
        <v>2301</v>
      </c>
      <c r="F1175" t="s">
        <v>49</v>
      </c>
      <c r="G1175" t="s">
        <v>2471</v>
      </c>
      <c r="H1175" t="s">
        <v>2472</v>
      </c>
      <c r="J1175" t="str">
        <f>HYPERLINK("https://twitter.com/pentyala_satish/status/1764327173929001352","https://twitter.com/pentyala_satish/status/1764327173929001352")</f>
        <v>https://twitter.com/pentyala_satish/status/1764327173929001352</v>
      </c>
      <c r="K1175" t="s">
        <v>67</v>
      </c>
      <c r="O1175">
        <v>0</v>
      </c>
      <c r="P1175">
        <v>0</v>
      </c>
      <c r="Q1175">
        <v>305</v>
      </c>
      <c r="R1175" t="s">
        <v>2304</v>
      </c>
      <c r="S1175">
        <v>0</v>
      </c>
      <c r="T1175">
        <v>0</v>
      </c>
      <c r="U1175">
        <v>0</v>
      </c>
      <c r="W1175" t="s">
        <v>99</v>
      </c>
    </row>
    <row r="1176" spans="1:23" x14ac:dyDescent="0.35">
      <c r="A1176" t="s">
        <v>45</v>
      </c>
      <c r="B1176" t="s">
        <v>2462</v>
      </c>
      <c r="C1176" t="s">
        <v>93</v>
      </c>
      <c r="D1176" t="s">
        <v>2473</v>
      </c>
      <c r="E1176" t="s">
        <v>2474</v>
      </c>
      <c r="F1176" t="s">
        <v>49</v>
      </c>
      <c r="G1176" t="s">
        <v>2475</v>
      </c>
      <c r="H1176" t="s">
        <v>2476</v>
      </c>
      <c r="J1176" t="str">
        <f>HYPERLINK("https://twitter.com/SPrajapati20051/status/1764326016867258670","https://twitter.com/SPrajapati20051/status/1764326016867258670")</f>
        <v>https://twitter.com/SPrajapati20051/status/1764326016867258670</v>
      </c>
      <c r="K1176" t="s">
        <v>67</v>
      </c>
      <c r="O1176">
        <v>0</v>
      </c>
      <c r="P1176">
        <v>0</v>
      </c>
      <c r="Q1176">
        <v>1</v>
      </c>
      <c r="S1176">
        <v>0</v>
      </c>
      <c r="T1176">
        <v>0</v>
      </c>
      <c r="U1176">
        <v>0</v>
      </c>
      <c r="W1176" t="s">
        <v>99</v>
      </c>
    </row>
    <row r="1177" spans="1:23" x14ac:dyDescent="0.35">
      <c r="A1177" t="s">
        <v>45</v>
      </c>
      <c r="B1177" t="s">
        <v>2462</v>
      </c>
      <c r="C1177" t="s">
        <v>93</v>
      </c>
      <c r="D1177" t="s">
        <v>2477</v>
      </c>
      <c r="E1177" t="s">
        <v>2478</v>
      </c>
      <c r="F1177" t="s">
        <v>54</v>
      </c>
      <c r="G1177" t="s">
        <v>2456</v>
      </c>
      <c r="H1177" t="s">
        <v>2479</v>
      </c>
      <c r="J1177" t="str">
        <f>HYPERLINK("https://twitter.com/jaan_de_denge/status/1764312166864420889","https://twitter.com/jaan_de_denge/status/1764312166864420889")</f>
        <v>https://twitter.com/jaan_de_denge/status/1764312166864420889</v>
      </c>
      <c r="O1177">
        <v>0</v>
      </c>
      <c r="P1177">
        <v>0</v>
      </c>
      <c r="Q1177">
        <v>87</v>
      </c>
      <c r="R1177" t="s">
        <v>513</v>
      </c>
      <c r="S1177">
        <v>0</v>
      </c>
      <c r="T1177">
        <v>0</v>
      </c>
      <c r="U1177">
        <v>0</v>
      </c>
      <c r="W1177" t="s">
        <v>433</v>
      </c>
    </row>
    <row r="1178" spans="1:23" x14ac:dyDescent="0.35">
      <c r="A1178" t="s">
        <v>45</v>
      </c>
      <c r="B1178" t="s">
        <v>2462</v>
      </c>
      <c r="C1178" t="s">
        <v>93</v>
      </c>
      <c r="D1178" t="s">
        <v>2480</v>
      </c>
      <c r="E1178" t="s">
        <v>2481</v>
      </c>
      <c r="F1178" t="s">
        <v>54</v>
      </c>
      <c r="G1178" t="s">
        <v>2456</v>
      </c>
      <c r="H1178" t="s">
        <v>2482</v>
      </c>
      <c r="J1178" t="str">
        <f>HYPERLINK("https://twitter.com/AamirKaBhakt/status/1764311951369465944","https://twitter.com/AamirKaBhakt/status/1764311951369465944")</f>
        <v>https://twitter.com/AamirKaBhakt/status/1764311951369465944</v>
      </c>
      <c r="K1178" t="s">
        <v>67</v>
      </c>
      <c r="O1178">
        <v>0</v>
      </c>
      <c r="P1178">
        <v>0</v>
      </c>
      <c r="Q1178">
        <v>220</v>
      </c>
      <c r="R1178" t="s">
        <v>513</v>
      </c>
      <c r="S1178">
        <v>0</v>
      </c>
      <c r="T1178">
        <v>0</v>
      </c>
      <c r="U1178">
        <v>0</v>
      </c>
      <c r="W1178" t="s">
        <v>433</v>
      </c>
    </row>
    <row r="1179" spans="1:23" x14ac:dyDescent="0.35">
      <c r="A1179" t="s">
        <v>45</v>
      </c>
      <c r="B1179" t="s">
        <v>2462</v>
      </c>
      <c r="C1179" t="s">
        <v>93</v>
      </c>
      <c r="D1179" t="s">
        <v>2483</v>
      </c>
      <c r="E1179" t="s">
        <v>2484</v>
      </c>
      <c r="F1179" t="s">
        <v>54</v>
      </c>
      <c r="G1179" t="s">
        <v>2456</v>
      </c>
      <c r="H1179" t="s">
        <v>2485</v>
      </c>
      <c r="J1179" t="str">
        <f>HYPERLINK("https://twitter.com/Aamir_stan/status/1764311776458633630","https://twitter.com/Aamir_stan/status/1764311776458633630")</f>
        <v>https://twitter.com/Aamir_stan/status/1764311776458633630</v>
      </c>
      <c r="O1179">
        <v>0</v>
      </c>
      <c r="P1179">
        <v>0</v>
      </c>
      <c r="Q1179">
        <v>281</v>
      </c>
      <c r="R1179" t="s">
        <v>513</v>
      </c>
      <c r="S1179">
        <v>0</v>
      </c>
      <c r="T1179">
        <v>0</v>
      </c>
      <c r="U1179">
        <v>0</v>
      </c>
      <c r="W1179" t="s">
        <v>433</v>
      </c>
    </row>
    <row r="1180" spans="1:23" x14ac:dyDescent="0.35">
      <c r="A1180" t="s">
        <v>45</v>
      </c>
      <c r="B1180" t="s">
        <v>2462</v>
      </c>
      <c r="C1180" t="s">
        <v>93</v>
      </c>
      <c r="D1180" t="s">
        <v>2486</v>
      </c>
      <c r="E1180" t="s">
        <v>2487</v>
      </c>
      <c r="F1180" t="s">
        <v>54</v>
      </c>
      <c r="G1180" t="s">
        <v>2456</v>
      </c>
      <c r="H1180" t="s">
        <v>2488</v>
      </c>
      <c r="J1180" t="str">
        <f>HYPERLINK("https://twitter.com/Nick_Rangeela/status/1764311598343324023","https://twitter.com/Nick_Rangeela/status/1764311598343324023")</f>
        <v>https://twitter.com/Nick_Rangeela/status/1764311598343324023</v>
      </c>
      <c r="K1180" t="s">
        <v>67</v>
      </c>
      <c r="O1180">
        <v>0</v>
      </c>
      <c r="P1180">
        <v>0</v>
      </c>
      <c r="Q1180">
        <v>443</v>
      </c>
      <c r="R1180" t="s">
        <v>513</v>
      </c>
      <c r="S1180">
        <v>0</v>
      </c>
      <c r="T1180">
        <v>0</v>
      </c>
      <c r="U1180">
        <v>0</v>
      </c>
      <c r="W1180" t="s">
        <v>433</v>
      </c>
    </row>
    <row r="1181" spans="1:23" x14ac:dyDescent="0.35">
      <c r="A1181" t="s">
        <v>45</v>
      </c>
      <c r="B1181" t="s">
        <v>2462</v>
      </c>
      <c r="C1181" t="s">
        <v>93</v>
      </c>
      <c r="D1181" t="s">
        <v>2489</v>
      </c>
      <c r="E1181" t="s">
        <v>2490</v>
      </c>
      <c r="F1181" t="s">
        <v>54</v>
      </c>
      <c r="G1181" t="s">
        <v>2456</v>
      </c>
      <c r="H1181" t="s">
        <v>2491</v>
      </c>
      <c r="J1181" t="str">
        <f>HYPERLINK("https://twitter.com/Aditya__REBEL/status/1764311315651469502","https://twitter.com/Aditya__REBEL/status/1764311315651469502")</f>
        <v>https://twitter.com/Aditya__REBEL/status/1764311315651469502</v>
      </c>
      <c r="K1181" t="s">
        <v>67</v>
      </c>
      <c r="O1181">
        <v>0</v>
      </c>
      <c r="P1181">
        <v>0</v>
      </c>
      <c r="Q1181">
        <v>985</v>
      </c>
      <c r="R1181" t="s">
        <v>513</v>
      </c>
      <c r="S1181">
        <v>0</v>
      </c>
      <c r="T1181">
        <v>0</v>
      </c>
      <c r="U1181">
        <v>0</v>
      </c>
      <c r="W1181" t="s">
        <v>433</v>
      </c>
    </row>
    <row r="1182" spans="1:23" x14ac:dyDescent="0.35">
      <c r="A1182" t="s">
        <v>45</v>
      </c>
      <c r="B1182" t="s">
        <v>2462</v>
      </c>
      <c r="C1182" t="s">
        <v>93</v>
      </c>
      <c r="D1182" t="s">
        <v>2492</v>
      </c>
      <c r="E1182" t="s">
        <v>2493</v>
      </c>
      <c r="F1182" t="s">
        <v>54</v>
      </c>
      <c r="G1182" t="s">
        <v>2456</v>
      </c>
      <c r="H1182" t="s">
        <v>2494</v>
      </c>
      <c r="J1182" t="str">
        <f>HYPERLINK("https://twitter.com/Dev_Atheist/status/1764310392296325609","https://twitter.com/Dev_Atheist/status/1764310392296325609")</f>
        <v>https://twitter.com/Dev_Atheist/status/1764310392296325609</v>
      </c>
      <c r="K1182" t="s">
        <v>67</v>
      </c>
      <c r="O1182">
        <v>0</v>
      </c>
      <c r="P1182">
        <v>0</v>
      </c>
      <c r="Q1182">
        <v>1770</v>
      </c>
      <c r="R1182" t="s">
        <v>513</v>
      </c>
      <c r="S1182">
        <v>0</v>
      </c>
      <c r="T1182">
        <v>0</v>
      </c>
      <c r="U1182">
        <v>0</v>
      </c>
      <c r="W1182" t="s">
        <v>433</v>
      </c>
    </row>
    <row r="1183" spans="1:23" x14ac:dyDescent="0.35">
      <c r="A1183" t="s">
        <v>45</v>
      </c>
      <c r="B1183" t="s">
        <v>2462</v>
      </c>
      <c r="C1183" t="s">
        <v>93</v>
      </c>
      <c r="D1183" t="s">
        <v>1332</v>
      </c>
      <c r="E1183" t="s">
        <v>1333</v>
      </c>
      <c r="F1183" t="s">
        <v>54</v>
      </c>
      <c r="G1183" t="s">
        <v>2456</v>
      </c>
      <c r="H1183" t="s">
        <v>2495</v>
      </c>
      <c r="J1183" t="str">
        <f>HYPERLINK("https://twitter.com/IamDilipModi/status/1764299577237389762","https://twitter.com/IamDilipModi/status/1764299577237389762")</f>
        <v>https://twitter.com/IamDilipModi/status/1764299577237389762</v>
      </c>
      <c r="K1183" t="s">
        <v>67</v>
      </c>
      <c r="O1183">
        <v>0</v>
      </c>
      <c r="P1183">
        <v>0</v>
      </c>
      <c r="Q1183">
        <v>1877</v>
      </c>
      <c r="S1183">
        <v>0</v>
      </c>
      <c r="T1183">
        <v>0</v>
      </c>
      <c r="U1183">
        <v>0</v>
      </c>
      <c r="V1183" t="s">
        <v>98</v>
      </c>
      <c r="W1183" t="s">
        <v>99</v>
      </c>
    </row>
    <row r="1184" spans="1:23" x14ac:dyDescent="0.35">
      <c r="A1184" t="s">
        <v>45</v>
      </c>
      <c r="B1184" t="s">
        <v>2462</v>
      </c>
      <c r="C1184" t="s">
        <v>93</v>
      </c>
      <c r="D1184" t="s">
        <v>867</v>
      </c>
      <c r="E1184" t="s">
        <v>868</v>
      </c>
      <c r="F1184" t="s">
        <v>49</v>
      </c>
      <c r="G1184" t="s">
        <v>2496</v>
      </c>
      <c r="H1184" t="s">
        <v>2497</v>
      </c>
      <c r="J1184" t="str">
        <f>HYPERLINK("https://twitter.com/samyaduvanshi2/status/1764272342270669306","https://twitter.com/samyaduvanshi2/status/1764272342270669306")</f>
        <v>https://twitter.com/samyaduvanshi2/status/1764272342270669306</v>
      </c>
      <c r="K1184" t="s">
        <v>67</v>
      </c>
      <c r="O1184">
        <v>0</v>
      </c>
      <c r="P1184">
        <v>0</v>
      </c>
      <c r="Q1184">
        <v>39</v>
      </c>
      <c r="R1184" t="s">
        <v>871</v>
      </c>
      <c r="S1184">
        <v>0</v>
      </c>
      <c r="T1184">
        <v>0</v>
      </c>
      <c r="U1184">
        <v>0</v>
      </c>
      <c r="W1184" t="s">
        <v>99</v>
      </c>
    </row>
    <row r="1185" spans="1:23" x14ac:dyDescent="0.35">
      <c r="A1185" t="s">
        <v>45</v>
      </c>
      <c r="B1185" t="s">
        <v>2462</v>
      </c>
      <c r="C1185" t="s">
        <v>93</v>
      </c>
      <c r="D1185" t="s">
        <v>2498</v>
      </c>
      <c r="E1185" t="s">
        <v>2499</v>
      </c>
      <c r="F1185" t="s">
        <v>49</v>
      </c>
      <c r="G1185" t="s">
        <v>2500</v>
      </c>
      <c r="H1185" t="s">
        <v>2501</v>
      </c>
      <c r="J1185" t="str">
        <f>HYPERLINK("https://twitter.com/Sandeemth1/status/1764265047658828147","https://twitter.com/Sandeemth1/status/1764265047658828147")</f>
        <v>https://twitter.com/Sandeemth1/status/1764265047658828147</v>
      </c>
      <c r="K1185" t="s">
        <v>67</v>
      </c>
      <c r="O1185">
        <v>0</v>
      </c>
      <c r="P1185">
        <v>0</v>
      </c>
      <c r="Q1185">
        <v>9</v>
      </c>
      <c r="S1185">
        <v>0</v>
      </c>
      <c r="T1185">
        <v>0</v>
      </c>
      <c r="U1185">
        <v>0</v>
      </c>
      <c r="W1185" t="s">
        <v>99</v>
      </c>
    </row>
    <row r="1186" spans="1:23" x14ac:dyDescent="0.35">
      <c r="A1186" t="s">
        <v>45</v>
      </c>
      <c r="B1186" t="s">
        <v>2462</v>
      </c>
      <c r="C1186" t="s">
        <v>60</v>
      </c>
      <c r="D1186" t="s">
        <v>64</v>
      </c>
      <c r="E1186" t="s">
        <v>64</v>
      </c>
      <c r="F1186" t="s">
        <v>49</v>
      </c>
      <c r="G1186" t="s">
        <v>2502</v>
      </c>
      <c r="H1186" t="s">
        <v>2503</v>
      </c>
      <c r="J1186" t="str">
        <f>HYPERLINK("https://www.facebook.com/634639855377280/posts/801117022062895?comment_id=398507339460515&amp;reply_comment_id=3084125035054187","https://www.facebook.com/634639855377280/posts/801117022062895?comment_id=398507339460515&amp;reply_comment_id=3084125035054187")</f>
        <v>https://www.facebook.com/634639855377280/posts/801117022062895?comment_id=398507339460515&amp;reply_comment_id=3084125035054187</v>
      </c>
      <c r="K1186" t="s">
        <v>67</v>
      </c>
      <c r="O1186">
        <v>0</v>
      </c>
      <c r="P1186">
        <v>0</v>
      </c>
      <c r="Q1186">
        <v>0</v>
      </c>
      <c r="S1186">
        <v>0</v>
      </c>
      <c r="T1186">
        <v>0</v>
      </c>
      <c r="U1186">
        <v>0</v>
      </c>
      <c r="W1186" t="s">
        <v>52</v>
      </c>
    </row>
    <row r="1187" spans="1:23" x14ac:dyDescent="0.35">
      <c r="A1187" t="s">
        <v>45</v>
      </c>
      <c r="B1187" t="s">
        <v>2462</v>
      </c>
      <c r="C1187" t="s">
        <v>60</v>
      </c>
      <c r="D1187" t="s">
        <v>61</v>
      </c>
      <c r="E1187" t="s">
        <v>61</v>
      </c>
      <c r="F1187" t="s">
        <v>49</v>
      </c>
      <c r="G1187" t="s">
        <v>2504</v>
      </c>
      <c r="H1187" t="s">
        <v>2505</v>
      </c>
      <c r="J1187" t="str">
        <f>HYPERLINK("https://www.facebook.com/634639855377280/posts/801117022062895?comment_id=398507339460515","https://www.facebook.com/634639855377280/posts/801117022062895?comment_id=398507339460515")</f>
        <v>https://www.facebook.com/634639855377280/posts/801117022062895?comment_id=398507339460515</v>
      </c>
      <c r="O1187">
        <v>0</v>
      </c>
      <c r="P1187">
        <v>0</v>
      </c>
      <c r="Q1187">
        <v>0</v>
      </c>
      <c r="S1187">
        <v>0</v>
      </c>
      <c r="T1187">
        <v>0</v>
      </c>
      <c r="U1187">
        <v>0</v>
      </c>
      <c r="W1187" t="s">
        <v>52</v>
      </c>
    </row>
    <row r="1188" spans="1:23" x14ac:dyDescent="0.35">
      <c r="A1188" t="s">
        <v>45</v>
      </c>
      <c r="B1188" t="s">
        <v>2462</v>
      </c>
      <c r="C1188" t="s">
        <v>60</v>
      </c>
      <c r="D1188" t="s">
        <v>61</v>
      </c>
      <c r="E1188" t="s">
        <v>61</v>
      </c>
      <c r="F1188" t="s">
        <v>49</v>
      </c>
      <c r="G1188" t="s">
        <v>2506</v>
      </c>
      <c r="H1188" t="s">
        <v>2507</v>
      </c>
      <c r="J1188" t="str">
        <f>HYPERLINK("https://www.facebook.com/634639855377280/posts/801117022062895?comment_id=804734611472477&amp;reply_comment_id=397616492846912","https://www.facebook.com/634639855377280/posts/801117022062895?comment_id=804734611472477&amp;reply_comment_id=397616492846912")</f>
        <v>https://www.facebook.com/634639855377280/posts/801117022062895?comment_id=804734611472477&amp;reply_comment_id=397616492846912</v>
      </c>
      <c r="O1188">
        <v>0</v>
      </c>
      <c r="P1188">
        <v>0</v>
      </c>
      <c r="Q1188">
        <v>0</v>
      </c>
      <c r="S1188">
        <v>0</v>
      </c>
      <c r="T1188">
        <v>0</v>
      </c>
      <c r="U1188">
        <v>0</v>
      </c>
      <c r="W1188" t="s">
        <v>52</v>
      </c>
    </row>
    <row r="1189" spans="1:23" x14ac:dyDescent="0.35">
      <c r="A1189" t="s">
        <v>45</v>
      </c>
      <c r="B1189" t="s">
        <v>2462</v>
      </c>
      <c r="C1189" t="s">
        <v>60</v>
      </c>
      <c r="D1189" t="s">
        <v>61</v>
      </c>
      <c r="E1189" t="s">
        <v>61</v>
      </c>
      <c r="F1189" t="s">
        <v>49</v>
      </c>
      <c r="G1189" t="s">
        <v>2508</v>
      </c>
      <c r="H1189" t="s">
        <v>2509</v>
      </c>
      <c r="J1189" t="str">
        <f>HYPERLINK("https://www.facebook.com/634639855377280/posts/801117022062895?comment_id=804734611472477&amp;reply_comment_id=1829941127520769","https://www.facebook.com/634639855377280/posts/801117022062895?comment_id=804734611472477&amp;reply_comment_id=1829941127520769")</f>
        <v>https://www.facebook.com/634639855377280/posts/801117022062895?comment_id=804734611472477&amp;reply_comment_id=1829941127520769</v>
      </c>
      <c r="O1189">
        <v>0</v>
      </c>
      <c r="P1189">
        <v>0</v>
      </c>
      <c r="Q1189">
        <v>0</v>
      </c>
      <c r="S1189">
        <v>0</v>
      </c>
      <c r="T1189">
        <v>0</v>
      </c>
      <c r="U1189">
        <v>0</v>
      </c>
      <c r="W1189" t="s">
        <v>52</v>
      </c>
    </row>
    <row r="1190" spans="1:23" x14ac:dyDescent="0.35">
      <c r="A1190" t="s">
        <v>45</v>
      </c>
      <c r="B1190" t="s">
        <v>2462</v>
      </c>
      <c r="C1190" t="s">
        <v>60</v>
      </c>
      <c r="D1190" t="s">
        <v>61</v>
      </c>
      <c r="E1190" t="s">
        <v>61</v>
      </c>
      <c r="F1190" t="s">
        <v>49</v>
      </c>
      <c r="G1190" t="s">
        <v>2510</v>
      </c>
      <c r="H1190" t="s">
        <v>2511</v>
      </c>
      <c r="J1190" t="str">
        <f>HYPERLINK("https://www.facebook.com/634639855377280/posts/801117022062895?comment_id=804734611472477&amp;reply_comment_id=429439816322045","https://www.facebook.com/634639855377280/posts/801117022062895?comment_id=804734611472477&amp;reply_comment_id=429439816322045")</f>
        <v>https://www.facebook.com/634639855377280/posts/801117022062895?comment_id=804734611472477&amp;reply_comment_id=429439816322045</v>
      </c>
      <c r="O1190">
        <v>0</v>
      </c>
      <c r="P1190">
        <v>0</v>
      </c>
      <c r="Q1190">
        <v>0</v>
      </c>
      <c r="S1190">
        <v>0</v>
      </c>
      <c r="T1190">
        <v>0</v>
      </c>
      <c r="U1190">
        <v>0</v>
      </c>
      <c r="W1190" t="s">
        <v>52</v>
      </c>
    </row>
    <row r="1191" spans="1:23" x14ac:dyDescent="0.35">
      <c r="A1191" t="s">
        <v>45</v>
      </c>
      <c r="B1191" t="s">
        <v>2462</v>
      </c>
      <c r="C1191" t="s">
        <v>60</v>
      </c>
      <c r="D1191" t="s">
        <v>61</v>
      </c>
      <c r="E1191" t="s">
        <v>61</v>
      </c>
      <c r="F1191" t="s">
        <v>49</v>
      </c>
      <c r="G1191" t="s">
        <v>2512</v>
      </c>
      <c r="H1191" t="s">
        <v>2513</v>
      </c>
      <c r="J1191" t="str">
        <f>HYPERLINK("https://www.facebook.com/634639855377280/posts/801117022062895?comment_id=804734611472477&amp;reply_comment_id=2714533965381406","https://www.facebook.com/634639855377280/posts/801117022062895?comment_id=804734611472477&amp;reply_comment_id=2714533965381406")</f>
        <v>https://www.facebook.com/634639855377280/posts/801117022062895?comment_id=804734611472477&amp;reply_comment_id=2714533965381406</v>
      </c>
      <c r="O1191">
        <v>0</v>
      </c>
      <c r="P1191">
        <v>0</v>
      </c>
      <c r="Q1191">
        <v>0</v>
      </c>
      <c r="S1191">
        <v>0</v>
      </c>
      <c r="T1191">
        <v>0</v>
      </c>
      <c r="U1191">
        <v>0</v>
      </c>
      <c r="W1191" t="s">
        <v>52</v>
      </c>
    </row>
    <row r="1192" spans="1:23" x14ac:dyDescent="0.35">
      <c r="A1192" t="s">
        <v>45</v>
      </c>
      <c r="B1192" t="s">
        <v>2462</v>
      </c>
      <c r="C1192" t="s">
        <v>60</v>
      </c>
      <c r="D1192" t="s">
        <v>61</v>
      </c>
      <c r="E1192" t="s">
        <v>61</v>
      </c>
      <c r="F1192" t="s">
        <v>49</v>
      </c>
      <c r="G1192" t="s">
        <v>2514</v>
      </c>
      <c r="H1192" t="s">
        <v>2515</v>
      </c>
      <c r="J1192" t="str">
        <f>HYPERLINK("https://www.facebook.com/634639855377280/posts/801117022062895?comment_id=804734611472477&amp;reply_comment_id=793685762807623","https://www.facebook.com/634639855377280/posts/801117022062895?comment_id=804734611472477&amp;reply_comment_id=793685762807623")</f>
        <v>https://www.facebook.com/634639855377280/posts/801117022062895?comment_id=804734611472477&amp;reply_comment_id=793685762807623</v>
      </c>
      <c r="O1192">
        <v>0</v>
      </c>
      <c r="P1192">
        <v>0</v>
      </c>
      <c r="Q1192">
        <v>0</v>
      </c>
      <c r="S1192">
        <v>0</v>
      </c>
      <c r="T1192">
        <v>0</v>
      </c>
      <c r="U1192">
        <v>0</v>
      </c>
      <c r="W1192" t="s">
        <v>52</v>
      </c>
    </row>
    <row r="1193" spans="1:23" x14ac:dyDescent="0.35">
      <c r="A1193" t="s">
        <v>45</v>
      </c>
      <c r="B1193" t="s">
        <v>2462</v>
      </c>
      <c r="C1193" t="s">
        <v>60</v>
      </c>
      <c r="D1193" t="s">
        <v>61</v>
      </c>
      <c r="E1193" t="s">
        <v>61</v>
      </c>
      <c r="F1193" t="s">
        <v>49</v>
      </c>
      <c r="G1193" t="s">
        <v>2516</v>
      </c>
      <c r="H1193" t="s">
        <v>2517</v>
      </c>
      <c r="J1193" t="str">
        <f>HYPERLINK("https://www.facebook.com/634639855377280/posts/801117022062895?comment_id=804734611472477&amp;reply_comment_id=921135156083863","https://www.facebook.com/634639855377280/posts/801117022062895?comment_id=804734611472477&amp;reply_comment_id=921135156083863")</f>
        <v>https://www.facebook.com/634639855377280/posts/801117022062895?comment_id=804734611472477&amp;reply_comment_id=921135156083863</v>
      </c>
      <c r="O1193">
        <v>0</v>
      </c>
      <c r="P1193">
        <v>0</v>
      </c>
      <c r="Q1193">
        <v>0</v>
      </c>
      <c r="S1193">
        <v>0</v>
      </c>
      <c r="T1193">
        <v>0</v>
      </c>
      <c r="U1193">
        <v>0</v>
      </c>
      <c r="W1193" t="s">
        <v>52</v>
      </c>
    </row>
    <row r="1194" spans="1:23" x14ac:dyDescent="0.35">
      <c r="A1194" t="s">
        <v>45</v>
      </c>
      <c r="B1194" t="s">
        <v>2462</v>
      </c>
      <c r="C1194" t="s">
        <v>60</v>
      </c>
      <c r="D1194" t="s">
        <v>61</v>
      </c>
      <c r="E1194" t="s">
        <v>61</v>
      </c>
      <c r="F1194" t="s">
        <v>49</v>
      </c>
      <c r="G1194" t="s">
        <v>2518</v>
      </c>
      <c r="H1194" t="s">
        <v>2519</v>
      </c>
      <c r="J1194" t="str">
        <f>HYPERLINK("https://www.facebook.com/634639855377280/posts/801117022062895?comment_id=804734611472477&amp;reply_comment_id=1049337962802864","https://www.facebook.com/634639855377280/posts/801117022062895?comment_id=804734611472477&amp;reply_comment_id=1049337962802864")</f>
        <v>https://www.facebook.com/634639855377280/posts/801117022062895?comment_id=804734611472477&amp;reply_comment_id=1049337962802864</v>
      </c>
      <c r="O1194">
        <v>0</v>
      </c>
      <c r="P1194">
        <v>0</v>
      </c>
      <c r="Q1194">
        <v>0</v>
      </c>
      <c r="S1194">
        <v>0</v>
      </c>
      <c r="T1194">
        <v>0</v>
      </c>
      <c r="U1194">
        <v>0</v>
      </c>
      <c r="W1194" t="s">
        <v>52</v>
      </c>
    </row>
    <row r="1195" spans="1:23" x14ac:dyDescent="0.35">
      <c r="A1195" t="s">
        <v>45</v>
      </c>
      <c r="B1195" t="s">
        <v>2462</v>
      </c>
      <c r="C1195" t="s">
        <v>60</v>
      </c>
      <c r="D1195" t="s">
        <v>61</v>
      </c>
      <c r="E1195" t="s">
        <v>61</v>
      </c>
      <c r="F1195" t="s">
        <v>49</v>
      </c>
      <c r="G1195" t="s">
        <v>2520</v>
      </c>
      <c r="H1195" t="s">
        <v>2521</v>
      </c>
      <c r="J1195" t="str">
        <f>HYPERLINK("https://www.facebook.com/634639855377280/posts/801117022062895?comment_id=804734611472477&amp;reply_comment_id=1608920196628135","https://www.facebook.com/634639855377280/posts/801117022062895?comment_id=804734611472477&amp;reply_comment_id=1608920196628135")</f>
        <v>https://www.facebook.com/634639855377280/posts/801117022062895?comment_id=804734611472477&amp;reply_comment_id=1608920196628135</v>
      </c>
      <c r="O1195">
        <v>0</v>
      </c>
      <c r="P1195">
        <v>0</v>
      </c>
      <c r="Q1195">
        <v>0</v>
      </c>
      <c r="S1195">
        <v>0</v>
      </c>
      <c r="T1195">
        <v>0</v>
      </c>
      <c r="U1195">
        <v>0</v>
      </c>
      <c r="W1195" t="s">
        <v>52</v>
      </c>
    </row>
    <row r="1196" spans="1:23" x14ac:dyDescent="0.35">
      <c r="A1196" t="s">
        <v>45</v>
      </c>
      <c r="B1196" t="s">
        <v>2462</v>
      </c>
      <c r="C1196" t="s">
        <v>60</v>
      </c>
      <c r="D1196" t="s">
        <v>61</v>
      </c>
      <c r="E1196" t="s">
        <v>61</v>
      </c>
      <c r="F1196" t="s">
        <v>49</v>
      </c>
      <c r="G1196" t="s">
        <v>2522</v>
      </c>
      <c r="H1196" t="s">
        <v>2523</v>
      </c>
      <c r="J1196" t="str">
        <f>HYPERLINK("https://www.facebook.com/634639855377280/posts/801117022062895?comment_id=804734611472477&amp;reply_comment_id=1080815923209094","https://www.facebook.com/634639855377280/posts/801117022062895?comment_id=804734611472477&amp;reply_comment_id=1080815923209094")</f>
        <v>https://www.facebook.com/634639855377280/posts/801117022062895?comment_id=804734611472477&amp;reply_comment_id=1080815923209094</v>
      </c>
      <c r="O1196">
        <v>0</v>
      </c>
      <c r="P1196">
        <v>0</v>
      </c>
      <c r="Q1196">
        <v>0</v>
      </c>
      <c r="S1196">
        <v>0</v>
      </c>
      <c r="T1196">
        <v>0</v>
      </c>
      <c r="U1196">
        <v>0</v>
      </c>
      <c r="W1196" t="s">
        <v>52</v>
      </c>
    </row>
    <row r="1197" spans="1:23" x14ac:dyDescent="0.35">
      <c r="A1197" t="s">
        <v>45</v>
      </c>
      <c r="B1197" t="s">
        <v>2462</v>
      </c>
      <c r="C1197" t="s">
        <v>93</v>
      </c>
      <c r="D1197" t="s">
        <v>94</v>
      </c>
      <c r="E1197" t="s">
        <v>45</v>
      </c>
      <c r="F1197" t="s">
        <v>49</v>
      </c>
      <c r="G1197" t="s">
        <v>2524</v>
      </c>
      <c r="H1197" t="s">
        <v>2525</v>
      </c>
      <c r="J1197" t="str">
        <f>HYPERLINK("https://twitter.com/SpiceMoneyIndia/status/1764219107627421754","https://twitter.com/SpiceMoneyIndia/status/1764219107627421754")</f>
        <v>https://twitter.com/SpiceMoneyIndia/status/1764219107627421754</v>
      </c>
      <c r="K1197" t="s">
        <v>67</v>
      </c>
      <c r="O1197">
        <v>0</v>
      </c>
      <c r="P1197">
        <v>0</v>
      </c>
      <c r="Q1197">
        <v>6056</v>
      </c>
      <c r="R1197" t="s">
        <v>97</v>
      </c>
      <c r="S1197">
        <v>0</v>
      </c>
      <c r="T1197">
        <v>0</v>
      </c>
      <c r="U1197">
        <v>0</v>
      </c>
      <c r="V1197" t="s">
        <v>98</v>
      </c>
      <c r="W1197" t="s">
        <v>99</v>
      </c>
    </row>
    <row r="1198" spans="1:23" x14ac:dyDescent="0.35">
      <c r="A1198" t="s">
        <v>45</v>
      </c>
      <c r="B1198" t="s">
        <v>2462</v>
      </c>
      <c r="C1198" t="s">
        <v>93</v>
      </c>
      <c r="D1198" t="s">
        <v>94</v>
      </c>
      <c r="E1198" t="s">
        <v>45</v>
      </c>
      <c r="F1198" t="s">
        <v>49</v>
      </c>
      <c r="G1198" t="s">
        <v>2526</v>
      </c>
      <c r="H1198" t="s">
        <v>2527</v>
      </c>
      <c r="J1198" t="str">
        <f>HYPERLINK("https://twitter.com/SpiceMoneyIndia/status/1764218039355003291","https://twitter.com/SpiceMoneyIndia/status/1764218039355003291")</f>
        <v>https://twitter.com/SpiceMoneyIndia/status/1764218039355003291</v>
      </c>
      <c r="K1198" t="s">
        <v>67</v>
      </c>
      <c r="O1198">
        <v>0</v>
      </c>
      <c r="P1198">
        <v>0</v>
      </c>
      <c r="Q1198">
        <v>6056</v>
      </c>
      <c r="R1198" t="s">
        <v>97</v>
      </c>
      <c r="S1198">
        <v>0</v>
      </c>
      <c r="T1198">
        <v>0</v>
      </c>
      <c r="U1198">
        <v>0</v>
      </c>
      <c r="V1198" t="s">
        <v>98</v>
      </c>
      <c r="W1198" t="s">
        <v>99</v>
      </c>
    </row>
    <row r="1199" spans="1:23" x14ac:dyDescent="0.35">
      <c r="A1199" t="s">
        <v>45</v>
      </c>
      <c r="B1199" t="s">
        <v>2462</v>
      </c>
      <c r="C1199" t="s">
        <v>60</v>
      </c>
      <c r="D1199" t="s">
        <v>64</v>
      </c>
      <c r="E1199" t="s">
        <v>64</v>
      </c>
      <c r="F1199" t="s">
        <v>49</v>
      </c>
      <c r="G1199" t="s">
        <v>2528</v>
      </c>
      <c r="H1199" t="s">
        <v>2529</v>
      </c>
      <c r="J1199" t="str">
        <f>HYPERLINK("https://www.facebook.com/634639855377280/posts/801117022062895?comment_id=804734611472477&amp;reply_comment_id=7308237819229231","https://www.facebook.com/634639855377280/posts/801117022062895?comment_id=804734611472477&amp;reply_comment_id=7308237819229231")</f>
        <v>https://www.facebook.com/634639855377280/posts/801117022062895?comment_id=804734611472477&amp;reply_comment_id=7308237819229231</v>
      </c>
      <c r="K1199" t="s">
        <v>67</v>
      </c>
      <c r="O1199">
        <v>0</v>
      </c>
      <c r="P1199">
        <v>0</v>
      </c>
      <c r="Q1199">
        <v>0</v>
      </c>
      <c r="S1199">
        <v>0</v>
      </c>
      <c r="T1199">
        <v>0</v>
      </c>
      <c r="U1199">
        <v>0</v>
      </c>
      <c r="W1199" t="s">
        <v>52</v>
      </c>
    </row>
    <row r="1200" spans="1:23" x14ac:dyDescent="0.35">
      <c r="A1200" t="s">
        <v>45</v>
      </c>
      <c r="B1200" t="s">
        <v>2462</v>
      </c>
      <c r="C1200" t="s">
        <v>47</v>
      </c>
      <c r="D1200" t="s">
        <v>68</v>
      </c>
      <c r="E1200" t="s">
        <v>68</v>
      </c>
      <c r="F1200" t="s">
        <v>49</v>
      </c>
      <c r="G1200" t="s">
        <v>102</v>
      </c>
      <c r="H1200" t="s">
        <v>2530</v>
      </c>
      <c r="J1200" t="str">
        <f>HYPERLINK("https://www.youtube.com/watch?v=fi0KMSdJZZY&amp;lc=UgzvBN4IDdPr1abhuwF4AaABAg.A0RzdehtPnhA0WT72H6bG4","https://www.youtube.com/watch?v=fi0KMSdJZZY&amp;lc=UgzvBN4IDdPr1abhuwF4AaABAg.A0RzdehtPnhA0WT72H6bG4")</f>
        <v>https://www.youtube.com/watch?v=fi0KMSdJZZY&amp;lc=UgzvBN4IDdPr1abhuwF4AaABAg.A0RzdehtPnhA0WT72H6bG4</v>
      </c>
      <c r="O1200">
        <v>0</v>
      </c>
      <c r="P1200">
        <v>0</v>
      </c>
      <c r="Q1200">
        <v>0</v>
      </c>
      <c r="S1200">
        <v>0</v>
      </c>
      <c r="T1200">
        <v>0</v>
      </c>
      <c r="U1200">
        <v>0</v>
      </c>
      <c r="W1200" t="s">
        <v>52</v>
      </c>
    </row>
    <row r="1201" spans="1:23" x14ac:dyDescent="0.35">
      <c r="A1201" t="s">
        <v>45</v>
      </c>
      <c r="B1201" t="s">
        <v>2462</v>
      </c>
      <c r="C1201" t="s">
        <v>93</v>
      </c>
      <c r="D1201" t="s">
        <v>94</v>
      </c>
      <c r="E1201" t="s">
        <v>45</v>
      </c>
      <c r="F1201" t="s">
        <v>49</v>
      </c>
      <c r="G1201" t="s">
        <v>2531</v>
      </c>
      <c r="H1201" t="s">
        <v>2532</v>
      </c>
      <c r="J1201" t="str">
        <f>HYPERLINK("https://twitter.com/SpiceMoneyIndia/status/1764213256472711672","https://twitter.com/SpiceMoneyIndia/status/1764213256472711672")</f>
        <v>https://twitter.com/SpiceMoneyIndia/status/1764213256472711672</v>
      </c>
      <c r="K1201" t="s">
        <v>67</v>
      </c>
      <c r="O1201">
        <v>0</v>
      </c>
      <c r="P1201">
        <v>0</v>
      </c>
      <c r="Q1201">
        <v>6056</v>
      </c>
      <c r="R1201" t="s">
        <v>97</v>
      </c>
      <c r="S1201">
        <v>0</v>
      </c>
      <c r="T1201">
        <v>0</v>
      </c>
      <c r="U1201">
        <v>0</v>
      </c>
      <c r="V1201" t="s">
        <v>98</v>
      </c>
      <c r="W1201" t="s">
        <v>99</v>
      </c>
    </row>
    <row r="1202" spans="1:23" x14ac:dyDescent="0.35">
      <c r="A1202" t="s">
        <v>45</v>
      </c>
      <c r="B1202" t="s">
        <v>2462</v>
      </c>
      <c r="C1202" t="s">
        <v>93</v>
      </c>
      <c r="D1202" t="s">
        <v>94</v>
      </c>
      <c r="E1202" t="s">
        <v>45</v>
      </c>
      <c r="F1202" t="s">
        <v>49</v>
      </c>
      <c r="G1202" t="s">
        <v>2533</v>
      </c>
      <c r="H1202" t="s">
        <v>2534</v>
      </c>
      <c r="J1202" t="str">
        <f>HYPERLINK("https://twitter.com/SpiceMoneyIndia/status/1764212667063972060","https://twitter.com/SpiceMoneyIndia/status/1764212667063972060")</f>
        <v>https://twitter.com/SpiceMoneyIndia/status/1764212667063972060</v>
      </c>
      <c r="K1202" t="s">
        <v>67</v>
      </c>
      <c r="O1202">
        <v>0</v>
      </c>
      <c r="P1202">
        <v>0</v>
      </c>
      <c r="Q1202">
        <v>6056</v>
      </c>
      <c r="R1202" t="s">
        <v>97</v>
      </c>
      <c r="S1202">
        <v>0</v>
      </c>
      <c r="T1202">
        <v>0</v>
      </c>
      <c r="U1202">
        <v>0</v>
      </c>
      <c r="V1202" t="s">
        <v>98</v>
      </c>
      <c r="W1202" t="s">
        <v>99</v>
      </c>
    </row>
    <row r="1203" spans="1:23" x14ac:dyDescent="0.35">
      <c r="A1203" t="s">
        <v>45</v>
      </c>
      <c r="B1203" t="s">
        <v>2462</v>
      </c>
      <c r="C1203" t="s">
        <v>93</v>
      </c>
      <c r="D1203" t="s">
        <v>94</v>
      </c>
      <c r="E1203" t="s">
        <v>45</v>
      </c>
      <c r="F1203" t="s">
        <v>49</v>
      </c>
      <c r="G1203" t="s">
        <v>2535</v>
      </c>
      <c r="H1203" t="s">
        <v>2536</v>
      </c>
      <c r="J1203" t="str">
        <f>HYPERLINK("https://twitter.com/SpiceMoneyIndia/status/1764212408095044085","https://twitter.com/SpiceMoneyIndia/status/1764212408095044085")</f>
        <v>https://twitter.com/SpiceMoneyIndia/status/1764212408095044085</v>
      </c>
      <c r="K1203" t="s">
        <v>67</v>
      </c>
      <c r="O1203">
        <v>0</v>
      </c>
      <c r="P1203">
        <v>0</v>
      </c>
      <c r="Q1203">
        <v>6056</v>
      </c>
      <c r="R1203" t="s">
        <v>97</v>
      </c>
      <c r="S1203">
        <v>0</v>
      </c>
      <c r="T1203">
        <v>0</v>
      </c>
      <c r="U1203">
        <v>0</v>
      </c>
      <c r="V1203" t="s">
        <v>98</v>
      </c>
      <c r="W1203" t="s">
        <v>99</v>
      </c>
    </row>
    <row r="1204" spans="1:23" x14ac:dyDescent="0.35">
      <c r="A1204" t="s">
        <v>45</v>
      </c>
      <c r="B1204" t="s">
        <v>2462</v>
      </c>
      <c r="C1204" t="s">
        <v>47</v>
      </c>
      <c r="D1204" t="s">
        <v>68</v>
      </c>
      <c r="E1204" t="s">
        <v>68</v>
      </c>
      <c r="F1204" t="s">
        <v>49</v>
      </c>
      <c r="G1204" t="s">
        <v>2537</v>
      </c>
      <c r="H1204" t="s">
        <v>2538</v>
      </c>
      <c r="J1204" t="str">
        <f>HYPERLINK("https://www.youtube.com/watch?v=5DADCSRiE3A&amp;lc=UgwMaeZ0gfLf5uo1NAx4AaABAg.A0UZX-iuDcKA0WS9vVHXfy","https://www.youtube.com/watch?v=5DADCSRiE3A&amp;lc=UgwMaeZ0gfLf5uo1NAx4AaABAg.A0UZX-iuDcKA0WS9vVHXfy")</f>
        <v>https://www.youtube.com/watch?v=5DADCSRiE3A&amp;lc=UgwMaeZ0gfLf5uo1NAx4AaABAg.A0UZX-iuDcKA0WS9vVHXfy</v>
      </c>
      <c r="O1204">
        <v>0</v>
      </c>
      <c r="P1204">
        <v>0</v>
      </c>
      <c r="Q1204">
        <v>0</v>
      </c>
      <c r="S1204">
        <v>0</v>
      </c>
      <c r="T1204">
        <v>0</v>
      </c>
      <c r="U1204">
        <v>0</v>
      </c>
      <c r="W1204" t="s">
        <v>52</v>
      </c>
    </row>
    <row r="1205" spans="1:23" x14ac:dyDescent="0.35">
      <c r="A1205" t="s">
        <v>45</v>
      </c>
      <c r="B1205" t="s">
        <v>2462</v>
      </c>
      <c r="C1205" t="s">
        <v>47</v>
      </c>
      <c r="D1205" t="s">
        <v>68</v>
      </c>
      <c r="E1205" t="s">
        <v>68</v>
      </c>
      <c r="F1205" t="s">
        <v>49</v>
      </c>
      <c r="G1205" t="s">
        <v>102</v>
      </c>
      <c r="H1205" t="s">
        <v>2539</v>
      </c>
      <c r="J1205" t="str">
        <f>HYPERLINK("https://www.youtube.com/watch?v=4gPYe9M3ps0&amp;lc=UgwaEt_d5c-8KtqKFqt4AaABAg.A0SGJInn8qWA0WRxV6HyzC","https://www.youtube.com/watch?v=4gPYe9M3ps0&amp;lc=UgwaEt_d5c-8KtqKFqt4AaABAg.A0SGJInn8qWA0WRxV6HyzC")</f>
        <v>https://www.youtube.com/watch?v=4gPYe9M3ps0&amp;lc=UgwaEt_d5c-8KtqKFqt4AaABAg.A0SGJInn8qWA0WRxV6HyzC</v>
      </c>
      <c r="O1205">
        <v>0</v>
      </c>
      <c r="P1205">
        <v>0</v>
      </c>
      <c r="Q1205">
        <v>0</v>
      </c>
      <c r="S1205">
        <v>0</v>
      </c>
      <c r="T1205">
        <v>0</v>
      </c>
      <c r="U1205">
        <v>0</v>
      </c>
      <c r="W1205" t="s">
        <v>52</v>
      </c>
    </row>
    <row r="1206" spans="1:23" x14ac:dyDescent="0.35">
      <c r="A1206" t="s">
        <v>45</v>
      </c>
      <c r="B1206" t="s">
        <v>2462</v>
      </c>
      <c r="C1206" t="s">
        <v>47</v>
      </c>
      <c r="D1206" t="s">
        <v>68</v>
      </c>
      <c r="E1206" t="s">
        <v>68</v>
      </c>
      <c r="F1206" t="s">
        <v>49</v>
      </c>
      <c r="G1206" t="s">
        <v>102</v>
      </c>
      <c r="H1206" t="s">
        <v>2540</v>
      </c>
      <c r="J1206" t="str">
        <f>HYPERLINK("https://www.youtube.com/watch?v=V7dofHUJ7vo&amp;lc=Ugy-C_o8_GOLklKtRed4AaABAg.A0VtkQGUKJFA0WPoP9RiQy","https://www.youtube.com/watch?v=V7dofHUJ7vo&amp;lc=Ugy-C_o8_GOLklKtRed4AaABAg.A0VtkQGUKJFA0WPoP9RiQy")</f>
        <v>https://www.youtube.com/watch?v=V7dofHUJ7vo&amp;lc=Ugy-C_o8_GOLklKtRed4AaABAg.A0VtkQGUKJFA0WPoP9RiQy</v>
      </c>
      <c r="O1206">
        <v>0</v>
      </c>
      <c r="P1206">
        <v>0</v>
      </c>
      <c r="Q1206">
        <v>0</v>
      </c>
      <c r="S1206">
        <v>0</v>
      </c>
      <c r="T1206">
        <v>0</v>
      </c>
      <c r="U1206">
        <v>0</v>
      </c>
      <c r="W1206" t="s">
        <v>52</v>
      </c>
    </row>
    <row r="1207" spans="1:23" x14ac:dyDescent="0.35">
      <c r="A1207" t="s">
        <v>45</v>
      </c>
      <c r="B1207" t="s">
        <v>2462</v>
      </c>
      <c r="C1207" t="s">
        <v>47</v>
      </c>
      <c r="D1207" t="s">
        <v>68</v>
      </c>
      <c r="E1207" t="s">
        <v>68</v>
      </c>
      <c r="F1207" t="s">
        <v>49</v>
      </c>
      <c r="G1207" t="s">
        <v>102</v>
      </c>
      <c r="H1207" t="s">
        <v>2541</v>
      </c>
      <c r="J1207" t="str">
        <f>HYPERLINK("https://www.youtube.com/watch?v=oKzaWywnY_o&amp;lc=UgxLQIx4VTUVvgdhhtN4AaABAg.A0UbGESvcM4A0WPmRdv0GZ","https://www.youtube.com/watch?v=oKzaWywnY_o&amp;lc=UgxLQIx4VTUVvgdhhtN4AaABAg.A0UbGESvcM4A0WPmRdv0GZ")</f>
        <v>https://www.youtube.com/watch?v=oKzaWywnY_o&amp;lc=UgxLQIx4VTUVvgdhhtN4AaABAg.A0UbGESvcM4A0WPmRdv0GZ</v>
      </c>
      <c r="O1207">
        <v>0</v>
      </c>
      <c r="P1207">
        <v>0</v>
      </c>
      <c r="Q1207">
        <v>0</v>
      </c>
      <c r="S1207">
        <v>0</v>
      </c>
      <c r="T1207">
        <v>0</v>
      </c>
      <c r="U1207">
        <v>0</v>
      </c>
      <c r="W1207" t="s">
        <v>52</v>
      </c>
    </row>
    <row r="1208" spans="1:23" x14ac:dyDescent="0.35">
      <c r="A1208" t="s">
        <v>45</v>
      </c>
      <c r="B1208" t="s">
        <v>2462</v>
      </c>
      <c r="C1208" t="s">
        <v>93</v>
      </c>
      <c r="D1208" t="s">
        <v>94</v>
      </c>
      <c r="E1208" t="s">
        <v>45</v>
      </c>
      <c r="F1208" t="s">
        <v>49</v>
      </c>
      <c r="G1208" t="s">
        <v>2542</v>
      </c>
      <c r="H1208" t="s">
        <v>2543</v>
      </c>
      <c r="J1208" t="str">
        <f>HYPERLINK("https://twitter.com/SpiceMoneyIndia/status/1764205976427585862","https://twitter.com/SpiceMoneyIndia/status/1764205976427585862")</f>
        <v>https://twitter.com/SpiceMoneyIndia/status/1764205976427585862</v>
      </c>
      <c r="K1208" t="s">
        <v>67</v>
      </c>
      <c r="O1208">
        <v>0</v>
      </c>
      <c r="P1208">
        <v>0</v>
      </c>
      <c r="Q1208">
        <v>6056</v>
      </c>
      <c r="R1208" t="s">
        <v>97</v>
      </c>
      <c r="S1208">
        <v>0</v>
      </c>
      <c r="T1208">
        <v>0</v>
      </c>
      <c r="U1208">
        <v>0</v>
      </c>
      <c r="V1208" t="s">
        <v>98</v>
      </c>
      <c r="W1208" t="s">
        <v>99</v>
      </c>
    </row>
    <row r="1209" spans="1:23" x14ac:dyDescent="0.35">
      <c r="A1209" t="s">
        <v>45</v>
      </c>
      <c r="B1209" t="s">
        <v>2462</v>
      </c>
      <c r="C1209" t="s">
        <v>47</v>
      </c>
      <c r="D1209" t="s">
        <v>68</v>
      </c>
      <c r="E1209" t="s">
        <v>68</v>
      </c>
      <c r="F1209" t="s">
        <v>49</v>
      </c>
      <c r="G1209" t="s">
        <v>2366</v>
      </c>
      <c r="H1209" t="s">
        <v>2544</v>
      </c>
      <c r="J1209" t="str">
        <f>HYPERLINK("https://www.youtube.com/watch?v=otifGXuH01E&amp;lc=UgzpETqiSaiEvF-fK4h4AaABAg.A0TBwvnBxeFA0WP_Pu3thW","https://www.youtube.com/watch?v=otifGXuH01E&amp;lc=UgzpETqiSaiEvF-fK4h4AaABAg.A0TBwvnBxeFA0WP_Pu3thW")</f>
        <v>https://www.youtube.com/watch?v=otifGXuH01E&amp;lc=UgzpETqiSaiEvF-fK4h4AaABAg.A0TBwvnBxeFA0WP_Pu3thW</v>
      </c>
      <c r="O1209">
        <v>0</v>
      </c>
      <c r="P1209">
        <v>0</v>
      </c>
      <c r="Q1209">
        <v>0</v>
      </c>
      <c r="S1209">
        <v>0</v>
      </c>
      <c r="T1209">
        <v>0</v>
      </c>
      <c r="U1209">
        <v>0</v>
      </c>
      <c r="W1209" t="s">
        <v>52</v>
      </c>
    </row>
    <row r="1210" spans="1:23" x14ac:dyDescent="0.35">
      <c r="A1210" t="s">
        <v>45</v>
      </c>
      <c r="B1210" t="s">
        <v>2462</v>
      </c>
      <c r="C1210" t="s">
        <v>93</v>
      </c>
      <c r="D1210" t="s">
        <v>2545</v>
      </c>
      <c r="E1210" t="s">
        <v>2546</v>
      </c>
      <c r="F1210" t="s">
        <v>49</v>
      </c>
      <c r="G1210" t="s">
        <v>2547</v>
      </c>
      <c r="H1210" t="s">
        <v>2548</v>
      </c>
      <c r="J1210" t="str">
        <f>HYPERLINK("https://twitter.com/NowBhagatSingh/status/1764202461789585553","https://twitter.com/NowBhagatSingh/status/1764202461789585553")</f>
        <v>https://twitter.com/NowBhagatSingh/status/1764202461789585553</v>
      </c>
      <c r="K1210" t="s">
        <v>67</v>
      </c>
      <c r="O1210">
        <v>0</v>
      </c>
      <c r="P1210">
        <v>0</v>
      </c>
      <c r="Q1210">
        <v>3</v>
      </c>
      <c r="R1210" t="s">
        <v>2549</v>
      </c>
      <c r="S1210">
        <v>0</v>
      </c>
      <c r="T1210">
        <v>0</v>
      </c>
      <c r="U1210">
        <v>0</v>
      </c>
      <c r="W1210" t="s">
        <v>99</v>
      </c>
    </row>
    <row r="1211" spans="1:23" x14ac:dyDescent="0.35">
      <c r="A1211" t="s">
        <v>45</v>
      </c>
      <c r="B1211" t="s">
        <v>2462</v>
      </c>
      <c r="C1211" t="s">
        <v>47</v>
      </c>
      <c r="D1211" t="s">
        <v>2550</v>
      </c>
      <c r="E1211" t="s">
        <v>2550</v>
      </c>
      <c r="F1211" t="s">
        <v>49</v>
      </c>
      <c r="G1211" t="s">
        <v>2551</v>
      </c>
      <c r="H1211" t="s">
        <v>2552</v>
      </c>
      <c r="J1211" t="str">
        <f>HYPERLINK("https://www.youtube.com/watch?v=V7dofHUJ7vo&amp;lc=Ugy-C_o8_GOLklKtRed4AaABAg","https://www.youtube.com/watch?v=V7dofHUJ7vo&amp;lc=Ugy-C_o8_GOLklKtRed4AaABAg")</f>
        <v>https://www.youtube.com/watch?v=V7dofHUJ7vo&amp;lc=Ugy-C_o8_GOLklKtRed4AaABAg</v>
      </c>
      <c r="O1211">
        <v>0</v>
      </c>
      <c r="P1211">
        <v>0</v>
      </c>
      <c r="Q1211">
        <v>0</v>
      </c>
      <c r="S1211">
        <v>0</v>
      </c>
      <c r="T1211">
        <v>0</v>
      </c>
      <c r="U1211">
        <v>0</v>
      </c>
      <c r="W1211" t="s">
        <v>52</v>
      </c>
    </row>
    <row r="1212" spans="1:23" x14ac:dyDescent="0.35">
      <c r="A1212" t="s">
        <v>45</v>
      </c>
      <c r="B1212" t="s">
        <v>2462</v>
      </c>
      <c r="C1212" t="s">
        <v>93</v>
      </c>
      <c r="D1212" t="s">
        <v>2243</v>
      </c>
      <c r="E1212" t="s">
        <v>2244</v>
      </c>
      <c r="F1212" t="s">
        <v>193</v>
      </c>
      <c r="G1212" t="s">
        <v>2553</v>
      </c>
      <c r="H1212" t="s">
        <v>2554</v>
      </c>
      <c r="J1212" t="str">
        <f>HYPERLINK("https://twitter.com/DangilBabu/status/1764087288051441932","https://twitter.com/DangilBabu/status/1764087288051441932")</f>
        <v>https://twitter.com/DangilBabu/status/1764087288051441932</v>
      </c>
      <c r="O1212">
        <v>0</v>
      </c>
      <c r="P1212">
        <v>0</v>
      </c>
      <c r="Q1212">
        <v>0</v>
      </c>
      <c r="S1212">
        <v>0</v>
      </c>
      <c r="T1212">
        <v>0</v>
      </c>
      <c r="U1212">
        <v>0</v>
      </c>
      <c r="W1212" t="s">
        <v>99</v>
      </c>
    </row>
    <row r="1213" spans="1:23" x14ac:dyDescent="0.35">
      <c r="A1213" t="s">
        <v>45</v>
      </c>
      <c r="B1213" t="s">
        <v>2555</v>
      </c>
      <c r="C1213" t="s">
        <v>60</v>
      </c>
      <c r="D1213" t="s">
        <v>61</v>
      </c>
      <c r="E1213" t="s">
        <v>61</v>
      </c>
      <c r="F1213" t="s">
        <v>49</v>
      </c>
      <c r="G1213" t="s">
        <v>2556</v>
      </c>
      <c r="H1213" t="s">
        <v>2557</v>
      </c>
      <c r="J1213" t="str">
        <f>HYPERLINK("https://www.facebook.com/634639855377280/posts/801117022062895?comment_id=804734611472477&amp;reply_comment_id=1893147721139619","https://www.facebook.com/634639855377280/posts/801117022062895?comment_id=804734611472477&amp;reply_comment_id=1893147721139619")</f>
        <v>https://www.facebook.com/634639855377280/posts/801117022062895?comment_id=804734611472477&amp;reply_comment_id=1893147721139619</v>
      </c>
      <c r="O1213">
        <v>0</v>
      </c>
      <c r="P1213">
        <v>0</v>
      </c>
      <c r="Q1213">
        <v>0</v>
      </c>
      <c r="S1213">
        <v>0</v>
      </c>
      <c r="T1213">
        <v>0</v>
      </c>
      <c r="U1213">
        <v>0</v>
      </c>
      <c r="W1213" t="s">
        <v>52</v>
      </c>
    </row>
    <row r="1214" spans="1:23" x14ac:dyDescent="0.35">
      <c r="A1214" t="s">
        <v>45</v>
      </c>
      <c r="B1214" t="s">
        <v>2555</v>
      </c>
      <c r="C1214" t="s">
        <v>93</v>
      </c>
      <c r="D1214" t="s">
        <v>2558</v>
      </c>
      <c r="E1214" t="s">
        <v>2559</v>
      </c>
      <c r="F1214" t="s">
        <v>193</v>
      </c>
      <c r="G1214" t="s">
        <v>2560</v>
      </c>
      <c r="H1214" t="s">
        <v>2561</v>
      </c>
      <c r="J1214" t="str">
        <f>HYPERLINK("https://twitter.com/himansh90115539/status/1763957175414837299","https://twitter.com/himansh90115539/status/1763957175414837299")</f>
        <v>https://twitter.com/himansh90115539/status/1763957175414837299</v>
      </c>
      <c r="K1214" t="s">
        <v>67</v>
      </c>
      <c r="O1214">
        <v>0</v>
      </c>
      <c r="P1214">
        <v>0</v>
      </c>
      <c r="Q1214">
        <v>10</v>
      </c>
      <c r="R1214" t="s">
        <v>2562</v>
      </c>
      <c r="S1214">
        <v>0</v>
      </c>
      <c r="T1214">
        <v>0</v>
      </c>
      <c r="U1214">
        <v>0</v>
      </c>
      <c r="W1214" t="s">
        <v>99</v>
      </c>
    </row>
    <row r="1215" spans="1:23" x14ac:dyDescent="0.35">
      <c r="A1215" t="s">
        <v>45</v>
      </c>
      <c r="B1215" t="s">
        <v>2555</v>
      </c>
      <c r="C1215" t="s">
        <v>47</v>
      </c>
      <c r="D1215" t="s">
        <v>2563</v>
      </c>
      <c r="E1215" t="s">
        <v>2563</v>
      </c>
      <c r="F1215" t="s">
        <v>49</v>
      </c>
      <c r="G1215" t="s">
        <v>2564</v>
      </c>
      <c r="H1215" t="s">
        <v>2565</v>
      </c>
      <c r="J1215" t="str">
        <f>HYPERLINK("https://www.youtube.com/watch?v=oKzaWywnY_o&amp;lc=UgxLQIx4VTUVvgdhhtN4AaABAg","https://www.youtube.com/watch?v=oKzaWywnY_o&amp;lc=UgxLQIx4VTUVvgdhhtN4AaABAg")</f>
        <v>https://www.youtube.com/watch?v=oKzaWywnY_o&amp;lc=UgxLQIx4VTUVvgdhhtN4AaABAg</v>
      </c>
      <c r="O1215">
        <v>0</v>
      </c>
      <c r="P1215">
        <v>0</v>
      </c>
      <c r="Q1215">
        <v>0</v>
      </c>
      <c r="S1215">
        <v>0</v>
      </c>
      <c r="T1215">
        <v>0</v>
      </c>
      <c r="U1215">
        <v>0</v>
      </c>
      <c r="W1215" t="s">
        <v>52</v>
      </c>
    </row>
    <row r="1216" spans="1:23" x14ac:dyDescent="0.35">
      <c r="A1216" t="s">
        <v>45</v>
      </c>
      <c r="B1216" t="s">
        <v>2555</v>
      </c>
      <c r="C1216" t="s">
        <v>47</v>
      </c>
      <c r="D1216" t="s">
        <v>2566</v>
      </c>
      <c r="E1216" t="s">
        <v>2566</v>
      </c>
      <c r="F1216" t="s">
        <v>49</v>
      </c>
      <c r="G1216" t="s">
        <v>2567</v>
      </c>
      <c r="H1216" t="s">
        <v>2568</v>
      </c>
      <c r="J1216" t="str">
        <f>HYPERLINK("https://www.youtube.com/watch?v=5DADCSRiE3A&amp;lc=UgwMaeZ0gfLf5uo1NAx4AaABAg","https://www.youtube.com/watch?v=5DADCSRiE3A&amp;lc=UgwMaeZ0gfLf5uo1NAx4AaABAg")</f>
        <v>https://www.youtube.com/watch?v=5DADCSRiE3A&amp;lc=UgwMaeZ0gfLf5uo1NAx4AaABAg</v>
      </c>
      <c r="O1216">
        <v>0</v>
      </c>
      <c r="P1216">
        <v>0</v>
      </c>
      <c r="Q1216">
        <v>0</v>
      </c>
      <c r="S1216">
        <v>0</v>
      </c>
      <c r="T1216">
        <v>0</v>
      </c>
      <c r="U1216">
        <v>0</v>
      </c>
      <c r="W1216" t="s">
        <v>52</v>
      </c>
    </row>
    <row r="1217" spans="1:23" x14ac:dyDescent="0.35">
      <c r="A1217" t="s">
        <v>45</v>
      </c>
      <c r="B1217" t="s">
        <v>2555</v>
      </c>
      <c r="C1217" t="s">
        <v>60</v>
      </c>
      <c r="D1217" t="s">
        <v>61</v>
      </c>
      <c r="E1217" t="s">
        <v>61</v>
      </c>
      <c r="F1217" t="s">
        <v>49</v>
      </c>
      <c r="G1217" t="s">
        <v>2569</v>
      </c>
      <c r="H1217" t="s">
        <v>2570</v>
      </c>
      <c r="J1217" t="str">
        <f>HYPERLINK("https://www.facebook.com/634639855377280/posts/801117022062895?comment_id=804734611472477","https://www.facebook.com/634639855377280/posts/801117022062895?comment_id=804734611472477")</f>
        <v>https://www.facebook.com/634639855377280/posts/801117022062895?comment_id=804734611472477</v>
      </c>
      <c r="O1217">
        <v>0</v>
      </c>
      <c r="P1217">
        <v>0</v>
      </c>
      <c r="Q1217">
        <v>0</v>
      </c>
      <c r="S1217">
        <v>0</v>
      </c>
      <c r="T1217">
        <v>0</v>
      </c>
      <c r="U1217">
        <v>0</v>
      </c>
      <c r="W1217" t="s">
        <v>52</v>
      </c>
    </row>
    <row r="1218" spans="1:23" x14ac:dyDescent="0.35">
      <c r="A1218" t="s">
        <v>45</v>
      </c>
      <c r="B1218" t="s">
        <v>2555</v>
      </c>
      <c r="C1218" t="s">
        <v>93</v>
      </c>
      <c r="D1218" t="s">
        <v>2571</v>
      </c>
      <c r="E1218" t="s">
        <v>2572</v>
      </c>
      <c r="F1218" t="s">
        <v>49</v>
      </c>
      <c r="G1218" t="s">
        <v>2573</v>
      </c>
      <c r="H1218" t="s">
        <v>2574</v>
      </c>
      <c r="J1218" t="str">
        <f>HYPERLINK("https://twitter.com/binod142536/status/1763910557302931817","https://twitter.com/binod142536/status/1763910557302931817")</f>
        <v>https://twitter.com/binod142536/status/1763910557302931817</v>
      </c>
      <c r="K1218" t="s">
        <v>67</v>
      </c>
      <c r="O1218">
        <v>0</v>
      </c>
      <c r="P1218">
        <v>0</v>
      </c>
      <c r="Q1218">
        <v>1</v>
      </c>
      <c r="R1218" t="s">
        <v>2575</v>
      </c>
      <c r="S1218">
        <v>0</v>
      </c>
      <c r="T1218">
        <v>0</v>
      </c>
      <c r="U1218">
        <v>0</v>
      </c>
      <c r="W1218" t="s">
        <v>99</v>
      </c>
    </row>
    <row r="1219" spans="1:23" x14ac:dyDescent="0.35">
      <c r="A1219" t="s">
        <v>45</v>
      </c>
      <c r="B1219" t="s">
        <v>2555</v>
      </c>
      <c r="C1219" t="s">
        <v>93</v>
      </c>
      <c r="D1219" t="s">
        <v>2571</v>
      </c>
      <c r="E1219" t="s">
        <v>2572</v>
      </c>
      <c r="F1219" t="s">
        <v>49</v>
      </c>
      <c r="G1219" t="s">
        <v>2576</v>
      </c>
      <c r="H1219" t="s">
        <v>2577</v>
      </c>
      <c r="J1219" t="str">
        <f>HYPERLINK("https://twitter.com/binod142536/status/1763903670251647013","https://twitter.com/binod142536/status/1763903670251647013")</f>
        <v>https://twitter.com/binod142536/status/1763903670251647013</v>
      </c>
      <c r="K1219" t="s">
        <v>67</v>
      </c>
      <c r="O1219">
        <v>0</v>
      </c>
      <c r="P1219">
        <v>0</v>
      </c>
      <c r="Q1219">
        <v>1</v>
      </c>
      <c r="R1219" t="s">
        <v>2575</v>
      </c>
      <c r="S1219">
        <v>0</v>
      </c>
      <c r="T1219">
        <v>0</v>
      </c>
      <c r="U1219">
        <v>0</v>
      </c>
      <c r="W1219" t="s">
        <v>99</v>
      </c>
    </row>
    <row r="1220" spans="1:23" x14ac:dyDescent="0.35">
      <c r="A1220" t="s">
        <v>45</v>
      </c>
      <c r="B1220" t="s">
        <v>2555</v>
      </c>
      <c r="C1220" t="s">
        <v>93</v>
      </c>
      <c r="D1220" t="s">
        <v>2571</v>
      </c>
      <c r="E1220" t="s">
        <v>2572</v>
      </c>
      <c r="F1220" t="s">
        <v>54</v>
      </c>
      <c r="G1220" t="s">
        <v>2578</v>
      </c>
      <c r="H1220" t="s">
        <v>2579</v>
      </c>
      <c r="J1220" t="str">
        <f>HYPERLINK("https://twitter.com/binod142536/status/1763899641182249288","https://twitter.com/binod142536/status/1763899641182249288")</f>
        <v>https://twitter.com/binod142536/status/1763899641182249288</v>
      </c>
      <c r="K1220" t="s">
        <v>67</v>
      </c>
      <c r="O1220">
        <v>0</v>
      </c>
      <c r="P1220">
        <v>0</v>
      </c>
      <c r="Q1220">
        <v>1</v>
      </c>
      <c r="R1220" t="s">
        <v>2575</v>
      </c>
      <c r="S1220">
        <v>0</v>
      </c>
      <c r="T1220">
        <v>0</v>
      </c>
      <c r="U1220">
        <v>0</v>
      </c>
      <c r="W1220" t="s">
        <v>99</v>
      </c>
    </row>
    <row r="1221" spans="1:23" x14ac:dyDescent="0.35">
      <c r="A1221" t="s">
        <v>45</v>
      </c>
      <c r="B1221" t="s">
        <v>2555</v>
      </c>
      <c r="C1221" t="s">
        <v>60</v>
      </c>
      <c r="D1221" t="s">
        <v>61</v>
      </c>
      <c r="E1221" t="s">
        <v>61</v>
      </c>
      <c r="F1221" t="s">
        <v>193</v>
      </c>
      <c r="G1221" t="s">
        <v>2580</v>
      </c>
      <c r="H1221" t="s">
        <v>2581</v>
      </c>
      <c r="J1221" t="str">
        <f>HYPERLINK("https://www.facebook.com/634639855377280/posts/801117022062895?comment_id=1101874177822400","https://www.facebook.com/634639855377280/posts/801117022062895?comment_id=1101874177822400")</f>
        <v>https://www.facebook.com/634639855377280/posts/801117022062895?comment_id=1101874177822400</v>
      </c>
      <c r="O1221">
        <v>0</v>
      </c>
      <c r="P1221">
        <v>0</v>
      </c>
      <c r="Q1221">
        <v>0</v>
      </c>
      <c r="S1221">
        <v>0</v>
      </c>
      <c r="T1221">
        <v>0</v>
      </c>
      <c r="U1221">
        <v>0</v>
      </c>
      <c r="W1221" t="s">
        <v>52</v>
      </c>
    </row>
    <row r="1222" spans="1:23" x14ac:dyDescent="0.35">
      <c r="A1222" t="s">
        <v>45</v>
      </c>
      <c r="B1222" t="s">
        <v>2555</v>
      </c>
      <c r="C1222" t="s">
        <v>60</v>
      </c>
      <c r="D1222" t="s">
        <v>61</v>
      </c>
      <c r="E1222" t="s">
        <v>61</v>
      </c>
      <c r="F1222" t="s">
        <v>193</v>
      </c>
      <c r="G1222" t="s">
        <v>2580</v>
      </c>
      <c r="H1222" t="s">
        <v>2582</v>
      </c>
      <c r="J1222" t="str">
        <f>HYPERLINK("https://www.facebook.com/634639855377280/posts/798798642294733?comment_id=1596615944498802","https://www.facebook.com/634639855377280/posts/798798642294733?comment_id=1596615944498802")</f>
        <v>https://www.facebook.com/634639855377280/posts/798798642294733?comment_id=1596615944498802</v>
      </c>
      <c r="O1222">
        <v>0</v>
      </c>
      <c r="P1222">
        <v>0</v>
      </c>
      <c r="Q1222">
        <v>0</v>
      </c>
      <c r="S1222">
        <v>0</v>
      </c>
      <c r="T1222">
        <v>0</v>
      </c>
      <c r="U1222">
        <v>0</v>
      </c>
      <c r="W1222" t="s">
        <v>52</v>
      </c>
    </row>
    <row r="1223" spans="1:23" x14ac:dyDescent="0.35">
      <c r="A1223" t="s">
        <v>45</v>
      </c>
      <c r="B1223" t="s">
        <v>2555</v>
      </c>
      <c r="C1223" t="s">
        <v>60</v>
      </c>
      <c r="D1223" t="s">
        <v>61</v>
      </c>
      <c r="E1223" t="s">
        <v>61</v>
      </c>
      <c r="F1223" t="s">
        <v>193</v>
      </c>
      <c r="G1223" t="s">
        <v>2580</v>
      </c>
      <c r="H1223" t="s">
        <v>2583</v>
      </c>
      <c r="J1223" t="str">
        <f>HYPERLINK("https://www.facebook.com/634639855377280/posts/799389635568967?comment_id=770988478261926","https://www.facebook.com/634639855377280/posts/799389635568967?comment_id=770988478261926")</f>
        <v>https://www.facebook.com/634639855377280/posts/799389635568967?comment_id=770988478261926</v>
      </c>
      <c r="O1223">
        <v>0</v>
      </c>
      <c r="P1223">
        <v>0</v>
      </c>
      <c r="Q1223">
        <v>0</v>
      </c>
      <c r="S1223">
        <v>0</v>
      </c>
      <c r="T1223">
        <v>0</v>
      </c>
      <c r="U1223">
        <v>0</v>
      </c>
      <c r="W1223" t="s">
        <v>52</v>
      </c>
    </row>
    <row r="1224" spans="1:23" x14ac:dyDescent="0.35">
      <c r="A1224" t="s">
        <v>45</v>
      </c>
      <c r="B1224" t="s">
        <v>2555</v>
      </c>
      <c r="C1224" t="s">
        <v>60</v>
      </c>
      <c r="D1224" t="s">
        <v>61</v>
      </c>
      <c r="E1224" t="s">
        <v>61</v>
      </c>
      <c r="F1224" t="s">
        <v>193</v>
      </c>
      <c r="G1224" t="s">
        <v>2580</v>
      </c>
      <c r="H1224" t="s">
        <v>2584</v>
      </c>
      <c r="J1224" t="str">
        <f>HYPERLINK("https://www.facebook.com/634639855377280/posts/800712535436677?comment_id=286000624336948","https://www.facebook.com/634639855377280/posts/800712535436677?comment_id=286000624336948")</f>
        <v>https://www.facebook.com/634639855377280/posts/800712535436677?comment_id=286000624336948</v>
      </c>
      <c r="O1224">
        <v>0</v>
      </c>
      <c r="P1224">
        <v>0</v>
      </c>
      <c r="Q1224">
        <v>0</v>
      </c>
      <c r="S1224">
        <v>0</v>
      </c>
      <c r="T1224">
        <v>0</v>
      </c>
      <c r="U1224">
        <v>0</v>
      </c>
      <c r="W1224" t="s">
        <v>52</v>
      </c>
    </row>
    <row r="1225" spans="1:23" x14ac:dyDescent="0.35">
      <c r="A1225" t="s">
        <v>45</v>
      </c>
      <c r="B1225" t="s">
        <v>2555</v>
      </c>
      <c r="C1225" t="s">
        <v>60</v>
      </c>
      <c r="D1225" t="s">
        <v>61</v>
      </c>
      <c r="E1225" t="s">
        <v>61</v>
      </c>
      <c r="F1225" t="s">
        <v>193</v>
      </c>
      <c r="G1225" t="s">
        <v>2580</v>
      </c>
      <c r="H1225" t="s">
        <v>2585</v>
      </c>
      <c r="J1225" t="str">
        <f>HYPERLINK("https://www.facebook.com/634639855377280/posts/801117022062895?comment_id=670771068400177","https://www.facebook.com/634639855377280/posts/801117022062895?comment_id=670771068400177")</f>
        <v>https://www.facebook.com/634639855377280/posts/801117022062895?comment_id=670771068400177</v>
      </c>
      <c r="O1225">
        <v>0</v>
      </c>
      <c r="P1225">
        <v>0</v>
      </c>
      <c r="Q1225">
        <v>0</v>
      </c>
      <c r="S1225">
        <v>0</v>
      </c>
      <c r="T1225">
        <v>0</v>
      </c>
      <c r="U1225">
        <v>0</v>
      </c>
      <c r="W1225" t="s">
        <v>52</v>
      </c>
    </row>
    <row r="1226" spans="1:23" x14ac:dyDescent="0.35">
      <c r="A1226" t="s">
        <v>45</v>
      </c>
      <c r="B1226" t="s">
        <v>2555</v>
      </c>
      <c r="C1226" t="s">
        <v>93</v>
      </c>
      <c r="D1226" t="s">
        <v>2586</v>
      </c>
      <c r="E1226" t="s">
        <v>2587</v>
      </c>
      <c r="F1226" t="s">
        <v>54</v>
      </c>
      <c r="G1226" t="s">
        <v>2588</v>
      </c>
      <c r="H1226" t="s">
        <v>2589</v>
      </c>
      <c r="J1226" t="str">
        <f>HYPERLINK("https://twitter.com/EthYip52011/status/1763845078873731497","https://twitter.com/EthYip52011/status/1763845078873731497")</f>
        <v>https://twitter.com/EthYip52011/status/1763845078873731497</v>
      </c>
      <c r="K1226" t="s">
        <v>471</v>
      </c>
      <c r="O1226">
        <v>0</v>
      </c>
      <c r="P1226">
        <v>0</v>
      </c>
      <c r="Q1226">
        <v>0</v>
      </c>
      <c r="R1226" t="s">
        <v>2590</v>
      </c>
      <c r="S1226">
        <v>0</v>
      </c>
      <c r="T1226">
        <v>0</v>
      </c>
      <c r="U1226">
        <v>0</v>
      </c>
      <c r="W1226" t="s">
        <v>99</v>
      </c>
    </row>
    <row r="1227" spans="1:23" x14ac:dyDescent="0.35">
      <c r="A1227" t="s">
        <v>45</v>
      </c>
      <c r="B1227" t="s">
        <v>2555</v>
      </c>
      <c r="C1227" t="s">
        <v>93</v>
      </c>
      <c r="D1227" t="s">
        <v>94</v>
      </c>
      <c r="E1227" t="s">
        <v>45</v>
      </c>
      <c r="F1227" t="s">
        <v>49</v>
      </c>
      <c r="G1227" t="s">
        <v>2591</v>
      </c>
      <c r="H1227" t="s">
        <v>2592</v>
      </c>
      <c r="J1227" t="str">
        <f>HYPERLINK("https://twitter.com/SpiceMoneyIndia/status/1763845068543119406","https://twitter.com/SpiceMoneyIndia/status/1763845068543119406")</f>
        <v>https://twitter.com/SpiceMoneyIndia/status/1763845068543119406</v>
      </c>
      <c r="K1227" t="s">
        <v>67</v>
      </c>
      <c r="O1227">
        <v>0</v>
      </c>
      <c r="P1227">
        <v>0</v>
      </c>
      <c r="Q1227">
        <v>6056</v>
      </c>
      <c r="R1227" t="s">
        <v>97</v>
      </c>
      <c r="S1227">
        <v>0</v>
      </c>
      <c r="T1227">
        <v>0</v>
      </c>
      <c r="U1227">
        <v>0</v>
      </c>
      <c r="V1227" t="s">
        <v>98</v>
      </c>
      <c r="W1227" t="s">
        <v>99</v>
      </c>
    </row>
    <row r="1228" spans="1:23" x14ac:dyDescent="0.35">
      <c r="A1228" t="s">
        <v>45</v>
      </c>
      <c r="B1228" t="s">
        <v>2555</v>
      </c>
      <c r="C1228" t="s">
        <v>60</v>
      </c>
      <c r="D1228" t="s">
        <v>61</v>
      </c>
      <c r="E1228" t="s">
        <v>61</v>
      </c>
      <c r="F1228" t="s">
        <v>49</v>
      </c>
      <c r="G1228" t="s">
        <v>2593</v>
      </c>
      <c r="H1228" t="s">
        <v>2594</v>
      </c>
      <c r="J1228" t="str">
        <f>HYPERLINK("https://www.facebook.com/634639855377280/posts/801117022062895?comment_id=1792971974543641","https://www.facebook.com/634639855377280/posts/801117022062895?comment_id=1792971974543641")</f>
        <v>https://www.facebook.com/634639855377280/posts/801117022062895?comment_id=1792971974543641</v>
      </c>
      <c r="O1228">
        <v>0</v>
      </c>
      <c r="P1228">
        <v>0</v>
      </c>
      <c r="Q1228">
        <v>0</v>
      </c>
      <c r="S1228">
        <v>0</v>
      </c>
      <c r="T1228">
        <v>0</v>
      </c>
      <c r="U1228">
        <v>0</v>
      </c>
      <c r="W1228" t="s">
        <v>52</v>
      </c>
    </row>
    <row r="1229" spans="1:23" x14ac:dyDescent="0.35">
      <c r="A1229" t="s">
        <v>45</v>
      </c>
      <c r="B1229" t="s">
        <v>2555</v>
      </c>
      <c r="C1229" t="s">
        <v>93</v>
      </c>
      <c r="D1229" t="s">
        <v>569</v>
      </c>
      <c r="E1229" t="s">
        <v>570</v>
      </c>
      <c r="F1229" t="s">
        <v>49</v>
      </c>
      <c r="G1229" t="s">
        <v>2595</v>
      </c>
      <c r="H1229" t="s">
        <v>2596</v>
      </c>
      <c r="J1229" t="str">
        <f>HYPERLINK("https://twitter.com/excelhinditips/status/1763828506524635448","https://twitter.com/excelhinditips/status/1763828506524635448")</f>
        <v>https://twitter.com/excelhinditips/status/1763828506524635448</v>
      </c>
      <c r="O1229">
        <v>0</v>
      </c>
      <c r="P1229">
        <v>0</v>
      </c>
      <c r="Q1229">
        <v>16</v>
      </c>
      <c r="R1229" t="s">
        <v>573</v>
      </c>
      <c r="S1229">
        <v>0</v>
      </c>
      <c r="T1229">
        <v>0</v>
      </c>
      <c r="U1229">
        <v>0</v>
      </c>
      <c r="W1229" t="s">
        <v>99</v>
      </c>
    </row>
    <row r="1230" spans="1:23" x14ac:dyDescent="0.35">
      <c r="A1230" t="s">
        <v>45</v>
      </c>
      <c r="B1230" t="s">
        <v>2555</v>
      </c>
      <c r="C1230" t="s">
        <v>93</v>
      </c>
      <c r="D1230" t="s">
        <v>569</v>
      </c>
      <c r="E1230" t="s">
        <v>570</v>
      </c>
      <c r="F1230" t="s">
        <v>49</v>
      </c>
      <c r="G1230" t="s">
        <v>2597</v>
      </c>
      <c r="H1230" t="s">
        <v>2598</v>
      </c>
      <c r="J1230" t="str">
        <f>HYPERLINK("https://twitter.com/excelhinditips/status/1763826687975071928","https://twitter.com/excelhinditips/status/1763826687975071928")</f>
        <v>https://twitter.com/excelhinditips/status/1763826687975071928</v>
      </c>
      <c r="O1230">
        <v>0</v>
      </c>
      <c r="P1230">
        <v>0</v>
      </c>
      <c r="Q1230">
        <v>16</v>
      </c>
      <c r="R1230" t="s">
        <v>573</v>
      </c>
      <c r="S1230">
        <v>0</v>
      </c>
      <c r="T1230">
        <v>0</v>
      </c>
      <c r="U1230">
        <v>0</v>
      </c>
      <c r="W1230" t="s">
        <v>99</v>
      </c>
    </row>
    <row r="1231" spans="1:23" x14ac:dyDescent="0.35">
      <c r="A1231" t="s">
        <v>45</v>
      </c>
      <c r="B1231" t="s">
        <v>2555</v>
      </c>
      <c r="C1231" t="s">
        <v>60</v>
      </c>
      <c r="D1231" t="s">
        <v>64</v>
      </c>
      <c r="E1231" t="s">
        <v>64</v>
      </c>
      <c r="F1231" t="s">
        <v>49</v>
      </c>
      <c r="G1231" t="s">
        <v>2599</v>
      </c>
      <c r="H1231" t="s">
        <v>2600</v>
      </c>
      <c r="J1231" t="str">
        <f>HYPERLINK("https://www.facebook.com/634639855377280/posts/801117022062895","https://www.facebook.com/634639855377280/posts/801117022062895")</f>
        <v>https://www.facebook.com/634639855377280/posts/801117022062895</v>
      </c>
      <c r="O1231">
        <v>0</v>
      </c>
      <c r="P1231">
        <v>0</v>
      </c>
      <c r="Q1231">
        <v>0</v>
      </c>
      <c r="S1231">
        <v>6</v>
      </c>
      <c r="T1231">
        <v>36</v>
      </c>
      <c r="U1231">
        <v>4</v>
      </c>
      <c r="W1231" t="s">
        <v>346</v>
      </c>
    </row>
    <row r="1232" spans="1:23" x14ac:dyDescent="0.35">
      <c r="A1232" t="s">
        <v>45</v>
      </c>
      <c r="B1232" t="s">
        <v>2555</v>
      </c>
      <c r="C1232" t="s">
        <v>93</v>
      </c>
      <c r="D1232" t="s">
        <v>2498</v>
      </c>
      <c r="E1232" t="s">
        <v>2499</v>
      </c>
      <c r="F1232" t="s">
        <v>49</v>
      </c>
      <c r="G1232" t="s">
        <v>2601</v>
      </c>
      <c r="H1232" t="s">
        <v>2602</v>
      </c>
      <c r="J1232" t="str">
        <f>HYPERLINK("https://twitter.com/Sandeemth1/status/1763777308421419207","https://twitter.com/Sandeemth1/status/1763777308421419207")</f>
        <v>https://twitter.com/Sandeemth1/status/1763777308421419207</v>
      </c>
      <c r="K1232" t="s">
        <v>67</v>
      </c>
      <c r="O1232">
        <v>0</v>
      </c>
      <c r="P1232">
        <v>0</v>
      </c>
      <c r="Q1232">
        <v>9</v>
      </c>
      <c r="S1232">
        <v>0</v>
      </c>
      <c r="T1232">
        <v>0</v>
      </c>
      <c r="U1232">
        <v>0</v>
      </c>
      <c r="W1232" t="s">
        <v>99</v>
      </c>
    </row>
    <row r="1233" spans="1:23" x14ac:dyDescent="0.35">
      <c r="A1233" t="s">
        <v>45</v>
      </c>
      <c r="B1233" t="s">
        <v>2555</v>
      </c>
      <c r="C1233" t="s">
        <v>93</v>
      </c>
      <c r="D1233" t="s">
        <v>2603</v>
      </c>
      <c r="E1233" t="s">
        <v>2604</v>
      </c>
      <c r="F1233" t="s">
        <v>54</v>
      </c>
      <c r="G1233" t="s">
        <v>2605</v>
      </c>
      <c r="H1233" t="s">
        <v>2606</v>
      </c>
      <c r="J1233" t="str">
        <f>HYPERLINK("https://twitter.com/rajeshwwe05/status/1763770396208517332","https://twitter.com/rajeshwwe05/status/1763770396208517332")</f>
        <v>https://twitter.com/rajeshwwe05/status/1763770396208517332</v>
      </c>
      <c r="K1233" t="s">
        <v>67</v>
      </c>
      <c r="O1233">
        <v>0</v>
      </c>
      <c r="P1233">
        <v>0</v>
      </c>
      <c r="Q1233">
        <v>120</v>
      </c>
      <c r="R1233" t="s">
        <v>2607</v>
      </c>
      <c r="S1233">
        <v>0</v>
      </c>
      <c r="T1233">
        <v>0</v>
      </c>
      <c r="U1233">
        <v>0</v>
      </c>
      <c r="W1233" t="s">
        <v>99</v>
      </c>
    </row>
    <row r="1234" spans="1:23" x14ac:dyDescent="0.35">
      <c r="A1234" t="s">
        <v>45</v>
      </c>
      <c r="B1234" t="s">
        <v>2555</v>
      </c>
      <c r="C1234" t="s">
        <v>47</v>
      </c>
      <c r="D1234" t="s">
        <v>2608</v>
      </c>
      <c r="E1234" t="s">
        <v>2608</v>
      </c>
      <c r="F1234" t="s">
        <v>49</v>
      </c>
      <c r="G1234" t="s">
        <v>2609</v>
      </c>
      <c r="H1234" t="s">
        <v>2610</v>
      </c>
      <c r="J1234" t="str">
        <f>HYPERLINK("https://www.youtube.com/watch?v=otifGXuH01E&amp;lc=UgzpETqiSaiEvF-fK4h4AaABAg","https://www.youtube.com/watch?v=otifGXuH01E&amp;lc=UgzpETqiSaiEvF-fK4h4AaABAg")</f>
        <v>https://www.youtube.com/watch?v=otifGXuH01E&amp;lc=UgzpETqiSaiEvF-fK4h4AaABAg</v>
      </c>
      <c r="O1234">
        <v>0</v>
      </c>
      <c r="P1234">
        <v>0</v>
      </c>
      <c r="Q1234">
        <v>0</v>
      </c>
      <c r="S1234">
        <v>0</v>
      </c>
      <c r="T1234">
        <v>0</v>
      </c>
      <c r="U1234">
        <v>0</v>
      </c>
      <c r="W1234" t="s">
        <v>52</v>
      </c>
    </row>
    <row r="1235" spans="1:23" x14ac:dyDescent="0.35">
      <c r="A1235" t="s">
        <v>45</v>
      </c>
      <c r="B1235" t="s">
        <v>2555</v>
      </c>
      <c r="C1235" t="s">
        <v>93</v>
      </c>
      <c r="D1235" t="s">
        <v>2611</v>
      </c>
      <c r="E1235" t="s">
        <v>2612</v>
      </c>
      <c r="F1235" t="s">
        <v>193</v>
      </c>
      <c r="G1235" t="s">
        <v>2613</v>
      </c>
      <c r="H1235" t="s">
        <v>2614</v>
      </c>
      <c r="J1235" t="str">
        <f>HYPERLINK("https://twitter.com/kumar_ashi86730/status/1763746192499052557","https://twitter.com/kumar_ashi86730/status/1763746192499052557")</f>
        <v>https://twitter.com/kumar_ashi86730/status/1763746192499052557</v>
      </c>
      <c r="K1235" t="s">
        <v>67</v>
      </c>
      <c r="O1235">
        <v>0</v>
      </c>
      <c r="P1235">
        <v>0</v>
      </c>
      <c r="Q1235">
        <v>0</v>
      </c>
      <c r="S1235">
        <v>0</v>
      </c>
      <c r="T1235">
        <v>0</v>
      </c>
      <c r="U1235">
        <v>0</v>
      </c>
      <c r="W1235" t="s">
        <v>99</v>
      </c>
    </row>
    <row r="1236" spans="1:23" x14ac:dyDescent="0.35">
      <c r="A1236" t="s">
        <v>45</v>
      </c>
      <c r="B1236" t="s">
        <v>2615</v>
      </c>
      <c r="C1236" t="s">
        <v>47</v>
      </c>
      <c r="D1236" t="s">
        <v>2616</v>
      </c>
      <c r="E1236" t="s">
        <v>2616</v>
      </c>
      <c r="F1236" t="s">
        <v>49</v>
      </c>
      <c r="G1236" t="s">
        <v>2617</v>
      </c>
      <c r="H1236" t="s">
        <v>2618</v>
      </c>
      <c r="J1236" t="str">
        <f>HYPERLINK("https://www.youtube.com/watch?v=4gPYe9M3ps0&amp;lc=UgwaEt_d5c-8KtqKFqt4AaABAg","https://www.youtube.com/watch?v=4gPYe9M3ps0&amp;lc=UgwaEt_d5c-8KtqKFqt4AaABAg")</f>
        <v>https://www.youtube.com/watch?v=4gPYe9M3ps0&amp;lc=UgwaEt_d5c-8KtqKFqt4AaABAg</v>
      </c>
      <c r="O1236">
        <v>0</v>
      </c>
      <c r="P1236">
        <v>0</v>
      </c>
      <c r="Q1236">
        <v>0</v>
      </c>
      <c r="S1236">
        <v>0</v>
      </c>
      <c r="T1236">
        <v>0</v>
      </c>
      <c r="U1236">
        <v>0</v>
      </c>
      <c r="W1236" t="s">
        <v>52</v>
      </c>
    </row>
    <row r="1237" spans="1:23" x14ac:dyDescent="0.35">
      <c r="A1237" t="s">
        <v>45</v>
      </c>
      <c r="B1237" t="s">
        <v>2615</v>
      </c>
      <c r="C1237" t="s">
        <v>47</v>
      </c>
      <c r="D1237" t="s">
        <v>2619</v>
      </c>
      <c r="E1237" t="s">
        <v>2619</v>
      </c>
      <c r="F1237" t="s">
        <v>49</v>
      </c>
      <c r="G1237" t="s">
        <v>2620</v>
      </c>
      <c r="H1237" t="s">
        <v>2621</v>
      </c>
      <c r="J1237" t="str">
        <f>HYPERLINK("https://www.youtube.com/watch?v=fi0KMSdJZZY&amp;lc=UgzvBN4IDdPr1abhuwF4AaABAg","https://www.youtube.com/watch?v=fi0KMSdJZZY&amp;lc=UgzvBN4IDdPr1abhuwF4AaABAg")</f>
        <v>https://www.youtube.com/watch?v=fi0KMSdJZZY&amp;lc=UgzvBN4IDdPr1abhuwF4AaABAg</v>
      </c>
      <c r="O1237">
        <v>0</v>
      </c>
      <c r="P1237">
        <v>0</v>
      </c>
      <c r="Q1237">
        <v>0</v>
      </c>
      <c r="S1237">
        <v>0</v>
      </c>
      <c r="T1237">
        <v>0</v>
      </c>
      <c r="U1237">
        <v>0</v>
      </c>
      <c r="W1237" t="s">
        <v>52</v>
      </c>
    </row>
    <row r="1238" spans="1:23" x14ac:dyDescent="0.35">
      <c r="A1238" t="s">
        <v>45</v>
      </c>
      <c r="B1238" t="s">
        <v>2615</v>
      </c>
      <c r="C1238" t="s">
        <v>93</v>
      </c>
      <c r="D1238" t="s">
        <v>94</v>
      </c>
      <c r="E1238" t="s">
        <v>45</v>
      </c>
      <c r="F1238" t="s">
        <v>49</v>
      </c>
      <c r="G1238" t="s">
        <v>2622</v>
      </c>
      <c r="H1238" t="s">
        <v>2623</v>
      </c>
      <c r="J1238" t="str">
        <f>HYPERLINK("https://twitter.com/SpiceMoneyIndia/status/1763576119251349818","https://twitter.com/SpiceMoneyIndia/status/1763576119251349818")</f>
        <v>https://twitter.com/SpiceMoneyIndia/status/1763576119251349818</v>
      </c>
      <c r="K1238" t="s">
        <v>67</v>
      </c>
      <c r="O1238">
        <v>0</v>
      </c>
      <c r="P1238">
        <v>0</v>
      </c>
      <c r="Q1238">
        <v>6054</v>
      </c>
      <c r="R1238" t="s">
        <v>97</v>
      </c>
      <c r="S1238">
        <v>0</v>
      </c>
      <c r="T1238">
        <v>0</v>
      </c>
      <c r="U1238">
        <v>0</v>
      </c>
      <c r="V1238" t="s">
        <v>98</v>
      </c>
      <c r="W1238" t="s">
        <v>99</v>
      </c>
    </row>
    <row r="1239" spans="1:23" x14ac:dyDescent="0.35">
      <c r="A1239" t="s">
        <v>45</v>
      </c>
      <c r="B1239" t="s">
        <v>2615</v>
      </c>
      <c r="C1239" t="s">
        <v>60</v>
      </c>
      <c r="D1239" t="s">
        <v>64</v>
      </c>
      <c r="E1239" t="s">
        <v>64</v>
      </c>
      <c r="F1239" t="s">
        <v>49</v>
      </c>
      <c r="G1239" t="s">
        <v>2624</v>
      </c>
      <c r="H1239" t="s">
        <v>2625</v>
      </c>
      <c r="J1239" t="str">
        <f>HYPERLINK("https://www.facebook.com/634639855377280/posts/800712535436677","https://www.facebook.com/634639855377280/posts/800712535436677")</f>
        <v>https://www.facebook.com/634639855377280/posts/800712535436677</v>
      </c>
      <c r="O1239">
        <v>0</v>
      </c>
      <c r="P1239">
        <v>0</v>
      </c>
      <c r="Q1239">
        <v>0</v>
      </c>
      <c r="S1239">
        <v>2</v>
      </c>
      <c r="T1239">
        <v>31</v>
      </c>
      <c r="U1239">
        <v>2</v>
      </c>
      <c r="W1239" t="s">
        <v>346</v>
      </c>
    </row>
    <row r="1240" spans="1:23" x14ac:dyDescent="0.35">
      <c r="A1240" t="s">
        <v>45</v>
      </c>
      <c r="B1240" t="s">
        <v>2615</v>
      </c>
      <c r="C1240" t="s">
        <v>93</v>
      </c>
      <c r="D1240" t="s">
        <v>2402</v>
      </c>
      <c r="E1240" t="s">
        <v>2403</v>
      </c>
      <c r="F1240" t="s">
        <v>49</v>
      </c>
      <c r="G1240" t="s">
        <v>2626</v>
      </c>
      <c r="H1240" t="s">
        <v>2627</v>
      </c>
      <c r="J1240" t="str">
        <f>HYPERLINK("https://twitter.com/samirmehar/status/1763536679028027577","https://twitter.com/samirmehar/status/1763536679028027577")</f>
        <v>https://twitter.com/samirmehar/status/1763536679028027577</v>
      </c>
      <c r="K1240" t="s">
        <v>67</v>
      </c>
      <c r="O1240">
        <v>0</v>
      </c>
      <c r="P1240">
        <v>0</v>
      </c>
      <c r="Q1240">
        <v>275</v>
      </c>
      <c r="R1240" t="s">
        <v>2406</v>
      </c>
      <c r="S1240">
        <v>0</v>
      </c>
      <c r="T1240">
        <v>0</v>
      </c>
      <c r="U1240">
        <v>0</v>
      </c>
      <c r="W1240" t="s">
        <v>99</v>
      </c>
    </row>
    <row r="1241" spans="1:23" x14ac:dyDescent="0.35">
      <c r="A1241" t="s">
        <v>45</v>
      </c>
      <c r="B1241" t="s">
        <v>2615</v>
      </c>
      <c r="C1241" t="s">
        <v>93</v>
      </c>
      <c r="D1241" t="s">
        <v>94</v>
      </c>
      <c r="E1241" t="s">
        <v>45</v>
      </c>
      <c r="F1241" t="s">
        <v>49</v>
      </c>
      <c r="G1241" t="s">
        <v>2628</v>
      </c>
      <c r="H1241" t="s">
        <v>2629</v>
      </c>
      <c r="J1241" t="str">
        <f>HYPERLINK("https://twitter.com/SpiceMoneyIndia/status/1763530932202426664","https://twitter.com/SpiceMoneyIndia/status/1763530932202426664")</f>
        <v>https://twitter.com/SpiceMoneyIndia/status/1763530932202426664</v>
      </c>
      <c r="K1241" t="s">
        <v>67</v>
      </c>
      <c r="O1241">
        <v>0</v>
      </c>
      <c r="P1241">
        <v>0</v>
      </c>
      <c r="Q1241">
        <v>6054</v>
      </c>
      <c r="R1241" t="s">
        <v>97</v>
      </c>
      <c r="S1241">
        <v>0</v>
      </c>
      <c r="T1241">
        <v>0</v>
      </c>
      <c r="U1241">
        <v>0</v>
      </c>
      <c r="V1241" t="s">
        <v>98</v>
      </c>
      <c r="W1241" t="s">
        <v>99</v>
      </c>
    </row>
    <row r="1242" spans="1:23" x14ac:dyDescent="0.35">
      <c r="A1242" t="s">
        <v>45</v>
      </c>
      <c r="B1242" t="s">
        <v>2615</v>
      </c>
      <c r="C1242" t="s">
        <v>93</v>
      </c>
      <c r="D1242" t="s">
        <v>94</v>
      </c>
      <c r="E1242" t="s">
        <v>45</v>
      </c>
      <c r="F1242" t="s">
        <v>49</v>
      </c>
      <c r="G1242" t="s">
        <v>2630</v>
      </c>
      <c r="H1242" t="s">
        <v>2631</v>
      </c>
      <c r="J1242" t="str">
        <f>HYPERLINK("https://twitter.com/SpiceMoneyIndia/status/1763530408254169369","https://twitter.com/SpiceMoneyIndia/status/1763530408254169369")</f>
        <v>https://twitter.com/SpiceMoneyIndia/status/1763530408254169369</v>
      </c>
      <c r="K1242" t="s">
        <v>67</v>
      </c>
      <c r="O1242">
        <v>0</v>
      </c>
      <c r="P1242">
        <v>0</v>
      </c>
      <c r="Q1242">
        <v>6054</v>
      </c>
      <c r="R1242" t="s">
        <v>97</v>
      </c>
      <c r="S1242">
        <v>0</v>
      </c>
      <c r="T1242">
        <v>0</v>
      </c>
      <c r="U1242">
        <v>0</v>
      </c>
      <c r="V1242" t="s">
        <v>98</v>
      </c>
      <c r="W1242" t="s">
        <v>99</v>
      </c>
    </row>
    <row r="1243" spans="1:23" x14ac:dyDescent="0.35">
      <c r="A1243" t="s">
        <v>45</v>
      </c>
      <c r="B1243" t="s">
        <v>2615</v>
      </c>
      <c r="C1243" t="s">
        <v>93</v>
      </c>
      <c r="D1243" t="s">
        <v>94</v>
      </c>
      <c r="E1243" t="s">
        <v>45</v>
      </c>
      <c r="F1243" t="s">
        <v>49</v>
      </c>
      <c r="G1243" t="s">
        <v>2632</v>
      </c>
      <c r="H1243" t="s">
        <v>2633</v>
      </c>
      <c r="J1243" t="str">
        <f>HYPERLINK("https://twitter.com/SpiceMoneyIndia/status/1763530059808116853","https://twitter.com/SpiceMoneyIndia/status/1763530059808116853")</f>
        <v>https://twitter.com/SpiceMoneyIndia/status/1763530059808116853</v>
      </c>
      <c r="K1243" t="s">
        <v>67</v>
      </c>
      <c r="O1243">
        <v>0</v>
      </c>
      <c r="P1243">
        <v>0</v>
      </c>
      <c r="Q1243">
        <v>6054</v>
      </c>
      <c r="R1243" t="s">
        <v>97</v>
      </c>
      <c r="S1243">
        <v>0</v>
      </c>
      <c r="T1243">
        <v>0</v>
      </c>
      <c r="U1243">
        <v>0</v>
      </c>
      <c r="V1243" t="s">
        <v>98</v>
      </c>
      <c r="W1243" t="s">
        <v>99</v>
      </c>
    </row>
    <row r="1244" spans="1:23" x14ac:dyDescent="0.35">
      <c r="A1244" t="s">
        <v>45</v>
      </c>
      <c r="B1244" t="s">
        <v>2615</v>
      </c>
      <c r="C1244" t="s">
        <v>93</v>
      </c>
      <c r="D1244" t="s">
        <v>94</v>
      </c>
      <c r="E1244" t="s">
        <v>45</v>
      </c>
      <c r="F1244" t="s">
        <v>49</v>
      </c>
      <c r="G1244" t="s">
        <v>2634</v>
      </c>
      <c r="H1244" t="s">
        <v>2635</v>
      </c>
      <c r="J1244" t="str">
        <f>HYPERLINK("https://twitter.com/SpiceMoneyIndia/status/1763529707302146124","https://twitter.com/SpiceMoneyIndia/status/1763529707302146124")</f>
        <v>https://twitter.com/SpiceMoneyIndia/status/1763529707302146124</v>
      </c>
      <c r="K1244" t="s">
        <v>67</v>
      </c>
      <c r="O1244">
        <v>0</v>
      </c>
      <c r="P1244">
        <v>0</v>
      </c>
      <c r="Q1244">
        <v>6054</v>
      </c>
      <c r="R1244" t="s">
        <v>97</v>
      </c>
      <c r="S1244">
        <v>0</v>
      </c>
      <c r="T1244">
        <v>0</v>
      </c>
      <c r="U1244">
        <v>0</v>
      </c>
      <c r="V1244" t="s">
        <v>98</v>
      </c>
      <c r="W1244" t="s">
        <v>99</v>
      </c>
    </row>
    <row r="1245" spans="1:23" x14ac:dyDescent="0.35">
      <c r="A1245" t="s">
        <v>45</v>
      </c>
      <c r="B1245" t="s">
        <v>2615</v>
      </c>
      <c r="C1245" t="s">
        <v>47</v>
      </c>
      <c r="D1245" t="s">
        <v>68</v>
      </c>
      <c r="E1245" t="s">
        <v>68</v>
      </c>
      <c r="F1245" t="s">
        <v>49</v>
      </c>
      <c r="G1245" t="s">
        <v>492</v>
      </c>
      <c r="H1245" t="s">
        <v>2636</v>
      </c>
      <c r="J1245" t="str">
        <f>HYPERLINK("https://www.youtube.com/watch?v=bqCzR_Mufx4&amp;lc=UgwIOphcMiBgaOp-jx14AaABAg.A0PPbMpAxRcA0R_ReW8HdB","https://www.youtube.com/watch?v=bqCzR_Mufx4&amp;lc=UgwIOphcMiBgaOp-jx14AaABAg.A0PPbMpAxRcA0R_ReW8HdB")</f>
        <v>https://www.youtube.com/watch?v=bqCzR_Mufx4&amp;lc=UgwIOphcMiBgaOp-jx14AaABAg.A0PPbMpAxRcA0R_ReW8HdB</v>
      </c>
      <c r="O1245">
        <v>0</v>
      </c>
      <c r="P1245">
        <v>0</v>
      </c>
      <c r="Q1245">
        <v>0</v>
      </c>
      <c r="S1245">
        <v>0</v>
      </c>
      <c r="T1245">
        <v>0</v>
      </c>
      <c r="U1245">
        <v>0</v>
      </c>
      <c r="W1245" t="s">
        <v>52</v>
      </c>
    </row>
    <row r="1246" spans="1:23" x14ac:dyDescent="0.35">
      <c r="A1246" t="s">
        <v>45</v>
      </c>
      <c r="B1246" t="s">
        <v>2615</v>
      </c>
      <c r="C1246" t="s">
        <v>93</v>
      </c>
      <c r="D1246" t="s">
        <v>94</v>
      </c>
      <c r="E1246" t="s">
        <v>45</v>
      </c>
      <c r="F1246" t="s">
        <v>49</v>
      </c>
      <c r="G1246" t="s">
        <v>2637</v>
      </c>
      <c r="H1246" t="s">
        <v>2638</v>
      </c>
      <c r="J1246" t="str">
        <f>HYPERLINK("https://twitter.com/SpiceMoneyIndia/status/1763521156596773358","https://twitter.com/SpiceMoneyIndia/status/1763521156596773358")</f>
        <v>https://twitter.com/SpiceMoneyIndia/status/1763521156596773358</v>
      </c>
      <c r="K1246" t="s">
        <v>67</v>
      </c>
      <c r="O1246">
        <v>0</v>
      </c>
      <c r="P1246">
        <v>0</v>
      </c>
      <c r="Q1246">
        <v>6054</v>
      </c>
      <c r="R1246" t="s">
        <v>97</v>
      </c>
      <c r="S1246">
        <v>0</v>
      </c>
      <c r="T1246">
        <v>0</v>
      </c>
      <c r="U1246">
        <v>0</v>
      </c>
      <c r="V1246" t="s">
        <v>98</v>
      </c>
      <c r="W1246" t="s">
        <v>99</v>
      </c>
    </row>
    <row r="1247" spans="1:23" x14ac:dyDescent="0.35">
      <c r="A1247" t="s">
        <v>45</v>
      </c>
      <c r="B1247" t="s">
        <v>2615</v>
      </c>
      <c r="C1247" t="s">
        <v>47</v>
      </c>
      <c r="D1247" t="s">
        <v>68</v>
      </c>
      <c r="E1247" t="s">
        <v>68</v>
      </c>
      <c r="F1247" t="s">
        <v>49</v>
      </c>
      <c r="G1247" t="s">
        <v>162</v>
      </c>
      <c r="H1247" t="s">
        <v>2639</v>
      </c>
      <c r="J1247" t="str">
        <f>HYPERLINK("https://www.youtube.com/watch?v=Rt7UUqkb-J0&amp;lc=UgwC4v1ZmiaZlqbQQkl4AaABAg.A0RAZwb8Es1A0RXxnpUqG_","https://www.youtube.com/watch?v=Rt7UUqkb-J0&amp;lc=UgwC4v1ZmiaZlqbQQkl4AaABAg.A0RAZwb8Es1A0RXxnpUqG_")</f>
        <v>https://www.youtube.com/watch?v=Rt7UUqkb-J0&amp;lc=UgwC4v1ZmiaZlqbQQkl4AaABAg.A0RAZwb8Es1A0RXxnpUqG_</v>
      </c>
      <c r="O1247">
        <v>0</v>
      </c>
      <c r="P1247">
        <v>0</v>
      </c>
      <c r="Q1247">
        <v>0</v>
      </c>
      <c r="S1247">
        <v>0</v>
      </c>
      <c r="T1247">
        <v>0</v>
      </c>
      <c r="U1247">
        <v>0</v>
      </c>
      <c r="W1247" t="s">
        <v>52</v>
      </c>
    </row>
    <row r="1248" spans="1:23" x14ac:dyDescent="0.35">
      <c r="A1248" t="s">
        <v>45</v>
      </c>
      <c r="B1248" t="s">
        <v>2615</v>
      </c>
      <c r="C1248" t="s">
        <v>93</v>
      </c>
      <c r="D1248" t="s">
        <v>2640</v>
      </c>
      <c r="E1248" t="s">
        <v>2641</v>
      </c>
      <c r="F1248" t="s">
        <v>49</v>
      </c>
      <c r="G1248" t="s">
        <v>2642</v>
      </c>
      <c r="H1248" t="s">
        <v>2643</v>
      </c>
      <c r="J1248" t="str">
        <f>HYPERLINK("https://twitter.com/lpuuniversity/status/1763508372152693024","https://twitter.com/lpuuniversity/status/1763508372152693024")</f>
        <v>https://twitter.com/lpuuniversity/status/1763508372152693024</v>
      </c>
      <c r="K1248" t="s">
        <v>471</v>
      </c>
      <c r="O1248">
        <v>0</v>
      </c>
      <c r="P1248">
        <v>0</v>
      </c>
      <c r="Q1248">
        <v>16813</v>
      </c>
      <c r="R1248" t="s">
        <v>513</v>
      </c>
      <c r="S1248">
        <v>0</v>
      </c>
      <c r="T1248">
        <v>0</v>
      </c>
      <c r="U1248">
        <v>0</v>
      </c>
      <c r="W1248" t="s">
        <v>99</v>
      </c>
    </row>
    <row r="1249" spans="1:23" x14ac:dyDescent="0.35">
      <c r="A1249" t="s">
        <v>45</v>
      </c>
      <c r="B1249" t="s">
        <v>2615</v>
      </c>
      <c r="C1249" t="s">
        <v>93</v>
      </c>
      <c r="D1249" t="s">
        <v>2402</v>
      </c>
      <c r="E1249" t="s">
        <v>2403</v>
      </c>
      <c r="F1249" t="s">
        <v>193</v>
      </c>
      <c r="G1249" t="s">
        <v>2644</v>
      </c>
      <c r="H1249" t="s">
        <v>2645</v>
      </c>
      <c r="J1249" t="str">
        <f>HYPERLINK("https://twitter.com/samirmehar/status/1763494967027130566","https://twitter.com/samirmehar/status/1763494967027130566")</f>
        <v>https://twitter.com/samirmehar/status/1763494967027130566</v>
      </c>
      <c r="K1249" t="s">
        <v>67</v>
      </c>
      <c r="O1249">
        <v>0</v>
      </c>
      <c r="P1249">
        <v>0</v>
      </c>
      <c r="Q1249">
        <v>275</v>
      </c>
      <c r="R1249" t="s">
        <v>2406</v>
      </c>
      <c r="S1249">
        <v>0</v>
      </c>
      <c r="T1249">
        <v>0</v>
      </c>
      <c r="U1249">
        <v>0</v>
      </c>
      <c r="W1249" t="s">
        <v>99</v>
      </c>
    </row>
    <row r="1250" spans="1:23" x14ac:dyDescent="0.35">
      <c r="A1250" t="s">
        <v>45</v>
      </c>
      <c r="B1250" t="s">
        <v>2615</v>
      </c>
      <c r="C1250" t="s">
        <v>93</v>
      </c>
      <c r="D1250" t="s">
        <v>2402</v>
      </c>
      <c r="E1250" t="s">
        <v>2403</v>
      </c>
      <c r="F1250" t="s">
        <v>49</v>
      </c>
      <c r="G1250" t="s">
        <v>2646</v>
      </c>
      <c r="H1250" t="s">
        <v>2647</v>
      </c>
      <c r="J1250" t="str">
        <f>HYPERLINK("https://twitter.com/samirmehar/status/1763494433968771321","https://twitter.com/samirmehar/status/1763494433968771321")</f>
        <v>https://twitter.com/samirmehar/status/1763494433968771321</v>
      </c>
      <c r="K1250" t="s">
        <v>67</v>
      </c>
      <c r="O1250">
        <v>0</v>
      </c>
      <c r="P1250">
        <v>0</v>
      </c>
      <c r="Q1250">
        <v>275</v>
      </c>
      <c r="R1250" t="s">
        <v>2406</v>
      </c>
      <c r="S1250">
        <v>0</v>
      </c>
      <c r="T1250">
        <v>0</v>
      </c>
      <c r="U1250">
        <v>0</v>
      </c>
      <c r="W1250" t="s">
        <v>433</v>
      </c>
    </row>
    <row r="1251" spans="1:23" x14ac:dyDescent="0.35">
      <c r="A1251" t="s">
        <v>45</v>
      </c>
      <c r="B1251" t="s">
        <v>2615</v>
      </c>
      <c r="C1251" t="s">
        <v>93</v>
      </c>
      <c r="D1251" t="s">
        <v>2648</v>
      </c>
      <c r="E1251" t="s">
        <v>2649</v>
      </c>
      <c r="F1251" t="s">
        <v>49</v>
      </c>
      <c r="G1251" t="s">
        <v>2650</v>
      </c>
      <c r="H1251" t="s">
        <v>2651</v>
      </c>
      <c r="J1251" t="str">
        <f>HYPERLINK("https://twitter.com/anwer_raqib/status/1763486792890957922","https://twitter.com/anwer_raqib/status/1763486792890957922")</f>
        <v>https://twitter.com/anwer_raqib/status/1763486792890957922</v>
      </c>
      <c r="K1251" t="s">
        <v>67</v>
      </c>
      <c r="O1251">
        <v>0</v>
      </c>
      <c r="P1251">
        <v>0</v>
      </c>
      <c r="Q1251">
        <v>20</v>
      </c>
      <c r="R1251" t="s">
        <v>756</v>
      </c>
      <c r="S1251">
        <v>0</v>
      </c>
      <c r="T1251">
        <v>0</v>
      </c>
      <c r="U1251">
        <v>0</v>
      </c>
      <c r="W1251" t="s">
        <v>99</v>
      </c>
    </row>
    <row r="1252" spans="1:23" x14ac:dyDescent="0.35">
      <c r="A1252" t="s">
        <v>45</v>
      </c>
      <c r="B1252" t="s">
        <v>2615</v>
      </c>
      <c r="C1252" t="s">
        <v>60</v>
      </c>
      <c r="D1252" t="s">
        <v>61</v>
      </c>
      <c r="E1252" t="s">
        <v>61</v>
      </c>
      <c r="F1252" t="s">
        <v>49</v>
      </c>
      <c r="G1252" t="s">
        <v>2652</v>
      </c>
      <c r="H1252" t="s">
        <v>2653</v>
      </c>
      <c r="J1252" t="str">
        <f>HYPERLINK("https://www.facebook.com/634639855377280/posts/799389635568967?comment_id=714792987387759","https://www.facebook.com/634639855377280/posts/799389635568967?comment_id=714792987387759")</f>
        <v>https://www.facebook.com/634639855377280/posts/799389635568967?comment_id=714792987387759</v>
      </c>
      <c r="O1252">
        <v>0</v>
      </c>
      <c r="P1252">
        <v>0</v>
      </c>
      <c r="Q1252">
        <v>0</v>
      </c>
      <c r="S1252">
        <v>0</v>
      </c>
      <c r="T1252">
        <v>0</v>
      </c>
      <c r="U1252">
        <v>0</v>
      </c>
      <c r="W1252" t="s">
        <v>52</v>
      </c>
    </row>
    <row r="1253" spans="1:23" x14ac:dyDescent="0.35">
      <c r="A1253" t="s">
        <v>45</v>
      </c>
      <c r="B1253" t="s">
        <v>2615</v>
      </c>
      <c r="C1253" t="s">
        <v>60</v>
      </c>
      <c r="D1253" t="s">
        <v>61</v>
      </c>
      <c r="E1253" t="s">
        <v>61</v>
      </c>
      <c r="F1253" t="s">
        <v>49</v>
      </c>
      <c r="G1253" t="s">
        <v>2654</v>
      </c>
      <c r="H1253" t="s">
        <v>2655</v>
      </c>
      <c r="J1253" t="str">
        <f>HYPERLINK("https://www.facebook.com/634639855377280/posts/799389635568967?comment_id=1089112602210599","https://www.facebook.com/634639855377280/posts/799389635568967?comment_id=1089112602210599")</f>
        <v>https://www.facebook.com/634639855377280/posts/799389635568967?comment_id=1089112602210599</v>
      </c>
      <c r="O1253">
        <v>0</v>
      </c>
      <c r="P1253">
        <v>0</v>
      </c>
      <c r="Q1253">
        <v>0</v>
      </c>
      <c r="S1253">
        <v>0</v>
      </c>
      <c r="T1253">
        <v>0</v>
      </c>
      <c r="U1253">
        <v>0</v>
      </c>
      <c r="W1253" t="s">
        <v>52</v>
      </c>
    </row>
    <row r="1254" spans="1:23" x14ac:dyDescent="0.35">
      <c r="A1254" t="s">
        <v>45</v>
      </c>
      <c r="B1254" t="s">
        <v>2615</v>
      </c>
      <c r="C1254" t="s">
        <v>47</v>
      </c>
      <c r="D1254" t="s">
        <v>2656</v>
      </c>
      <c r="E1254" t="s">
        <v>2656</v>
      </c>
      <c r="F1254" t="s">
        <v>54</v>
      </c>
      <c r="G1254" t="s">
        <v>2657</v>
      </c>
      <c r="H1254" t="s">
        <v>2658</v>
      </c>
      <c r="J1254" t="str">
        <f>HYPERLINK("https://www.youtube.com/watch?v=Rt7UUqkb-J0&amp;lc=UgwC4v1ZmiaZlqbQQkl4AaABAg","https://www.youtube.com/watch?v=Rt7UUqkb-J0&amp;lc=UgwC4v1ZmiaZlqbQQkl4AaABAg")</f>
        <v>https://www.youtube.com/watch?v=Rt7UUqkb-J0&amp;lc=UgwC4v1ZmiaZlqbQQkl4AaABAg</v>
      </c>
      <c r="O1254">
        <v>0</v>
      </c>
      <c r="P1254">
        <v>0</v>
      </c>
      <c r="Q1254">
        <v>0</v>
      </c>
      <c r="S1254">
        <v>0</v>
      </c>
      <c r="T1254">
        <v>0</v>
      </c>
      <c r="U1254">
        <v>0</v>
      </c>
      <c r="W1254" t="s">
        <v>52</v>
      </c>
    </row>
    <row r="1255" spans="1:23" x14ac:dyDescent="0.35">
      <c r="A1255" t="s">
        <v>45</v>
      </c>
      <c r="B1255" t="s">
        <v>2615</v>
      </c>
      <c r="C1255" t="s">
        <v>93</v>
      </c>
      <c r="D1255" t="s">
        <v>2659</v>
      </c>
      <c r="E1255" t="s">
        <v>2660</v>
      </c>
      <c r="F1255" t="s">
        <v>49</v>
      </c>
      <c r="G1255" t="s">
        <v>2661</v>
      </c>
      <c r="H1255" t="s">
        <v>2662</v>
      </c>
      <c r="J1255" t="str">
        <f>HYPERLINK("https://twitter.com/Nitish899762402/status/1763406413496500344","https://twitter.com/Nitish899762402/status/1763406413496500344")</f>
        <v>https://twitter.com/Nitish899762402/status/1763406413496500344</v>
      </c>
      <c r="K1255" t="s">
        <v>67</v>
      </c>
      <c r="O1255">
        <v>0</v>
      </c>
      <c r="P1255">
        <v>0</v>
      </c>
      <c r="Q1255">
        <v>0</v>
      </c>
      <c r="S1255">
        <v>0</v>
      </c>
      <c r="T1255">
        <v>0</v>
      </c>
      <c r="U1255">
        <v>0</v>
      </c>
      <c r="W1255" t="s">
        <v>99</v>
      </c>
    </row>
    <row r="1256" spans="1:23" x14ac:dyDescent="0.35">
      <c r="A1256" t="s">
        <v>45</v>
      </c>
      <c r="B1256" t="s">
        <v>2663</v>
      </c>
      <c r="C1256" t="s">
        <v>93</v>
      </c>
      <c r="D1256" t="s">
        <v>2664</v>
      </c>
      <c r="E1256" t="s">
        <v>2665</v>
      </c>
      <c r="F1256" t="s">
        <v>49</v>
      </c>
      <c r="G1256" t="s">
        <v>2666</v>
      </c>
      <c r="H1256" t="s">
        <v>2667</v>
      </c>
      <c r="J1256" t="str">
        <f>HYPERLINK("https://twitter.com/mdsadda27925586/status/1763247899495076144","https://twitter.com/mdsadda27925586/status/1763247899495076144")</f>
        <v>https://twitter.com/mdsadda27925586/status/1763247899495076144</v>
      </c>
      <c r="K1256" t="s">
        <v>67</v>
      </c>
      <c r="O1256">
        <v>0</v>
      </c>
      <c r="P1256">
        <v>0</v>
      </c>
      <c r="Q1256">
        <v>15</v>
      </c>
      <c r="R1256" t="s">
        <v>2668</v>
      </c>
      <c r="S1256">
        <v>0</v>
      </c>
      <c r="T1256">
        <v>0</v>
      </c>
      <c r="U1256">
        <v>0</v>
      </c>
      <c r="W1256" t="s">
        <v>99</v>
      </c>
    </row>
    <row r="1257" spans="1:23" x14ac:dyDescent="0.35">
      <c r="A1257" t="s">
        <v>45</v>
      </c>
      <c r="B1257" t="s">
        <v>2663</v>
      </c>
      <c r="C1257" t="s">
        <v>93</v>
      </c>
      <c r="D1257" t="s">
        <v>2664</v>
      </c>
      <c r="E1257" t="s">
        <v>2665</v>
      </c>
      <c r="F1257" t="s">
        <v>49</v>
      </c>
      <c r="G1257" t="s">
        <v>2669</v>
      </c>
      <c r="H1257" t="s">
        <v>2670</v>
      </c>
      <c r="J1257" t="str">
        <f>HYPERLINK("https://twitter.com/mdsadda27925586/status/1763237983711576417","https://twitter.com/mdsadda27925586/status/1763237983711576417")</f>
        <v>https://twitter.com/mdsadda27925586/status/1763237983711576417</v>
      </c>
      <c r="K1257" t="s">
        <v>67</v>
      </c>
      <c r="O1257">
        <v>0</v>
      </c>
      <c r="P1257">
        <v>0</v>
      </c>
      <c r="Q1257">
        <v>15</v>
      </c>
      <c r="R1257" t="s">
        <v>2668</v>
      </c>
      <c r="S1257">
        <v>0</v>
      </c>
      <c r="T1257">
        <v>0</v>
      </c>
      <c r="U1257">
        <v>0</v>
      </c>
      <c r="W1257" t="s">
        <v>99</v>
      </c>
    </row>
    <row r="1258" spans="1:23" x14ac:dyDescent="0.35">
      <c r="A1258" t="s">
        <v>45</v>
      </c>
      <c r="B1258" t="s">
        <v>2663</v>
      </c>
      <c r="C1258" t="s">
        <v>93</v>
      </c>
      <c r="D1258" t="s">
        <v>2671</v>
      </c>
      <c r="E1258" t="s">
        <v>2672</v>
      </c>
      <c r="F1258" t="s">
        <v>193</v>
      </c>
      <c r="G1258" t="s">
        <v>2673</v>
      </c>
      <c r="H1258" t="s">
        <v>2674</v>
      </c>
      <c r="J1258" t="str">
        <f>HYPERLINK("https://twitter.com/Pankajs19000732/status/1763229952026034266","https://twitter.com/Pankajs19000732/status/1763229952026034266")</f>
        <v>https://twitter.com/Pankajs19000732/status/1763229952026034266</v>
      </c>
      <c r="K1258" t="s">
        <v>67</v>
      </c>
      <c r="O1258">
        <v>0</v>
      </c>
      <c r="P1258">
        <v>0</v>
      </c>
      <c r="Q1258">
        <v>2</v>
      </c>
      <c r="S1258">
        <v>0</v>
      </c>
      <c r="T1258">
        <v>0</v>
      </c>
      <c r="U1258">
        <v>0</v>
      </c>
      <c r="W1258" t="s">
        <v>99</v>
      </c>
    </row>
    <row r="1259" spans="1:23" x14ac:dyDescent="0.35">
      <c r="A1259" t="s">
        <v>45</v>
      </c>
      <c r="B1259" t="s">
        <v>2663</v>
      </c>
      <c r="C1259" t="s">
        <v>93</v>
      </c>
      <c r="D1259" t="s">
        <v>2671</v>
      </c>
      <c r="E1259" t="s">
        <v>2672</v>
      </c>
      <c r="F1259" t="s">
        <v>49</v>
      </c>
      <c r="G1259" t="s">
        <v>2675</v>
      </c>
      <c r="H1259" t="s">
        <v>2676</v>
      </c>
      <c r="J1259" t="str">
        <f>HYPERLINK("https://twitter.com/Pankajs19000732/status/1763229537544843365","https://twitter.com/Pankajs19000732/status/1763229537544843365")</f>
        <v>https://twitter.com/Pankajs19000732/status/1763229537544843365</v>
      </c>
      <c r="K1259" t="s">
        <v>67</v>
      </c>
      <c r="O1259">
        <v>0</v>
      </c>
      <c r="P1259">
        <v>0</v>
      </c>
      <c r="Q1259">
        <v>2</v>
      </c>
      <c r="S1259">
        <v>0</v>
      </c>
      <c r="T1259">
        <v>0</v>
      </c>
      <c r="U1259">
        <v>0</v>
      </c>
      <c r="W1259" t="s">
        <v>99</v>
      </c>
    </row>
    <row r="1260" spans="1:23" x14ac:dyDescent="0.35">
      <c r="A1260" t="s">
        <v>45</v>
      </c>
      <c r="B1260" t="s">
        <v>2663</v>
      </c>
      <c r="C1260" t="s">
        <v>60</v>
      </c>
      <c r="D1260" t="s">
        <v>61</v>
      </c>
      <c r="E1260" t="s">
        <v>61</v>
      </c>
      <c r="F1260" t="s">
        <v>49</v>
      </c>
      <c r="G1260" t="s">
        <v>1437</v>
      </c>
      <c r="H1260" t="s">
        <v>2677</v>
      </c>
      <c r="J1260" t="str">
        <f>HYPERLINK("https://www.facebook.com/634639855377280/posts/799389635568967?comment_id=1061267855163805","https://www.facebook.com/634639855377280/posts/799389635568967?comment_id=1061267855163805")</f>
        <v>https://www.facebook.com/634639855377280/posts/799389635568967?comment_id=1061267855163805</v>
      </c>
      <c r="O1260">
        <v>0</v>
      </c>
      <c r="P1260">
        <v>0</v>
      </c>
      <c r="Q1260">
        <v>0</v>
      </c>
      <c r="S1260">
        <v>0</v>
      </c>
      <c r="T1260">
        <v>0</v>
      </c>
      <c r="U1260">
        <v>0</v>
      </c>
      <c r="W1260" t="s">
        <v>52</v>
      </c>
    </row>
    <row r="1261" spans="1:23" x14ac:dyDescent="0.35">
      <c r="A1261" t="s">
        <v>45</v>
      </c>
      <c r="B1261" t="s">
        <v>2663</v>
      </c>
      <c r="C1261" t="s">
        <v>47</v>
      </c>
      <c r="D1261" t="s">
        <v>2678</v>
      </c>
      <c r="E1261" t="s">
        <v>2678</v>
      </c>
      <c r="F1261" t="s">
        <v>49</v>
      </c>
      <c r="G1261" t="s">
        <v>2679</v>
      </c>
      <c r="H1261" t="s">
        <v>2680</v>
      </c>
      <c r="J1261" t="str">
        <f>HYPERLINK("https://www.youtube.com/watch?v=bqCzR_Mufx4&amp;lc=UgwIOphcMiBgaOp-jx14AaABAg","https://www.youtube.com/watch?v=bqCzR_Mufx4&amp;lc=UgwIOphcMiBgaOp-jx14AaABAg")</f>
        <v>https://www.youtube.com/watch?v=bqCzR_Mufx4&amp;lc=UgwIOphcMiBgaOp-jx14AaABAg</v>
      </c>
      <c r="O1261">
        <v>0</v>
      </c>
      <c r="P1261">
        <v>0</v>
      </c>
      <c r="Q1261">
        <v>0</v>
      </c>
      <c r="S1261">
        <v>0</v>
      </c>
      <c r="T1261">
        <v>0</v>
      </c>
      <c r="U1261">
        <v>0</v>
      </c>
      <c r="W1261" t="s">
        <v>52</v>
      </c>
    </row>
    <row r="1262" spans="1:23" x14ac:dyDescent="0.35">
      <c r="A1262" t="s">
        <v>45</v>
      </c>
      <c r="B1262" t="s">
        <v>2663</v>
      </c>
      <c r="C1262" t="s">
        <v>93</v>
      </c>
      <c r="D1262" t="s">
        <v>2571</v>
      </c>
      <c r="E1262" t="s">
        <v>2572</v>
      </c>
      <c r="F1262" t="s">
        <v>49</v>
      </c>
      <c r="G1262" t="s">
        <v>2681</v>
      </c>
      <c r="H1262" t="s">
        <v>2682</v>
      </c>
      <c r="J1262" t="str">
        <f>HYPERLINK("https://twitter.com/binod142536/status/1763191995369979917","https://twitter.com/binod142536/status/1763191995369979917")</f>
        <v>https://twitter.com/binod142536/status/1763191995369979917</v>
      </c>
      <c r="K1262" t="s">
        <v>67</v>
      </c>
      <c r="O1262">
        <v>0</v>
      </c>
      <c r="P1262">
        <v>0</v>
      </c>
      <c r="Q1262">
        <v>1</v>
      </c>
      <c r="R1262" t="s">
        <v>2575</v>
      </c>
      <c r="S1262">
        <v>0</v>
      </c>
      <c r="T1262">
        <v>0</v>
      </c>
      <c r="U1262">
        <v>0</v>
      </c>
      <c r="W1262" t="s">
        <v>99</v>
      </c>
    </row>
    <row r="1263" spans="1:23" x14ac:dyDescent="0.35">
      <c r="A1263" t="s">
        <v>45</v>
      </c>
      <c r="B1263" t="s">
        <v>2663</v>
      </c>
      <c r="C1263" t="s">
        <v>60</v>
      </c>
      <c r="D1263" t="s">
        <v>61</v>
      </c>
      <c r="E1263" t="s">
        <v>61</v>
      </c>
      <c r="F1263" t="s">
        <v>49</v>
      </c>
      <c r="G1263" t="s">
        <v>2683</v>
      </c>
      <c r="H1263" t="s">
        <v>2684</v>
      </c>
      <c r="J1263" t="str">
        <f>HYPERLINK("https://www.facebook.com/634639855377280/posts/799389635568967?comment_id=1901702700639772","https://www.facebook.com/634639855377280/posts/799389635568967?comment_id=1901702700639772")</f>
        <v>https://www.facebook.com/634639855377280/posts/799389635568967?comment_id=1901702700639772</v>
      </c>
      <c r="O1263">
        <v>0</v>
      </c>
      <c r="P1263">
        <v>0</v>
      </c>
      <c r="Q1263">
        <v>0</v>
      </c>
      <c r="S1263">
        <v>0</v>
      </c>
      <c r="T1263">
        <v>0</v>
      </c>
      <c r="U1263">
        <v>0</v>
      </c>
      <c r="W1263" t="s">
        <v>52</v>
      </c>
    </row>
    <row r="1264" spans="1:23" x14ac:dyDescent="0.35">
      <c r="A1264" t="s">
        <v>45</v>
      </c>
      <c r="B1264" t="s">
        <v>2663</v>
      </c>
      <c r="C1264" t="s">
        <v>60</v>
      </c>
      <c r="D1264" t="s">
        <v>61</v>
      </c>
      <c r="E1264" t="s">
        <v>61</v>
      </c>
      <c r="F1264" t="s">
        <v>49</v>
      </c>
      <c r="G1264" t="s">
        <v>2685</v>
      </c>
      <c r="H1264" t="s">
        <v>2686</v>
      </c>
      <c r="J1264" t="str">
        <f>HYPERLINK("https://www.facebook.com/634639855377280/posts/798752012299396?comment_id=394639136512534&amp;reply_comment_id=1218743512431276","https://www.facebook.com/634639855377280/posts/798752012299396?comment_id=394639136512534&amp;reply_comment_id=1218743512431276")</f>
        <v>https://www.facebook.com/634639855377280/posts/798752012299396?comment_id=394639136512534&amp;reply_comment_id=1218743512431276</v>
      </c>
      <c r="O1264">
        <v>0</v>
      </c>
      <c r="P1264">
        <v>0</v>
      </c>
      <c r="Q1264">
        <v>0</v>
      </c>
      <c r="S1264">
        <v>0</v>
      </c>
      <c r="T1264">
        <v>0</v>
      </c>
      <c r="U1264">
        <v>0</v>
      </c>
      <c r="W1264" t="s">
        <v>52</v>
      </c>
    </row>
    <row r="1265" spans="1:23" x14ac:dyDescent="0.35">
      <c r="A1265" t="s">
        <v>45</v>
      </c>
      <c r="B1265" t="s">
        <v>2663</v>
      </c>
      <c r="C1265" t="s">
        <v>60</v>
      </c>
      <c r="D1265" t="s">
        <v>64</v>
      </c>
      <c r="E1265" t="s">
        <v>64</v>
      </c>
      <c r="F1265" t="s">
        <v>49</v>
      </c>
      <c r="G1265" t="s">
        <v>125</v>
      </c>
      <c r="H1265" t="s">
        <v>2687</v>
      </c>
      <c r="J1265" t="str">
        <f>HYPERLINK("https://www.facebook.com/634639855377280/posts/799389635568967?comment_id=7349234401802069&amp;reply_comment_id=918136913174023","https://www.facebook.com/634639855377280/posts/799389635568967?comment_id=7349234401802069&amp;reply_comment_id=918136913174023")</f>
        <v>https://www.facebook.com/634639855377280/posts/799389635568967?comment_id=7349234401802069&amp;reply_comment_id=918136913174023</v>
      </c>
      <c r="K1265" t="s">
        <v>67</v>
      </c>
      <c r="O1265">
        <v>0</v>
      </c>
      <c r="P1265">
        <v>0</v>
      </c>
      <c r="Q1265">
        <v>0</v>
      </c>
      <c r="S1265">
        <v>0</v>
      </c>
      <c r="T1265">
        <v>0</v>
      </c>
      <c r="U1265">
        <v>0</v>
      </c>
      <c r="W1265" t="s">
        <v>52</v>
      </c>
    </row>
    <row r="1266" spans="1:23" x14ac:dyDescent="0.35">
      <c r="A1266" t="s">
        <v>45</v>
      </c>
      <c r="B1266" t="s">
        <v>2663</v>
      </c>
      <c r="C1266" t="s">
        <v>93</v>
      </c>
      <c r="D1266" t="s">
        <v>94</v>
      </c>
      <c r="E1266" t="s">
        <v>45</v>
      </c>
      <c r="F1266" t="s">
        <v>49</v>
      </c>
      <c r="G1266" t="s">
        <v>2688</v>
      </c>
      <c r="H1266" t="s">
        <v>2689</v>
      </c>
      <c r="J1266" t="str">
        <f>HYPERLINK("https://twitter.com/SpiceMoneyIndia/status/1763169374888771761","https://twitter.com/SpiceMoneyIndia/status/1763169374888771761")</f>
        <v>https://twitter.com/SpiceMoneyIndia/status/1763169374888771761</v>
      </c>
      <c r="K1266" t="s">
        <v>67</v>
      </c>
      <c r="O1266">
        <v>0</v>
      </c>
      <c r="P1266">
        <v>0</v>
      </c>
      <c r="Q1266">
        <v>6050</v>
      </c>
      <c r="R1266" t="s">
        <v>97</v>
      </c>
      <c r="S1266">
        <v>0</v>
      </c>
      <c r="T1266">
        <v>0</v>
      </c>
      <c r="U1266">
        <v>0</v>
      </c>
      <c r="V1266" t="s">
        <v>98</v>
      </c>
      <c r="W1266" t="s">
        <v>99</v>
      </c>
    </row>
    <row r="1267" spans="1:23" x14ac:dyDescent="0.35">
      <c r="A1267" t="s">
        <v>45</v>
      </c>
      <c r="B1267" t="s">
        <v>2663</v>
      </c>
      <c r="C1267" t="s">
        <v>60</v>
      </c>
      <c r="D1267" t="s">
        <v>64</v>
      </c>
      <c r="E1267" t="s">
        <v>64</v>
      </c>
      <c r="F1267" t="s">
        <v>49</v>
      </c>
      <c r="G1267" t="s">
        <v>266</v>
      </c>
      <c r="H1267" t="s">
        <v>2690</v>
      </c>
      <c r="J1267" t="str">
        <f>HYPERLINK("https://www.facebook.com/634639855377280/posts/798752012299396?comment_id=1333086897349101&amp;reply_comment_id=331047469895939","https://www.facebook.com/634639855377280/posts/798752012299396?comment_id=1333086897349101&amp;reply_comment_id=331047469895939")</f>
        <v>https://www.facebook.com/634639855377280/posts/798752012299396?comment_id=1333086897349101&amp;reply_comment_id=331047469895939</v>
      </c>
      <c r="K1267" t="s">
        <v>67</v>
      </c>
      <c r="O1267">
        <v>0</v>
      </c>
      <c r="P1267">
        <v>0</v>
      </c>
      <c r="Q1267">
        <v>0</v>
      </c>
      <c r="S1267">
        <v>0</v>
      </c>
      <c r="T1267">
        <v>0</v>
      </c>
      <c r="U1267">
        <v>0</v>
      </c>
      <c r="W1267" t="s">
        <v>52</v>
      </c>
    </row>
    <row r="1268" spans="1:23" x14ac:dyDescent="0.35">
      <c r="A1268" t="s">
        <v>45</v>
      </c>
      <c r="B1268" t="s">
        <v>2663</v>
      </c>
      <c r="C1268" t="s">
        <v>93</v>
      </c>
      <c r="D1268" t="s">
        <v>94</v>
      </c>
      <c r="E1268" t="s">
        <v>45</v>
      </c>
      <c r="F1268" t="s">
        <v>49</v>
      </c>
      <c r="G1268" t="s">
        <v>2691</v>
      </c>
      <c r="H1268" t="s">
        <v>2692</v>
      </c>
      <c r="J1268" t="str">
        <f>HYPERLINK("https://twitter.com/SpiceMoneyIndia/status/1763168798276727184","https://twitter.com/SpiceMoneyIndia/status/1763168798276727184")</f>
        <v>https://twitter.com/SpiceMoneyIndia/status/1763168798276727184</v>
      </c>
      <c r="K1268" t="s">
        <v>67</v>
      </c>
      <c r="O1268">
        <v>0</v>
      </c>
      <c r="P1268">
        <v>0</v>
      </c>
      <c r="Q1268">
        <v>6050</v>
      </c>
      <c r="R1268" t="s">
        <v>97</v>
      </c>
      <c r="S1268">
        <v>0</v>
      </c>
      <c r="T1268">
        <v>0</v>
      </c>
      <c r="U1268">
        <v>0</v>
      </c>
      <c r="V1268" t="s">
        <v>98</v>
      </c>
      <c r="W1268" t="s">
        <v>99</v>
      </c>
    </row>
    <row r="1269" spans="1:23" x14ac:dyDescent="0.35">
      <c r="A1269" t="s">
        <v>45</v>
      </c>
      <c r="B1269" t="s">
        <v>2663</v>
      </c>
      <c r="C1269" t="s">
        <v>47</v>
      </c>
      <c r="D1269" t="s">
        <v>68</v>
      </c>
      <c r="E1269" t="s">
        <v>68</v>
      </c>
      <c r="F1269" t="s">
        <v>49</v>
      </c>
      <c r="G1269" t="s">
        <v>2048</v>
      </c>
      <c r="H1269" t="s">
        <v>2693</v>
      </c>
      <c r="J1269" t="str">
        <f>HYPERLINK("https://www.youtube.com/watch?v=fi0KMSdJZZY&amp;lc=UgxU5gQXo10E-r7TccN4AaABAg.A0N2NuonpNzA0P1zV9i5UA","https://www.youtube.com/watch?v=fi0KMSdJZZY&amp;lc=UgxU5gQXo10E-r7TccN4AaABAg.A0N2NuonpNzA0P1zV9i5UA")</f>
        <v>https://www.youtube.com/watch?v=fi0KMSdJZZY&amp;lc=UgxU5gQXo10E-r7TccN4AaABAg.A0N2NuonpNzA0P1zV9i5UA</v>
      </c>
      <c r="O1269">
        <v>0</v>
      </c>
      <c r="P1269">
        <v>0</v>
      </c>
      <c r="Q1269">
        <v>0</v>
      </c>
      <c r="S1269">
        <v>0</v>
      </c>
      <c r="T1269">
        <v>0</v>
      </c>
      <c r="U1269">
        <v>0</v>
      </c>
      <c r="W1269" t="s">
        <v>52</v>
      </c>
    </row>
    <row r="1270" spans="1:23" x14ac:dyDescent="0.35">
      <c r="A1270" t="s">
        <v>45</v>
      </c>
      <c r="B1270" t="s">
        <v>2663</v>
      </c>
      <c r="C1270" t="s">
        <v>47</v>
      </c>
      <c r="D1270" t="s">
        <v>68</v>
      </c>
      <c r="E1270" t="s">
        <v>68</v>
      </c>
      <c r="F1270" t="s">
        <v>49</v>
      </c>
      <c r="G1270" t="s">
        <v>162</v>
      </c>
      <c r="H1270" t="s">
        <v>2694</v>
      </c>
      <c r="J1270" t="str">
        <f>HYPERLINK("https://www.youtube.com/watch?v=wDVpKG8jfSo&amp;lc=Ugyfj5t5cdwAmRk7lGN4AaABAg.A0OY7IG4r3DA0P1ihw3Jdf","https://www.youtube.com/watch?v=wDVpKG8jfSo&amp;lc=Ugyfj5t5cdwAmRk7lGN4AaABAg.A0OY7IG4r3DA0P1ihw3Jdf")</f>
        <v>https://www.youtube.com/watch?v=wDVpKG8jfSo&amp;lc=Ugyfj5t5cdwAmRk7lGN4AaABAg.A0OY7IG4r3DA0P1ihw3Jdf</v>
      </c>
      <c r="O1270">
        <v>0</v>
      </c>
      <c r="P1270">
        <v>0</v>
      </c>
      <c r="Q1270">
        <v>0</v>
      </c>
      <c r="S1270">
        <v>0</v>
      </c>
      <c r="T1270">
        <v>0</v>
      </c>
      <c r="U1270">
        <v>0</v>
      </c>
      <c r="W1270" t="s">
        <v>52</v>
      </c>
    </row>
    <row r="1271" spans="1:23" x14ac:dyDescent="0.35">
      <c r="A1271" t="s">
        <v>45</v>
      </c>
      <c r="B1271" t="s">
        <v>2663</v>
      </c>
      <c r="C1271" t="s">
        <v>93</v>
      </c>
      <c r="D1271" t="s">
        <v>94</v>
      </c>
      <c r="E1271" t="s">
        <v>45</v>
      </c>
      <c r="F1271" t="s">
        <v>49</v>
      </c>
      <c r="G1271" t="s">
        <v>2646</v>
      </c>
      <c r="H1271" t="s">
        <v>2695</v>
      </c>
      <c r="J1271" t="str">
        <f>HYPERLINK("https://twitter.com/SpiceMoneyIndia/status/1763166821711032354","https://twitter.com/SpiceMoneyIndia/status/1763166821711032354")</f>
        <v>https://twitter.com/SpiceMoneyIndia/status/1763166821711032354</v>
      </c>
      <c r="K1271" t="s">
        <v>67</v>
      </c>
      <c r="O1271">
        <v>0</v>
      </c>
      <c r="P1271">
        <v>0</v>
      </c>
      <c r="Q1271">
        <v>6048</v>
      </c>
      <c r="R1271" t="s">
        <v>97</v>
      </c>
      <c r="S1271">
        <v>0</v>
      </c>
      <c r="T1271">
        <v>0</v>
      </c>
      <c r="U1271">
        <v>0</v>
      </c>
      <c r="V1271" t="s">
        <v>98</v>
      </c>
      <c r="W1271" t="s">
        <v>99</v>
      </c>
    </row>
    <row r="1272" spans="1:23" x14ac:dyDescent="0.35">
      <c r="A1272" t="s">
        <v>45</v>
      </c>
      <c r="B1272" t="s">
        <v>2663</v>
      </c>
      <c r="C1272" t="s">
        <v>47</v>
      </c>
      <c r="D1272" t="s">
        <v>68</v>
      </c>
      <c r="E1272" t="s">
        <v>68</v>
      </c>
      <c r="F1272" t="s">
        <v>49</v>
      </c>
      <c r="G1272" t="s">
        <v>102</v>
      </c>
      <c r="H1272" t="s">
        <v>2696</v>
      </c>
      <c r="J1272" t="str">
        <f>HYPERLINK("https://www.youtube.com/watch?v=eZM6KpJpw0Y&amp;lc=Ugw4potPb8jn26e_zFB4AaABAg.A0Ov7Er25z9A0P0gzXnIvj","https://www.youtube.com/watch?v=eZM6KpJpw0Y&amp;lc=Ugw4potPb8jn26e_zFB4AaABAg.A0Ov7Er25z9A0P0gzXnIvj")</f>
        <v>https://www.youtube.com/watch?v=eZM6KpJpw0Y&amp;lc=Ugw4potPb8jn26e_zFB4AaABAg.A0Ov7Er25z9A0P0gzXnIvj</v>
      </c>
      <c r="O1272">
        <v>0</v>
      </c>
      <c r="P1272">
        <v>0</v>
      </c>
      <c r="Q1272">
        <v>0</v>
      </c>
      <c r="S1272">
        <v>0</v>
      </c>
      <c r="T1272">
        <v>0</v>
      </c>
      <c r="U1272">
        <v>0</v>
      </c>
      <c r="W1272" t="s">
        <v>52</v>
      </c>
    </row>
    <row r="1273" spans="1:23" x14ac:dyDescent="0.35">
      <c r="A1273" t="s">
        <v>45</v>
      </c>
      <c r="B1273" t="s">
        <v>2663</v>
      </c>
      <c r="C1273" t="s">
        <v>47</v>
      </c>
      <c r="D1273" t="s">
        <v>2697</v>
      </c>
      <c r="E1273" t="s">
        <v>2697</v>
      </c>
      <c r="F1273" t="s">
        <v>193</v>
      </c>
      <c r="G1273" t="s">
        <v>2698</v>
      </c>
      <c r="H1273" t="s">
        <v>2699</v>
      </c>
      <c r="J1273" t="str">
        <f>HYPERLINK("https://www.youtube.com/watch?v=eZM6KpJpw0Y&amp;lc=Ugw4potPb8jn26e_zFB4AaABAg","https://www.youtube.com/watch?v=eZM6KpJpw0Y&amp;lc=Ugw4potPb8jn26e_zFB4AaABAg")</f>
        <v>https://www.youtube.com/watch?v=eZM6KpJpw0Y&amp;lc=Ugw4potPb8jn26e_zFB4AaABAg</v>
      </c>
      <c r="O1273">
        <v>0</v>
      </c>
      <c r="P1273">
        <v>0</v>
      </c>
      <c r="Q1273">
        <v>0</v>
      </c>
      <c r="S1273">
        <v>0</v>
      </c>
      <c r="T1273">
        <v>0</v>
      </c>
      <c r="U1273">
        <v>0</v>
      </c>
      <c r="W1273" t="s">
        <v>52</v>
      </c>
    </row>
    <row r="1274" spans="1:23" x14ac:dyDescent="0.35">
      <c r="A1274" t="s">
        <v>45</v>
      </c>
      <c r="B1274" t="s">
        <v>2663</v>
      </c>
      <c r="C1274" t="s">
        <v>60</v>
      </c>
      <c r="D1274" t="s">
        <v>61</v>
      </c>
      <c r="E1274" t="s">
        <v>61</v>
      </c>
      <c r="F1274" t="s">
        <v>49</v>
      </c>
      <c r="G1274" t="s">
        <v>2700</v>
      </c>
      <c r="H1274" t="s">
        <v>2701</v>
      </c>
      <c r="J1274" t="str">
        <f>HYPERLINK("https://www.facebook.com/634639855377280/posts/798752012299396?comment_id=394639136512534&amp;reply_comment_id=412708647908501","https://www.facebook.com/634639855377280/posts/798752012299396?comment_id=394639136512534&amp;reply_comment_id=412708647908501")</f>
        <v>https://www.facebook.com/634639855377280/posts/798752012299396?comment_id=394639136512534&amp;reply_comment_id=412708647908501</v>
      </c>
      <c r="O1274">
        <v>0</v>
      </c>
      <c r="P1274">
        <v>0</v>
      </c>
      <c r="Q1274">
        <v>0</v>
      </c>
      <c r="S1274">
        <v>0</v>
      </c>
      <c r="T1274">
        <v>0</v>
      </c>
      <c r="U1274">
        <v>0</v>
      </c>
      <c r="W1274" t="s">
        <v>52</v>
      </c>
    </row>
    <row r="1275" spans="1:23" x14ac:dyDescent="0.35">
      <c r="A1275" t="s">
        <v>45</v>
      </c>
      <c r="B1275" t="s">
        <v>2663</v>
      </c>
      <c r="C1275" t="s">
        <v>60</v>
      </c>
      <c r="D1275" t="s">
        <v>61</v>
      </c>
      <c r="E1275" t="s">
        <v>61</v>
      </c>
      <c r="F1275" t="s">
        <v>193</v>
      </c>
      <c r="G1275" t="s">
        <v>2702</v>
      </c>
      <c r="H1275" t="s">
        <v>2703</v>
      </c>
      <c r="J1275" t="str">
        <f>HYPERLINK("https://www.facebook.com/634639855377280/posts/798752012299396?comment_id=1333086897349101","https://www.facebook.com/634639855377280/posts/798752012299396?comment_id=1333086897349101")</f>
        <v>https://www.facebook.com/634639855377280/posts/798752012299396?comment_id=1333086897349101</v>
      </c>
      <c r="O1275">
        <v>0</v>
      </c>
      <c r="P1275">
        <v>0</v>
      </c>
      <c r="Q1275">
        <v>0</v>
      </c>
      <c r="S1275">
        <v>0</v>
      </c>
      <c r="T1275">
        <v>0</v>
      </c>
      <c r="U1275">
        <v>0</v>
      </c>
      <c r="W1275" t="s">
        <v>52</v>
      </c>
    </row>
    <row r="1276" spans="1:23" x14ac:dyDescent="0.35">
      <c r="A1276" t="s">
        <v>45</v>
      </c>
      <c r="B1276" t="s">
        <v>2663</v>
      </c>
      <c r="C1276" t="s">
        <v>60</v>
      </c>
      <c r="D1276" t="s">
        <v>61</v>
      </c>
      <c r="E1276" t="s">
        <v>61</v>
      </c>
      <c r="F1276" t="s">
        <v>49</v>
      </c>
      <c r="G1276" t="s">
        <v>2704</v>
      </c>
      <c r="H1276" t="s">
        <v>2705</v>
      </c>
      <c r="J1276" t="str">
        <f>HYPERLINK("https://www.facebook.com/634639855377280/posts/799389635568967?comment_id=793498345985877","https://www.facebook.com/634639855377280/posts/799389635568967?comment_id=793498345985877")</f>
        <v>https://www.facebook.com/634639855377280/posts/799389635568967?comment_id=793498345985877</v>
      </c>
      <c r="O1276">
        <v>0</v>
      </c>
      <c r="P1276">
        <v>0</v>
      </c>
      <c r="Q1276">
        <v>0</v>
      </c>
      <c r="S1276">
        <v>0</v>
      </c>
      <c r="T1276">
        <v>0</v>
      </c>
      <c r="U1276">
        <v>0</v>
      </c>
      <c r="W1276" t="s">
        <v>52</v>
      </c>
    </row>
    <row r="1277" spans="1:23" x14ac:dyDescent="0.35">
      <c r="A1277" t="s">
        <v>45</v>
      </c>
      <c r="B1277" t="s">
        <v>2663</v>
      </c>
      <c r="C1277" t="s">
        <v>93</v>
      </c>
      <c r="D1277" t="s">
        <v>2706</v>
      </c>
      <c r="E1277" t="s">
        <v>2707</v>
      </c>
      <c r="F1277" t="s">
        <v>193</v>
      </c>
      <c r="G1277" t="s">
        <v>2708</v>
      </c>
      <c r="H1277" t="s">
        <v>2709</v>
      </c>
      <c r="J1277" t="str">
        <f>HYPERLINK("https://twitter.com/Tanveer50190409/status/1763111337226338364","https://twitter.com/Tanveer50190409/status/1763111337226338364")</f>
        <v>https://twitter.com/Tanveer50190409/status/1763111337226338364</v>
      </c>
      <c r="K1277" t="s">
        <v>67</v>
      </c>
      <c r="O1277">
        <v>0</v>
      </c>
      <c r="P1277">
        <v>0</v>
      </c>
      <c r="Q1277">
        <v>9</v>
      </c>
      <c r="R1277" t="s">
        <v>2710</v>
      </c>
      <c r="S1277">
        <v>0</v>
      </c>
      <c r="T1277">
        <v>0</v>
      </c>
      <c r="U1277">
        <v>0</v>
      </c>
      <c r="W1277" t="s">
        <v>99</v>
      </c>
    </row>
    <row r="1278" spans="1:23" x14ac:dyDescent="0.35">
      <c r="A1278" t="s">
        <v>45</v>
      </c>
      <c r="B1278" t="s">
        <v>2663</v>
      </c>
      <c r="C1278" t="s">
        <v>47</v>
      </c>
      <c r="D1278" t="s">
        <v>2711</v>
      </c>
      <c r="E1278" t="s">
        <v>2711</v>
      </c>
      <c r="F1278" t="s">
        <v>54</v>
      </c>
      <c r="G1278" t="s">
        <v>2712</v>
      </c>
      <c r="H1278" t="s">
        <v>2713</v>
      </c>
      <c r="J1278" t="str">
        <f>HYPERLINK("https://www.youtube.com/watch?v=wDVpKG8jfSo&amp;lc=Ugyfj5t5cdwAmRk7lGN4AaABAg","https://www.youtube.com/watch?v=wDVpKG8jfSo&amp;lc=Ugyfj5t5cdwAmRk7lGN4AaABAg")</f>
        <v>https://www.youtube.com/watch?v=wDVpKG8jfSo&amp;lc=Ugyfj5t5cdwAmRk7lGN4AaABAg</v>
      </c>
      <c r="O1278">
        <v>0</v>
      </c>
      <c r="P1278">
        <v>0</v>
      </c>
      <c r="Q1278">
        <v>0</v>
      </c>
      <c r="S1278">
        <v>0</v>
      </c>
      <c r="T1278">
        <v>0</v>
      </c>
      <c r="U1278">
        <v>0</v>
      </c>
      <c r="W1278" t="s">
        <v>52</v>
      </c>
    </row>
    <row r="1279" spans="1:23" x14ac:dyDescent="0.35">
      <c r="A1279" t="s">
        <v>45</v>
      </c>
      <c r="B1279" t="s">
        <v>2663</v>
      </c>
      <c r="C1279" t="s">
        <v>93</v>
      </c>
      <c r="D1279" t="s">
        <v>2402</v>
      </c>
      <c r="E1279" t="s">
        <v>2403</v>
      </c>
      <c r="F1279" t="s">
        <v>54</v>
      </c>
      <c r="G1279" t="s">
        <v>2714</v>
      </c>
      <c r="H1279" t="s">
        <v>2715</v>
      </c>
      <c r="J1279" t="str">
        <f>HYPERLINK("https://twitter.com/samirmehar/status/1763088240205058071","https://twitter.com/samirmehar/status/1763088240205058071")</f>
        <v>https://twitter.com/samirmehar/status/1763088240205058071</v>
      </c>
      <c r="K1279" t="s">
        <v>67</v>
      </c>
      <c r="O1279">
        <v>0</v>
      </c>
      <c r="P1279">
        <v>0</v>
      </c>
      <c r="Q1279">
        <v>275</v>
      </c>
      <c r="R1279" t="s">
        <v>2406</v>
      </c>
      <c r="S1279">
        <v>0</v>
      </c>
      <c r="T1279">
        <v>0</v>
      </c>
      <c r="U1279">
        <v>0</v>
      </c>
      <c r="W1279" t="s">
        <v>99</v>
      </c>
    </row>
    <row r="1280" spans="1:23" x14ac:dyDescent="0.35">
      <c r="A1280" t="s">
        <v>45</v>
      </c>
      <c r="B1280" t="s">
        <v>2663</v>
      </c>
      <c r="C1280" t="s">
        <v>93</v>
      </c>
      <c r="D1280" t="s">
        <v>2402</v>
      </c>
      <c r="E1280" t="s">
        <v>2403</v>
      </c>
      <c r="F1280" t="s">
        <v>49</v>
      </c>
      <c r="G1280" t="s">
        <v>2716</v>
      </c>
      <c r="H1280" t="s">
        <v>2717</v>
      </c>
      <c r="J1280" t="str">
        <f>HYPERLINK("https://twitter.com/samirmehar/status/1763087434600886372","https://twitter.com/samirmehar/status/1763087434600886372")</f>
        <v>https://twitter.com/samirmehar/status/1763087434600886372</v>
      </c>
      <c r="K1280" t="s">
        <v>67</v>
      </c>
      <c r="O1280">
        <v>0</v>
      </c>
      <c r="P1280">
        <v>0</v>
      </c>
      <c r="Q1280">
        <v>275</v>
      </c>
      <c r="R1280" t="s">
        <v>2406</v>
      </c>
      <c r="S1280">
        <v>0</v>
      </c>
      <c r="T1280">
        <v>0</v>
      </c>
      <c r="U1280">
        <v>0</v>
      </c>
      <c r="W1280" t="s">
        <v>99</v>
      </c>
    </row>
    <row r="1281" spans="1:23" x14ac:dyDescent="0.35">
      <c r="A1281" t="s">
        <v>45</v>
      </c>
      <c r="B1281" t="s">
        <v>2663</v>
      </c>
      <c r="C1281" t="s">
        <v>93</v>
      </c>
      <c r="D1281" t="s">
        <v>2718</v>
      </c>
      <c r="E1281" t="s">
        <v>2719</v>
      </c>
      <c r="F1281" t="s">
        <v>49</v>
      </c>
      <c r="G1281" t="s">
        <v>2720</v>
      </c>
      <c r="H1281" t="s">
        <v>2721</v>
      </c>
      <c r="J1281" t="str">
        <f>HYPERLINK("https://twitter.com/TinkuYadav9334/status/1763077434193420433","https://twitter.com/TinkuYadav9334/status/1763077434193420433")</f>
        <v>https://twitter.com/TinkuYadav9334/status/1763077434193420433</v>
      </c>
      <c r="K1281" t="s">
        <v>67</v>
      </c>
      <c r="O1281">
        <v>0</v>
      </c>
      <c r="P1281">
        <v>0</v>
      </c>
      <c r="Q1281">
        <v>2</v>
      </c>
      <c r="R1281" t="s">
        <v>2722</v>
      </c>
      <c r="S1281">
        <v>0</v>
      </c>
      <c r="T1281">
        <v>0</v>
      </c>
      <c r="U1281">
        <v>0</v>
      </c>
      <c r="W1281" t="s">
        <v>99</v>
      </c>
    </row>
    <row r="1282" spans="1:23" x14ac:dyDescent="0.35">
      <c r="A1282" t="s">
        <v>45</v>
      </c>
      <c r="B1282" t="s">
        <v>2663</v>
      </c>
      <c r="C1282" t="s">
        <v>93</v>
      </c>
      <c r="D1282" t="s">
        <v>2718</v>
      </c>
      <c r="E1282" t="s">
        <v>2719</v>
      </c>
      <c r="F1282" t="s">
        <v>49</v>
      </c>
      <c r="G1282" t="s">
        <v>2723</v>
      </c>
      <c r="H1282" t="s">
        <v>2724</v>
      </c>
      <c r="J1282" t="str">
        <f>HYPERLINK("https://twitter.com/TinkuYadav9334/status/1763076951991058885","https://twitter.com/TinkuYadav9334/status/1763076951991058885")</f>
        <v>https://twitter.com/TinkuYadav9334/status/1763076951991058885</v>
      </c>
      <c r="K1282" t="s">
        <v>67</v>
      </c>
      <c r="O1282">
        <v>0</v>
      </c>
      <c r="P1282">
        <v>0</v>
      </c>
      <c r="Q1282">
        <v>2</v>
      </c>
      <c r="R1282" t="s">
        <v>2722</v>
      </c>
      <c r="S1282">
        <v>0</v>
      </c>
      <c r="T1282">
        <v>0</v>
      </c>
      <c r="U1282">
        <v>0</v>
      </c>
      <c r="W1282" t="s">
        <v>433</v>
      </c>
    </row>
    <row r="1283" spans="1:23" x14ac:dyDescent="0.35">
      <c r="A1283" t="s">
        <v>45</v>
      </c>
      <c r="B1283" t="s">
        <v>2663</v>
      </c>
      <c r="C1283" t="s">
        <v>60</v>
      </c>
      <c r="D1283" t="s">
        <v>61</v>
      </c>
      <c r="E1283" t="s">
        <v>61</v>
      </c>
      <c r="F1283" t="s">
        <v>193</v>
      </c>
      <c r="G1283" t="s">
        <v>2725</v>
      </c>
      <c r="H1283" t="s">
        <v>2726</v>
      </c>
      <c r="J1283" t="str">
        <f>HYPERLINK("https://www.facebook.com/634639855377280/posts/799389635568967?comment_id=7349234401802069","https://www.facebook.com/634639855377280/posts/799389635568967?comment_id=7349234401802069")</f>
        <v>https://www.facebook.com/634639855377280/posts/799389635568967?comment_id=7349234401802069</v>
      </c>
      <c r="O1283">
        <v>0</v>
      </c>
      <c r="P1283">
        <v>0</v>
      </c>
      <c r="Q1283">
        <v>0</v>
      </c>
      <c r="S1283">
        <v>0</v>
      </c>
      <c r="T1283">
        <v>0</v>
      </c>
      <c r="U1283">
        <v>0</v>
      </c>
      <c r="W1283" t="s">
        <v>52</v>
      </c>
    </row>
    <row r="1284" spans="1:23" x14ac:dyDescent="0.35">
      <c r="A1284" t="s">
        <v>45</v>
      </c>
      <c r="B1284" t="s">
        <v>2663</v>
      </c>
      <c r="C1284" t="s">
        <v>93</v>
      </c>
      <c r="D1284" t="s">
        <v>2571</v>
      </c>
      <c r="E1284" t="s">
        <v>2572</v>
      </c>
      <c r="F1284" t="s">
        <v>49</v>
      </c>
      <c r="G1284" t="s">
        <v>2727</v>
      </c>
      <c r="H1284" t="s">
        <v>2728</v>
      </c>
      <c r="J1284" t="str">
        <f>HYPERLINK("https://twitter.com/binod142536/status/1763041653751976156","https://twitter.com/binod142536/status/1763041653751976156")</f>
        <v>https://twitter.com/binod142536/status/1763041653751976156</v>
      </c>
      <c r="K1284" t="s">
        <v>67</v>
      </c>
      <c r="O1284">
        <v>0</v>
      </c>
      <c r="P1284">
        <v>0</v>
      </c>
      <c r="Q1284">
        <v>0</v>
      </c>
      <c r="R1284" t="s">
        <v>2575</v>
      </c>
      <c r="S1284">
        <v>0</v>
      </c>
      <c r="T1284">
        <v>0</v>
      </c>
      <c r="U1284">
        <v>0</v>
      </c>
      <c r="W1284" t="s">
        <v>99</v>
      </c>
    </row>
    <row r="1285" spans="1:23" x14ac:dyDescent="0.35">
      <c r="A1285" t="s">
        <v>45</v>
      </c>
      <c r="B1285" t="s">
        <v>2663</v>
      </c>
      <c r="C1285" t="s">
        <v>93</v>
      </c>
      <c r="D1285" t="s">
        <v>94</v>
      </c>
      <c r="E1285" t="s">
        <v>45</v>
      </c>
      <c r="F1285" t="s">
        <v>49</v>
      </c>
      <c r="G1285" t="s">
        <v>2729</v>
      </c>
      <c r="H1285" t="s">
        <v>2730</v>
      </c>
      <c r="J1285" t="str">
        <f>HYPERLINK("https://twitter.com/SpiceMoneyIndia/status/1763040299276816555","https://twitter.com/SpiceMoneyIndia/status/1763040299276816555")</f>
        <v>https://twitter.com/SpiceMoneyIndia/status/1763040299276816555</v>
      </c>
      <c r="K1285" t="s">
        <v>67</v>
      </c>
      <c r="O1285">
        <v>0</v>
      </c>
      <c r="P1285">
        <v>0</v>
      </c>
      <c r="Q1285">
        <v>6047</v>
      </c>
      <c r="R1285" t="s">
        <v>97</v>
      </c>
      <c r="S1285">
        <v>0</v>
      </c>
      <c r="T1285">
        <v>0</v>
      </c>
      <c r="U1285">
        <v>0</v>
      </c>
      <c r="V1285" t="s">
        <v>98</v>
      </c>
      <c r="W1285" t="s">
        <v>99</v>
      </c>
    </row>
    <row r="1286" spans="1:23" x14ac:dyDescent="0.35">
      <c r="A1286" t="s">
        <v>45</v>
      </c>
      <c r="B1286" t="s">
        <v>2663</v>
      </c>
      <c r="C1286" t="s">
        <v>47</v>
      </c>
      <c r="D1286" t="s">
        <v>68</v>
      </c>
      <c r="E1286" t="s">
        <v>68</v>
      </c>
      <c r="F1286" t="s">
        <v>49</v>
      </c>
      <c r="G1286" t="s">
        <v>69</v>
      </c>
      <c r="H1286" t="s">
        <v>2731</v>
      </c>
      <c r="J1286" t="str">
        <f>HYPERLINK("https://www.youtube.com/watch?v=2FEM1kunPCQ&amp;lc=Ugw_sB1w40C0DcjrMq54AaABAg.A0N--ZzhO1FA0O6eTMvryg","https://www.youtube.com/watch?v=2FEM1kunPCQ&amp;lc=Ugw_sB1w40C0DcjrMq54AaABAg.A0N--ZzhO1FA0O6eTMvryg")</f>
        <v>https://www.youtube.com/watch?v=2FEM1kunPCQ&amp;lc=Ugw_sB1w40C0DcjrMq54AaABAg.A0N--ZzhO1FA0O6eTMvryg</v>
      </c>
      <c r="O1286">
        <v>0</v>
      </c>
      <c r="P1286">
        <v>0</v>
      </c>
      <c r="Q1286">
        <v>0</v>
      </c>
      <c r="S1286">
        <v>0</v>
      </c>
      <c r="T1286">
        <v>0</v>
      </c>
      <c r="U1286">
        <v>0</v>
      </c>
      <c r="W1286" t="s">
        <v>52</v>
      </c>
    </row>
    <row r="1287" spans="1:23" x14ac:dyDescent="0.35">
      <c r="A1287" t="s">
        <v>45</v>
      </c>
      <c r="B1287" t="s">
        <v>2663</v>
      </c>
      <c r="C1287" t="s">
        <v>93</v>
      </c>
      <c r="D1287" t="s">
        <v>94</v>
      </c>
      <c r="E1287" t="s">
        <v>45</v>
      </c>
      <c r="F1287" t="s">
        <v>49</v>
      </c>
      <c r="G1287" t="s">
        <v>2732</v>
      </c>
      <c r="H1287" t="s">
        <v>2733</v>
      </c>
      <c r="J1287" t="str">
        <f>HYPERLINK("https://twitter.com/SpiceMoneyIndia/status/1763037531036090549","https://twitter.com/SpiceMoneyIndia/status/1763037531036090549")</f>
        <v>https://twitter.com/SpiceMoneyIndia/status/1763037531036090549</v>
      </c>
      <c r="K1287" t="s">
        <v>67</v>
      </c>
      <c r="O1287">
        <v>0</v>
      </c>
      <c r="P1287">
        <v>0</v>
      </c>
      <c r="Q1287">
        <v>6046</v>
      </c>
      <c r="R1287" t="s">
        <v>97</v>
      </c>
      <c r="S1287">
        <v>0</v>
      </c>
      <c r="T1287">
        <v>0</v>
      </c>
      <c r="U1287">
        <v>0</v>
      </c>
      <c r="V1287" t="s">
        <v>98</v>
      </c>
      <c r="W1287" t="s">
        <v>99</v>
      </c>
    </row>
    <row r="1288" spans="1:23" x14ac:dyDescent="0.35">
      <c r="A1288" t="s">
        <v>45</v>
      </c>
      <c r="B1288" t="s">
        <v>2663</v>
      </c>
      <c r="C1288" t="s">
        <v>93</v>
      </c>
      <c r="D1288" t="s">
        <v>2571</v>
      </c>
      <c r="E1288" t="s">
        <v>2572</v>
      </c>
      <c r="F1288" t="s">
        <v>49</v>
      </c>
      <c r="G1288" t="s">
        <v>2734</v>
      </c>
      <c r="H1288" t="s">
        <v>2735</v>
      </c>
      <c r="J1288" t="str">
        <f>HYPERLINK("https://twitter.com/binod142536/status/1763032570659586107","https://twitter.com/binod142536/status/1763032570659586107")</f>
        <v>https://twitter.com/binod142536/status/1763032570659586107</v>
      </c>
      <c r="K1288" t="s">
        <v>67</v>
      </c>
      <c r="O1288">
        <v>0</v>
      </c>
      <c r="P1288">
        <v>0</v>
      </c>
      <c r="Q1288">
        <v>0</v>
      </c>
      <c r="R1288" t="s">
        <v>2575</v>
      </c>
      <c r="S1288">
        <v>0</v>
      </c>
      <c r="T1288">
        <v>0</v>
      </c>
      <c r="U1288">
        <v>0</v>
      </c>
      <c r="W1288" t="s">
        <v>99</v>
      </c>
    </row>
    <row r="1289" spans="1:23" x14ac:dyDescent="0.35">
      <c r="A1289" t="s">
        <v>45</v>
      </c>
      <c r="B1289" t="s">
        <v>2663</v>
      </c>
      <c r="C1289" t="s">
        <v>93</v>
      </c>
      <c r="D1289" t="s">
        <v>2736</v>
      </c>
      <c r="E1289" t="s">
        <v>2737</v>
      </c>
      <c r="F1289" t="s">
        <v>49</v>
      </c>
      <c r="G1289" s="1" t="s">
        <v>2738</v>
      </c>
      <c r="H1289" t="s">
        <v>2739</v>
      </c>
      <c r="J1289" t="str">
        <f>HYPERLINK("https://twitter.com/yogendra_raturi/status/1763031542962479526","https://twitter.com/yogendra_raturi/status/1763031542962479526")</f>
        <v>https://twitter.com/yogendra_raturi/status/1763031542962479526</v>
      </c>
      <c r="O1289">
        <v>0</v>
      </c>
      <c r="P1289">
        <v>0</v>
      </c>
      <c r="Q1289">
        <v>6698</v>
      </c>
      <c r="R1289" t="s">
        <v>2740</v>
      </c>
      <c r="S1289">
        <v>0</v>
      </c>
      <c r="T1289">
        <v>0</v>
      </c>
      <c r="U1289">
        <v>0</v>
      </c>
      <c r="W1289" t="s">
        <v>99</v>
      </c>
    </row>
    <row r="1290" spans="1:23" x14ac:dyDescent="0.35">
      <c r="A1290" t="s">
        <v>45</v>
      </c>
      <c r="B1290" t="s">
        <v>2663</v>
      </c>
      <c r="C1290" t="s">
        <v>93</v>
      </c>
      <c r="D1290" t="s">
        <v>2736</v>
      </c>
      <c r="E1290" t="s">
        <v>2737</v>
      </c>
      <c r="F1290" t="s">
        <v>49</v>
      </c>
      <c r="G1290" t="s">
        <v>2741</v>
      </c>
      <c r="H1290" t="s">
        <v>2742</v>
      </c>
      <c r="J1290" t="str">
        <f>HYPERLINK("https://twitter.com/yogendra_raturi/status/1763031253329084866","https://twitter.com/yogendra_raturi/status/1763031253329084866")</f>
        <v>https://twitter.com/yogendra_raturi/status/1763031253329084866</v>
      </c>
      <c r="O1290">
        <v>0</v>
      </c>
      <c r="P1290">
        <v>0</v>
      </c>
      <c r="Q1290">
        <v>6698</v>
      </c>
      <c r="R1290" t="s">
        <v>2740</v>
      </c>
      <c r="S1290">
        <v>0</v>
      </c>
      <c r="T1290">
        <v>0</v>
      </c>
      <c r="U1290">
        <v>0</v>
      </c>
      <c r="W1290" t="s">
        <v>99</v>
      </c>
    </row>
    <row r="1291" spans="1:23" x14ac:dyDescent="0.35">
      <c r="A1291" t="s">
        <v>45</v>
      </c>
      <c r="B1291" t="s">
        <v>2743</v>
      </c>
      <c r="C1291" t="s">
        <v>47</v>
      </c>
      <c r="D1291" t="s">
        <v>2744</v>
      </c>
      <c r="E1291" t="s">
        <v>2744</v>
      </c>
      <c r="F1291" t="s">
        <v>49</v>
      </c>
      <c r="G1291" t="s">
        <v>2745</v>
      </c>
      <c r="H1291" t="s">
        <v>2746</v>
      </c>
      <c r="J1291" t="str">
        <f>HYPERLINK("https://www.youtube.com/watch?v=fi0KMSdJZZY&amp;lc=UgxU5gQXo10E-r7TccN4AaABAg","https://www.youtube.com/watch?v=fi0KMSdJZZY&amp;lc=UgxU5gQXo10E-r7TccN4AaABAg")</f>
        <v>https://www.youtube.com/watch?v=fi0KMSdJZZY&amp;lc=UgxU5gQXo10E-r7TccN4AaABAg</v>
      </c>
      <c r="O1291">
        <v>0</v>
      </c>
      <c r="P1291">
        <v>0</v>
      </c>
      <c r="Q1291">
        <v>0</v>
      </c>
      <c r="S1291">
        <v>0</v>
      </c>
      <c r="T1291">
        <v>0</v>
      </c>
      <c r="U1291">
        <v>0</v>
      </c>
      <c r="W1291" t="s">
        <v>52</v>
      </c>
    </row>
    <row r="1292" spans="1:23" x14ac:dyDescent="0.35">
      <c r="A1292" t="s">
        <v>45</v>
      </c>
      <c r="B1292" t="s">
        <v>2743</v>
      </c>
      <c r="C1292" t="s">
        <v>47</v>
      </c>
      <c r="D1292" t="s">
        <v>2747</v>
      </c>
      <c r="E1292" t="s">
        <v>2747</v>
      </c>
      <c r="F1292" t="s">
        <v>49</v>
      </c>
      <c r="G1292" t="s">
        <v>2748</v>
      </c>
      <c r="H1292" t="s">
        <v>2749</v>
      </c>
      <c r="J1292" t="str">
        <f>HYPERLINK("https://www.youtube.com/watch?v=2FEM1kunPCQ&amp;lc=Ugw_sB1w40C0DcjrMq54AaABAg","https://www.youtube.com/watch?v=2FEM1kunPCQ&amp;lc=Ugw_sB1w40C0DcjrMq54AaABAg")</f>
        <v>https://www.youtube.com/watch?v=2FEM1kunPCQ&amp;lc=Ugw_sB1w40C0DcjrMq54AaABAg</v>
      </c>
      <c r="O1292">
        <v>0</v>
      </c>
      <c r="P1292">
        <v>0</v>
      </c>
      <c r="Q1292">
        <v>0</v>
      </c>
      <c r="S1292">
        <v>0</v>
      </c>
      <c r="T1292">
        <v>0</v>
      </c>
      <c r="U1292">
        <v>0</v>
      </c>
      <c r="W1292" t="s">
        <v>52</v>
      </c>
    </row>
    <row r="1293" spans="1:23" x14ac:dyDescent="0.35">
      <c r="A1293" t="s">
        <v>45</v>
      </c>
      <c r="B1293" t="s">
        <v>2743</v>
      </c>
      <c r="C1293" t="s">
        <v>93</v>
      </c>
      <c r="D1293" t="s">
        <v>2571</v>
      </c>
      <c r="E1293" t="s">
        <v>2572</v>
      </c>
      <c r="F1293" t="s">
        <v>49</v>
      </c>
      <c r="G1293" t="s">
        <v>2750</v>
      </c>
      <c r="H1293" t="s">
        <v>2751</v>
      </c>
      <c r="J1293" t="str">
        <f>HYPERLINK("https://twitter.com/binod142536/status/1762861904924647766","https://twitter.com/binod142536/status/1762861904924647766")</f>
        <v>https://twitter.com/binod142536/status/1762861904924647766</v>
      </c>
      <c r="K1293" t="s">
        <v>67</v>
      </c>
      <c r="O1293">
        <v>0</v>
      </c>
      <c r="P1293">
        <v>0</v>
      </c>
      <c r="Q1293">
        <v>0</v>
      </c>
      <c r="R1293" t="s">
        <v>2575</v>
      </c>
      <c r="S1293">
        <v>0</v>
      </c>
      <c r="T1293">
        <v>0</v>
      </c>
      <c r="U1293">
        <v>0</v>
      </c>
      <c r="W1293" t="s">
        <v>99</v>
      </c>
    </row>
    <row r="1294" spans="1:23" x14ac:dyDescent="0.35">
      <c r="A1294" t="s">
        <v>45</v>
      </c>
      <c r="B1294" t="s">
        <v>2743</v>
      </c>
      <c r="C1294" t="s">
        <v>93</v>
      </c>
      <c r="D1294" t="s">
        <v>2571</v>
      </c>
      <c r="E1294" t="s">
        <v>2572</v>
      </c>
      <c r="F1294" t="s">
        <v>193</v>
      </c>
      <c r="G1294" t="s">
        <v>2752</v>
      </c>
      <c r="H1294" t="s">
        <v>2753</v>
      </c>
      <c r="J1294" t="str">
        <f>HYPERLINK("https://twitter.com/binod142536/status/1762861397623636415","https://twitter.com/binod142536/status/1762861397623636415")</f>
        <v>https://twitter.com/binod142536/status/1762861397623636415</v>
      </c>
      <c r="K1294" t="s">
        <v>67</v>
      </c>
      <c r="O1294">
        <v>0</v>
      </c>
      <c r="P1294">
        <v>0</v>
      </c>
      <c r="Q1294">
        <v>0</v>
      </c>
      <c r="R1294" t="s">
        <v>2575</v>
      </c>
      <c r="S1294">
        <v>0</v>
      </c>
      <c r="T1294">
        <v>0</v>
      </c>
      <c r="U1294">
        <v>0</v>
      </c>
      <c r="W1294" t="s">
        <v>99</v>
      </c>
    </row>
    <row r="1295" spans="1:23" x14ac:dyDescent="0.35">
      <c r="A1295" t="s">
        <v>45</v>
      </c>
      <c r="B1295" t="s">
        <v>2743</v>
      </c>
      <c r="C1295" t="s">
        <v>93</v>
      </c>
      <c r="D1295" t="s">
        <v>1996</v>
      </c>
      <c r="E1295" t="s">
        <v>1997</v>
      </c>
      <c r="F1295" t="s">
        <v>193</v>
      </c>
      <c r="G1295" t="s">
        <v>2754</v>
      </c>
      <c r="H1295" t="s">
        <v>2755</v>
      </c>
      <c r="J1295" t="str">
        <f>HYPERLINK("https://twitter.com/KapilIndurkahya/status/1762859901431529951","https://twitter.com/KapilIndurkahya/status/1762859901431529951")</f>
        <v>https://twitter.com/KapilIndurkahya/status/1762859901431529951</v>
      </c>
      <c r="K1295" t="s">
        <v>67</v>
      </c>
      <c r="O1295">
        <v>0</v>
      </c>
      <c r="P1295">
        <v>0</v>
      </c>
      <c r="Q1295">
        <v>0</v>
      </c>
      <c r="S1295">
        <v>0</v>
      </c>
      <c r="T1295">
        <v>0</v>
      </c>
      <c r="U1295">
        <v>0</v>
      </c>
      <c r="W1295" t="s">
        <v>433</v>
      </c>
    </row>
    <row r="1296" spans="1:23" x14ac:dyDescent="0.35">
      <c r="A1296" t="s">
        <v>45</v>
      </c>
      <c r="B1296" t="s">
        <v>2743</v>
      </c>
      <c r="C1296" t="s">
        <v>60</v>
      </c>
      <c r="D1296" t="s">
        <v>61</v>
      </c>
      <c r="E1296" t="s">
        <v>61</v>
      </c>
      <c r="F1296" t="s">
        <v>49</v>
      </c>
      <c r="G1296" t="s">
        <v>2756</v>
      </c>
      <c r="H1296" t="s">
        <v>2757</v>
      </c>
      <c r="J1296" t="str">
        <f>HYPERLINK("https://www.facebook.com/634639855377280/posts/798752012299396?comment_id=1063184474757490","https://www.facebook.com/634639855377280/posts/798752012299396?comment_id=1063184474757490")</f>
        <v>https://www.facebook.com/634639855377280/posts/798752012299396?comment_id=1063184474757490</v>
      </c>
      <c r="O1296">
        <v>0</v>
      </c>
      <c r="P1296">
        <v>0</v>
      </c>
      <c r="Q1296">
        <v>0</v>
      </c>
      <c r="S1296">
        <v>0</v>
      </c>
      <c r="T1296">
        <v>0</v>
      </c>
      <c r="U1296">
        <v>0</v>
      </c>
      <c r="W1296" t="s">
        <v>52</v>
      </c>
    </row>
    <row r="1297" spans="1:23" x14ac:dyDescent="0.35">
      <c r="A1297" t="s">
        <v>45</v>
      </c>
      <c r="B1297" t="s">
        <v>2743</v>
      </c>
      <c r="C1297" t="s">
        <v>60</v>
      </c>
      <c r="D1297" t="s">
        <v>61</v>
      </c>
      <c r="E1297" t="s">
        <v>61</v>
      </c>
      <c r="F1297" t="s">
        <v>193</v>
      </c>
      <c r="G1297" t="s">
        <v>2758</v>
      </c>
      <c r="H1297" t="s">
        <v>2759</v>
      </c>
      <c r="J1297" t="str">
        <f>HYPERLINK("https://www.facebook.com/634639855377280/posts/799389635568967?comment_id=709878428003759","https://www.facebook.com/634639855377280/posts/799389635568967?comment_id=709878428003759")</f>
        <v>https://www.facebook.com/634639855377280/posts/799389635568967?comment_id=709878428003759</v>
      </c>
      <c r="O1297">
        <v>0</v>
      </c>
      <c r="P1297">
        <v>0</v>
      </c>
      <c r="Q1297">
        <v>0</v>
      </c>
      <c r="S1297">
        <v>0</v>
      </c>
      <c r="T1297">
        <v>0</v>
      </c>
      <c r="U1297">
        <v>0</v>
      </c>
      <c r="W1297" t="s">
        <v>52</v>
      </c>
    </row>
    <row r="1298" spans="1:23" x14ac:dyDescent="0.35">
      <c r="A1298" t="s">
        <v>45</v>
      </c>
      <c r="B1298" t="s">
        <v>2743</v>
      </c>
      <c r="C1298" t="s">
        <v>60</v>
      </c>
      <c r="D1298" t="s">
        <v>61</v>
      </c>
      <c r="E1298" t="s">
        <v>61</v>
      </c>
      <c r="F1298" t="s">
        <v>49</v>
      </c>
      <c r="G1298" t="s">
        <v>2760</v>
      </c>
      <c r="H1298" t="s">
        <v>2761</v>
      </c>
      <c r="J1298" t="str">
        <f>HYPERLINK("https://www.facebook.com/634639855377280/posts/798752012299396?comment_id=394639136512534&amp;reply_comment_id=725784576327691","https://www.facebook.com/634639855377280/posts/798752012299396?comment_id=394639136512534&amp;reply_comment_id=725784576327691")</f>
        <v>https://www.facebook.com/634639855377280/posts/798752012299396?comment_id=394639136512534&amp;reply_comment_id=725784576327691</v>
      </c>
      <c r="O1298">
        <v>0</v>
      </c>
      <c r="P1298">
        <v>0</v>
      </c>
      <c r="Q1298">
        <v>0</v>
      </c>
      <c r="S1298">
        <v>0</v>
      </c>
      <c r="T1298">
        <v>0</v>
      </c>
      <c r="U1298">
        <v>0</v>
      </c>
      <c r="W1298" t="s">
        <v>52</v>
      </c>
    </row>
    <row r="1299" spans="1:23" x14ac:dyDescent="0.35">
      <c r="A1299" t="s">
        <v>45</v>
      </c>
      <c r="B1299" t="s">
        <v>2743</v>
      </c>
      <c r="C1299" t="s">
        <v>60</v>
      </c>
      <c r="D1299" t="s">
        <v>61</v>
      </c>
      <c r="E1299" t="s">
        <v>61</v>
      </c>
      <c r="F1299" t="s">
        <v>49</v>
      </c>
      <c r="G1299" t="s">
        <v>2762</v>
      </c>
      <c r="H1299" t="s">
        <v>2763</v>
      </c>
      <c r="J1299" t="str">
        <f>HYPERLINK("https://www.facebook.com/634639855377280/posts/799389635568967?comment_id=938246474971697","https://www.facebook.com/634639855377280/posts/799389635568967?comment_id=938246474971697")</f>
        <v>https://www.facebook.com/634639855377280/posts/799389635568967?comment_id=938246474971697</v>
      </c>
      <c r="O1299">
        <v>0</v>
      </c>
      <c r="P1299">
        <v>0</v>
      </c>
      <c r="Q1299">
        <v>0</v>
      </c>
      <c r="S1299">
        <v>0</v>
      </c>
      <c r="T1299">
        <v>0</v>
      </c>
      <c r="U1299">
        <v>0</v>
      </c>
      <c r="W1299" t="s">
        <v>52</v>
      </c>
    </row>
    <row r="1300" spans="1:23" x14ac:dyDescent="0.35">
      <c r="A1300" t="s">
        <v>45</v>
      </c>
      <c r="B1300" t="s">
        <v>2743</v>
      </c>
      <c r="C1300" t="s">
        <v>60</v>
      </c>
      <c r="D1300" t="s">
        <v>64</v>
      </c>
      <c r="E1300" t="s">
        <v>64</v>
      </c>
      <c r="F1300" t="s">
        <v>49</v>
      </c>
      <c r="G1300" t="s">
        <v>83</v>
      </c>
      <c r="H1300" t="s">
        <v>2764</v>
      </c>
      <c r="J1300" t="str">
        <f>HYPERLINK("https://www.facebook.com/634639855377280/posts/798752012299396?comment_id=958534405894114&amp;reply_comment_id=358834167132967","https://www.facebook.com/634639855377280/posts/798752012299396?comment_id=958534405894114&amp;reply_comment_id=358834167132967")</f>
        <v>https://www.facebook.com/634639855377280/posts/798752012299396?comment_id=958534405894114&amp;reply_comment_id=358834167132967</v>
      </c>
      <c r="K1300" t="s">
        <v>67</v>
      </c>
      <c r="O1300">
        <v>0</v>
      </c>
      <c r="P1300">
        <v>0</v>
      </c>
      <c r="Q1300">
        <v>0</v>
      </c>
      <c r="S1300">
        <v>0</v>
      </c>
      <c r="T1300">
        <v>0</v>
      </c>
      <c r="U1300">
        <v>0</v>
      </c>
      <c r="W1300" t="s">
        <v>52</v>
      </c>
    </row>
    <row r="1301" spans="1:23" x14ac:dyDescent="0.35">
      <c r="A1301" t="s">
        <v>45</v>
      </c>
      <c r="B1301" t="s">
        <v>2743</v>
      </c>
      <c r="C1301" t="s">
        <v>60</v>
      </c>
      <c r="D1301" t="s">
        <v>64</v>
      </c>
      <c r="E1301" t="s">
        <v>64</v>
      </c>
      <c r="F1301" t="s">
        <v>49</v>
      </c>
      <c r="G1301" t="s">
        <v>164</v>
      </c>
      <c r="H1301" t="s">
        <v>2765</v>
      </c>
      <c r="J1301" t="str">
        <f>HYPERLINK("https://www.facebook.com/634639855377280/posts/798752012299396?comment_id=394639136512534&amp;reply_comment_id=424528460050764","https://www.facebook.com/634639855377280/posts/798752012299396?comment_id=394639136512534&amp;reply_comment_id=424528460050764")</f>
        <v>https://www.facebook.com/634639855377280/posts/798752012299396?comment_id=394639136512534&amp;reply_comment_id=424528460050764</v>
      </c>
      <c r="K1301" t="s">
        <v>67</v>
      </c>
      <c r="O1301">
        <v>0</v>
      </c>
      <c r="P1301">
        <v>0</v>
      </c>
      <c r="Q1301">
        <v>0</v>
      </c>
      <c r="S1301">
        <v>0</v>
      </c>
      <c r="T1301">
        <v>0</v>
      </c>
      <c r="U1301">
        <v>0</v>
      </c>
      <c r="W1301" t="s">
        <v>52</v>
      </c>
    </row>
    <row r="1302" spans="1:23" x14ac:dyDescent="0.35">
      <c r="A1302" t="s">
        <v>45</v>
      </c>
      <c r="B1302" t="s">
        <v>2743</v>
      </c>
      <c r="C1302" t="s">
        <v>60</v>
      </c>
      <c r="D1302" t="s">
        <v>64</v>
      </c>
      <c r="E1302" t="s">
        <v>64</v>
      </c>
      <c r="F1302" t="s">
        <v>49</v>
      </c>
      <c r="G1302" t="s">
        <v>2766</v>
      </c>
      <c r="H1302" t="s">
        <v>2767</v>
      </c>
      <c r="J1302" t="str">
        <f>HYPERLINK("https://www.facebook.com/634639855377280/posts/798752012299396?comment_id=365657892961885&amp;reply_comment_id=945437153877636","https://www.facebook.com/634639855377280/posts/798752012299396?comment_id=365657892961885&amp;reply_comment_id=945437153877636")</f>
        <v>https://www.facebook.com/634639855377280/posts/798752012299396?comment_id=365657892961885&amp;reply_comment_id=945437153877636</v>
      </c>
      <c r="K1302" t="s">
        <v>67</v>
      </c>
      <c r="O1302">
        <v>0</v>
      </c>
      <c r="P1302">
        <v>0</v>
      </c>
      <c r="Q1302">
        <v>0</v>
      </c>
      <c r="S1302">
        <v>0</v>
      </c>
      <c r="T1302">
        <v>0</v>
      </c>
      <c r="U1302">
        <v>0</v>
      </c>
      <c r="W1302" t="s">
        <v>52</v>
      </c>
    </row>
    <row r="1303" spans="1:23" x14ac:dyDescent="0.35">
      <c r="A1303" t="s">
        <v>45</v>
      </c>
      <c r="B1303" t="s">
        <v>2743</v>
      </c>
      <c r="C1303" t="s">
        <v>93</v>
      </c>
      <c r="D1303" t="s">
        <v>94</v>
      </c>
      <c r="E1303" t="s">
        <v>45</v>
      </c>
      <c r="F1303" t="s">
        <v>49</v>
      </c>
      <c r="G1303" t="s">
        <v>2542</v>
      </c>
      <c r="H1303" t="s">
        <v>2768</v>
      </c>
      <c r="J1303" t="str">
        <f>HYPERLINK("https://twitter.com/SpiceMoneyIndia/status/1762773253754392635","https://twitter.com/SpiceMoneyIndia/status/1762773253754392635")</f>
        <v>https://twitter.com/SpiceMoneyIndia/status/1762773253754392635</v>
      </c>
      <c r="K1303" t="s">
        <v>67</v>
      </c>
      <c r="O1303">
        <v>0</v>
      </c>
      <c r="P1303">
        <v>0</v>
      </c>
      <c r="Q1303">
        <v>6048</v>
      </c>
      <c r="R1303" t="s">
        <v>97</v>
      </c>
      <c r="S1303">
        <v>0</v>
      </c>
      <c r="T1303">
        <v>0</v>
      </c>
      <c r="U1303">
        <v>0</v>
      </c>
      <c r="V1303" t="s">
        <v>98</v>
      </c>
      <c r="W1303" t="s">
        <v>99</v>
      </c>
    </row>
    <row r="1304" spans="1:23" x14ac:dyDescent="0.35">
      <c r="A1304" t="s">
        <v>45</v>
      </c>
      <c r="B1304" t="s">
        <v>2743</v>
      </c>
      <c r="C1304" t="s">
        <v>47</v>
      </c>
      <c r="D1304" t="s">
        <v>68</v>
      </c>
      <c r="E1304" t="s">
        <v>68</v>
      </c>
      <c r="F1304" t="s">
        <v>49</v>
      </c>
      <c r="G1304" t="s">
        <v>69</v>
      </c>
      <c r="H1304" t="s">
        <v>2769</v>
      </c>
      <c r="J1304" t="str">
        <f>HYPERLINK("https://www.youtube.com/watch?v=4Zg3zYPaGiw&amp;lc=Ugwp7CwZ_PZOA9kqXXR4AaABAg.A0KC3cnbMALA0ME85AdhyC","https://www.youtube.com/watch?v=4Zg3zYPaGiw&amp;lc=Ugwp7CwZ_PZOA9kqXXR4AaABAg.A0KC3cnbMALA0ME85AdhyC")</f>
        <v>https://www.youtube.com/watch?v=4Zg3zYPaGiw&amp;lc=Ugwp7CwZ_PZOA9kqXXR4AaABAg.A0KC3cnbMALA0ME85AdhyC</v>
      </c>
      <c r="O1304">
        <v>0</v>
      </c>
      <c r="P1304">
        <v>0</v>
      </c>
      <c r="Q1304">
        <v>0</v>
      </c>
      <c r="S1304">
        <v>0</v>
      </c>
      <c r="T1304">
        <v>0</v>
      </c>
      <c r="U1304">
        <v>0</v>
      </c>
      <c r="W1304" t="s">
        <v>52</v>
      </c>
    </row>
    <row r="1305" spans="1:23" x14ac:dyDescent="0.35">
      <c r="A1305" t="s">
        <v>45</v>
      </c>
      <c r="B1305" t="s">
        <v>2743</v>
      </c>
      <c r="C1305" t="s">
        <v>93</v>
      </c>
      <c r="D1305" t="s">
        <v>2770</v>
      </c>
      <c r="E1305" t="s">
        <v>2771</v>
      </c>
      <c r="F1305" t="s">
        <v>193</v>
      </c>
      <c r="G1305" t="s">
        <v>2772</v>
      </c>
      <c r="H1305" t="s">
        <v>2773</v>
      </c>
      <c r="J1305" t="str">
        <f>HYPERLINK("https://twitter.com/Muruvet1270965/status/1762769130963247219","https://twitter.com/Muruvet1270965/status/1762769130963247219")</f>
        <v>https://twitter.com/Muruvet1270965/status/1762769130963247219</v>
      </c>
      <c r="O1305">
        <v>0</v>
      </c>
      <c r="P1305">
        <v>0</v>
      </c>
      <c r="Q1305">
        <v>0</v>
      </c>
      <c r="S1305">
        <v>0</v>
      </c>
      <c r="T1305">
        <v>0</v>
      </c>
      <c r="U1305">
        <v>0</v>
      </c>
      <c r="W1305" t="s">
        <v>99</v>
      </c>
    </row>
    <row r="1306" spans="1:23" x14ac:dyDescent="0.35">
      <c r="A1306" t="s">
        <v>45</v>
      </c>
      <c r="B1306" t="s">
        <v>2743</v>
      </c>
      <c r="C1306" t="s">
        <v>93</v>
      </c>
      <c r="D1306" t="s">
        <v>94</v>
      </c>
      <c r="E1306" t="s">
        <v>45</v>
      </c>
      <c r="F1306" t="s">
        <v>49</v>
      </c>
      <c r="G1306" t="s">
        <v>2774</v>
      </c>
      <c r="H1306" t="s">
        <v>2775</v>
      </c>
      <c r="J1306" t="str">
        <f>HYPERLINK("https://twitter.com/SpiceMoneyIndia/status/1762769114169315554","https://twitter.com/SpiceMoneyIndia/status/1762769114169315554")</f>
        <v>https://twitter.com/SpiceMoneyIndia/status/1762769114169315554</v>
      </c>
      <c r="K1306" t="s">
        <v>67</v>
      </c>
      <c r="O1306">
        <v>0</v>
      </c>
      <c r="P1306">
        <v>0</v>
      </c>
      <c r="Q1306">
        <v>6048</v>
      </c>
      <c r="R1306" t="s">
        <v>97</v>
      </c>
      <c r="S1306">
        <v>0</v>
      </c>
      <c r="T1306">
        <v>0</v>
      </c>
      <c r="U1306">
        <v>0</v>
      </c>
      <c r="V1306" t="s">
        <v>98</v>
      </c>
      <c r="W1306" t="s">
        <v>99</v>
      </c>
    </row>
    <row r="1307" spans="1:23" x14ac:dyDescent="0.35">
      <c r="A1307" t="s">
        <v>45</v>
      </c>
      <c r="B1307" t="s">
        <v>2743</v>
      </c>
      <c r="C1307" t="s">
        <v>60</v>
      </c>
      <c r="D1307" t="s">
        <v>61</v>
      </c>
      <c r="E1307" t="s">
        <v>61</v>
      </c>
      <c r="F1307" t="s">
        <v>49</v>
      </c>
      <c r="G1307" t="s">
        <v>2776</v>
      </c>
      <c r="H1307" t="s">
        <v>2777</v>
      </c>
      <c r="J1307" t="str">
        <f>HYPERLINK("https://www.facebook.com/634639855377280/posts/798752012299396?comment_id=958534405894114","https://www.facebook.com/634639855377280/posts/798752012299396?comment_id=958534405894114")</f>
        <v>https://www.facebook.com/634639855377280/posts/798752012299396?comment_id=958534405894114</v>
      </c>
      <c r="O1307">
        <v>0</v>
      </c>
      <c r="P1307">
        <v>0</v>
      </c>
      <c r="Q1307">
        <v>0</v>
      </c>
      <c r="S1307">
        <v>0</v>
      </c>
      <c r="T1307">
        <v>0</v>
      </c>
      <c r="U1307">
        <v>0</v>
      </c>
      <c r="W1307" t="s">
        <v>52</v>
      </c>
    </row>
    <row r="1308" spans="1:23" x14ac:dyDescent="0.35">
      <c r="A1308" t="s">
        <v>45</v>
      </c>
      <c r="B1308" t="s">
        <v>2743</v>
      </c>
      <c r="C1308" t="s">
        <v>60</v>
      </c>
      <c r="D1308" t="s">
        <v>64</v>
      </c>
      <c r="E1308" t="s">
        <v>64</v>
      </c>
      <c r="F1308" t="s">
        <v>49</v>
      </c>
      <c r="G1308" t="s">
        <v>266</v>
      </c>
      <c r="H1308" t="s">
        <v>2778</v>
      </c>
      <c r="J1308" t="str">
        <f>HYPERLINK("https://www.facebook.com/634639855377280/posts/798752012299396?comment_id=294678846697824&amp;reply_comment_id=928606658641481","https://www.facebook.com/634639855377280/posts/798752012299396?comment_id=294678846697824&amp;reply_comment_id=928606658641481")</f>
        <v>https://www.facebook.com/634639855377280/posts/798752012299396?comment_id=294678846697824&amp;reply_comment_id=928606658641481</v>
      </c>
      <c r="K1308" t="s">
        <v>67</v>
      </c>
      <c r="O1308">
        <v>0</v>
      </c>
      <c r="P1308">
        <v>0</v>
      </c>
      <c r="Q1308">
        <v>0</v>
      </c>
      <c r="S1308">
        <v>0</v>
      </c>
      <c r="T1308">
        <v>0</v>
      </c>
      <c r="U1308">
        <v>0</v>
      </c>
      <c r="W1308" t="s">
        <v>52</v>
      </c>
    </row>
    <row r="1309" spans="1:23" x14ac:dyDescent="0.35">
      <c r="A1309" t="s">
        <v>45</v>
      </c>
      <c r="B1309" t="s">
        <v>2743</v>
      </c>
      <c r="C1309" t="s">
        <v>60</v>
      </c>
      <c r="D1309" t="s">
        <v>64</v>
      </c>
      <c r="E1309" t="s">
        <v>64</v>
      </c>
      <c r="F1309" t="s">
        <v>49</v>
      </c>
      <c r="G1309" t="s">
        <v>2779</v>
      </c>
      <c r="H1309" t="s">
        <v>2780</v>
      </c>
      <c r="J1309" t="str">
        <f>HYPERLINK("https://www.facebook.com/634639855377280/posts/799389635568967","https://www.facebook.com/634639855377280/posts/799389635568967")</f>
        <v>https://www.facebook.com/634639855377280/posts/799389635568967</v>
      </c>
      <c r="O1309">
        <v>0</v>
      </c>
      <c r="P1309">
        <v>0</v>
      </c>
      <c r="Q1309">
        <v>0</v>
      </c>
      <c r="S1309">
        <v>9</v>
      </c>
      <c r="T1309">
        <v>67</v>
      </c>
      <c r="U1309">
        <v>3</v>
      </c>
      <c r="W1309" t="s">
        <v>346</v>
      </c>
    </row>
    <row r="1310" spans="1:23" x14ac:dyDescent="0.35">
      <c r="A1310" t="s">
        <v>45</v>
      </c>
      <c r="B1310" t="s">
        <v>2743</v>
      </c>
      <c r="C1310" t="s">
        <v>60</v>
      </c>
      <c r="D1310" t="s">
        <v>61</v>
      </c>
      <c r="E1310" t="s">
        <v>61</v>
      </c>
      <c r="F1310" t="s">
        <v>49</v>
      </c>
      <c r="G1310" t="s">
        <v>2781</v>
      </c>
      <c r="H1310" t="s">
        <v>2782</v>
      </c>
      <c r="J1310" t="str">
        <f>HYPERLINK("https://www.facebook.com/634639855377280/posts/798752012299396?comment_id=394639136512534&amp;reply_comment_id=923982349446030","https://www.facebook.com/634639855377280/posts/798752012299396?comment_id=394639136512534&amp;reply_comment_id=923982349446030")</f>
        <v>https://www.facebook.com/634639855377280/posts/798752012299396?comment_id=394639136512534&amp;reply_comment_id=923982349446030</v>
      </c>
      <c r="O1310">
        <v>0</v>
      </c>
      <c r="P1310">
        <v>0</v>
      </c>
      <c r="Q1310">
        <v>0</v>
      </c>
      <c r="S1310">
        <v>0</v>
      </c>
      <c r="T1310">
        <v>0</v>
      </c>
      <c r="U1310">
        <v>0</v>
      </c>
      <c r="W1310" t="s">
        <v>52</v>
      </c>
    </row>
    <row r="1311" spans="1:23" x14ac:dyDescent="0.35">
      <c r="A1311" t="s">
        <v>45</v>
      </c>
      <c r="B1311" t="s">
        <v>2743</v>
      </c>
      <c r="C1311" t="s">
        <v>60</v>
      </c>
      <c r="D1311" t="s">
        <v>61</v>
      </c>
      <c r="E1311" t="s">
        <v>61</v>
      </c>
      <c r="F1311" t="s">
        <v>49</v>
      </c>
      <c r="G1311" t="s">
        <v>2783</v>
      </c>
      <c r="H1311" t="s">
        <v>2784</v>
      </c>
      <c r="J1311" t="str">
        <f>HYPERLINK("https://www.facebook.com/634639855377280/posts/798752012299396?comment_id=394639136512534&amp;reply_comment_id=1071392707426425","https://www.facebook.com/634639855377280/posts/798752012299396?comment_id=394639136512534&amp;reply_comment_id=1071392707426425")</f>
        <v>https://www.facebook.com/634639855377280/posts/798752012299396?comment_id=394639136512534&amp;reply_comment_id=1071392707426425</v>
      </c>
      <c r="O1311">
        <v>0</v>
      </c>
      <c r="P1311">
        <v>0</v>
      </c>
      <c r="Q1311">
        <v>0</v>
      </c>
      <c r="S1311">
        <v>0</v>
      </c>
      <c r="T1311">
        <v>0</v>
      </c>
      <c r="U1311">
        <v>0</v>
      </c>
      <c r="W1311" t="s">
        <v>52</v>
      </c>
    </row>
    <row r="1312" spans="1:23" x14ac:dyDescent="0.35">
      <c r="A1312" t="s">
        <v>45</v>
      </c>
      <c r="B1312" t="s">
        <v>2743</v>
      </c>
      <c r="C1312" t="s">
        <v>60</v>
      </c>
      <c r="D1312" t="s">
        <v>64</v>
      </c>
      <c r="E1312" t="s">
        <v>64</v>
      </c>
      <c r="F1312" t="s">
        <v>49</v>
      </c>
      <c r="G1312" t="s">
        <v>100</v>
      </c>
      <c r="H1312" t="s">
        <v>2785</v>
      </c>
      <c r="J1312" t="str">
        <f>HYPERLINK("https://www.facebook.com/634639855377280/posts/798798642294733?comment_id=745300827700605&amp;reply_comment_id=342805448075906","https://www.facebook.com/634639855377280/posts/798798642294733?comment_id=745300827700605&amp;reply_comment_id=342805448075906")</f>
        <v>https://www.facebook.com/634639855377280/posts/798798642294733?comment_id=745300827700605&amp;reply_comment_id=342805448075906</v>
      </c>
      <c r="K1312" t="s">
        <v>67</v>
      </c>
      <c r="O1312">
        <v>0</v>
      </c>
      <c r="P1312">
        <v>0</v>
      </c>
      <c r="Q1312">
        <v>0</v>
      </c>
      <c r="S1312">
        <v>0</v>
      </c>
      <c r="T1312">
        <v>0</v>
      </c>
      <c r="U1312">
        <v>0</v>
      </c>
      <c r="W1312" t="s">
        <v>52</v>
      </c>
    </row>
    <row r="1313" spans="1:23" x14ac:dyDescent="0.35">
      <c r="A1313" t="s">
        <v>45</v>
      </c>
      <c r="B1313" t="s">
        <v>2743</v>
      </c>
      <c r="C1313" t="s">
        <v>60</v>
      </c>
      <c r="D1313" t="s">
        <v>61</v>
      </c>
      <c r="E1313" t="s">
        <v>61</v>
      </c>
      <c r="F1313" t="s">
        <v>49</v>
      </c>
      <c r="G1313" t="s">
        <v>2786</v>
      </c>
      <c r="H1313" t="s">
        <v>2787</v>
      </c>
      <c r="J1313" t="str">
        <f>HYPERLINK("https://www.facebook.com/634639855377280/posts/798752012299396?comment_id=294678846697824","https://www.facebook.com/634639855377280/posts/798752012299396?comment_id=294678846697824")</f>
        <v>https://www.facebook.com/634639855377280/posts/798752012299396?comment_id=294678846697824</v>
      </c>
      <c r="O1313">
        <v>0</v>
      </c>
      <c r="P1313">
        <v>0</v>
      </c>
      <c r="Q1313">
        <v>0</v>
      </c>
      <c r="S1313">
        <v>0</v>
      </c>
      <c r="T1313">
        <v>0</v>
      </c>
      <c r="U1313">
        <v>0</v>
      </c>
      <c r="W1313" t="s">
        <v>52</v>
      </c>
    </row>
    <row r="1314" spans="1:23" x14ac:dyDescent="0.35">
      <c r="A1314" t="s">
        <v>45</v>
      </c>
      <c r="B1314" t="s">
        <v>2743</v>
      </c>
      <c r="C1314" t="s">
        <v>93</v>
      </c>
      <c r="D1314" t="s">
        <v>94</v>
      </c>
      <c r="E1314" t="s">
        <v>45</v>
      </c>
      <c r="F1314" t="s">
        <v>49</v>
      </c>
      <c r="G1314" t="s">
        <v>2788</v>
      </c>
      <c r="H1314" t="s">
        <v>2789</v>
      </c>
      <c r="J1314" t="str">
        <f>HYPERLINK("https://twitter.com/SpiceMoneyIndia/status/1762747058820186258","https://twitter.com/SpiceMoneyIndia/status/1762747058820186258")</f>
        <v>https://twitter.com/SpiceMoneyIndia/status/1762747058820186258</v>
      </c>
      <c r="K1314" t="s">
        <v>67</v>
      </c>
      <c r="O1314">
        <v>0</v>
      </c>
      <c r="P1314">
        <v>0</v>
      </c>
      <c r="Q1314">
        <v>6048</v>
      </c>
      <c r="R1314" t="s">
        <v>97</v>
      </c>
      <c r="S1314">
        <v>0</v>
      </c>
      <c r="T1314">
        <v>0</v>
      </c>
      <c r="U1314">
        <v>0</v>
      </c>
      <c r="V1314" t="s">
        <v>98</v>
      </c>
      <c r="W1314" t="s">
        <v>99</v>
      </c>
    </row>
    <row r="1315" spans="1:23" x14ac:dyDescent="0.35">
      <c r="A1315" t="s">
        <v>45</v>
      </c>
      <c r="B1315" t="s">
        <v>2743</v>
      </c>
      <c r="C1315" t="s">
        <v>60</v>
      </c>
      <c r="D1315" t="s">
        <v>64</v>
      </c>
      <c r="E1315" t="s">
        <v>64</v>
      </c>
      <c r="F1315" t="s">
        <v>49</v>
      </c>
      <c r="G1315" t="s">
        <v>492</v>
      </c>
      <c r="H1315" t="s">
        <v>2790</v>
      </c>
      <c r="J1315" t="str">
        <f>HYPERLINK("https://www.facebook.com/634639855377280/posts/798798642294733?comment_id=409686285074381&amp;reply_comment_id=961060705650470","https://www.facebook.com/634639855377280/posts/798798642294733?comment_id=409686285074381&amp;reply_comment_id=961060705650470")</f>
        <v>https://www.facebook.com/634639855377280/posts/798798642294733?comment_id=409686285074381&amp;reply_comment_id=961060705650470</v>
      </c>
      <c r="K1315" t="s">
        <v>67</v>
      </c>
      <c r="O1315">
        <v>0</v>
      </c>
      <c r="P1315">
        <v>0</v>
      </c>
      <c r="Q1315">
        <v>0</v>
      </c>
      <c r="S1315">
        <v>0</v>
      </c>
      <c r="T1315">
        <v>0</v>
      </c>
      <c r="U1315">
        <v>0</v>
      </c>
      <c r="W1315" t="s">
        <v>52</v>
      </c>
    </row>
    <row r="1316" spans="1:23" x14ac:dyDescent="0.35">
      <c r="A1316" t="s">
        <v>45</v>
      </c>
      <c r="B1316" t="s">
        <v>2743</v>
      </c>
      <c r="C1316" t="s">
        <v>60</v>
      </c>
      <c r="D1316" t="s">
        <v>61</v>
      </c>
      <c r="E1316" t="s">
        <v>61</v>
      </c>
      <c r="F1316" t="s">
        <v>49</v>
      </c>
      <c r="G1316" t="s">
        <v>2791</v>
      </c>
      <c r="H1316" t="s">
        <v>2792</v>
      </c>
      <c r="J1316" t="str">
        <f>HYPERLINK("https://www.facebook.com/634639855377280/posts/798798642294733?comment_id=745300827700605&amp;reply_comment_id=2516784988483092","https://www.facebook.com/634639855377280/posts/798798642294733?comment_id=745300827700605&amp;reply_comment_id=2516784988483092")</f>
        <v>https://www.facebook.com/634639855377280/posts/798798642294733?comment_id=745300827700605&amp;reply_comment_id=2516784988483092</v>
      </c>
      <c r="O1316">
        <v>0</v>
      </c>
      <c r="P1316">
        <v>0</v>
      </c>
      <c r="Q1316">
        <v>0</v>
      </c>
      <c r="S1316">
        <v>0</v>
      </c>
      <c r="T1316">
        <v>0</v>
      </c>
      <c r="U1316">
        <v>0</v>
      </c>
      <c r="W1316" t="s">
        <v>52</v>
      </c>
    </row>
    <row r="1317" spans="1:23" x14ac:dyDescent="0.35">
      <c r="A1317" t="s">
        <v>45</v>
      </c>
      <c r="B1317" t="s">
        <v>2743</v>
      </c>
      <c r="C1317" t="s">
        <v>60</v>
      </c>
      <c r="D1317" t="s">
        <v>64</v>
      </c>
      <c r="E1317" t="s">
        <v>64</v>
      </c>
      <c r="F1317" t="s">
        <v>49</v>
      </c>
      <c r="G1317" t="s">
        <v>83</v>
      </c>
      <c r="H1317" t="s">
        <v>2793</v>
      </c>
      <c r="J1317" t="str">
        <f>HYPERLINK("https://www.facebook.com/634639855377280/posts/798752012299396?comment_id=1042606736835698&amp;reply_comment_id=701642248845968","https://www.facebook.com/634639855377280/posts/798752012299396?comment_id=1042606736835698&amp;reply_comment_id=701642248845968")</f>
        <v>https://www.facebook.com/634639855377280/posts/798752012299396?comment_id=1042606736835698&amp;reply_comment_id=701642248845968</v>
      </c>
      <c r="K1317" t="s">
        <v>67</v>
      </c>
      <c r="O1317">
        <v>0</v>
      </c>
      <c r="P1317">
        <v>0</v>
      </c>
      <c r="Q1317">
        <v>0</v>
      </c>
      <c r="S1317">
        <v>0</v>
      </c>
      <c r="T1317">
        <v>0</v>
      </c>
      <c r="U1317">
        <v>0</v>
      </c>
      <c r="W1317" t="s">
        <v>52</v>
      </c>
    </row>
    <row r="1318" spans="1:23" x14ac:dyDescent="0.35">
      <c r="A1318" t="s">
        <v>45</v>
      </c>
      <c r="B1318" t="s">
        <v>2743</v>
      </c>
      <c r="C1318" t="s">
        <v>60</v>
      </c>
      <c r="D1318" t="s">
        <v>64</v>
      </c>
      <c r="E1318" t="s">
        <v>64</v>
      </c>
      <c r="F1318" t="s">
        <v>49</v>
      </c>
      <c r="G1318" t="s">
        <v>83</v>
      </c>
      <c r="H1318" t="s">
        <v>2794</v>
      </c>
      <c r="J1318" t="str">
        <f>HYPERLINK("https://www.facebook.com/634639855377280/posts/798798642294733?comment_id=745300827700605&amp;reply_comment_id=410478918035229","https://www.facebook.com/634639855377280/posts/798798642294733?comment_id=745300827700605&amp;reply_comment_id=410478918035229")</f>
        <v>https://www.facebook.com/634639855377280/posts/798798642294733?comment_id=745300827700605&amp;reply_comment_id=410478918035229</v>
      </c>
      <c r="K1318" t="s">
        <v>67</v>
      </c>
      <c r="O1318">
        <v>0</v>
      </c>
      <c r="P1318">
        <v>0</v>
      </c>
      <c r="Q1318">
        <v>0</v>
      </c>
      <c r="S1318">
        <v>0</v>
      </c>
      <c r="T1318">
        <v>0</v>
      </c>
      <c r="U1318">
        <v>0</v>
      </c>
      <c r="W1318" t="s">
        <v>52</v>
      </c>
    </row>
    <row r="1319" spans="1:23" x14ac:dyDescent="0.35">
      <c r="A1319" t="s">
        <v>45</v>
      </c>
      <c r="B1319" t="s">
        <v>2743</v>
      </c>
      <c r="C1319" t="s">
        <v>93</v>
      </c>
      <c r="D1319" t="s">
        <v>2402</v>
      </c>
      <c r="E1319" t="s">
        <v>2403</v>
      </c>
      <c r="F1319" t="s">
        <v>49</v>
      </c>
      <c r="G1319" t="s">
        <v>2795</v>
      </c>
      <c r="H1319" t="s">
        <v>2796</v>
      </c>
      <c r="J1319" t="str">
        <f>HYPERLINK("https://twitter.com/samirmehar/status/1762724700034150583","https://twitter.com/samirmehar/status/1762724700034150583")</f>
        <v>https://twitter.com/samirmehar/status/1762724700034150583</v>
      </c>
      <c r="K1319" t="s">
        <v>67</v>
      </c>
      <c r="O1319">
        <v>0</v>
      </c>
      <c r="P1319">
        <v>0</v>
      </c>
      <c r="Q1319">
        <v>275</v>
      </c>
      <c r="R1319" t="s">
        <v>2406</v>
      </c>
      <c r="S1319">
        <v>0</v>
      </c>
      <c r="T1319">
        <v>0</v>
      </c>
      <c r="U1319">
        <v>0</v>
      </c>
      <c r="W1319" t="s">
        <v>433</v>
      </c>
    </row>
    <row r="1320" spans="1:23" x14ac:dyDescent="0.35">
      <c r="A1320" t="s">
        <v>45</v>
      </c>
      <c r="B1320" t="s">
        <v>2743</v>
      </c>
      <c r="C1320" t="s">
        <v>93</v>
      </c>
      <c r="D1320" t="s">
        <v>2402</v>
      </c>
      <c r="E1320" t="s">
        <v>2403</v>
      </c>
      <c r="F1320" t="s">
        <v>49</v>
      </c>
      <c r="G1320" t="s">
        <v>2795</v>
      </c>
      <c r="H1320" t="s">
        <v>2797</v>
      </c>
      <c r="J1320" t="str">
        <f>HYPERLINK("https://twitter.com/samirmehar/status/1762724194750493100","https://twitter.com/samirmehar/status/1762724194750493100")</f>
        <v>https://twitter.com/samirmehar/status/1762724194750493100</v>
      </c>
      <c r="K1320" t="s">
        <v>67</v>
      </c>
      <c r="O1320">
        <v>0</v>
      </c>
      <c r="P1320">
        <v>0</v>
      </c>
      <c r="Q1320">
        <v>275</v>
      </c>
      <c r="R1320" t="s">
        <v>2406</v>
      </c>
      <c r="S1320">
        <v>0</v>
      </c>
      <c r="T1320">
        <v>0</v>
      </c>
      <c r="U1320">
        <v>0</v>
      </c>
      <c r="W1320" t="s">
        <v>99</v>
      </c>
    </row>
    <row r="1321" spans="1:23" x14ac:dyDescent="0.35">
      <c r="A1321" t="s">
        <v>45</v>
      </c>
      <c r="B1321" t="s">
        <v>2743</v>
      </c>
      <c r="C1321" t="s">
        <v>60</v>
      </c>
      <c r="D1321" t="s">
        <v>61</v>
      </c>
      <c r="E1321" t="s">
        <v>61</v>
      </c>
      <c r="F1321" t="s">
        <v>49</v>
      </c>
      <c r="G1321" t="s">
        <v>2798</v>
      </c>
      <c r="H1321" t="s">
        <v>2799</v>
      </c>
      <c r="J1321" t="str">
        <f>HYPERLINK("https://www.facebook.com/634639855377280/posts/798752012299396?comment_id=365657892961885&amp;reply_comment_id=6057079024417138","https://www.facebook.com/634639855377280/posts/798752012299396?comment_id=365657892961885&amp;reply_comment_id=6057079024417138")</f>
        <v>https://www.facebook.com/634639855377280/posts/798752012299396?comment_id=365657892961885&amp;reply_comment_id=6057079024417138</v>
      </c>
      <c r="O1321">
        <v>0</v>
      </c>
      <c r="P1321">
        <v>0</v>
      </c>
      <c r="Q1321">
        <v>0</v>
      </c>
      <c r="S1321">
        <v>0</v>
      </c>
      <c r="T1321">
        <v>0</v>
      </c>
      <c r="U1321">
        <v>0</v>
      </c>
      <c r="W1321" t="s">
        <v>52</v>
      </c>
    </row>
    <row r="1322" spans="1:23" x14ac:dyDescent="0.35">
      <c r="A1322" t="s">
        <v>45</v>
      </c>
      <c r="B1322" t="s">
        <v>2743</v>
      </c>
      <c r="C1322" t="s">
        <v>60</v>
      </c>
      <c r="D1322" t="s">
        <v>61</v>
      </c>
      <c r="E1322" t="s">
        <v>61</v>
      </c>
      <c r="F1322" t="s">
        <v>49</v>
      </c>
      <c r="G1322" t="s">
        <v>2800</v>
      </c>
      <c r="H1322" t="s">
        <v>2801</v>
      </c>
      <c r="J1322" t="str">
        <f>HYPERLINK("https://www.facebook.com/634639855377280/posts/798752012299396?comment_id=365657892961885","https://www.facebook.com/634639855377280/posts/798752012299396?comment_id=365657892961885")</f>
        <v>https://www.facebook.com/634639855377280/posts/798752012299396?comment_id=365657892961885</v>
      </c>
      <c r="O1322">
        <v>0</v>
      </c>
      <c r="P1322">
        <v>0</v>
      </c>
      <c r="Q1322">
        <v>0</v>
      </c>
      <c r="S1322">
        <v>0</v>
      </c>
      <c r="T1322">
        <v>0</v>
      </c>
      <c r="U1322">
        <v>0</v>
      </c>
      <c r="W1322" t="s">
        <v>52</v>
      </c>
    </row>
    <row r="1323" spans="1:23" x14ac:dyDescent="0.35">
      <c r="A1323" t="s">
        <v>45</v>
      </c>
      <c r="B1323" t="s">
        <v>2743</v>
      </c>
      <c r="C1323" t="s">
        <v>60</v>
      </c>
      <c r="D1323" t="s">
        <v>61</v>
      </c>
      <c r="E1323" t="s">
        <v>61</v>
      </c>
      <c r="F1323" t="s">
        <v>193</v>
      </c>
      <c r="G1323" t="s">
        <v>2802</v>
      </c>
      <c r="H1323" t="s">
        <v>2803</v>
      </c>
      <c r="J1323" t="str">
        <f>HYPERLINK("https://www.facebook.com/634639855377280/posts/798752012299396?comment_id=394639136512534&amp;reply_comment_id=916794973252388","https://www.facebook.com/634639855377280/posts/798752012299396?comment_id=394639136512534&amp;reply_comment_id=916794973252388")</f>
        <v>https://www.facebook.com/634639855377280/posts/798752012299396?comment_id=394639136512534&amp;reply_comment_id=916794973252388</v>
      </c>
      <c r="O1323">
        <v>0</v>
      </c>
      <c r="P1323">
        <v>0</v>
      </c>
      <c r="Q1323">
        <v>0</v>
      </c>
      <c r="S1323">
        <v>0</v>
      </c>
      <c r="T1323">
        <v>0</v>
      </c>
      <c r="U1323">
        <v>0</v>
      </c>
      <c r="W1323" t="s">
        <v>52</v>
      </c>
    </row>
    <row r="1324" spans="1:23" x14ac:dyDescent="0.35">
      <c r="A1324" t="s">
        <v>45</v>
      </c>
      <c r="B1324" t="s">
        <v>2743</v>
      </c>
      <c r="C1324" t="s">
        <v>60</v>
      </c>
      <c r="D1324" t="s">
        <v>61</v>
      </c>
      <c r="E1324" t="s">
        <v>61</v>
      </c>
      <c r="F1324" t="s">
        <v>49</v>
      </c>
      <c r="G1324" t="s">
        <v>2804</v>
      </c>
      <c r="H1324" t="s">
        <v>2805</v>
      </c>
      <c r="J1324" t="str">
        <f>HYPERLINK("https://www.facebook.com/634639855377280/posts/798752012299396?comment_id=394639136512534&amp;reply_comment_id=721485440101239","https://www.facebook.com/634639855377280/posts/798752012299396?comment_id=394639136512534&amp;reply_comment_id=721485440101239")</f>
        <v>https://www.facebook.com/634639855377280/posts/798752012299396?comment_id=394639136512534&amp;reply_comment_id=721485440101239</v>
      </c>
      <c r="O1324">
        <v>0</v>
      </c>
      <c r="P1324">
        <v>0</v>
      </c>
      <c r="Q1324">
        <v>0</v>
      </c>
      <c r="S1324">
        <v>0</v>
      </c>
      <c r="T1324">
        <v>0</v>
      </c>
      <c r="U1324">
        <v>0</v>
      </c>
      <c r="W1324" t="s">
        <v>52</v>
      </c>
    </row>
    <row r="1325" spans="1:23" x14ac:dyDescent="0.35">
      <c r="A1325" t="s">
        <v>45</v>
      </c>
      <c r="B1325" t="s">
        <v>2743</v>
      </c>
      <c r="C1325" t="s">
        <v>47</v>
      </c>
      <c r="D1325" t="s">
        <v>68</v>
      </c>
      <c r="E1325" t="s">
        <v>68</v>
      </c>
      <c r="F1325" t="s">
        <v>49</v>
      </c>
      <c r="G1325" t="s">
        <v>492</v>
      </c>
      <c r="H1325" t="s">
        <v>2806</v>
      </c>
      <c r="J1325" t="str">
        <f>HYPERLINK("https://www.youtube.com/watch?v=7N6n0nCAmV8&amp;lc=UgzkyOrknqw24--nGJx4AaABAg.A0KdNMINcDHA0LXV9n8m9C","https://www.youtube.com/watch?v=7N6n0nCAmV8&amp;lc=UgzkyOrknqw24--nGJx4AaABAg.A0KdNMINcDHA0LXV9n8m9C")</f>
        <v>https://www.youtube.com/watch?v=7N6n0nCAmV8&amp;lc=UgzkyOrknqw24--nGJx4AaABAg.A0KdNMINcDHA0LXV9n8m9C</v>
      </c>
      <c r="O1325">
        <v>0</v>
      </c>
      <c r="P1325">
        <v>0</v>
      </c>
      <c r="Q1325">
        <v>0</v>
      </c>
      <c r="S1325">
        <v>0</v>
      </c>
      <c r="T1325">
        <v>0</v>
      </c>
      <c r="U1325">
        <v>0</v>
      </c>
      <c r="W1325" t="s">
        <v>52</v>
      </c>
    </row>
    <row r="1326" spans="1:23" x14ac:dyDescent="0.35">
      <c r="A1326" t="s">
        <v>45</v>
      </c>
      <c r="B1326" t="s">
        <v>2743</v>
      </c>
      <c r="C1326" t="s">
        <v>60</v>
      </c>
      <c r="D1326" t="s">
        <v>64</v>
      </c>
      <c r="E1326" t="s">
        <v>64</v>
      </c>
      <c r="F1326" t="s">
        <v>49</v>
      </c>
      <c r="G1326" t="s">
        <v>380</v>
      </c>
      <c r="H1326" t="s">
        <v>2807</v>
      </c>
      <c r="J1326" t="str">
        <f>HYPERLINK("https://www.facebook.com/634639855377280/posts/798752012299396?comment_id=394639136512534&amp;reply_comment_id=795737982576048","https://www.facebook.com/634639855377280/posts/798752012299396?comment_id=394639136512534&amp;reply_comment_id=795737982576048")</f>
        <v>https://www.facebook.com/634639855377280/posts/798752012299396?comment_id=394639136512534&amp;reply_comment_id=795737982576048</v>
      </c>
      <c r="K1326" t="s">
        <v>67</v>
      </c>
      <c r="O1326">
        <v>0</v>
      </c>
      <c r="P1326">
        <v>0</v>
      </c>
      <c r="Q1326">
        <v>0</v>
      </c>
      <c r="S1326">
        <v>0</v>
      </c>
      <c r="T1326">
        <v>0</v>
      </c>
      <c r="U1326">
        <v>0</v>
      </c>
      <c r="W1326" t="s">
        <v>52</v>
      </c>
    </row>
    <row r="1327" spans="1:23" x14ac:dyDescent="0.35">
      <c r="A1327" t="s">
        <v>45</v>
      </c>
      <c r="B1327" t="s">
        <v>2743</v>
      </c>
      <c r="C1327" t="s">
        <v>93</v>
      </c>
      <c r="D1327" t="s">
        <v>1996</v>
      </c>
      <c r="E1327" t="s">
        <v>1997</v>
      </c>
      <c r="F1327" t="s">
        <v>193</v>
      </c>
      <c r="G1327" t="s">
        <v>2754</v>
      </c>
      <c r="H1327" t="s">
        <v>2808</v>
      </c>
      <c r="J1327" t="str">
        <f>HYPERLINK("https://twitter.com/KapilIndurkahya/status/1762554606113190187","https://twitter.com/KapilIndurkahya/status/1762554606113190187")</f>
        <v>https://twitter.com/KapilIndurkahya/status/1762554606113190187</v>
      </c>
      <c r="K1327" t="s">
        <v>67</v>
      </c>
      <c r="O1327">
        <v>0</v>
      </c>
      <c r="P1327">
        <v>0</v>
      </c>
      <c r="Q1327">
        <v>0</v>
      </c>
      <c r="S1327">
        <v>0</v>
      </c>
      <c r="T1327">
        <v>0</v>
      </c>
      <c r="U1327">
        <v>0</v>
      </c>
      <c r="W1327" t="s">
        <v>99</v>
      </c>
    </row>
    <row r="1328" spans="1:23" x14ac:dyDescent="0.35">
      <c r="A1328" t="s">
        <v>45</v>
      </c>
      <c r="B1328" t="s">
        <v>2743</v>
      </c>
      <c r="C1328" t="s">
        <v>47</v>
      </c>
      <c r="D1328" t="s">
        <v>2809</v>
      </c>
      <c r="E1328" t="s">
        <v>2809</v>
      </c>
      <c r="F1328" t="s">
        <v>49</v>
      </c>
      <c r="G1328" t="s">
        <v>2810</v>
      </c>
      <c r="H1328" t="s">
        <v>2811</v>
      </c>
      <c r="J1328" t="str">
        <f>HYPERLINK("https://www.youtube.com/watch?v=7N6n0nCAmV8&amp;lc=UgzkyOrknqw24--nGJx4AaABAg","https://www.youtube.com/watch?v=7N6n0nCAmV8&amp;lc=UgzkyOrknqw24--nGJx4AaABAg")</f>
        <v>https://www.youtube.com/watch?v=7N6n0nCAmV8&amp;lc=UgzkyOrknqw24--nGJx4AaABAg</v>
      </c>
      <c r="O1328">
        <v>0</v>
      </c>
      <c r="P1328">
        <v>0</v>
      </c>
      <c r="Q1328">
        <v>0</v>
      </c>
      <c r="S1328">
        <v>0</v>
      </c>
      <c r="T1328">
        <v>0</v>
      </c>
      <c r="U1328">
        <v>0</v>
      </c>
      <c r="W1328" t="s">
        <v>52</v>
      </c>
    </row>
    <row r="1329" spans="1:23" x14ac:dyDescent="0.35">
      <c r="A1329" t="s">
        <v>45</v>
      </c>
      <c r="B1329" t="s">
        <v>2812</v>
      </c>
      <c r="C1329" t="s">
        <v>60</v>
      </c>
      <c r="D1329" t="s">
        <v>61</v>
      </c>
      <c r="E1329" t="s">
        <v>61</v>
      </c>
      <c r="F1329" t="s">
        <v>49</v>
      </c>
      <c r="G1329" t="s">
        <v>2813</v>
      </c>
      <c r="H1329" t="s">
        <v>2814</v>
      </c>
      <c r="J1329" t="str">
        <f>HYPERLINK("https://www.facebook.com/634639855377280/posts/798798642294733?comment_id=409686285074381","https://www.facebook.com/634639855377280/posts/798798642294733?comment_id=409686285074381")</f>
        <v>https://www.facebook.com/634639855377280/posts/798798642294733?comment_id=409686285074381</v>
      </c>
      <c r="O1329">
        <v>0</v>
      </c>
      <c r="P1329">
        <v>0</v>
      </c>
      <c r="Q1329">
        <v>0</v>
      </c>
      <c r="S1329">
        <v>0</v>
      </c>
      <c r="T1329">
        <v>0</v>
      </c>
      <c r="U1329">
        <v>0</v>
      </c>
      <c r="W1329" t="s">
        <v>52</v>
      </c>
    </row>
    <row r="1330" spans="1:23" x14ac:dyDescent="0.35">
      <c r="A1330" t="s">
        <v>45</v>
      </c>
      <c r="B1330" t="s">
        <v>2812</v>
      </c>
      <c r="C1330" t="s">
        <v>60</v>
      </c>
      <c r="D1330" t="s">
        <v>61</v>
      </c>
      <c r="E1330" t="s">
        <v>61</v>
      </c>
      <c r="F1330" t="s">
        <v>49</v>
      </c>
      <c r="G1330" t="s">
        <v>2815</v>
      </c>
      <c r="H1330" t="s">
        <v>2816</v>
      </c>
      <c r="J1330" t="str">
        <f>HYPERLINK("https://www.facebook.com/634639855377280/posts/798752012299396?comment_id=923302549459636","https://www.facebook.com/634639855377280/posts/798752012299396?comment_id=923302549459636")</f>
        <v>https://www.facebook.com/634639855377280/posts/798752012299396?comment_id=923302549459636</v>
      </c>
      <c r="O1330">
        <v>0</v>
      </c>
      <c r="P1330">
        <v>0</v>
      </c>
      <c r="Q1330">
        <v>0</v>
      </c>
      <c r="S1330">
        <v>0</v>
      </c>
      <c r="T1330">
        <v>0</v>
      </c>
      <c r="U1330">
        <v>0</v>
      </c>
      <c r="W1330" t="s">
        <v>52</v>
      </c>
    </row>
    <row r="1331" spans="1:23" x14ac:dyDescent="0.35">
      <c r="A1331" t="s">
        <v>45</v>
      </c>
      <c r="B1331" t="s">
        <v>2812</v>
      </c>
      <c r="C1331" t="s">
        <v>47</v>
      </c>
      <c r="D1331" t="s">
        <v>2817</v>
      </c>
      <c r="E1331" t="s">
        <v>2817</v>
      </c>
      <c r="F1331" t="s">
        <v>49</v>
      </c>
      <c r="G1331" t="s">
        <v>2818</v>
      </c>
      <c r="H1331" t="s">
        <v>2819</v>
      </c>
      <c r="J1331" t="str">
        <f>HYPERLINK("https://www.youtube.com/watch?v=4Zg3zYPaGiw&amp;lc=Ugwp7CwZ_PZOA9kqXXR4AaABAg","https://www.youtube.com/watch?v=4Zg3zYPaGiw&amp;lc=Ugwp7CwZ_PZOA9kqXXR4AaABAg")</f>
        <v>https://www.youtube.com/watch?v=4Zg3zYPaGiw&amp;lc=Ugwp7CwZ_PZOA9kqXXR4AaABAg</v>
      </c>
      <c r="O1331">
        <v>0</v>
      </c>
      <c r="P1331">
        <v>0</v>
      </c>
      <c r="Q1331">
        <v>0</v>
      </c>
      <c r="S1331">
        <v>0</v>
      </c>
      <c r="T1331">
        <v>0</v>
      </c>
      <c r="U1331">
        <v>0</v>
      </c>
      <c r="W1331" t="s">
        <v>52</v>
      </c>
    </row>
    <row r="1332" spans="1:23" x14ac:dyDescent="0.35">
      <c r="A1332" t="s">
        <v>45</v>
      </c>
      <c r="B1332" t="s">
        <v>2812</v>
      </c>
      <c r="C1332" t="s">
        <v>60</v>
      </c>
      <c r="D1332" t="s">
        <v>61</v>
      </c>
      <c r="E1332" t="s">
        <v>61</v>
      </c>
      <c r="F1332" t="s">
        <v>49</v>
      </c>
      <c r="G1332" t="s">
        <v>2820</v>
      </c>
      <c r="H1332" t="s">
        <v>2821</v>
      </c>
      <c r="J1332" t="str">
        <f>HYPERLINK("https://www.facebook.com/634639855377280/posts/798752012299396?comment_id=1042606736835698&amp;reply_comment_id=1610485813045627","https://www.facebook.com/634639855377280/posts/798752012299396?comment_id=1042606736835698&amp;reply_comment_id=1610485813045627")</f>
        <v>https://www.facebook.com/634639855377280/posts/798752012299396?comment_id=1042606736835698&amp;reply_comment_id=1610485813045627</v>
      </c>
      <c r="O1332">
        <v>0</v>
      </c>
      <c r="P1332">
        <v>0</v>
      </c>
      <c r="Q1332">
        <v>0</v>
      </c>
      <c r="S1332">
        <v>0</v>
      </c>
      <c r="T1332">
        <v>0</v>
      </c>
      <c r="U1332">
        <v>0</v>
      </c>
      <c r="W1332" t="s">
        <v>52</v>
      </c>
    </row>
    <row r="1333" spans="1:23" x14ac:dyDescent="0.35">
      <c r="A1333" t="s">
        <v>45</v>
      </c>
      <c r="B1333" t="s">
        <v>2812</v>
      </c>
      <c r="C1333" t="s">
        <v>60</v>
      </c>
      <c r="D1333" t="s">
        <v>61</v>
      </c>
      <c r="E1333" t="s">
        <v>61</v>
      </c>
      <c r="F1333" t="s">
        <v>49</v>
      </c>
      <c r="G1333" t="s">
        <v>2822</v>
      </c>
      <c r="H1333" t="s">
        <v>2823</v>
      </c>
      <c r="J1333" t="str">
        <f>HYPERLINK("https://www.facebook.com/634639855377280/posts/798752012299396?comment_id=1042606736835698&amp;reply_comment_id=1205033137142198","https://www.facebook.com/634639855377280/posts/798752012299396?comment_id=1042606736835698&amp;reply_comment_id=1205033137142198")</f>
        <v>https://www.facebook.com/634639855377280/posts/798752012299396?comment_id=1042606736835698&amp;reply_comment_id=1205033137142198</v>
      </c>
      <c r="O1333">
        <v>0</v>
      </c>
      <c r="P1333">
        <v>0</v>
      </c>
      <c r="Q1333">
        <v>0</v>
      </c>
      <c r="S1333">
        <v>0</v>
      </c>
      <c r="T1333">
        <v>0</v>
      </c>
      <c r="U1333">
        <v>0</v>
      </c>
      <c r="W1333" t="s">
        <v>52</v>
      </c>
    </row>
    <row r="1334" spans="1:23" x14ac:dyDescent="0.35">
      <c r="A1334" t="s">
        <v>45</v>
      </c>
      <c r="B1334" t="s">
        <v>2812</v>
      </c>
      <c r="C1334" t="s">
        <v>60</v>
      </c>
      <c r="D1334" t="s">
        <v>61</v>
      </c>
      <c r="E1334" t="s">
        <v>61</v>
      </c>
      <c r="F1334" t="s">
        <v>49</v>
      </c>
      <c r="G1334" t="s">
        <v>2824</v>
      </c>
      <c r="H1334" t="s">
        <v>2825</v>
      </c>
      <c r="J1334" t="str">
        <f>HYPERLINK("https://www.facebook.com/634639855377280/posts/798752012299396?comment_id=1042606736835698&amp;reply_comment_id=7165883566834399","https://www.facebook.com/634639855377280/posts/798752012299396?comment_id=1042606736835698&amp;reply_comment_id=7165883566834399")</f>
        <v>https://www.facebook.com/634639855377280/posts/798752012299396?comment_id=1042606736835698&amp;reply_comment_id=7165883566834399</v>
      </c>
      <c r="O1334">
        <v>0</v>
      </c>
      <c r="P1334">
        <v>0</v>
      </c>
      <c r="Q1334">
        <v>0</v>
      </c>
      <c r="S1334">
        <v>0</v>
      </c>
      <c r="T1334">
        <v>0</v>
      </c>
      <c r="U1334">
        <v>0</v>
      </c>
      <c r="W1334" t="s">
        <v>52</v>
      </c>
    </row>
    <row r="1335" spans="1:23" x14ac:dyDescent="0.35">
      <c r="A1335" t="s">
        <v>45</v>
      </c>
      <c r="B1335" t="s">
        <v>2812</v>
      </c>
      <c r="C1335" t="s">
        <v>60</v>
      </c>
      <c r="D1335" t="s">
        <v>61</v>
      </c>
      <c r="E1335" t="s">
        <v>61</v>
      </c>
      <c r="F1335" t="s">
        <v>49</v>
      </c>
      <c r="G1335" t="s">
        <v>2826</v>
      </c>
      <c r="H1335" t="s">
        <v>2827</v>
      </c>
      <c r="J1335" t="str">
        <f>HYPERLINK("https://www.facebook.com/634639855377280/posts/798798642294733?comment_id=745300827700605","https://www.facebook.com/634639855377280/posts/798798642294733?comment_id=745300827700605")</f>
        <v>https://www.facebook.com/634639855377280/posts/798798642294733?comment_id=745300827700605</v>
      </c>
      <c r="O1335">
        <v>0</v>
      </c>
      <c r="P1335">
        <v>0</v>
      </c>
      <c r="Q1335">
        <v>0</v>
      </c>
      <c r="S1335">
        <v>0</v>
      </c>
      <c r="T1335">
        <v>0</v>
      </c>
      <c r="U1335">
        <v>0</v>
      </c>
      <c r="W1335" t="s">
        <v>52</v>
      </c>
    </row>
    <row r="1336" spans="1:23" x14ac:dyDescent="0.35">
      <c r="A1336" t="s">
        <v>45</v>
      </c>
      <c r="B1336" t="s">
        <v>2812</v>
      </c>
      <c r="C1336" t="s">
        <v>60</v>
      </c>
      <c r="D1336" t="s">
        <v>61</v>
      </c>
      <c r="E1336" t="s">
        <v>61</v>
      </c>
      <c r="F1336" t="s">
        <v>193</v>
      </c>
      <c r="G1336" t="s">
        <v>2828</v>
      </c>
      <c r="H1336" t="s">
        <v>2829</v>
      </c>
      <c r="J1336" t="str">
        <f>HYPERLINK("https://www.facebook.com/634639855377280/posts/798798642294733?comment_id=1417140205613749","https://www.facebook.com/634639855377280/posts/798798642294733?comment_id=1417140205613749")</f>
        <v>https://www.facebook.com/634639855377280/posts/798798642294733?comment_id=1417140205613749</v>
      </c>
      <c r="O1336">
        <v>0</v>
      </c>
      <c r="P1336">
        <v>0</v>
      </c>
      <c r="Q1336">
        <v>0</v>
      </c>
      <c r="S1336">
        <v>0</v>
      </c>
      <c r="T1336">
        <v>0</v>
      </c>
      <c r="U1336">
        <v>0</v>
      </c>
      <c r="W1336" t="s">
        <v>52</v>
      </c>
    </row>
    <row r="1337" spans="1:23" x14ac:dyDescent="0.35">
      <c r="A1337" t="s">
        <v>45</v>
      </c>
      <c r="B1337" t="s">
        <v>2812</v>
      </c>
      <c r="C1337" t="s">
        <v>60</v>
      </c>
      <c r="D1337" t="s">
        <v>61</v>
      </c>
      <c r="E1337" t="s">
        <v>61</v>
      </c>
      <c r="F1337" t="s">
        <v>49</v>
      </c>
      <c r="G1337" t="s">
        <v>2830</v>
      </c>
      <c r="H1337" t="s">
        <v>2831</v>
      </c>
      <c r="J1337" t="str">
        <f>HYPERLINK("https://www.facebook.com/634639855377280/posts/798752012299396?comment_id=394639136512534","https://www.facebook.com/634639855377280/posts/798752012299396?comment_id=394639136512534")</f>
        <v>https://www.facebook.com/634639855377280/posts/798752012299396?comment_id=394639136512534</v>
      </c>
      <c r="O1337">
        <v>0</v>
      </c>
      <c r="P1337">
        <v>0</v>
      </c>
      <c r="Q1337">
        <v>0</v>
      </c>
      <c r="S1337">
        <v>0</v>
      </c>
      <c r="T1337">
        <v>0</v>
      </c>
      <c r="U1337">
        <v>0</v>
      </c>
      <c r="W1337" t="s">
        <v>52</v>
      </c>
    </row>
    <row r="1338" spans="1:23" x14ac:dyDescent="0.35">
      <c r="A1338" t="s">
        <v>45</v>
      </c>
      <c r="B1338" t="s">
        <v>2812</v>
      </c>
      <c r="C1338" t="s">
        <v>60</v>
      </c>
      <c r="D1338" t="s">
        <v>61</v>
      </c>
      <c r="E1338" t="s">
        <v>61</v>
      </c>
      <c r="F1338" t="s">
        <v>49</v>
      </c>
      <c r="G1338" t="s">
        <v>2832</v>
      </c>
      <c r="H1338" t="s">
        <v>2833</v>
      </c>
      <c r="J1338" t="str">
        <f>HYPERLINK("https://www.facebook.com/634639855377280/posts/798752012299396?comment_id=1042606736835698&amp;reply_comment_id=366210569622969","https://www.facebook.com/634639855377280/posts/798752012299396?comment_id=1042606736835698&amp;reply_comment_id=366210569622969")</f>
        <v>https://www.facebook.com/634639855377280/posts/798752012299396?comment_id=1042606736835698&amp;reply_comment_id=366210569622969</v>
      </c>
      <c r="O1338">
        <v>0</v>
      </c>
      <c r="P1338">
        <v>0</v>
      </c>
      <c r="Q1338">
        <v>0</v>
      </c>
      <c r="S1338">
        <v>0</v>
      </c>
      <c r="T1338">
        <v>0</v>
      </c>
      <c r="U1338">
        <v>0</v>
      </c>
      <c r="W1338" t="s">
        <v>52</v>
      </c>
    </row>
    <row r="1339" spans="1:23" x14ac:dyDescent="0.35">
      <c r="A1339" t="s">
        <v>45</v>
      </c>
      <c r="B1339" t="s">
        <v>2812</v>
      </c>
      <c r="C1339" t="s">
        <v>93</v>
      </c>
      <c r="D1339" t="s">
        <v>94</v>
      </c>
      <c r="E1339" t="s">
        <v>45</v>
      </c>
      <c r="F1339" t="s">
        <v>49</v>
      </c>
      <c r="G1339" t="s">
        <v>2834</v>
      </c>
      <c r="H1339" t="s">
        <v>2835</v>
      </c>
      <c r="J1339" t="str">
        <f>HYPERLINK("https://twitter.com/SpiceMoneyIndia/status/1762417880488898635","https://twitter.com/SpiceMoneyIndia/status/1762417880488898635")</f>
        <v>https://twitter.com/SpiceMoneyIndia/status/1762417880488898635</v>
      </c>
      <c r="K1339" t="s">
        <v>67</v>
      </c>
      <c r="O1339">
        <v>0</v>
      </c>
      <c r="P1339">
        <v>0</v>
      </c>
      <c r="Q1339">
        <v>6045</v>
      </c>
      <c r="R1339" t="s">
        <v>97</v>
      </c>
      <c r="S1339">
        <v>0</v>
      </c>
      <c r="T1339">
        <v>0</v>
      </c>
      <c r="U1339">
        <v>0</v>
      </c>
      <c r="V1339" t="s">
        <v>98</v>
      </c>
      <c r="W1339" t="s">
        <v>99</v>
      </c>
    </row>
    <row r="1340" spans="1:23" x14ac:dyDescent="0.35">
      <c r="A1340" t="s">
        <v>45</v>
      </c>
      <c r="B1340" t="s">
        <v>2812</v>
      </c>
      <c r="C1340" t="s">
        <v>60</v>
      </c>
      <c r="D1340" t="s">
        <v>64</v>
      </c>
      <c r="E1340" t="s">
        <v>64</v>
      </c>
      <c r="F1340" t="s">
        <v>49</v>
      </c>
      <c r="G1340" t="s">
        <v>2836</v>
      </c>
      <c r="H1340" t="s">
        <v>2837</v>
      </c>
      <c r="J1340" t="str">
        <f>HYPERLINK("https://www.facebook.com/634639855377280/posts/798798642294733","https://www.facebook.com/634639855377280/posts/798798642294733")</f>
        <v>https://www.facebook.com/634639855377280/posts/798798642294733</v>
      </c>
      <c r="O1340">
        <v>0</v>
      </c>
      <c r="P1340">
        <v>0</v>
      </c>
      <c r="Q1340">
        <v>0</v>
      </c>
      <c r="S1340">
        <v>4</v>
      </c>
      <c r="T1340">
        <v>41</v>
      </c>
      <c r="U1340">
        <v>1</v>
      </c>
      <c r="W1340" t="s">
        <v>346</v>
      </c>
    </row>
    <row r="1341" spans="1:23" x14ac:dyDescent="0.35">
      <c r="A1341" t="s">
        <v>45</v>
      </c>
      <c r="B1341" t="s">
        <v>2812</v>
      </c>
      <c r="C1341" t="s">
        <v>60</v>
      </c>
      <c r="D1341" t="s">
        <v>61</v>
      </c>
      <c r="E1341" t="s">
        <v>61</v>
      </c>
      <c r="F1341" t="s">
        <v>49</v>
      </c>
      <c r="G1341" t="s">
        <v>2838</v>
      </c>
      <c r="H1341" t="s">
        <v>2839</v>
      </c>
      <c r="J1341" t="str">
        <f>HYPERLINK("https://www.facebook.com/634639855377280/posts/798752012299396?comment_id=1042606736835698&amp;reply_comment_id=950355056018104","https://www.facebook.com/634639855377280/posts/798752012299396?comment_id=1042606736835698&amp;reply_comment_id=950355056018104")</f>
        <v>https://www.facebook.com/634639855377280/posts/798752012299396?comment_id=1042606736835698&amp;reply_comment_id=950355056018104</v>
      </c>
      <c r="O1341">
        <v>0</v>
      </c>
      <c r="P1341">
        <v>0</v>
      </c>
      <c r="Q1341">
        <v>0</v>
      </c>
      <c r="S1341">
        <v>0</v>
      </c>
      <c r="T1341">
        <v>0</v>
      </c>
      <c r="U1341">
        <v>0</v>
      </c>
      <c r="W1341" t="s">
        <v>52</v>
      </c>
    </row>
    <row r="1342" spans="1:23" x14ac:dyDescent="0.35">
      <c r="A1342" t="s">
        <v>45</v>
      </c>
      <c r="B1342" t="s">
        <v>2812</v>
      </c>
      <c r="C1342" t="s">
        <v>93</v>
      </c>
      <c r="D1342" t="s">
        <v>94</v>
      </c>
      <c r="E1342" t="s">
        <v>45</v>
      </c>
      <c r="F1342" t="s">
        <v>49</v>
      </c>
      <c r="G1342" t="s">
        <v>2840</v>
      </c>
      <c r="H1342" t="s">
        <v>2841</v>
      </c>
      <c r="J1342" t="str">
        <f>HYPERLINK("https://twitter.com/SpiceMoneyIndia/status/1762404764598337594","https://twitter.com/SpiceMoneyIndia/status/1762404764598337594")</f>
        <v>https://twitter.com/SpiceMoneyIndia/status/1762404764598337594</v>
      </c>
      <c r="K1342" t="s">
        <v>67</v>
      </c>
      <c r="O1342">
        <v>0</v>
      </c>
      <c r="P1342">
        <v>0</v>
      </c>
      <c r="Q1342">
        <v>6045</v>
      </c>
      <c r="R1342" t="s">
        <v>97</v>
      </c>
      <c r="S1342">
        <v>0</v>
      </c>
      <c r="T1342">
        <v>0</v>
      </c>
      <c r="U1342">
        <v>0</v>
      </c>
      <c r="V1342" t="s">
        <v>98</v>
      </c>
      <c r="W1342" t="s">
        <v>99</v>
      </c>
    </row>
    <row r="1343" spans="1:23" x14ac:dyDescent="0.35">
      <c r="A1343" t="s">
        <v>45</v>
      </c>
      <c r="B1343" t="s">
        <v>2812</v>
      </c>
      <c r="C1343" t="s">
        <v>60</v>
      </c>
      <c r="D1343" t="s">
        <v>61</v>
      </c>
      <c r="E1343" t="s">
        <v>61</v>
      </c>
      <c r="F1343" t="s">
        <v>49</v>
      </c>
      <c r="G1343" t="s">
        <v>2842</v>
      </c>
      <c r="H1343" t="s">
        <v>2843</v>
      </c>
      <c r="J1343" t="str">
        <f>HYPERLINK("https://www.facebook.com/634639855377280/posts/798752012299396?comment_id=1042606736835698","https://www.facebook.com/634639855377280/posts/798752012299396?comment_id=1042606736835698")</f>
        <v>https://www.facebook.com/634639855377280/posts/798752012299396?comment_id=1042606736835698</v>
      </c>
      <c r="O1343">
        <v>0</v>
      </c>
      <c r="P1343">
        <v>0</v>
      </c>
      <c r="Q1343">
        <v>0</v>
      </c>
      <c r="S1343">
        <v>0</v>
      </c>
      <c r="T1343">
        <v>0</v>
      </c>
      <c r="U1343">
        <v>0</v>
      </c>
      <c r="W1343" t="s">
        <v>52</v>
      </c>
    </row>
    <row r="1344" spans="1:23" x14ac:dyDescent="0.35">
      <c r="A1344" t="s">
        <v>45</v>
      </c>
      <c r="B1344" t="s">
        <v>2812</v>
      </c>
      <c r="C1344" t="s">
        <v>93</v>
      </c>
      <c r="D1344" t="s">
        <v>94</v>
      </c>
      <c r="E1344" t="s">
        <v>45</v>
      </c>
      <c r="F1344" t="s">
        <v>49</v>
      </c>
      <c r="G1344" t="s">
        <v>2844</v>
      </c>
      <c r="H1344" t="s">
        <v>2845</v>
      </c>
      <c r="J1344" t="str">
        <f>HYPERLINK("https://twitter.com/SpiceMoneyIndia/status/1762384830845563370","https://twitter.com/SpiceMoneyIndia/status/1762384830845563370")</f>
        <v>https://twitter.com/SpiceMoneyIndia/status/1762384830845563370</v>
      </c>
      <c r="K1344" t="s">
        <v>67</v>
      </c>
      <c r="O1344">
        <v>0</v>
      </c>
      <c r="P1344">
        <v>0</v>
      </c>
      <c r="Q1344">
        <v>6045</v>
      </c>
      <c r="R1344" t="s">
        <v>97</v>
      </c>
      <c r="S1344">
        <v>0</v>
      </c>
      <c r="T1344">
        <v>0</v>
      </c>
      <c r="U1344">
        <v>0</v>
      </c>
      <c r="V1344" t="s">
        <v>98</v>
      </c>
      <c r="W1344" t="s">
        <v>99</v>
      </c>
    </row>
    <row r="1345" spans="1:23" x14ac:dyDescent="0.35">
      <c r="A1345" t="s">
        <v>45</v>
      </c>
      <c r="B1345" t="s">
        <v>2812</v>
      </c>
      <c r="C1345" t="s">
        <v>60</v>
      </c>
      <c r="D1345" t="s">
        <v>64</v>
      </c>
      <c r="E1345" t="s">
        <v>64</v>
      </c>
      <c r="F1345" t="s">
        <v>49</v>
      </c>
      <c r="G1345" t="s">
        <v>2846</v>
      </c>
      <c r="H1345" t="s">
        <v>2847</v>
      </c>
      <c r="J1345" t="str">
        <f>HYPERLINK("https://www.facebook.com/634639855377280/posts/798752012299396","https://www.facebook.com/634639855377280/posts/798752012299396")</f>
        <v>https://www.facebook.com/634639855377280/posts/798752012299396</v>
      </c>
      <c r="O1345">
        <v>0</v>
      </c>
      <c r="P1345">
        <v>0</v>
      </c>
      <c r="Q1345">
        <v>0</v>
      </c>
      <c r="S1345">
        <v>8</v>
      </c>
      <c r="T1345">
        <v>54</v>
      </c>
      <c r="U1345">
        <v>4</v>
      </c>
      <c r="W1345" t="s">
        <v>346</v>
      </c>
    </row>
    <row r="1346" spans="1:23" x14ac:dyDescent="0.35">
      <c r="A1346" t="s">
        <v>45</v>
      </c>
      <c r="B1346" t="s">
        <v>2812</v>
      </c>
      <c r="C1346" t="s">
        <v>60</v>
      </c>
      <c r="D1346" t="s">
        <v>61</v>
      </c>
      <c r="E1346" t="s">
        <v>61</v>
      </c>
      <c r="F1346" t="s">
        <v>193</v>
      </c>
      <c r="G1346" t="s">
        <v>2848</v>
      </c>
      <c r="H1346" t="s">
        <v>2849</v>
      </c>
      <c r="J1346" t="str">
        <f>HYPERLINK("https://www.facebook.com/634639855377280/posts/798107672363830?comment_id=1056380208765302","https://www.facebook.com/634639855377280/posts/798107672363830?comment_id=1056380208765302")</f>
        <v>https://www.facebook.com/634639855377280/posts/798107672363830?comment_id=1056380208765302</v>
      </c>
      <c r="O1346">
        <v>0</v>
      </c>
      <c r="P1346">
        <v>0</v>
      </c>
      <c r="Q1346">
        <v>0</v>
      </c>
      <c r="S1346">
        <v>0</v>
      </c>
      <c r="T1346">
        <v>0</v>
      </c>
      <c r="U1346">
        <v>0</v>
      </c>
      <c r="W1346" t="s">
        <v>52</v>
      </c>
    </row>
    <row r="1347" spans="1:23" x14ac:dyDescent="0.35">
      <c r="A1347" t="s">
        <v>45</v>
      </c>
      <c r="B1347" t="s">
        <v>2812</v>
      </c>
      <c r="C1347" t="s">
        <v>93</v>
      </c>
      <c r="D1347" t="s">
        <v>2850</v>
      </c>
      <c r="E1347" t="s">
        <v>2851</v>
      </c>
      <c r="F1347" t="s">
        <v>49</v>
      </c>
      <c r="G1347" t="s">
        <v>2852</v>
      </c>
      <c r="H1347" t="s">
        <v>2853</v>
      </c>
      <c r="J1347" t="str">
        <f>HYPERLINK("https://twitter.com/UTIPANServices/status/1762334730672890009","https://twitter.com/UTIPANServices/status/1762334730672890009")</f>
        <v>https://twitter.com/UTIPANServices/status/1762334730672890009</v>
      </c>
      <c r="O1347">
        <v>0</v>
      </c>
      <c r="P1347">
        <v>0</v>
      </c>
      <c r="Q1347">
        <v>2385</v>
      </c>
      <c r="R1347" t="s">
        <v>2854</v>
      </c>
      <c r="S1347">
        <v>0</v>
      </c>
      <c r="T1347">
        <v>0</v>
      </c>
      <c r="U1347">
        <v>0</v>
      </c>
      <c r="W1347" t="s">
        <v>99</v>
      </c>
    </row>
    <row r="1348" spans="1:23" x14ac:dyDescent="0.35">
      <c r="A1348" t="s">
        <v>45</v>
      </c>
      <c r="B1348" t="s">
        <v>2812</v>
      </c>
      <c r="C1348" t="s">
        <v>93</v>
      </c>
      <c r="D1348" t="s">
        <v>569</v>
      </c>
      <c r="E1348" t="s">
        <v>570</v>
      </c>
      <c r="F1348" t="s">
        <v>49</v>
      </c>
      <c r="G1348" t="s">
        <v>2855</v>
      </c>
      <c r="H1348" t="s">
        <v>2856</v>
      </c>
      <c r="J1348" t="str">
        <f>HYPERLINK("https://twitter.com/excelhinditips/status/1762329217499291736","https://twitter.com/excelhinditips/status/1762329217499291736")</f>
        <v>https://twitter.com/excelhinditips/status/1762329217499291736</v>
      </c>
      <c r="O1348">
        <v>0</v>
      </c>
      <c r="P1348">
        <v>0</v>
      </c>
      <c r="Q1348">
        <v>16</v>
      </c>
      <c r="R1348" t="s">
        <v>573</v>
      </c>
      <c r="S1348">
        <v>0</v>
      </c>
      <c r="T1348">
        <v>0</v>
      </c>
      <c r="U1348">
        <v>0</v>
      </c>
      <c r="W1348" t="s">
        <v>99</v>
      </c>
    </row>
    <row r="1349" spans="1:23" x14ac:dyDescent="0.35">
      <c r="A1349" t="s">
        <v>45</v>
      </c>
      <c r="B1349" t="s">
        <v>2812</v>
      </c>
      <c r="C1349" t="s">
        <v>93</v>
      </c>
      <c r="D1349" t="s">
        <v>94</v>
      </c>
      <c r="E1349" t="s">
        <v>45</v>
      </c>
      <c r="F1349" t="s">
        <v>49</v>
      </c>
      <c r="G1349" t="s">
        <v>520</v>
      </c>
      <c r="H1349" t="s">
        <v>2857</v>
      </c>
      <c r="J1349" t="str">
        <f>HYPERLINK("https://twitter.com/SpiceMoneyIndia/status/1762327686993629232","https://twitter.com/SpiceMoneyIndia/status/1762327686993629232")</f>
        <v>https://twitter.com/SpiceMoneyIndia/status/1762327686993629232</v>
      </c>
      <c r="K1349" t="s">
        <v>67</v>
      </c>
      <c r="O1349">
        <v>0</v>
      </c>
      <c r="P1349">
        <v>0</v>
      </c>
      <c r="Q1349">
        <v>6045</v>
      </c>
      <c r="R1349" t="s">
        <v>97</v>
      </c>
      <c r="S1349">
        <v>0</v>
      </c>
      <c r="T1349">
        <v>0</v>
      </c>
      <c r="U1349">
        <v>0</v>
      </c>
      <c r="V1349" t="s">
        <v>98</v>
      </c>
      <c r="W1349" t="s">
        <v>99</v>
      </c>
    </row>
    <row r="1350" spans="1:23" x14ac:dyDescent="0.35">
      <c r="A1350" t="s">
        <v>45</v>
      </c>
      <c r="B1350" t="s">
        <v>2812</v>
      </c>
      <c r="C1350" t="s">
        <v>47</v>
      </c>
      <c r="D1350" t="s">
        <v>68</v>
      </c>
      <c r="E1350" t="s">
        <v>68</v>
      </c>
      <c r="F1350" t="s">
        <v>49</v>
      </c>
      <c r="G1350" t="s">
        <v>162</v>
      </c>
      <c r="H1350" t="s">
        <v>2858</v>
      </c>
      <c r="J1350" t="str">
        <f>HYPERLINK("https://www.youtube.com/watch?v=wDVpKG8jfSo&amp;lc=Ugx-bWF4qe2X7ZjBpmN4AaABAg.A0Hst1up2O3A0J36HP0u11","https://www.youtube.com/watch?v=wDVpKG8jfSo&amp;lc=Ugx-bWF4qe2X7ZjBpmN4AaABAg.A0Hst1up2O3A0J36HP0u11")</f>
        <v>https://www.youtube.com/watch?v=wDVpKG8jfSo&amp;lc=Ugx-bWF4qe2X7ZjBpmN4AaABAg.A0Hst1up2O3A0J36HP0u11</v>
      </c>
      <c r="O1350">
        <v>0</v>
      </c>
      <c r="P1350">
        <v>0</v>
      </c>
      <c r="Q1350">
        <v>0</v>
      </c>
      <c r="S1350">
        <v>0</v>
      </c>
      <c r="T1350">
        <v>0</v>
      </c>
      <c r="U1350">
        <v>0</v>
      </c>
      <c r="W1350" t="s">
        <v>52</v>
      </c>
    </row>
    <row r="1351" spans="1:23" x14ac:dyDescent="0.35">
      <c r="A1351" t="s">
        <v>45</v>
      </c>
      <c r="B1351" t="s">
        <v>2812</v>
      </c>
      <c r="C1351" t="s">
        <v>47</v>
      </c>
      <c r="D1351" t="s">
        <v>68</v>
      </c>
      <c r="E1351" t="s">
        <v>68</v>
      </c>
      <c r="F1351" t="s">
        <v>49</v>
      </c>
      <c r="G1351" t="s">
        <v>162</v>
      </c>
      <c r="H1351" t="s">
        <v>2859</v>
      </c>
      <c r="J1351" t="str">
        <f>HYPERLINK("https://www.youtube.com/watch?v=5DADCSRiE3A&amp;lc=UgxqDP1uzHSpC8V5YcB4AaABAg.A0I7jVgtXYNA0J32ziv_JZ","https://www.youtube.com/watch?v=5DADCSRiE3A&amp;lc=UgxqDP1uzHSpC8V5YcB4AaABAg.A0I7jVgtXYNA0J32ziv_JZ")</f>
        <v>https://www.youtube.com/watch?v=5DADCSRiE3A&amp;lc=UgxqDP1uzHSpC8V5YcB4AaABAg.A0I7jVgtXYNA0J32ziv_JZ</v>
      </c>
      <c r="O1351">
        <v>0</v>
      </c>
      <c r="P1351">
        <v>0</v>
      </c>
      <c r="Q1351">
        <v>0</v>
      </c>
      <c r="S1351">
        <v>0</v>
      </c>
      <c r="T1351">
        <v>0</v>
      </c>
      <c r="U1351">
        <v>0</v>
      </c>
      <c r="W1351" t="s">
        <v>52</v>
      </c>
    </row>
    <row r="1352" spans="1:23" x14ac:dyDescent="0.35">
      <c r="A1352" t="s">
        <v>45</v>
      </c>
      <c r="B1352" t="s">
        <v>2812</v>
      </c>
      <c r="C1352" t="s">
        <v>93</v>
      </c>
      <c r="D1352" t="s">
        <v>569</v>
      </c>
      <c r="E1352" t="s">
        <v>570</v>
      </c>
      <c r="F1352" t="s">
        <v>49</v>
      </c>
      <c r="G1352" t="s">
        <v>2860</v>
      </c>
      <c r="H1352" t="s">
        <v>2861</v>
      </c>
      <c r="J1352" t="str">
        <f>HYPERLINK("https://twitter.com/excelhinditips/status/1762291833517101286","https://twitter.com/excelhinditips/status/1762291833517101286")</f>
        <v>https://twitter.com/excelhinditips/status/1762291833517101286</v>
      </c>
      <c r="O1352">
        <v>0</v>
      </c>
      <c r="P1352">
        <v>0</v>
      </c>
      <c r="Q1352">
        <v>16</v>
      </c>
      <c r="R1352" t="s">
        <v>573</v>
      </c>
      <c r="S1352">
        <v>0</v>
      </c>
      <c r="T1352">
        <v>0</v>
      </c>
      <c r="U1352">
        <v>0</v>
      </c>
      <c r="W1352" t="s">
        <v>433</v>
      </c>
    </row>
    <row r="1353" spans="1:23" x14ac:dyDescent="0.35">
      <c r="A1353" t="s">
        <v>45</v>
      </c>
      <c r="B1353" t="s">
        <v>2812</v>
      </c>
      <c r="C1353" t="s">
        <v>47</v>
      </c>
      <c r="D1353" t="s">
        <v>2862</v>
      </c>
      <c r="E1353" t="s">
        <v>2862</v>
      </c>
      <c r="F1353" t="s">
        <v>54</v>
      </c>
      <c r="G1353" t="s">
        <v>2863</v>
      </c>
      <c r="H1353" t="s">
        <v>2864</v>
      </c>
      <c r="J1353" t="str">
        <f>HYPERLINK("https://www.youtube.com/watch?v=5DADCSRiE3A&amp;lc=UgxqDP1uzHSpC8V5YcB4AaABAg","https://www.youtube.com/watch?v=5DADCSRiE3A&amp;lc=UgxqDP1uzHSpC8V5YcB4AaABAg")</f>
        <v>https://www.youtube.com/watch?v=5DADCSRiE3A&amp;lc=UgxqDP1uzHSpC8V5YcB4AaABAg</v>
      </c>
      <c r="O1353">
        <v>0</v>
      </c>
      <c r="P1353">
        <v>0</v>
      </c>
      <c r="Q1353">
        <v>0</v>
      </c>
      <c r="S1353">
        <v>0</v>
      </c>
      <c r="T1353">
        <v>0</v>
      </c>
      <c r="U1353">
        <v>0</v>
      </c>
      <c r="W1353" t="s">
        <v>52</v>
      </c>
    </row>
    <row r="1354" spans="1:23" x14ac:dyDescent="0.35">
      <c r="A1354" t="s">
        <v>45</v>
      </c>
      <c r="B1354" t="s">
        <v>2865</v>
      </c>
      <c r="C1354" t="s">
        <v>47</v>
      </c>
      <c r="D1354" t="s">
        <v>2866</v>
      </c>
      <c r="E1354" t="s">
        <v>2866</v>
      </c>
      <c r="F1354" t="s">
        <v>54</v>
      </c>
      <c r="G1354" t="s">
        <v>2867</v>
      </c>
      <c r="H1354" t="s">
        <v>2868</v>
      </c>
      <c r="J1354" t="str">
        <f>HYPERLINK("https://www.youtube.com/watch?v=wDVpKG8jfSo&amp;lc=Ugx-bWF4qe2X7ZjBpmN4AaABAg","https://www.youtube.com/watch?v=wDVpKG8jfSo&amp;lc=Ugx-bWF4qe2X7ZjBpmN4AaABAg")</f>
        <v>https://www.youtube.com/watch?v=wDVpKG8jfSo&amp;lc=Ugx-bWF4qe2X7ZjBpmN4AaABAg</v>
      </c>
      <c r="O1354">
        <v>0</v>
      </c>
      <c r="P1354">
        <v>0</v>
      </c>
      <c r="Q1354">
        <v>0</v>
      </c>
      <c r="S1354">
        <v>0</v>
      </c>
      <c r="T1354">
        <v>0</v>
      </c>
      <c r="U1354">
        <v>0</v>
      </c>
      <c r="W1354" t="s">
        <v>52</v>
      </c>
    </row>
    <row r="1355" spans="1:23" x14ac:dyDescent="0.35">
      <c r="A1355" t="s">
        <v>45</v>
      </c>
      <c r="B1355" t="s">
        <v>2865</v>
      </c>
      <c r="C1355" t="s">
        <v>47</v>
      </c>
      <c r="D1355" t="s">
        <v>2866</v>
      </c>
      <c r="E1355" t="s">
        <v>2866</v>
      </c>
      <c r="F1355" t="s">
        <v>54</v>
      </c>
      <c r="G1355" t="s">
        <v>2867</v>
      </c>
      <c r="H1355" t="s">
        <v>2869</v>
      </c>
      <c r="J1355" t="str">
        <f>HYPERLINK("https://www.youtube.com/watch?v=YQSdpP96l0U&amp;lc=UgwBP2dKev2LLxb8Bzp4AaABAg","https://www.youtube.com/watch?v=YQSdpP96l0U&amp;lc=UgwBP2dKev2LLxb8Bzp4AaABAg")</f>
        <v>https://www.youtube.com/watch?v=YQSdpP96l0U&amp;lc=UgwBP2dKev2LLxb8Bzp4AaABAg</v>
      </c>
      <c r="O1355">
        <v>0</v>
      </c>
      <c r="P1355">
        <v>0</v>
      </c>
      <c r="Q1355">
        <v>0</v>
      </c>
      <c r="S1355">
        <v>0</v>
      </c>
      <c r="T1355">
        <v>0</v>
      </c>
      <c r="U1355">
        <v>0</v>
      </c>
      <c r="W1355" t="s">
        <v>52</v>
      </c>
    </row>
    <row r="1356" spans="1:23" x14ac:dyDescent="0.35">
      <c r="A1356" t="s">
        <v>45</v>
      </c>
      <c r="B1356" t="s">
        <v>2865</v>
      </c>
      <c r="C1356" t="s">
        <v>60</v>
      </c>
      <c r="D1356" t="s">
        <v>61</v>
      </c>
      <c r="E1356" t="s">
        <v>61</v>
      </c>
      <c r="F1356" t="s">
        <v>49</v>
      </c>
      <c r="G1356" t="s">
        <v>2870</v>
      </c>
      <c r="H1356" t="s">
        <v>2871</v>
      </c>
      <c r="J1356" t="str">
        <f>HYPERLINK("https://www.facebook.com/634639855377280/posts/798107672363830?comment_id=432692842429845","https://www.facebook.com/634639855377280/posts/798107672363830?comment_id=432692842429845")</f>
        <v>https://www.facebook.com/634639855377280/posts/798107672363830?comment_id=432692842429845</v>
      </c>
      <c r="O1356">
        <v>0</v>
      </c>
      <c r="P1356">
        <v>0</v>
      </c>
      <c r="Q1356">
        <v>0</v>
      </c>
      <c r="S1356">
        <v>0</v>
      </c>
      <c r="T1356">
        <v>0</v>
      </c>
      <c r="U1356">
        <v>0</v>
      </c>
      <c r="W1356" t="s">
        <v>52</v>
      </c>
    </row>
    <row r="1357" spans="1:23" x14ac:dyDescent="0.35">
      <c r="A1357" t="s">
        <v>45</v>
      </c>
      <c r="B1357" t="s">
        <v>2865</v>
      </c>
      <c r="C1357" t="s">
        <v>93</v>
      </c>
      <c r="D1357" t="s">
        <v>569</v>
      </c>
      <c r="E1357" t="s">
        <v>570</v>
      </c>
      <c r="F1357" t="s">
        <v>49</v>
      </c>
      <c r="G1357" t="s">
        <v>2860</v>
      </c>
      <c r="H1357" t="s">
        <v>2872</v>
      </c>
      <c r="J1357" t="str">
        <f>HYPERLINK("https://twitter.com/excelhinditips/status/1762144369174552814","https://twitter.com/excelhinditips/status/1762144369174552814")</f>
        <v>https://twitter.com/excelhinditips/status/1762144369174552814</v>
      </c>
      <c r="O1357">
        <v>0</v>
      </c>
      <c r="P1357">
        <v>0</v>
      </c>
      <c r="Q1357">
        <v>16</v>
      </c>
      <c r="R1357" t="s">
        <v>573</v>
      </c>
      <c r="S1357">
        <v>0</v>
      </c>
      <c r="T1357">
        <v>0</v>
      </c>
      <c r="U1357">
        <v>0</v>
      </c>
      <c r="W1357" t="s">
        <v>99</v>
      </c>
    </row>
    <row r="1358" spans="1:23" x14ac:dyDescent="0.35">
      <c r="A1358" t="s">
        <v>45</v>
      </c>
      <c r="B1358" t="s">
        <v>2865</v>
      </c>
      <c r="C1358" t="s">
        <v>93</v>
      </c>
      <c r="D1358" t="s">
        <v>2850</v>
      </c>
      <c r="E1358" t="s">
        <v>2851</v>
      </c>
      <c r="F1358" t="s">
        <v>49</v>
      </c>
      <c r="G1358" t="s">
        <v>2852</v>
      </c>
      <c r="H1358" t="s">
        <v>2873</v>
      </c>
      <c r="J1358" t="str">
        <f>HYPERLINK("https://twitter.com/UTIPANServices/status/1762097831144210590","https://twitter.com/UTIPANServices/status/1762097831144210590")</f>
        <v>https://twitter.com/UTIPANServices/status/1762097831144210590</v>
      </c>
      <c r="O1358">
        <v>0</v>
      </c>
      <c r="P1358">
        <v>0</v>
      </c>
      <c r="Q1358">
        <v>2385</v>
      </c>
      <c r="R1358" t="s">
        <v>2854</v>
      </c>
      <c r="S1358">
        <v>0</v>
      </c>
      <c r="T1358">
        <v>0</v>
      </c>
      <c r="U1358">
        <v>0</v>
      </c>
      <c r="W1358" t="s">
        <v>99</v>
      </c>
    </row>
    <row r="1359" spans="1:23" x14ac:dyDescent="0.35">
      <c r="A1359" t="s">
        <v>45</v>
      </c>
      <c r="B1359" t="s">
        <v>2865</v>
      </c>
      <c r="C1359" t="s">
        <v>93</v>
      </c>
      <c r="D1359" t="s">
        <v>2874</v>
      </c>
      <c r="E1359" t="s">
        <v>2875</v>
      </c>
      <c r="F1359" t="s">
        <v>49</v>
      </c>
      <c r="G1359" t="s">
        <v>2876</v>
      </c>
      <c r="H1359" t="s">
        <v>2877</v>
      </c>
      <c r="J1359" t="str">
        <f>HYPERLINK("https://twitter.com/IncomeTaxIndia/status/1762079902193656257","https://twitter.com/IncomeTaxIndia/status/1762079902193656257")</f>
        <v>https://twitter.com/IncomeTaxIndia/status/1762079902193656257</v>
      </c>
      <c r="O1359">
        <v>0</v>
      </c>
      <c r="P1359">
        <v>0</v>
      </c>
      <c r="Q1359">
        <v>1484095</v>
      </c>
      <c r="R1359" t="s">
        <v>513</v>
      </c>
      <c r="S1359">
        <v>0</v>
      </c>
      <c r="T1359">
        <v>0</v>
      </c>
      <c r="U1359">
        <v>0</v>
      </c>
      <c r="V1359" t="s">
        <v>98</v>
      </c>
      <c r="W1359" t="s">
        <v>99</v>
      </c>
    </row>
    <row r="1360" spans="1:23" x14ac:dyDescent="0.35">
      <c r="A1360" t="s">
        <v>45</v>
      </c>
      <c r="B1360" t="s">
        <v>2865</v>
      </c>
      <c r="C1360" t="s">
        <v>60</v>
      </c>
      <c r="D1360" t="s">
        <v>61</v>
      </c>
      <c r="E1360" t="s">
        <v>61</v>
      </c>
      <c r="F1360" t="s">
        <v>49</v>
      </c>
      <c r="G1360" t="s">
        <v>2878</v>
      </c>
      <c r="H1360" t="s">
        <v>2879</v>
      </c>
      <c r="J1360" t="str">
        <f>HYPERLINK("https://www.facebook.com/634639855377280/posts/796323029208961?comment_id=912229507069187","https://www.facebook.com/634639855377280/posts/796323029208961?comment_id=912229507069187")</f>
        <v>https://www.facebook.com/634639855377280/posts/796323029208961?comment_id=912229507069187</v>
      </c>
      <c r="O1360">
        <v>0</v>
      </c>
      <c r="P1360">
        <v>0</v>
      </c>
      <c r="Q1360">
        <v>0</v>
      </c>
      <c r="S1360">
        <v>0</v>
      </c>
      <c r="T1360">
        <v>0</v>
      </c>
      <c r="U1360">
        <v>0</v>
      </c>
      <c r="W1360" t="s">
        <v>52</v>
      </c>
    </row>
    <row r="1361" spans="1:23" x14ac:dyDescent="0.35">
      <c r="A1361" t="s">
        <v>45</v>
      </c>
      <c r="B1361" t="s">
        <v>2865</v>
      </c>
      <c r="C1361" t="s">
        <v>93</v>
      </c>
      <c r="D1361" t="s">
        <v>94</v>
      </c>
      <c r="E1361" t="s">
        <v>45</v>
      </c>
      <c r="F1361" t="s">
        <v>49</v>
      </c>
      <c r="G1361" t="s">
        <v>2880</v>
      </c>
      <c r="H1361" t="s">
        <v>2881</v>
      </c>
      <c r="J1361" t="str">
        <f>HYPERLINK("https://twitter.com/SpiceMoneyIndia/status/1762067578057335114","https://twitter.com/SpiceMoneyIndia/status/1762067578057335114")</f>
        <v>https://twitter.com/SpiceMoneyIndia/status/1762067578057335114</v>
      </c>
      <c r="K1361" t="s">
        <v>67</v>
      </c>
      <c r="O1361">
        <v>0</v>
      </c>
      <c r="P1361">
        <v>0</v>
      </c>
      <c r="Q1361">
        <v>6044</v>
      </c>
      <c r="R1361" t="s">
        <v>97</v>
      </c>
      <c r="S1361">
        <v>0</v>
      </c>
      <c r="T1361">
        <v>0</v>
      </c>
      <c r="U1361">
        <v>0</v>
      </c>
      <c r="V1361" t="s">
        <v>98</v>
      </c>
      <c r="W1361" t="s">
        <v>99</v>
      </c>
    </row>
    <row r="1362" spans="1:23" x14ac:dyDescent="0.35">
      <c r="A1362" t="s">
        <v>45</v>
      </c>
      <c r="B1362" t="s">
        <v>2865</v>
      </c>
      <c r="C1362" t="s">
        <v>60</v>
      </c>
      <c r="D1362" t="s">
        <v>64</v>
      </c>
      <c r="E1362" t="s">
        <v>64</v>
      </c>
      <c r="F1362" t="s">
        <v>49</v>
      </c>
      <c r="G1362" t="s">
        <v>244</v>
      </c>
      <c r="H1362" t="s">
        <v>2882</v>
      </c>
      <c r="J1362" t="str">
        <f>HYPERLINK("https://www.facebook.com/634639855377280/posts/796323029208961?comment_id=1299116298145180&amp;reply_comment_id=2181003875581170","https://www.facebook.com/634639855377280/posts/796323029208961?comment_id=1299116298145180&amp;reply_comment_id=2181003875581170")</f>
        <v>https://www.facebook.com/634639855377280/posts/796323029208961?comment_id=1299116298145180&amp;reply_comment_id=2181003875581170</v>
      </c>
      <c r="K1362" t="s">
        <v>67</v>
      </c>
      <c r="O1362">
        <v>0</v>
      </c>
      <c r="P1362">
        <v>0</v>
      </c>
      <c r="Q1362">
        <v>0</v>
      </c>
      <c r="S1362">
        <v>0</v>
      </c>
      <c r="T1362">
        <v>0</v>
      </c>
      <c r="U1362">
        <v>0</v>
      </c>
      <c r="W1362" t="s">
        <v>52</v>
      </c>
    </row>
    <row r="1363" spans="1:23" x14ac:dyDescent="0.35">
      <c r="A1363" t="s">
        <v>45</v>
      </c>
      <c r="B1363" t="s">
        <v>2865</v>
      </c>
      <c r="C1363" t="s">
        <v>47</v>
      </c>
      <c r="D1363" t="s">
        <v>68</v>
      </c>
      <c r="E1363" t="s">
        <v>68</v>
      </c>
      <c r="F1363" t="s">
        <v>49</v>
      </c>
      <c r="G1363" t="s">
        <v>102</v>
      </c>
      <c r="H1363" t="s">
        <v>2883</v>
      </c>
      <c r="J1363" t="str">
        <f>HYPERLINK("https://www.youtube.com/watch?v=wDVpKG8jfSo&amp;lc=UgyLuFok6mTu81xRMnF4AaABAg.A0CmBhTWiYRA0HD-Kty_6c","https://www.youtube.com/watch?v=wDVpKG8jfSo&amp;lc=UgyLuFok6mTu81xRMnF4AaABAg.A0CmBhTWiYRA0HD-Kty_6c")</f>
        <v>https://www.youtube.com/watch?v=wDVpKG8jfSo&amp;lc=UgyLuFok6mTu81xRMnF4AaABAg.A0CmBhTWiYRA0HD-Kty_6c</v>
      </c>
      <c r="O1363">
        <v>0</v>
      </c>
      <c r="P1363">
        <v>0</v>
      </c>
      <c r="Q1363">
        <v>0</v>
      </c>
      <c r="S1363">
        <v>0</v>
      </c>
      <c r="T1363">
        <v>0</v>
      </c>
      <c r="U1363">
        <v>0</v>
      </c>
      <c r="W1363" t="s">
        <v>52</v>
      </c>
    </row>
    <row r="1364" spans="1:23" x14ac:dyDescent="0.35">
      <c r="A1364" t="s">
        <v>45</v>
      </c>
      <c r="B1364" t="s">
        <v>2865</v>
      </c>
      <c r="C1364" t="s">
        <v>93</v>
      </c>
      <c r="D1364" t="s">
        <v>94</v>
      </c>
      <c r="E1364" t="s">
        <v>45</v>
      </c>
      <c r="F1364" t="s">
        <v>49</v>
      </c>
      <c r="G1364" t="s">
        <v>2884</v>
      </c>
      <c r="H1364" t="s">
        <v>2885</v>
      </c>
      <c r="J1364" t="str">
        <f>HYPERLINK("https://twitter.com/SpiceMoneyIndia/status/1762066687300407797","https://twitter.com/SpiceMoneyIndia/status/1762066687300407797")</f>
        <v>https://twitter.com/SpiceMoneyIndia/status/1762066687300407797</v>
      </c>
      <c r="K1364" t="s">
        <v>67</v>
      </c>
      <c r="O1364">
        <v>0</v>
      </c>
      <c r="P1364">
        <v>0</v>
      </c>
      <c r="Q1364">
        <v>6044</v>
      </c>
      <c r="R1364" t="s">
        <v>97</v>
      </c>
      <c r="S1364">
        <v>0</v>
      </c>
      <c r="T1364">
        <v>0</v>
      </c>
      <c r="U1364">
        <v>0</v>
      </c>
      <c r="V1364" t="s">
        <v>98</v>
      </c>
      <c r="W1364" t="s">
        <v>99</v>
      </c>
    </row>
    <row r="1365" spans="1:23" x14ac:dyDescent="0.35">
      <c r="A1365" t="s">
        <v>45</v>
      </c>
      <c r="B1365" t="s">
        <v>2865</v>
      </c>
      <c r="C1365" t="s">
        <v>60</v>
      </c>
      <c r="D1365" t="s">
        <v>64</v>
      </c>
      <c r="E1365" t="s">
        <v>64</v>
      </c>
      <c r="F1365" t="s">
        <v>49</v>
      </c>
      <c r="G1365" t="s">
        <v>1595</v>
      </c>
      <c r="H1365" t="s">
        <v>2886</v>
      </c>
      <c r="J1365" t="str">
        <f>HYPERLINK("https://www.facebook.com/634639855377280/posts/796323029208961?comment_id=368325972675580&amp;reply_comment_id=3642325719356327","https://www.facebook.com/634639855377280/posts/796323029208961?comment_id=368325972675580&amp;reply_comment_id=3642325719356327")</f>
        <v>https://www.facebook.com/634639855377280/posts/796323029208961?comment_id=368325972675580&amp;reply_comment_id=3642325719356327</v>
      </c>
      <c r="K1365" t="s">
        <v>67</v>
      </c>
      <c r="O1365">
        <v>0</v>
      </c>
      <c r="P1365">
        <v>0</v>
      </c>
      <c r="Q1365">
        <v>0</v>
      </c>
      <c r="S1365">
        <v>0</v>
      </c>
      <c r="T1365">
        <v>0</v>
      </c>
      <c r="U1365">
        <v>0</v>
      </c>
      <c r="W1365" t="s">
        <v>52</v>
      </c>
    </row>
    <row r="1366" spans="1:23" x14ac:dyDescent="0.35">
      <c r="A1366" t="s">
        <v>45</v>
      </c>
      <c r="B1366" t="s">
        <v>2865</v>
      </c>
      <c r="C1366" t="s">
        <v>93</v>
      </c>
      <c r="D1366" t="s">
        <v>94</v>
      </c>
      <c r="E1366" t="s">
        <v>45</v>
      </c>
      <c r="F1366" t="s">
        <v>49</v>
      </c>
      <c r="G1366" t="s">
        <v>2887</v>
      </c>
      <c r="H1366" t="s">
        <v>2888</v>
      </c>
      <c r="J1366" t="str">
        <f>HYPERLINK("https://twitter.com/SpiceMoneyIndia/status/1762064307095810492","https://twitter.com/SpiceMoneyIndia/status/1762064307095810492")</f>
        <v>https://twitter.com/SpiceMoneyIndia/status/1762064307095810492</v>
      </c>
      <c r="K1366" t="s">
        <v>67</v>
      </c>
      <c r="O1366">
        <v>0</v>
      </c>
      <c r="P1366">
        <v>0</v>
      </c>
      <c r="Q1366">
        <v>6044</v>
      </c>
      <c r="R1366" t="s">
        <v>97</v>
      </c>
      <c r="S1366">
        <v>0</v>
      </c>
      <c r="T1366">
        <v>0</v>
      </c>
      <c r="U1366">
        <v>0</v>
      </c>
      <c r="V1366" t="s">
        <v>98</v>
      </c>
      <c r="W1366" t="s">
        <v>99</v>
      </c>
    </row>
    <row r="1367" spans="1:23" x14ac:dyDescent="0.35">
      <c r="A1367" t="s">
        <v>45</v>
      </c>
      <c r="B1367" t="s">
        <v>2865</v>
      </c>
      <c r="C1367" t="s">
        <v>93</v>
      </c>
      <c r="D1367" t="s">
        <v>2889</v>
      </c>
      <c r="E1367" t="s">
        <v>2890</v>
      </c>
      <c r="F1367" t="s">
        <v>49</v>
      </c>
      <c r="G1367" t="s">
        <v>2891</v>
      </c>
      <c r="H1367" t="s">
        <v>2892</v>
      </c>
      <c r="J1367" t="str">
        <f>HYPERLINK("https://twitter.com/kanaknathghy/status/1762063089090920917","https://twitter.com/kanaknathghy/status/1762063089090920917")</f>
        <v>https://twitter.com/kanaknathghy/status/1762063089090920917</v>
      </c>
      <c r="K1367" t="s">
        <v>471</v>
      </c>
      <c r="O1367">
        <v>0</v>
      </c>
      <c r="P1367">
        <v>0</v>
      </c>
      <c r="Q1367">
        <v>9</v>
      </c>
      <c r="R1367" t="s">
        <v>2893</v>
      </c>
      <c r="S1367">
        <v>0</v>
      </c>
      <c r="T1367">
        <v>0</v>
      </c>
      <c r="U1367">
        <v>0</v>
      </c>
      <c r="W1367" t="s">
        <v>99</v>
      </c>
    </row>
    <row r="1368" spans="1:23" x14ac:dyDescent="0.35">
      <c r="A1368" t="s">
        <v>45</v>
      </c>
      <c r="B1368" t="s">
        <v>2865</v>
      </c>
      <c r="C1368" t="s">
        <v>60</v>
      </c>
      <c r="D1368" t="s">
        <v>64</v>
      </c>
      <c r="E1368" t="s">
        <v>64</v>
      </c>
      <c r="F1368" t="s">
        <v>49</v>
      </c>
      <c r="G1368" t="s">
        <v>1595</v>
      </c>
      <c r="H1368" t="s">
        <v>2894</v>
      </c>
      <c r="J1368" t="str">
        <f>HYPERLINK("https://www.facebook.com/634639855377280/posts/796323029208961?comment_id=410395138128755&amp;reply_comment_id=1305953153418467","https://www.facebook.com/634639855377280/posts/796323029208961?comment_id=410395138128755&amp;reply_comment_id=1305953153418467")</f>
        <v>https://www.facebook.com/634639855377280/posts/796323029208961?comment_id=410395138128755&amp;reply_comment_id=1305953153418467</v>
      </c>
      <c r="K1368" t="s">
        <v>67</v>
      </c>
      <c r="O1368">
        <v>0</v>
      </c>
      <c r="P1368">
        <v>0</v>
      </c>
      <c r="Q1368">
        <v>0</v>
      </c>
      <c r="S1368">
        <v>0</v>
      </c>
      <c r="T1368">
        <v>0</v>
      </c>
      <c r="U1368">
        <v>0</v>
      </c>
      <c r="W1368" t="s">
        <v>52</v>
      </c>
    </row>
    <row r="1369" spans="1:23" x14ac:dyDescent="0.35">
      <c r="A1369" t="s">
        <v>45</v>
      </c>
      <c r="B1369" t="s">
        <v>2865</v>
      </c>
      <c r="C1369" t="s">
        <v>93</v>
      </c>
      <c r="D1369" t="s">
        <v>94</v>
      </c>
      <c r="E1369" t="s">
        <v>45</v>
      </c>
      <c r="F1369" t="s">
        <v>49</v>
      </c>
      <c r="G1369" t="s">
        <v>2895</v>
      </c>
      <c r="H1369" t="s">
        <v>2896</v>
      </c>
      <c r="J1369" t="str">
        <f>HYPERLINK("https://twitter.com/SpiceMoneyIndia/status/1762047582409294158","https://twitter.com/SpiceMoneyIndia/status/1762047582409294158")</f>
        <v>https://twitter.com/SpiceMoneyIndia/status/1762047582409294158</v>
      </c>
      <c r="K1369" t="s">
        <v>67</v>
      </c>
      <c r="O1369">
        <v>0</v>
      </c>
      <c r="P1369">
        <v>0</v>
      </c>
      <c r="Q1369">
        <v>6044</v>
      </c>
      <c r="R1369" t="s">
        <v>97</v>
      </c>
      <c r="S1369">
        <v>0</v>
      </c>
      <c r="T1369">
        <v>0</v>
      </c>
      <c r="U1369">
        <v>0</v>
      </c>
      <c r="V1369" t="s">
        <v>98</v>
      </c>
      <c r="W1369" t="s">
        <v>99</v>
      </c>
    </row>
    <row r="1370" spans="1:23" x14ac:dyDescent="0.35">
      <c r="A1370" t="s">
        <v>45</v>
      </c>
      <c r="B1370" t="s">
        <v>2865</v>
      </c>
      <c r="C1370" t="s">
        <v>47</v>
      </c>
      <c r="D1370" t="s">
        <v>68</v>
      </c>
      <c r="E1370" t="s">
        <v>68</v>
      </c>
      <c r="F1370" t="s">
        <v>49</v>
      </c>
      <c r="G1370" t="s">
        <v>102</v>
      </c>
      <c r="H1370" t="s">
        <v>2897</v>
      </c>
      <c r="J1370" t="str">
        <f>HYPERLINK("https://www.youtube.com/watch?v=wDVpKG8jfSo&amp;lc=UgyLuFok6mTu81xRMnF4AaABAg.A0CmBhTWiYRA0GqeGll5i-","https://www.youtube.com/watch?v=wDVpKG8jfSo&amp;lc=UgyLuFok6mTu81xRMnF4AaABAg.A0CmBhTWiYRA0GqeGll5i-")</f>
        <v>https://www.youtube.com/watch?v=wDVpKG8jfSo&amp;lc=UgyLuFok6mTu81xRMnF4AaABAg.A0CmBhTWiYRA0GqeGll5i-</v>
      </c>
      <c r="O1370">
        <v>0</v>
      </c>
      <c r="P1370">
        <v>0</v>
      </c>
      <c r="Q1370">
        <v>0</v>
      </c>
      <c r="S1370">
        <v>0</v>
      </c>
      <c r="T1370">
        <v>0</v>
      </c>
      <c r="U1370">
        <v>0</v>
      </c>
      <c r="W1370" t="s">
        <v>52</v>
      </c>
    </row>
    <row r="1371" spans="1:23" x14ac:dyDescent="0.35">
      <c r="A1371" t="s">
        <v>45</v>
      </c>
      <c r="B1371" t="s">
        <v>2865</v>
      </c>
      <c r="C1371" t="s">
        <v>60</v>
      </c>
      <c r="D1371" t="s">
        <v>64</v>
      </c>
      <c r="E1371" t="s">
        <v>64</v>
      </c>
      <c r="F1371" t="s">
        <v>49</v>
      </c>
      <c r="G1371" t="s">
        <v>2898</v>
      </c>
      <c r="H1371" t="s">
        <v>2899</v>
      </c>
      <c r="J1371" t="str">
        <f>HYPERLINK("https://www.facebook.com/634639855377280/posts/798107672363830","https://www.facebook.com/634639855377280/posts/798107672363830")</f>
        <v>https://www.facebook.com/634639855377280/posts/798107672363830</v>
      </c>
      <c r="O1371">
        <v>0</v>
      </c>
      <c r="P1371">
        <v>0</v>
      </c>
      <c r="Q1371">
        <v>0</v>
      </c>
      <c r="S1371">
        <v>2</v>
      </c>
      <c r="T1371">
        <v>40</v>
      </c>
      <c r="U1371">
        <v>0</v>
      </c>
      <c r="W1371" t="s">
        <v>346</v>
      </c>
    </row>
    <row r="1372" spans="1:23" x14ac:dyDescent="0.35">
      <c r="A1372" t="s">
        <v>45</v>
      </c>
      <c r="B1372" t="s">
        <v>2865</v>
      </c>
      <c r="C1372" t="s">
        <v>93</v>
      </c>
      <c r="D1372" t="s">
        <v>94</v>
      </c>
      <c r="E1372" t="s">
        <v>45</v>
      </c>
      <c r="F1372" t="s">
        <v>49</v>
      </c>
      <c r="G1372" t="s">
        <v>2900</v>
      </c>
      <c r="H1372" t="s">
        <v>2901</v>
      </c>
      <c r="J1372" t="str">
        <f>HYPERLINK("https://twitter.com/SpiceMoneyIndia/status/1761999089745498601","https://twitter.com/SpiceMoneyIndia/status/1761999089745498601")</f>
        <v>https://twitter.com/SpiceMoneyIndia/status/1761999089745498601</v>
      </c>
      <c r="K1372" t="s">
        <v>67</v>
      </c>
      <c r="O1372">
        <v>0</v>
      </c>
      <c r="P1372">
        <v>0</v>
      </c>
      <c r="Q1372">
        <v>6042</v>
      </c>
      <c r="R1372" t="s">
        <v>97</v>
      </c>
      <c r="S1372">
        <v>0</v>
      </c>
      <c r="T1372">
        <v>0</v>
      </c>
      <c r="U1372">
        <v>0</v>
      </c>
      <c r="V1372" t="s">
        <v>98</v>
      </c>
      <c r="W1372" t="s">
        <v>99</v>
      </c>
    </row>
    <row r="1373" spans="1:23" x14ac:dyDescent="0.35">
      <c r="A1373" t="s">
        <v>45</v>
      </c>
      <c r="B1373" t="s">
        <v>2865</v>
      </c>
      <c r="C1373" t="s">
        <v>93</v>
      </c>
      <c r="D1373" t="s">
        <v>1319</v>
      </c>
      <c r="E1373" t="s">
        <v>1320</v>
      </c>
      <c r="F1373" t="s">
        <v>193</v>
      </c>
      <c r="G1373" t="s">
        <v>2902</v>
      </c>
      <c r="H1373" t="s">
        <v>2903</v>
      </c>
      <c r="J1373" t="str">
        <f>HYPERLINK("https://twitter.com/ashukm/status/1761988106197373263","https://twitter.com/ashukm/status/1761988106197373263")</f>
        <v>https://twitter.com/ashukm/status/1761988106197373263</v>
      </c>
      <c r="K1373" t="s">
        <v>67</v>
      </c>
      <c r="O1373">
        <v>0</v>
      </c>
      <c r="P1373">
        <v>0</v>
      </c>
      <c r="Q1373">
        <v>172</v>
      </c>
      <c r="S1373">
        <v>0</v>
      </c>
      <c r="T1373">
        <v>0</v>
      </c>
      <c r="U1373">
        <v>0</v>
      </c>
      <c r="W1373" t="s">
        <v>99</v>
      </c>
    </row>
    <row r="1374" spans="1:23" x14ac:dyDescent="0.35">
      <c r="A1374" t="s">
        <v>45</v>
      </c>
      <c r="B1374" t="s">
        <v>2865</v>
      </c>
      <c r="C1374" t="s">
        <v>60</v>
      </c>
      <c r="D1374" t="s">
        <v>61</v>
      </c>
      <c r="E1374" t="s">
        <v>61</v>
      </c>
      <c r="F1374" t="s">
        <v>49</v>
      </c>
      <c r="G1374" t="s">
        <v>2904</v>
      </c>
      <c r="H1374" t="s">
        <v>2905</v>
      </c>
      <c r="J1374" t="str">
        <f>HYPERLINK("https://www.facebook.com/634639855377280/posts/796323029208961?comment_id=368325972675580","https://www.facebook.com/634639855377280/posts/796323029208961?comment_id=368325972675580")</f>
        <v>https://www.facebook.com/634639855377280/posts/796323029208961?comment_id=368325972675580</v>
      </c>
      <c r="O1374">
        <v>0</v>
      </c>
      <c r="P1374">
        <v>0</v>
      </c>
      <c r="Q1374">
        <v>0</v>
      </c>
      <c r="S1374">
        <v>0</v>
      </c>
      <c r="T1374">
        <v>0</v>
      </c>
      <c r="U1374">
        <v>0</v>
      </c>
      <c r="W1374" t="s">
        <v>52</v>
      </c>
    </row>
    <row r="1375" spans="1:23" x14ac:dyDescent="0.35">
      <c r="A1375" t="s">
        <v>45</v>
      </c>
      <c r="B1375" t="s">
        <v>2865</v>
      </c>
      <c r="C1375" t="s">
        <v>93</v>
      </c>
      <c r="D1375" t="s">
        <v>2906</v>
      </c>
      <c r="E1375" t="s">
        <v>2907</v>
      </c>
      <c r="F1375" t="s">
        <v>49</v>
      </c>
      <c r="G1375" t="s">
        <v>2908</v>
      </c>
      <c r="H1375" t="s">
        <v>2909</v>
      </c>
      <c r="J1375" t="str">
        <f>HYPERLINK("https://twitter.com/anoopmishra99/status/1761957462280695881","https://twitter.com/anoopmishra99/status/1761957462280695881")</f>
        <v>https://twitter.com/anoopmishra99/status/1761957462280695881</v>
      </c>
      <c r="K1375" t="s">
        <v>67</v>
      </c>
      <c r="O1375">
        <v>0</v>
      </c>
      <c r="P1375">
        <v>0</v>
      </c>
      <c r="Q1375">
        <v>4</v>
      </c>
      <c r="R1375" t="s">
        <v>2910</v>
      </c>
      <c r="S1375">
        <v>0</v>
      </c>
      <c r="T1375">
        <v>0</v>
      </c>
      <c r="U1375">
        <v>0</v>
      </c>
      <c r="W1375" t="s">
        <v>99</v>
      </c>
    </row>
    <row r="1376" spans="1:23" x14ac:dyDescent="0.35">
      <c r="A1376" t="s">
        <v>45</v>
      </c>
      <c r="B1376" t="s">
        <v>2865</v>
      </c>
      <c r="C1376" t="s">
        <v>47</v>
      </c>
      <c r="D1376" t="s">
        <v>68</v>
      </c>
      <c r="E1376" t="s">
        <v>68</v>
      </c>
      <c r="F1376" t="s">
        <v>49</v>
      </c>
      <c r="G1376" t="s">
        <v>102</v>
      </c>
      <c r="H1376" t="s">
        <v>2911</v>
      </c>
      <c r="J1376" t="str">
        <f>HYPERLINK("https://www.youtube.com/watch?v=wDVpKG8jfSo&amp;lc=Ugzwhi8Jfz5OUZvLCDR4AaABAg.A0DfEXjUFNoA0GMPZAiCxs","https://www.youtube.com/watch?v=wDVpKG8jfSo&amp;lc=Ugzwhi8Jfz5OUZvLCDR4AaABAg.A0DfEXjUFNoA0GMPZAiCxs")</f>
        <v>https://www.youtube.com/watch?v=wDVpKG8jfSo&amp;lc=Ugzwhi8Jfz5OUZvLCDR4AaABAg.A0DfEXjUFNoA0GMPZAiCxs</v>
      </c>
      <c r="O1376">
        <v>0</v>
      </c>
      <c r="P1376">
        <v>0</v>
      </c>
      <c r="Q1376">
        <v>0</v>
      </c>
      <c r="S1376">
        <v>0</v>
      </c>
      <c r="T1376">
        <v>0</v>
      </c>
      <c r="U1376">
        <v>0</v>
      </c>
      <c r="W1376" t="s">
        <v>52</v>
      </c>
    </row>
    <row r="1377" spans="1:23" x14ac:dyDescent="0.35">
      <c r="A1377" t="s">
        <v>45</v>
      </c>
      <c r="B1377" t="s">
        <v>2865</v>
      </c>
      <c r="C1377" t="s">
        <v>47</v>
      </c>
      <c r="D1377" t="s">
        <v>68</v>
      </c>
      <c r="E1377" t="s">
        <v>68</v>
      </c>
      <c r="F1377" t="s">
        <v>49</v>
      </c>
      <c r="G1377" t="s">
        <v>102</v>
      </c>
      <c r="H1377" t="s">
        <v>2912</v>
      </c>
      <c r="J1377" t="str">
        <f>HYPERLINK("https://www.youtube.com/watch?v=pxfDLjxqtko&amp;lc=Ugz8xwMkF1-yohqwq4F4AaABAg.A0EQWzSjKU2A0GLOzGSvJo","https://www.youtube.com/watch?v=pxfDLjxqtko&amp;lc=Ugz8xwMkF1-yohqwq4F4AaABAg.A0EQWzSjKU2A0GLOzGSvJo")</f>
        <v>https://www.youtube.com/watch?v=pxfDLjxqtko&amp;lc=Ugz8xwMkF1-yohqwq4F4AaABAg.A0EQWzSjKU2A0GLOzGSvJo</v>
      </c>
      <c r="O1377">
        <v>0</v>
      </c>
      <c r="P1377">
        <v>0</v>
      </c>
      <c r="Q1377">
        <v>0</v>
      </c>
      <c r="S1377">
        <v>0</v>
      </c>
      <c r="T1377">
        <v>0</v>
      </c>
      <c r="U1377">
        <v>0</v>
      </c>
      <c r="W1377" t="s">
        <v>52</v>
      </c>
    </row>
    <row r="1378" spans="1:23" x14ac:dyDescent="0.35">
      <c r="A1378" t="s">
        <v>45</v>
      </c>
      <c r="B1378" t="s">
        <v>2865</v>
      </c>
      <c r="C1378" t="s">
        <v>47</v>
      </c>
      <c r="D1378" t="s">
        <v>68</v>
      </c>
      <c r="E1378" t="s">
        <v>68</v>
      </c>
      <c r="F1378" t="s">
        <v>49</v>
      </c>
      <c r="G1378" t="s">
        <v>102</v>
      </c>
      <c r="H1378" t="s">
        <v>2913</v>
      </c>
      <c r="J1378" t="str">
        <f>HYPERLINK("https://www.youtube.com/watch?v=--SsTSqIa-4&amp;lc=Ugz1d1eMcsXpbPncVw14AaABAg.A0EINUUigDrA0GLMmx1O-z","https://www.youtube.com/watch?v=--SsTSqIa-4&amp;lc=Ugz1d1eMcsXpbPncVw14AaABAg.A0EINUUigDrA0GLMmx1O-z")</f>
        <v>https://www.youtube.com/watch?v=--SsTSqIa-4&amp;lc=Ugz1d1eMcsXpbPncVw14AaABAg.A0EINUUigDrA0GLMmx1O-z</v>
      </c>
      <c r="O1378">
        <v>0</v>
      </c>
      <c r="P1378">
        <v>0</v>
      </c>
      <c r="Q1378">
        <v>0</v>
      </c>
      <c r="S1378">
        <v>0</v>
      </c>
      <c r="T1378">
        <v>0</v>
      </c>
      <c r="U1378">
        <v>0</v>
      </c>
      <c r="W1378" t="s">
        <v>52</v>
      </c>
    </row>
    <row r="1379" spans="1:23" x14ac:dyDescent="0.35">
      <c r="A1379" t="s">
        <v>45</v>
      </c>
      <c r="B1379" t="s">
        <v>2865</v>
      </c>
      <c r="C1379" t="s">
        <v>47</v>
      </c>
      <c r="D1379" t="s">
        <v>68</v>
      </c>
      <c r="E1379" t="s">
        <v>68</v>
      </c>
      <c r="F1379" t="s">
        <v>49</v>
      </c>
      <c r="G1379" t="s">
        <v>102</v>
      </c>
      <c r="H1379" t="s">
        <v>2914</v>
      </c>
      <c r="J1379" t="str">
        <f>HYPERLINK("https://www.youtube.com/watch?v=nw5NSk5mPF8&amp;lc=Ugy3VN7eX180pkCrqhZ4AaABAg.A0FSEdJePIVA0GIWzcYfJz","https://www.youtube.com/watch?v=nw5NSk5mPF8&amp;lc=Ugy3VN7eX180pkCrqhZ4AaABAg.A0FSEdJePIVA0GIWzcYfJz")</f>
        <v>https://www.youtube.com/watch?v=nw5NSk5mPF8&amp;lc=Ugy3VN7eX180pkCrqhZ4AaABAg.A0FSEdJePIVA0GIWzcYfJz</v>
      </c>
      <c r="O1379">
        <v>0</v>
      </c>
      <c r="P1379">
        <v>0</v>
      </c>
      <c r="Q1379">
        <v>0</v>
      </c>
      <c r="S1379">
        <v>0</v>
      </c>
      <c r="T1379">
        <v>0</v>
      </c>
      <c r="U1379">
        <v>0</v>
      </c>
      <c r="W1379" t="s">
        <v>52</v>
      </c>
    </row>
    <row r="1380" spans="1:23" x14ac:dyDescent="0.35">
      <c r="A1380" t="s">
        <v>45</v>
      </c>
      <c r="B1380" t="s">
        <v>2915</v>
      </c>
      <c r="C1380" t="s">
        <v>47</v>
      </c>
      <c r="D1380" t="s">
        <v>2916</v>
      </c>
      <c r="E1380" t="s">
        <v>2916</v>
      </c>
      <c r="F1380" t="s">
        <v>49</v>
      </c>
      <c r="G1380" t="s">
        <v>2917</v>
      </c>
      <c r="H1380" t="s">
        <v>2918</v>
      </c>
      <c r="J1380" t="str">
        <f>HYPERLINK("https://www.youtube.com/watch?v=nw5NSk5mPF8&amp;lc=Ugy3VN7eX180pkCrqhZ4AaABAg","https://www.youtube.com/watch?v=nw5NSk5mPF8&amp;lc=Ugy3VN7eX180pkCrqhZ4AaABAg")</f>
        <v>https://www.youtube.com/watch?v=nw5NSk5mPF8&amp;lc=Ugy3VN7eX180pkCrqhZ4AaABAg</v>
      </c>
      <c r="O1380">
        <v>0</v>
      </c>
      <c r="P1380">
        <v>0</v>
      </c>
      <c r="Q1380">
        <v>0</v>
      </c>
      <c r="S1380">
        <v>0</v>
      </c>
      <c r="T1380">
        <v>0</v>
      </c>
      <c r="U1380">
        <v>0</v>
      </c>
      <c r="W1380" t="s">
        <v>52</v>
      </c>
    </row>
    <row r="1381" spans="1:23" x14ac:dyDescent="0.35">
      <c r="A1381" t="s">
        <v>45</v>
      </c>
      <c r="B1381" t="s">
        <v>2915</v>
      </c>
      <c r="C1381" t="s">
        <v>60</v>
      </c>
      <c r="D1381" t="s">
        <v>61</v>
      </c>
      <c r="E1381" t="s">
        <v>61</v>
      </c>
      <c r="F1381" t="s">
        <v>49</v>
      </c>
      <c r="G1381" t="s">
        <v>2919</v>
      </c>
      <c r="H1381" t="s">
        <v>2920</v>
      </c>
      <c r="J1381" t="str">
        <f>HYPERLINK("https://www.facebook.com/634639855377280/posts/796831269158137?comment_id=1434614843811554","https://www.facebook.com/634639855377280/posts/796831269158137?comment_id=1434614843811554")</f>
        <v>https://www.facebook.com/634639855377280/posts/796831269158137?comment_id=1434614843811554</v>
      </c>
      <c r="O1381">
        <v>0</v>
      </c>
      <c r="P1381">
        <v>0</v>
      </c>
      <c r="Q1381">
        <v>0</v>
      </c>
      <c r="S1381">
        <v>0</v>
      </c>
      <c r="T1381">
        <v>0</v>
      </c>
      <c r="U1381">
        <v>0</v>
      </c>
      <c r="W1381" t="s">
        <v>52</v>
      </c>
    </row>
    <row r="1382" spans="1:23" x14ac:dyDescent="0.35">
      <c r="A1382" t="s">
        <v>45</v>
      </c>
      <c r="B1382" t="s">
        <v>2915</v>
      </c>
      <c r="C1382" t="s">
        <v>47</v>
      </c>
      <c r="D1382" t="s">
        <v>2921</v>
      </c>
      <c r="E1382" t="s">
        <v>2921</v>
      </c>
      <c r="F1382" t="s">
        <v>49</v>
      </c>
      <c r="G1382" t="s">
        <v>2922</v>
      </c>
      <c r="H1382" t="s">
        <v>2923</v>
      </c>
      <c r="J1382" t="str">
        <f>HYPERLINK("https://www.youtube.com/watch?v=pxfDLjxqtko&amp;lc=Ugz8xwMkF1-yohqwq4F4AaABAg","https://www.youtube.com/watch?v=pxfDLjxqtko&amp;lc=Ugz8xwMkF1-yohqwq4F4AaABAg")</f>
        <v>https://www.youtube.com/watch?v=pxfDLjxqtko&amp;lc=Ugz8xwMkF1-yohqwq4F4AaABAg</v>
      </c>
      <c r="O1382">
        <v>0</v>
      </c>
      <c r="P1382">
        <v>0</v>
      </c>
      <c r="Q1382">
        <v>0</v>
      </c>
      <c r="S1382">
        <v>0</v>
      </c>
      <c r="T1382">
        <v>0</v>
      </c>
      <c r="U1382">
        <v>0</v>
      </c>
      <c r="W1382" t="s">
        <v>52</v>
      </c>
    </row>
    <row r="1383" spans="1:23" x14ac:dyDescent="0.35">
      <c r="A1383" t="s">
        <v>45</v>
      </c>
      <c r="B1383" t="s">
        <v>2915</v>
      </c>
      <c r="C1383" t="s">
        <v>47</v>
      </c>
      <c r="D1383" t="s">
        <v>2924</v>
      </c>
      <c r="E1383" t="s">
        <v>2924</v>
      </c>
      <c r="F1383" t="s">
        <v>49</v>
      </c>
      <c r="G1383" t="s">
        <v>2925</v>
      </c>
      <c r="H1383" t="s">
        <v>2926</v>
      </c>
      <c r="J1383" t="str">
        <f>HYPERLINK("https://www.youtube.com/watch?v=--SsTSqIa-4&amp;lc=Ugz1d1eMcsXpbPncVw14AaABAg","https://www.youtube.com/watch?v=--SsTSqIa-4&amp;lc=Ugz1d1eMcsXpbPncVw14AaABAg")</f>
        <v>https://www.youtube.com/watch?v=--SsTSqIa-4&amp;lc=Ugz1d1eMcsXpbPncVw14AaABAg</v>
      </c>
      <c r="O1383">
        <v>0</v>
      </c>
      <c r="P1383">
        <v>0</v>
      </c>
      <c r="Q1383">
        <v>0</v>
      </c>
      <c r="S1383">
        <v>0</v>
      </c>
      <c r="T1383">
        <v>0</v>
      </c>
      <c r="U1383">
        <v>0</v>
      </c>
      <c r="W1383" t="s">
        <v>52</v>
      </c>
    </row>
    <row r="1384" spans="1:23" x14ac:dyDescent="0.35">
      <c r="A1384" t="s">
        <v>45</v>
      </c>
      <c r="B1384" t="s">
        <v>2915</v>
      </c>
      <c r="C1384" t="s">
        <v>47</v>
      </c>
      <c r="D1384" t="s">
        <v>2927</v>
      </c>
      <c r="E1384" t="s">
        <v>2927</v>
      </c>
      <c r="F1384" t="s">
        <v>49</v>
      </c>
      <c r="G1384" t="s">
        <v>2928</v>
      </c>
      <c r="H1384" t="s">
        <v>2929</v>
      </c>
      <c r="J1384" t="str">
        <f>HYPERLINK("https://www.youtube.com/watch?v=wDVpKG8jfSo&amp;lc=Ugzwhi8Jfz5OUZvLCDR4AaABAg","https://www.youtube.com/watch?v=wDVpKG8jfSo&amp;lc=Ugzwhi8Jfz5OUZvLCDR4AaABAg")</f>
        <v>https://www.youtube.com/watch?v=wDVpKG8jfSo&amp;lc=Ugzwhi8Jfz5OUZvLCDR4AaABAg</v>
      </c>
      <c r="O1384">
        <v>0</v>
      </c>
      <c r="P1384">
        <v>0</v>
      </c>
      <c r="Q1384">
        <v>0</v>
      </c>
      <c r="S1384">
        <v>0</v>
      </c>
      <c r="T1384">
        <v>0</v>
      </c>
      <c r="U1384">
        <v>0</v>
      </c>
      <c r="W1384" t="s">
        <v>52</v>
      </c>
    </row>
    <row r="1385" spans="1:23" x14ac:dyDescent="0.35">
      <c r="A1385" t="s">
        <v>45</v>
      </c>
      <c r="B1385" t="s">
        <v>2930</v>
      </c>
      <c r="C1385" t="s">
        <v>47</v>
      </c>
      <c r="D1385" t="s">
        <v>2931</v>
      </c>
      <c r="E1385" t="s">
        <v>2931</v>
      </c>
      <c r="F1385" t="s">
        <v>49</v>
      </c>
      <c r="G1385" t="s">
        <v>2932</v>
      </c>
      <c r="H1385" t="s">
        <v>2933</v>
      </c>
      <c r="J1385" t="str">
        <f>HYPERLINK("https://www.youtube.com/watch?v=wDVpKG8jfSo&amp;lc=UgyLuFok6mTu81xRMnF4AaABAg","https://www.youtube.com/watch?v=wDVpKG8jfSo&amp;lc=UgyLuFok6mTu81xRMnF4AaABAg")</f>
        <v>https://www.youtube.com/watch?v=wDVpKG8jfSo&amp;lc=UgyLuFok6mTu81xRMnF4AaABAg</v>
      </c>
      <c r="O1385">
        <v>0</v>
      </c>
      <c r="P1385">
        <v>0</v>
      </c>
      <c r="Q1385">
        <v>0</v>
      </c>
      <c r="S1385">
        <v>0</v>
      </c>
      <c r="T1385">
        <v>0</v>
      </c>
      <c r="U1385">
        <v>0</v>
      </c>
      <c r="W1385" t="s">
        <v>52</v>
      </c>
    </row>
    <row r="1386" spans="1:23" x14ac:dyDescent="0.35">
      <c r="A1386" t="s">
        <v>45</v>
      </c>
      <c r="B1386" t="s">
        <v>2930</v>
      </c>
      <c r="C1386" t="s">
        <v>93</v>
      </c>
      <c r="D1386" t="s">
        <v>94</v>
      </c>
      <c r="E1386" t="s">
        <v>45</v>
      </c>
      <c r="F1386" t="s">
        <v>49</v>
      </c>
      <c r="G1386" t="s">
        <v>2934</v>
      </c>
      <c r="H1386" t="s">
        <v>2935</v>
      </c>
      <c r="J1386" t="str">
        <f>HYPERLINK("https://twitter.com/SpiceMoneyIndia/status/1761354167845540245","https://twitter.com/SpiceMoneyIndia/status/1761354167845540245")</f>
        <v>https://twitter.com/SpiceMoneyIndia/status/1761354167845540245</v>
      </c>
      <c r="K1386" t="s">
        <v>67</v>
      </c>
      <c r="O1386">
        <v>0</v>
      </c>
      <c r="P1386">
        <v>0</v>
      </c>
      <c r="Q1386">
        <v>6042</v>
      </c>
      <c r="R1386" t="s">
        <v>97</v>
      </c>
      <c r="S1386">
        <v>0</v>
      </c>
      <c r="T1386">
        <v>0</v>
      </c>
      <c r="U1386">
        <v>0</v>
      </c>
      <c r="V1386" t="s">
        <v>98</v>
      </c>
      <c r="W1386" t="s">
        <v>99</v>
      </c>
    </row>
    <row r="1387" spans="1:23" x14ac:dyDescent="0.35">
      <c r="A1387" t="s">
        <v>45</v>
      </c>
      <c r="B1387" t="s">
        <v>2930</v>
      </c>
      <c r="C1387" t="s">
        <v>93</v>
      </c>
      <c r="D1387" t="s">
        <v>94</v>
      </c>
      <c r="E1387" t="s">
        <v>45</v>
      </c>
      <c r="F1387" t="s">
        <v>49</v>
      </c>
      <c r="G1387" t="s">
        <v>2936</v>
      </c>
      <c r="H1387" t="s">
        <v>2937</v>
      </c>
      <c r="J1387" t="str">
        <f>HYPERLINK("https://twitter.com/SpiceMoneyIndia/status/1761353668605980737","https://twitter.com/SpiceMoneyIndia/status/1761353668605980737")</f>
        <v>https://twitter.com/SpiceMoneyIndia/status/1761353668605980737</v>
      </c>
      <c r="K1387" t="s">
        <v>67</v>
      </c>
      <c r="O1387">
        <v>0</v>
      </c>
      <c r="P1387">
        <v>0</v>
      </c>
      <c r="Q1387">
        <v>6042</v>
      </c>
      <c r="R1387" t="s">
        <v>97</v>
      </c>
      <c r="S1387">
        <v>0</v>
      </c>
      <c r="T1387">
        <v>0</v>
      </c>
      <c r="U1387">
        <v>0</v>
      </c>
      <c r="V1387" t="s">
        <v>98</v>
      </c>
      <c r="W1387" t="s">
        <v>99</v>
      </c>
    </row>
    <row r="1388" spans="1:23" x14ac:dyDescent="0.35">
      <c r="A1388" t="s">
        <v>45</v>
      </c>
      <c r="B1388" t="s">
        <v>2930</v>
      </c>
      <c r="C1388" t="s">
        <v>47</v>
      </c>
      <c r="D1388" t="s">
        <v>68</v>
      </c>
      <c r="E1388" t="s">
        <v>68</v>
      </c>
      <c r="F1388" t="s">
        <v>49</v>
      </c>
      <c r="G1388" t="s">
        <v>102</v>
      </c>
      <c r="H1388" t="s">
        <v>2938</v>
      </c>
      <c r="J1388" t="str">
        <f>HYPERLINK("https://www.youtube.com/watch?v=Vk9kehZJdww&amp;lc=Ugx-QaO7vzPxf43NuyV4AaABAg.A0A0_RqF2o6A0C8I2buNyG","https://www.youtube.com/watch?v=Vk9kehZJdww&amp;lc=Ugx-QaO7vzPxf43NuyV4AaABAg.A0A0_RqF2o6A0C8I2buNyG")</f>
        <v>https://www.youtube.com/watch?v=Vk9kehZJdww&amp;lc=Ugx-QaO7vzPxf43NuyV4AaABAg.A0A0_RqF2o6A0C8I2buNyG</v>
      </c>
      <c r="O1388">
        <v>0</v>
      </c>
      <c r="P1388">
        <v>0</v>
      </c>
      <c r="Q1388">
        <v>0</v>
      </c>
      <c r="S1388">
        <v>0</v>
      </c>
      <c r="T1388">
        <v>0</v>
      </c>
      <c r="U1388">
        <v>0</v>
      </c>
      <c r="W1388" t="s">
        <v>52</v>
      </c>
    </row>
    <row r="1389" spans="1:23" x14ac:dyDescent="0.35">
      <c r="A1389" t="s">
        <v>45</v>
      </c>
      <c r="B1389" t="s">
        <v>2930</v>
      </c>
      <c r="C1389" t="s">
        <v>93</v>
      </c>
      <c r="D1389" t="s">
        <v>2939</v>
      </c>
      <c r="E1389" t="s">
        <v>2940</v>
      </c>
      <c r="F1389" t="s">
        <v>193</v>
      </c>
      <c r="G1389" t="s">
        <v>2941</v>
      </c>
      <c r="H1389" t="s">
        <v>2942</v>
      </c>
      <c r="J1389" t="str">
        <f>HYPERLINK("https://twitter.com/amandwi39776875/status/1761352462718648395","https://twitter.com/amandwi39776875/status/1761352462718648395")</f>
        <v>https://twitter.com/amandwi39776875/status/1761352462718648395</v>
      </c>
      <c r="O1389">
        <v>0</v>
      </c>
      <c r="P1389">
        <v>0</v>
      </c>
      <c r="Q1389">
        <v>115</v>
      </c>
      <c r="R1389" t="s">
        <v>2943</v>
      </c>
      <c r="S1389">
        <v>0</v>
      </c>
      <c r="T1389">
        <v>0</v>
      </c>
      <c r="U1389">
        <v>0</v>
      </c>
      <c r="W1389" t="s">
        <v>99</v>
      </c>
    </row>
    <row r="1390" spans="1:23" x14ac:dyDescent="0.35">
      <c r="A1390" t="s">
        <v>45</v>
      </c>
      <c r="B1390" t="s">
        <v>2930</v>
      </c>
      <c r="C1390" t="s">
        <v>47</v>
      </c>
      <c r="D1390" t="s">
        <v>68</v>
      </c>
      <c r="E1390" t="s">
        <v>68</v>
      </c>
      <c r="F1390" t="s">
        <v>49</v>
      </c>
      <c r="G1390" t="s">
        <v>293</v>
      </c>
      <c r="H1390" t="s">
        <v>2944</v>
      </c>
      <c r="J1390" t="str">
        <f>HYPERLINK("https://www.youtube.com/watch?v=5DADCSRiE3A&amp;lc=UgzaHrJgp4b6ZTy6blR4AaABAg.A0BhWjq9M3AA0C7zYmLmGV","https://www.youtube.com/watch?v=5DADCSRiE3A&amp;lc=UgzaHrJgp4b6ZTy6blR4AaABAg.A0BhWjq9M3AA0C7zYmLmGV")</f>
        <v>https://www.youtube.com/watch?v=5DADCSRiE3A&amp;lc=UgzaHrJgp4b6ZTy6blR4AaABAg.A0BhWjq9M3AA0C7zYmLmGV</v>
      </c>
      <c r="O1390">
        <v>0</v>
      </c>
      <c r="P1390">
        <v>0</v>
      </c>
      <c r="Q1390">
        <v>0</v>
      </c>
      <c r="S1390">
        <v>0</v>
      </c>
      <c r="T1390">
        <v>0</v>
      </c>
      <c r="U1390">
        <v>0</v>
      </c>
      <c r="W1390" t="s">
        <v>52</v>
      </c>
    </row>
    <row r="1391" spans="1:23" x14ac:dyDescent="0.35">
      <c r="A1391" t="s">
        <v>45</v>
      </c>
      <c r="B1391" t="s">
        <v>2930</v>
      </c>
      <c r="C1391" t="s">
        <v>47</v>
      </c>
      <c r="D1391" t="s">
        <v>2945</v>
      </c>
      <c r="E1391" t="s">
        <v>2945</v>
      </c>
      <c r="F1391" t="s">
        <v>49</v>
      </c>
      <c r="G1391" t="s">
        <v>2946</v>
      </c>
      <c r="H1391" t="s">
        <v>2947</v>
      </c>
      <c r="J1391" t="str">
        <f>HYPERLINK("https://www.youtube.com/watch?v=5DADCSRiE3A&amp;lc=UgzaHrJgp4b6ZTy6blR4AaABAg","https://www.youtube.com/watch?v=5DADCSRiE3A&amp;lc=UgzaHrJgp4b6ZTy6blR4AaABAg")</f>
        <v>https://www.youtube.com/watch?v=5DADCSRiE3A&amp;lc=UgzaHrJgp4b6ZTy6blR4AaABAg</v>
      </c>
      <c r="O1391">
        <v>0</v>
      </c>
      <c r="P1391">
        <v>0</v>
      </c>
      <c r="Q1391">
        <v>0</v>
      </c>
      <c r="S1391">
        <v>0</v>
      </c>
      <c r="T1391">
        <v>0</v>
      </c>
      <c r="U1391">
        <v>0</v>
      </c>
      <c r="W1391" t="s">
        <v>52</v>
      </c>
    </row>
    <row r="1392" spans="1:23" x14ac:dyDescent="0.35">
      <c r="A1392" t="s">
        <v>45</v>
      </c>
      <c r="B1392" t="s">
        <v>2930</v>
      </c>
      <c r="C1392" t="s">
        <v>93</v>
      </c>
      <c r="D1392" t="s">
        <v>2948</v>
      </c>
      <c r="E1392" t="s">
        <v>2949</v>
      </c>
      <c r="F1392" t="s">
        <v>49</v>
      </c>
      <c r="G1392" t="s">
        <v>2950</v>
      </c>
      <c r="H1392" t="s">
        <v>2951</v>
      </c>
      <c r="J1392" t="str">
        <f>HYPERLINK("https://twitter.com/SheikhSaheb16/status/1761282453006852253","https://twitter.com/SheikhSaheb16/status/1761282453006852253")</f>
        <v>https://twitter.com/SheikhSaheb16/status/1761282453006852253</v>
      </c>
      <c r="O1392">
        <v>0</v>
      </c>
      <c r="P1392">
        <v>0</v>
      </c>
      <c r="Q1392">
        <v>36</v>
      </c>
      <c r="R1392" t="s">
        <v>756</v>
      </c>
      <c r="S1392">
        <v>0</v>
      </c>
      <c r="T1392">
        <v>0</v>
      </c>
      <c r="U1392">
        <v>0</v>
      </c>
      <c r="W1392" t="s">
        <v>99</v>
      </c>
    </row>
    <row r="1393" spans="1:23" x14ac:dyDescent="0.35">
      <c r="A1393" t="s">
        <v>45</v>
      </c>
      <c r="B1393" t="s">
        <v>2930</v>
      </c>
      <c r="C1393" t="s">
        <v>93</v>
      </c>
      <c r="D1393" t="s">
        <v>2952</v>
      </c>
      <c r="E1393" t="s">
        <v>2953</v>
      </c>
      <c r="F1393" t="s">
        <v>49</v>
      </c>
      <c r="G1393" t="s">
        <v>2954</v>
      </c>
      <c r="H1393" t="s">
        <v>2955</v>
      </c>
      <c r="J1393" t="str">
        <f>HYPERLINK("https://twitter.com/kshakti578/status/1761252904936349800","https://twitter.com/kshakti578/status/1761252904936349800")</f>
        <v>https://twitter.com/kshakti578/status/1761252904936349800</v>
      </c>
      <c r="K1393" t="s">
        <v>67</v>
      </c>
      <c r="O1393">
        <v>0</v>
      </c>
      <c r="P1393">
        <v>0</v>
      </c>
      <c r="Q1393">
        <v>1</v>
      </c>
      <c r="S1393">
        <v>0</v>
      </c>
      <c r="T1393">
        <v>0</v>
      </c>
      <c r="U1393">
        <v>0</v>
      </c>
      <c r="W1393" t="s">
        <v>99</v>
      </c>
    </row>
    <row r="1394" spans="1:23" x14ac:dyDescent="0.35">
      <c r="A1394" t="s">
        <v>45</v>
      </c>
      <c r="B1394" t="s">
        <v>2930</v>
      </c>
      <c r="C1394" t="s">
        <v>60</v>
      </c>
      <c r="D1394" t="s">
        <v>61</v>
      </c>
      <c r="E1394" t="s">
        <v>61</v>
      </c>
      <c r="F1394" t="s">
        <v>193</v>
      </c>
      <c r="G1394" t="s">
        <v>2956</v>
      </c>
      <c r="H1394" t="s">
        <v>2957</v>
      </c>
      <c r="J1394" t="str">
        <f>HYPERLINK("https://www.facebook.com/634639855377280/posts/795715435936387?comment_id=1821287411609929","https://www.facebook.com/634639855377280/posts/795715435936387?comment_id=1821287411609929")</f>
        <v>https://www.facebook.com/634639855377280/posts/795715435936387?comment_id=1821287411609929</v>
      </c>
      <c r="O1394">
        <v>0</v>
      </c>
      <c r="P1394">
        <v>0</v>
      </c>
      <c r="Q1394">
        <v>0</v>
      </c>
      <c r="S1394">
        <v>0</v>
      </c>
      <c r="T1394">
        <v>0</v>
      </c>
      <c r="U1394">
        <v>0</v>
      </c>
      <c r="W1394" t="s">
        <v>52</v>
      </c>
    </row>
    <row r="1395" spans="1:23" x14ac:dyDescent="0.35">
      <c r="A1395" t="s">
        <v>45</v>
      </c>
      <c r="B1395" t="s">
        <v>2930</v>
      </c>
      <c r="C1395" t="s">
        <v>60</v>
      </c>
      <c r="D1395" t="s">
        <v>64</v>
      </c>
      <c r="E1395" t="s">
        <v>64</v>
      </c>
      <c r="F1395" t="s">
        <v>49</v>
      </c>
      <c r="G1395" t="s">
        <v>2958</v>
      </c>
      <c r="H1395" t="s">
        <v>2959</v>
      </c>
      <c r="J1395" t="str">
        <f>HYPERLINK("https://www.facebook.com/634639855377280/posts/796831269158137","https://www.facebook.com/634639855377280/posts/796831269158137")</f>
        <v>https://www.facebook.com/634639855377280/posts/796831269158137</v>
      </c>
      <c r="O1395">
        <v>0</v>
      </c>
      <c r="P1395">
        <v>0</v>
      </c>
      <c r="Q1395">
        <v>0</v>
      </c>
      <c r="S1395">
        <v>1</v>
      </c>
      <c r="T1395">
        <v>19</v>
      </c>
      <c r="U1395">
        <v>1</v>
      </c>
      <c r="W1395" t="s">
        <v>346</v>
      </c>
    </row>
    <row r="1396" spans="1:23" x14ac:dyDescent="0.35">
      <c r="A1396" t="s">
        <v>45</v>
      </c>
      <c r="B1396" t="s">
        <v>2930</v>
      </c>
      <c r="C1396" t="s">
        <v>93</v>
      </c>
      <c r="D1396" t="s">
        <v>2960</v>
      </c>
      <c r="E1396" t="s">
        <v>2961</v>
      </c>
      <c r="F1396" t="s">
        <v>49</v>
      </c>
      <c r="G1396" t="s">
        <v>2962</v>
      </c>
      <c r="H1396" t="s">
        <v>2963</v>
      </c>
      <c r="J1396" t="str">
        <f>HYPERLINK("https://twitter.com/eth_david86163/status/1761232002882117984","https://twitter.com/eth_david86163/status/1761232002882117984")</f>
        <v>https://twitter.com/eth_david86163/status/1761232002882117984</v>
      </c>
      <c r="O1396">
        <v>0</v>
      </c>
      <c r="P1396">
        <v>0</v>
      </c>
      <c r="Q1396">
        <v>0</v>
      </c>
      <c r="R1396" t="s">
        <v>2964</v>
      </c>
      <c r="S1396">
        <v>0</v>
      </c>
      <c r="T1396">
        <v>0</v>
      </c>
      <c r="U1396">
        <v>0</v>
      </c>
      <c r="W1396" t="s">
        <v>99</v>
      </c>
    </row>
    <row r="1397" spans="1:23" x14ac:dyDescent="0.35">
      <c r="A1397" t="s">
        <v>45</v>
      </c>
      <c r="B1397" t="s">
        <v>2930</v>
      </c>
      <c r="C1397" t="s">
        <v>93</v>
      </c>
      <c r="D1397" t="s">
        <v>94</v>
      </c>
      <c r="E1397" t="s">
        <v>45</v>
      </c>
      <c r="F1397" t="s">
        <v>49</v>
      </c>
      <c r="G1397" t="s">
        <v>2965</v>
      </c>
      <c r="H1397" t="s">
        <v>2966</v>
      </c>
      <c r="J1397" t="str">
        <f>HYPERLINK("https://twitter.com/SpiceMoneyIndia/status/1761231979637539137","https://twitter.com/SpiceMoneyIndia/status/1761231979637539137")</f>
        <v>https://twitter.com/SpiceMoneyIndia/status/1761231979637539137</v>
      </c>
      <c r="K1397" t="s">
        <v>67</v>
      </c>
      <c r="O1397">
        <v>0</v>
      </c>
      <c r="P1397">
        <v>0</v>
      </c>
      <c r="Q1397">
        <v>6043</v>
      </c>
      <c r="R1397" t="s">
        <v>97</v>
      </c>
      <c r="S1397">
        <v>0</v>
      </c>
      <c r="T1397">
        <v>0</v>
      </c>
      <c r="U1397">
        <v>0</v>
      </c>
      <c r="V1397" t="s">
        <v>98</v>
      </c>
      <c r="W1397" t="s">
        <v>99</v>
      </c>
    </row>
    <row r="1398" spans="1:23" x14ac:dyDescent="0.35">
      <c r="A1398" t="s">
        <v>45</v>
      </c>
      <c r="B1398" t="s">
        <v>2930</v>
      </c>
      <c r="C1398" t="s">
        <v>47</v>
      </c>
      <c r="D1398" t="s">
        <v>68</v>
      </c>
      <c r="E1398" t="s">
        <v>68</v>
      </c>
      <c r="F1398" t="s">
        <v>49</v>
      </c>
      <c r="G1398" t="s">
        <v>102</v>
      </c>
      <c r="H1398" t="s">
        <v>2967</v>
      </c>
      <c r="J1398" t="str">
        <f>HYPERLINK("https://www.youtube.com/watch?v=wDVpKG8jfSo&amp;lc=UgyT0H0Y1nVYFL96MJ94AaABAg.A0AEbO2KkAtA0BFi5MHgKN","https://www.youtube.com/watch?v=wDVpKG8jfSo&amp;lc=UgyT0H0Y1nVYFL96MJ94AaABAg.A0AEbO2KkAtA0BFi5MHgKN")</f>
        <v>https://www.youtube.com/watch?v=wDVpKG8jfSo&amp;lc=UgyT0H0Y1nVYFL96MJ94AaABAg.A0AEbO2KkAtA0BFi5MHgKN</v>
      </c>
      <c r="O1398">
        <v>0</v>
      </c>
      <c r="P1398">
        <v>0</v>
      </c>
      <c r="Q1398">
        <v>0</v>
      </c>
      <c r="S1398">
        <v>0</v>
      </c>
      <c r="T1398">
        <v>0</v>
      </c>
      <c r="U1398">
        <v>0</v>
      </c>
      <c r="W1398" t="s">
        <v>52</v>
      </c>
    </row>
    <row r="1399" spans="1:23" x14ac:dyDescent="0.35">
      <c r="A1399" t="s">
        <v>45</v>
      </c>
      <c r="B1399" t="s">
        <v>2968</v>
      </c>
      <c r="C1399" t="s">
        <v>47</v>
      </c>
      <c r="D1399" t="s">
        <v>2969</v>
      </c>
      <c r="E1399" t="s">
        <v>2969</v>
      </c>
      <c r="F1399" t="s">
        <v>49</v>
      </c>
      <c r="G1399" t="s">
        <v>2970</v>
      </c>
      <c r="H1399" t="s">
        <v>2971</v>
      </c>
      <c r="J1399" t="str">
        <f>HYPERLINK("https://www.youtube.com/watch?v=wDVpKG8jfSo&amp;lc=UgyT0H0Y1nVYFL96MJ94AaABAg","https://www.youtube.com/watch?v=wDVpKG8jfSo&amp;lc=UgyT0H0Y1nVYFL96MJ94AaABAg")</f>
        <v>https://www.youtube.com/watch?v=wDVpKG8jfSo&amp;lc=UgyT0H0Y1nVYFL96MJ94AaABAg</v>
      </c>
      <c r="O1399">
        <v>0</v>
      </c>
      <c r="P1399">
        <v>0</v>
      </c>
      <c r="Q1399">
        <v>0</v>
      </c>
      <c r="S1399">
        <v>0</v>
      </c>
      <c r="T1399">
        <v>0</v>
      </c>
      <c r="U1399">
        <v>0</v>
      </c>
      <c r="W1399" t="s">
        <v>52</v>
      </c>
    </row>
    <row r="1400" spans="1:23" x14ac:dyDescent="0.35">
      <c r="A1400" t="s">
        <v>45</v>
      </c>
      <c r="B1400" t="s">
        <v>2968</v>
      </c>
      <c r="C1400" t="s">
        <v>47</v>
      </c>
      <c r="D1400" t="s">
        <v>2972</v>
      </c>
      <c r="E1400" t="s">
        <v>2972</v>
      </c>
      <c r="F1400" t="s">
        <v>49</v>
      </c>
      <c r="G1400" t="s">
        <v>2973</v>
      </c>
      <c r="H1400" t="s">
        <v>2974</v>
      </c>
      <c r="J1400" t="str">
        <f>HYPERLINK("https://www.youtube.com/watch?v=Vk9kehZJdww&amp;lc=Ugx-QaO7vzPxf43NuyV4AaABAg","https://www.youtube.com/watch?v=Vk9kehZJdww&amp;lc=Ugx-QaO7vzPxf43NuyV4AaABAg")</f>
        <v>https://www.youtube.com/watch?v=Vk9kehZJdww&amp;lc=Ugx-QaO7vzPxf43NuyV4AaABAg</v>
      </c>
      <c r="O1400">
        <v>0</v>
      </c>
      <c r="P1400">
        <v>0</v>
      </c>
      <c r="Q1400">
        <v>0</v>
      </c>
      <c r="S1400">
        <v>0</v>
      </c>
      <c r="T1400">
        <v>0</v>
      </c>
      <c r="U1400">
        <v>0</v>
      </c>
      <c r="W1400" t="s">
        <v>52</v>
      </c>
    </row>
    <row r="1401" spans="1:23" x14ac:dyDescent="0.35">
      <c r="A1401" t="s">
        <v>45</v>
      </c>
      <c r="B1401" t="s">
        <v>2968</v>
      </c>
      <c r="C1401" t="s">
        <v>47</v>
      </c>
      <c r="D1401" t="s">
        <v>2261</v>
      </c>
      <c r="E1401" t="s">
        <v>2261</v>
      </c>
      <c r="F1401" t="s">
        <v>49</v>
      </c>
      <c r="G1401" t="s">
        <v>2975</v>
      </c>
      <c r="H1401" t="s">
        <v>2976</v>
      </c>
      <c r="J1401" t="str">
        <f>HYPERLINK("https://www.youtube.com/watch?v=Ftt-m7axmGc","https://www.youtube.com/watch?v=Ftt-m7axmGc")</f>
        <v>https://www.youtube.com/watch?v=Ftt-m7axmGc</v>
      </c>
      <c r="O1401">
        <v>0</v>
      </c>
      <c r="P1401">
        <v>0</v>
      </c>
      <c r="Q1401">
        <v>0</v>
      </c>
      <c r="S1401">
        <v>0</v>
      </c>
      <c r="T1401">
        <v>0</v>
      </c>
      <c r="U1401">
        <v>0</v>
      </c>
      <c r="W1401" t="s">
        <v>346</v>
      </c>
    </row>
    <row r="1402" spans="1:23" x14ac:dyDescent="0.35">
      <c r="A1402" t="s">
        <v>45</v>
      </c>
      <c r="B1402" t="s">
        <v>2968</v>
      </c>
      <c r="C1402" t="s">
        <v>60</v>
      </c>
      <c r="D1402" t="s">
        <v>61</v>
      </c>
      <c r="E1402" t="s">
        <v>61</v>
      </c>
      <c r="F1402" t="s">
        <v>193</v>
      </c>
      <c r="G1402" t="s">
        <v>2977</v>
      </c>
      <c r="H1402" t="s">
        <v>2978</v>
      </c>
      <c r="J1402" t="str">
        <f>HYPERLINK("https://www.facebook.com/634639855377280/posts/795715435936387?comment_id=747115484151973","https://www.facebook.com/634639855377280/posts/795715435936387?comment_id=747115484151973")</f>
        <v>https://www.facebook.com/634639855377280/posts/795715435936387?comment_id=747115484151973</v>
      </c>
      <c r="O1402">
        <v>0</v>
      </c>
      <c r="P1402">
        <v>0</v>
      </c>
      <c r="Q1402">
        <v>0</v>
      </c>
      <c r="S1402">
        <v>0</v>
      </c>
      <c r="T1402">
        <v>0</v>
      </c>
      <c r="U1402">
        <v>0</v>
      </c>
      <c r="W1402" t="s">
        <v>52</v>
      </c>
    </row>
    <row r="1403" spans="1:23" x14ac:dyDescent="0.35">
      <c r="A1403" t="s">
        <v>45</v>
      </c>
      <c r="B1403" t="s">
        <v>2968</v>
      </c>
      <c r="C1403" t="s">
        <v>60</v>
      </c>
      <c r="D1403" t="s">
        <v>61</v>
      </c>
      <c r="E1403" t="s">
        <v>61</v>
      </c>
      <c r="F1403" t="s">
        <v>49</v>
      </c>
      <c r="G1403" t="s">
        <v>2979</v>
      </c>
      <c r="H1403" t="s">
        <v>2980</v>
      </c>
      <c r="J1403" t="str">
        <f>HYPERLINK("https://www.facebook.com/634639855377280/posts/795715435936387?comment_id=1318214265530335","https://www.facebook.com/634639855377280/posts/795715435936387?comment_id=1318214265530335")</f>
        <v>https://www.facebook.com/634639855377280/posts/795715435936387?comment_id=1318214265530335</v>
      </c>
      <c r="O1403">
        <v>0</v>
      </c>
      <c r="P1403">
        <v>0</v>
      </c>
      <c r="Q1403">
        <v>0</v>
      </c>
      <c r="S1403">
        <v>0</v>
      </c>
      <c r="T1403">
        <v>0</v>
      </c>
      <c r="U1403">
        <v>0</v>
      </c>
      <c r="W1403" t="s">
        <v>52</v>
      </c>
    </row>
    <row r="1404" spans="1:23" x14ac:dyDescent="0.35">
      <c r="A1404" t="s">
        <v>45</v>
      </c>
      <c r="B1404" t="s">
        <v>2968</v>
      </c>
      <c r="C1404" t="s">
        <v>93</v>
      </c>
      <c r="D1404" t="s">
        <v>2981</v>
      </c>
      <c r="E1404" t="s">
        <v>2982</v>
      </c>
      <c r="F1404" t="s">
        <v>49</v>
      </c>
      <c r="G1404" t="s">
        <v>2983</v>
      </c>
      <c r="H1404" t="s">
        <v>2984</v>
      </c>
      <c r="J1404" t="str">
        <f>HYPERLINK("https://twitter.com/ChintooMukund/status/1761001847631044796","https://twitter.com/ChintooMukund/status/1761001847631044796")</f>
        <v>https://twitter.com/ChintooMukund/status/1761001847631044796</v>
      </c>
      <c r="K1404" t="s">
        <v>67</v>
      </c>
      <c r="O1404">
        <v>0</v>
      </c>
      <c r="P1404">
        <v>0</v>
      </c>
      <c r="Q1404">
        <v>19</v>
      </c>
      <c r="R1404" t="s">
        <v>2985</v>
      </c>
      <c r="S1404">
        <v>0</v>
      </c>
      <c r="T1404">
        <v>0</v>
      </c>
      <c r="U1404">
        <v>0</v>
      </c>
      <c r="W1404" t="s">
        <v>99</v>
      </c>
    </row>
    <row r="1405" spans="1:23" x14ac:dyDescent="0.35">
      <c r="A1405" t="s">
        <v>45</v>
      </c>
      <c r="B1405" t="s">
        <v>2968</v>
      </c>
      <c r="C1405" t="s">
        <v>60</v>
      </c>
      <c r="D1405" t="s">
        <v>64</v>
      </c>
      <c r="E1405" t="s">
        <v>64</v>
      </c>
      <c r="F1405" t="s">
        <v>49</v>
      </c>
      <c r="G1405" t="s">
        <v>2766</v>
      </c>
      <c r="H1405" t="s">
        <v>2986</v>
      </c>
      <c r="J1405" t="str">
        <f>HYPERLINK("https://www.facebook.com/634639855377280/posts/795715435936387?comment_id=782830857084863&amp;reply_comment_id=1063360848281199","https://www.facebook.com/634639855377280/posts/795715435936387?comment_id=782830857084863&amp;reply_comment_id=1063360848281199")</f>
        <v>https://www.facebook.com/634639855377280/posts/795715435936387?comment_id=782830857084863&amp;reply_comment_id=1063360848281199</v>
      </c>
      <c r="K1405" t="s">
        <v>67</v>
      </c>
      <c r="O1405">
        <v>0</v>
      </c>
      <c r="P1405">
        <v>0</v>
      </c>
      <c r="Q1405">
        <v>0</v>
      </c>
      <c r="S1405">
        <v>0</v>
      </c>
      <c r="T1405">
        <v>0</v>
      </c>
      <c r="U1405">
        <v>0</v>
      </c>
      <c r="W1405" t="s">
        <v>52</v>
      </c>
    </row>
    <row r="1406" spans="1:23" x14ac:dyDescent="0.35">
      <c r="A1406" t="s">
        <v>45</v>
      </c>
      <c r="B1406" t="s">
        <v>2968</v>
      </c>
      <c r="C1406" t="s">
        <v>93</v>
      </c>
      <c r="D1406" t="s">
        <v>94</v>
      </c>
      <c r="E1406" t="s">
        <v>45</v>
      </c>
      <c r="F1406" t="s">
        <v>49</v>
      </c>
      <c r="G1406" t="s">
        <v>2987</v>
      </c>
      <c r="H1406" t="s">
        <v>2988</v>
      </c>
      <c r="J1406" t="str">
        <f>HYPERLINK("https://twitter.com/SpiceMoneyIndia/status/1761000835247390772","https://twitter.com/SpiceMoneyIndia/status/1761000835247390772")</f>
        <v>https://twitter.com/SpiceMoneyIndia/status/1761000835247390772</v>
      </c>
      <c r="K1406" t="s">
        <v>67</v>
      </c>
      <c r="O1406">
        <v>0</v>
      </c>
      <c r="P1406">
        <v>0</v>
      </c>
      <c r="Q1406">
        <v>6041</v>
      </c>
      <c r="R1406" t="s">
        <v>97</v>
      </c>
      <c r="S1406">
        <v>0</v>
      </c>
      <c r="T1406">
        <v>0</v>
      </c>
      <c r="U1406">
        <v>0</v>
      </c>
      <c r="V1406" t="s">
        <v>98</v>
      </c>
      <c r="W1406" t="s">
        <v>99</v>
      </c>
    </row>
    <row r="1407" spans="1:23" x14ac:dyDescent="0.35">
      <c r="A1407" t="s">
        <v>45</v>
      </c>
      <c r="B1407" t="s">
        <v>2968</v>
      </c>
      <c r="C1407" t="s">
        <v>47</v>
      </c>
      <c r="D1407" t="s">
        <v>68</v>
      </c>
      <c r="E1407" t="s">
        <v>68</v>
      </c>
      <c r="F1407" t="s">
        <v>49</v>
      </c>
      <c r="G1407" t="s">
        <v>2989</v>
      </c>
      <c r="H1407" t="s">
        <v>2990</v>
      </c>
      <c r="J1407" t="str">
        <f>HYPERLINK("https://www.youtube.com/watch?v=zkfWhYOCqb8&amp;lc=Ugzp1EliRUH6AJTCw0t4AaABAg.A-v1iGjomFRA09_5BsurX1","https://www.youtube.com/watch?v=zkfWhYOCqb8&amp;lc=Ugzp1EliRUH6AJTCw0t4AaABAg.A-v1iGjomFRA09_5BsurX1")</f>
        <v>https://www.youtube.com/watch?v=zkfWhYOCqb8&amp;lc=Ugzp1EliRUH6AJTCw0t4AaABAg.A-v1iGjomFRA09_5BsurX1</v>
      </c>
      <c r="O1407">
        <v>0</v>
      </c>
      <c r="P1407">
        <v>0</v>
      </c>
      <c r="Q1407">
        <v>0</v>
      </c>
      <c r="S1407">
        <v>0</v>
      </c>
      <c r="T1407">
        <v>0</v>
      </c>
      <c r="U1407">
        <v>0</v>
      </c>
      <c r="W1407" t="s">
        <v>52</v>
      </c>
    </row>
    <row r="1408" spans="1:23" x14ac:dyDescent="0.35">
      <c r="A1408" t="s">
        <v>45</v>
      </c>
      <c r="B1408" t="s">
        <v>2968</v>
      </c>
      <c r="C1408" t="s">
        <v>60</v>
      </c>
      <c r="D1408" t="s">
        <v>61</v>
      </c>
      <c r="E1408" t="s">
        <v>61</v>
      </c>
      <c r="F1408" t="s">
        <v>49</v>
      </c>
      <c r="G1408" t="s">
        <v>2991</v>
      </c>
      <c r="H1408" t="s">
        <v>2992</v>
      </c>
      <c r="J1408" t="str">
        <f>HYPERLINK("https://www.facebook.com/634639855377280/posts/795715435936387?comment_id=782830857084863","https://www.facebook.com/634639855377280/posts/795715435936387?comment_id=782830857084863")</f>
        <v>https://www.facebook.com/634639855377280/posts/795715435936387?comment_id=782830857084863</v>
      </c>
      <c r="O1408">
        <v>0</v>
      </c>
      <c r="P1408">
        <v>0</v>
      </c>
      <c r="Q1408">
        <v>0</v>
      </c>
      <c r="S1408">
        <v>0</v>
      </c>
      <c r="T1408">
        <v>0</v>
      </c>
      <c r="U1408">
        <v>0</v>
      </c>
      <c r="W1408" t="s">
        <v>52</v>
      </c>
    </row>
    <row r="1409" spans="1:23" x14ac:dyDescent="0.35">
      <c r="A1409" t="s">
        <v>45</v>
      </c>
      <c r="B1409" t="s">
        <v>2968</v>
      </c>
      <c r="C1409" t="s">
        <v>93</v>
      </c>
      <c r="D1409" t="s">
        <v>2981</v>
      </c>
      <c r="E1409" t="s">
        <v>2982</v>
      </c>
      <c r="F1409" t="s">
        <v>193</v>
      </c>
      <c r="G1409" t="s">
        <v>2993</v>
      </c>
      <c r="H1409" t="s">
        <v>2994</v>
      </c>
      <c r="J1409" t="str">
        <f>HYPERLINK("https://twitter.com/ChintooMukund/status/1760990391212646661","https://twitter.com/ChintooMukund/status/1760990391212646661")</f>
        <v>https://twitter.com/ChintooMukund/status/1760990391212646661</v>
      </c>
      <c r="K1409" t="s">
        <v>67</v>
      </c>
      <c r="O1409">
        <v>0</v>
      </c>
      <c r="P1409">
        <v>0</v>
      </c>
      <c r="Q1409">
        <v>19</v>
      </c>
      <c r="R1409" t="s">
        <v>2985</v>
      </c>
      <c r="S1409">
        <v>0</v>
      </c>
      <c r="T1409">
        <v>0</v>
      </c>
      <c r="U1409">
        <v>0</v>
      </c>
      <c r="W1409" t="s">
        <v>99</v>
      </c>
    </row>
    <row r="1410" spans="1:23" x14ac:dyDescent="0.35">
      <c r="A1410" t="s">
        <v>45</v>
      </c>
      <c r="B1410" t="s">
        <v>2968</v>
      </c>
      <c r="C1410" t="s">
        <v>47</v>
      </c>
      <c r="D1410" t="s">
        <v>68</v>
      </c>
      <c r="E1410" t="s">
        <v>68</v>
      </c>
      <c r="F1410" t="s">
        <v>49</v>
      </c>
      <c r="G1410" t="s">
        <v>102</v>
      </c>
      <c r="H1410" t="s">
        <v>2995</v>
      </c>
      <c r="J1410" t="str">
        <f>HYPERLINK("https://www.youtube.com/watch?v=sU_8A5IZ7So&amp;lc=UgxmCTsJhwjRSC_KA1x4AaABAg.A07OtrjqrjYA09Z5Je7xwB","https://www.youtube.com/watch?v=sU_8A5IZ7So&amp;lc=UgxmCTsJhwjRSC_KA1x4AaABAg.A07OtrjqrjYA09Z5Je7xwB")</f>
        <v>https://www.youtube.com/watch?v=sU_8A5IZ7So&amp;lc=UgxmCTsJhwjRSC_KA1x4AaABAg.A07OtrjqrjYA09Z5Je7xwB</v>
      </c>
      <c r="O1410">
        <v>0</v>
      </c>
      <c r="P1410">
        <v>0</v>
      </c>
      <c r="Q1410">
        <v>0</v>
      </c>
      <c r="S1410">
        <v>0</v>
      </c>
      <c r="T1410">
        <v>0</v>
      </c>
      <c r="U1410">
        <v>0</v>
      </c>
      <c r="W1410" t="s">
        <v>52</v>
      </c>
    </row>
    <row r="1411" spans="1:23" x14ac:dyDescent="0.35">
      <c r="A1411" t="s">
        <v>45</v>
      </c>
      <c r="B1411" t="s">
        <v>2968</v>
      </c>
      <c r="C1411" t="s">
        <v>60</v>
      </c>
      <c r="D1411" t="s">
        <v>64</v>
      </c>
      <c r="E1411" t="s">
        <v>64</v>
      </c>
      <c r="F1411" t="s">
        <v>49</v>
      </c>
      <c r="G1411" t="s">
        <v>164</v>
      </c>
      <c r="H1411" t="s">
        <v>2996</v>
      </c>
      <c r="J1411" t="str">
        <f>HYPERLINK("https://www.facebook.com/634639855377280/posts/795715435936387?comment_id=7619474328087402&amp;reply_comment_id=1193489865346583","https://www.facebook.com/634639855377280/posts/795715435936387?comment_id=7619474328087402&amp;reply_comment_id=1193489865346583")</f>
        <v>https://www.facebook.com/634639855377280/posts/795715435936387?comment_id=7619474328087402&amp;reply_comment_id=1193489865346583</v>
      </c>
      <c r="K1411" t="s">
        <v>67</v>
      </c>
      <c r="O1411">
        <v>0</v>
      </c>
      <c r="P1411">
        <v>0</v>
      </c>
      <c r="Q1411">
        <v>0</v>
      </c>
      <c r="S1411">
        <v>0</v>
      </c>
      <c r="T1411">
        <v>0</v>
      </c>
      <c r="U1411">
        <v>0</v>
      </c>
      <c r="W1411" t="s">
        <v>52</v>
      </c>
    </row>
    <row r="1412" spans="1:23" x14ac:dyDescent="0.35">
      <c r="A1412" t="s">
        <v>45</v>
      </c>
      <c r="B1412" t="s">
        <v>2968</v>
      </c>
      <c r="C1412" t="s">
        <v>60</v>
      </c>
      <c r="D1412" t="s">
        <v>64</v>
      </c>
      <c r="E1412" t="s">
        <v>64</v>
      </c>
      <c r="F1412" t="s">
        <v>49</v>
      </c>
      <c r="G1412" t="s">
        <v>83</v>
      </c>
      <c r="H1412" t="s">
        <v>2997</v>
      </c>
      <c r="J1412" t="str">
        <f>HYPERLINK("https://www.facebook.com/634639855377280/posts/795715435936387?comment_id=406847505073046&amp;reply_comment_id=1119010245785363","https://www.facebook.com/634639855377280/posts/795715435936387?comment_id=406847505073046&amp;reply_comment_id=1119010245785363")</f>
        <v>https://www.facebook.com/634639855377280/posts/795715435936387?comment_id=406847505073046&amp;reply_comment_id=1119010245785363</v>
      </c>
      <c r="K1412" t="s">
        <v>67</v>
      </c>
      <c r="O1412">
        <v>0</v>
      </c>
      <c r="P1412">
        <v>0</v>
      </c>
      <c r="Q1412">
        <v>0</v>
      </c>
      <c r="S1412">
        <v>0</v>
      </c>
      <c r="T1412">
        <v>0</v>
      </c>
      <c r="U1412">
        <v>0</v>
      </c>
      <c r="W1412" t="s">
        <v>52</v>
      </c>
    </row>
    <row r="1413" spans="1:23" x14ac:dyDescent="0.35">
      <c r="A1413" t="s">
        <v>45</v>
      </c>
      <c r="B1413" t="s">
        <v>2968</v>
      </c>
      <c r="C1413" t="s">
        <v>47</v>
      </c>
      <c r="D1413" t="s">
        <v>68</v>
      </c>
      <c r="E1413" t="s">
        <v>68</v>
      </c>
      <c r="F1413" t="s">
        <v>49</v>
      </c>
      <c r="G1413" t="s">
        <v>492</v>
      </c>
      <c r="H1413" t="s">
        <v>2998</v>
      </c>
      <c r="J1413" t="str">
        <f>HYPERLINK("https://www.youtube.com/watch?v=vryirakqo_4&amp;lc=UgzKuCLtWUrOeg447WN4AaABAg.A08ndIdNwX8A09Xvt6V5Tw","https://www.youtube.com/watch?v=vryirakqo_4&amp;lc=UgzKuCLtWUrOeg447WN4AaABAg.A08ndIdNwX8A09Xvt6V5Tw")</f>
        <v>https://www.youtube.com/watch?v=vryirakqo_4&amp;lc=UgzKuCLtWUrOeg447WN4AaABAg.A08ndIdNwX8A09Xvt6V5Tw</v>
      </c>
      <c r="O1413">
        <v>0</v>
      </c>
      <c r="P1413">
        <v>0</v>
      </c>
      <c r="Q1413">
        <v>0</v>
      </c>
      <c r="S1413">
        <v>0</v>
      </c>
      <c r="T1413">
        <v>0</v>
      </c>
      <c r="U1413">
        <v>0</v>
      </c>
      <c r="W1413" t="s">
        <v>52</v>
      </c>
    </row>
    <row r="1414" spans="1:23" x14ac:dyDescent="0.35">
      <c r="A1414" t="s">
        <v>45</v>
      </c>
      <c r="B1414" t="s">
        <v>2968</v>
      </c>
      <c r="C1414" t="s">
        <v>47</v>
      </c>
      <c r="D1414" t="s">
        <v>68</v>
      </c>
      <c r="E1414" t="s">
        <v>68</v>
      </c>
      <c r="F1414" t="s">
        <v>49</v>
      </c>
      <c r="G1414" t="s">
        <v>2366</v>
      </c>
      <c r="H1414" t="s">
        <v>2999</v>
      </c>
      <c r="J1414" t="str">
        <f>HYPERLINK("https://www.youtube.com/watch?v=1_UKRN_GOok&amp;lc=UgxV0FtkQL8aJjcurU94AaABAg.A08uSx2QIZSA09XVKsRtNg","https://www.youtube.com/watch?v=1_UKRN_GOok&amp;lc=UgxV0FtkQL8aJjcurU94AaABAg.A08uSx2QIZSA09XVKsRtNg")</f>
        <v>https://www.youtube.com/watch?v=1_UKRN_GOok&amp;lc=UgxV0FtkQL8aJjcurU94AaABAg.A08uSx2QIZSA09XVKsRtNg</v>
      </c>
      <c r="O1414">
        <v>0</v>
      </c>
      <c r="P1414">
        <v>0</v>
      </c>
      <c r="Q1414">
        <v>0</v>
      </c>
      <c r="S1414">
        <v>0</v>
      </c>
      <c r="T1414">
        <v>0</v>
      </c>
      <c r="U1414">
        <v>0</v>
      </c>
      <c r="W1414" t="s">
        <v>52</v>
      </c>
    </row>
    <row r="1415" spans="1:23" x14ac:dyDescent="0.35">
      <c r="A1415" t="s">
        <v>45</v>
      </c>
      <c r="B1415" t="s">
        <v>2968</v>
      </c>
      <c r="C1415" t="s">
        <v>93</v>
      </c>
      <c r="D1415" t="s">
        <v>94</v>
      </c>
      <c r="E1415" t="s">
        <v>45</v>
      </c>
      <c r="F1415" t="s">
        <v>49</v>
      </c>
      <c r="G1415" t="s">
        <v>3000</v>
      </c>
      <c r="H1415" t="s">
        <v>3001</v>
      </c>
      <c r="J1415" t="str">
        <f>HYPERLINK("https://twitter.com/SpiceMoneyIndia/status/1760937145420615724","https://twitter.com/SpiceMoneyIndia/status/1760937145420615724")</f>
        <v>https://twitter.com/SpiceMoneyIndia/status/1760937145420615724</v>
      </c>
      <c r="K1415" t="s">
        <v>67</v>
      </c>
      <c r="O1415">
        <v>0</v>
      </c>
      <c r="P1415">
        <v>0</v>
      </c>
      <c r="Q1415">
        <v>6040</v>
      </c>
      <c r="R1415" t="s">
        <v>97</v>
      </c>
      <c r="S1415">
        <v>0</v>
      </c>
      <c r="T1415">
        <v>0</v>
      </c>
      <c r="U1415">
        <v>0</v>
      </c>
      <c r="V1415" t="s">
        <v>98</v>
      </c>
      <c r="W1415" t="s">
        <v>99</v>
      </c>
    </row>
    <row r="1416" spans="1:23" x14ac:dyDescent="0.35">
      <c r="A1416" t="s">
        <v>45</v>
      </c>
      <c r="B1416" t="s">
        <v>2968</v>
      </c>
      <c r="C1416" t="s">
        <v>60</v>
      </c>
      <c r="D1416" t="s">
        <v>64</v>
      </c>
      <c r="E1416" t="s">
        <v>64</v>
      </c>
      <c r="F1416" t="s">
        <v>49</v>
      </c>
      <c r="G1416" t="s">
        <v>3002</v>
      </c>
      <c r="H1416" t="s">
        <v>3003</v>
      </c>
      <c r="J1416" t="str">
        <f>HYPERLINK("https://www.facebook.com/634639855377280/posts/796323029208961","https://www.facebook.com/634639855377280/posts/796323029208961")</f>
        <v>https://www.facebook.com/634639855377280/posts/796323029208961</v>
      </c>
      <c r="O1416">
        <v>0</v>
      </c>
      <c r="P1416">
        <v>0</v>
      </c>
      <c r="Q1416">
        <v>0</v>
      </c>
      <c r="S1416">
        <v>6</v>
      </c>
      <c r="T1416">
        <v>61</v>
      </c>
      <c r="U1416">
        <v>3</v>
      </c>
      <c r="W1416" t="s">
        <v>346</v>
      </c>
    </row>
    <row r="1417" spans="1:23" x14ac:dyDescent="0.35">
      <c r="A1417" t="s">
        <v>45</v>
      </c>
      <c r="B1417" t="s">
        <v>2968</v>
      </c>
      <c r="C1417" t="s">
        <v>47</v>
      </c>
      <c r="D1417" t="s">
        <v>3004</v>
      </c>
      <c r="E1417" t="s">
        <v>3004</v>
      </c>
      <c r="F1417" t="s">
        <v>49</v>
      </c>
      <c r="G1417" t="s">
        <v>3005</v>
      </c>
      <c r="H1417" t="s">
        <v>3006</v>
      </c>
      <c r="J1417" t="str">
        <f>HYPERLINK("https://www.youtube.com/watch?v=1_UKRN_GOok&amp;lc=UgxV0FtkQL8aJjcurU94AaABAg","https://www.youtube.com/watch?v=1_UKRN_GOok&amp;lc=UgxV0FtkQL8aJjcurU94AaABAg")</f>
        <v>https://www.youtube.com/watch?v=1_UKRN_GOok&amp;lc=UgxV0FtkQL8aJjcurU94AaABAg</v>
      </c>
      <c r="O1417">
        <v>0</v>
      </c>
      <c r="P1417">
        <v>0</v>
      </c>
      <c r="Q1417">
        <v>0</v>
      </c>
      <c r="S1417">
        <v>0</v>
      </c>
      <c r="T1417">
        <v>0</v>
      </c>
      <c r="U1417">
        <v>0</v>
      </c>
      <c r="W1417" t="s">
        <v>52</v>
      </c>
    </row>
    <row r="1418" spans="1:23" x14ac:dyDescent="0.35">
      <c r="A1418" t="s">
        <v>45</v>
      </c>
      <c r="B1418" t="s">
        <v>2968</v>
      </c>
      <c r="C1418" t="s">
        <v>47</v>
      </c>
      <c r="D1418" t="s">
        <v>3007</v>
      </c>
      <c r="E1418" t="s">
        <v>3007</v>
      </c>
      <c r="F1418" t="s">
        <v>49</v>
      </c>
      <c r="G1418" t="s">
        <v>3008</v>
      </c>
      <c r="H1418" t="s">
        <v>3009</v>
      </c>
      <c r="J1418" t="str">
        <f>HYPERLINK("https://www.youtube.com/watch?v=vryirakqo_4&amp;lc=UgzKuCLtWUrOeg447WN4AaABAg","https://www.youtube.com/watch?v=vryirakqo_4&amp;lc=UgzKuCLtWUrOeg447WN4AaABAg")</f>
        <v>https://www.youtube.com/watch?v=vryirakqo_4&amp;lc=UgzKuCLtWUrOeg447WN4AaABAg</v>
      </c>
      <c r="O1418">
        <v>0</v>
      </c>
      <c r="P1418">
        <v>0</v>
      </c>
      <c r="Q1418">
        <v>0</v>
      </c>
      <c r="S1418">
        <v>0</v>
      </c>
      <c r="T1418">
        <v>0</v>
      </c>
      <c r="U1418">
        <v>0</v>
      </c>
      <c r="W1418" t="s">
        <v>52</v>
      </c>
    </row>
    <row r="1419" spans="1:23" x14ac:dyDescent="0.35">
      <c r="A1419" t="s">
        <v>45</v>
      </c>
      <c r="B1419" t="s">
        <v>2968</v>
      </c>
      <c r="C1419" t="s">
        <v>47</v>
      </c>
      <c r="D1419" t="s">
        <v>3010</v>
      </c>
      <c r="E1419" t="s">
        <v>3010</v>
      </c>
      <c r="F1419" t="s">
        <v>49</v>
      </c>
      <c r="G1419" t="s">
        <v>3011</v>
      </c>
      <c r="H1419" t="s">
        <v>3012</v>
      </c>
      <c r="J1419" t="str">
        <f>HYPERLINK("https://www.youtube.com/watch?v=L7PeKVwMvu8&amp;lc=Ugzql0CdCJxY412SlIx4AaABAg.A-srttFJ_TQA08dWocfUQ_","https://www.youtube.com/watch?v=L7PeKVwMvu8&amp;lc=Ugzql0CdCJxY412SlIx4AaABAg.A-srttFJ_TQA08dWocfUQ_")</f>
        <v>https://www.youtube.com/watch?v=L7PeKVwMvu8&amp;lc=Ugzql0CdCJxY412SlIx4AaABAg.A-srttFJ_TQA08dWocfUQ_</v>
      </c>
      <c r="O1419">
        <v>0</v>
      </c>
      <c r="P1419">
        <v>0</v>
      </c>
      <c r="Q1419">
        <v>0</v>
      </c>
      <c r="S1419">
        <v>0</v>
      </c>
      <c r="T1419">
        <v>0</v>
      </c>
      <c r="U1419">
        <v>0</v>
      </c>
      <c r="W1419" t="s">
        <v>52</v>
      </c>
    </row>
    <row r="1420" spans="1:23" x14ac:dyDescent="0.35">
      <c r="A1420" t="s">
        <v>45</v>
      </c>
      <c r="B1420" t="s">
        <v>2968</v>
      </c>
      <c r="C1420" t="s">
        <v>60</v>
      </c>
      <c r="D1420" t="s">
        <v>61</v>
      </c>
      <c r="E1420" t="s">
        <v>61</v>
      </c>
      <c r="F1420" t="s">
        <v>49</v>
      </c>
      <c r="G1420" t="s">
        <v>3013</v>
      </c>
      <c r="H1420" t="s">
        <v>3014</v>
      </c>
      <c r="J1420" t="str">
        <f>HYPERLINK("https://www.facebook.com/634639855377280/posts/795184109322853?comment_id=1067584314499599&amp;reply_comment_id=959126012502834","https://www.facebook.com/634639855377280/posts/795184109322853?comment_id=1067584314499599&amp;reply_comment_id=959126012502834")</f>
        <v>https://www.facebook.com/634639855377280/posts/795184109322853?comment_id=1067584314499599&amp;reply_comment_id=959126012502834</v>
      </c>
      <c r="O1420">
        <v>0</v>
      </c>
      <c r="P1420">
        <v>0</v>
      </c>
      <c r="Q1420">
        <v>0</v>
      </c>
      <c r="S1420">
        <v>0</v>
      </c>
      <c r="T1420">
        <v>0</v>
      </c>
      <c r="U1420">
        <v>0</v>
      </c>
      <c r="W1420" t="s">
        <v>52</v>
      </c>
    </row>
    <row r="1421" spans="1:23" x14ac:dyDescent="0.35">
      <c r="A1421" t="s">
        <v>45</v>
      </c>
      <c r="B1421" t="s">
        <v>2968</v>
      </c>
      <c r="C1421" t="s">
        <v>60</v>
      </c>
      <c r="D1421" t="s">
        <v>61</v>
      </c>
      <c r="E1421" t="s">
        <v>61</v>
      </c>
      <c r="F1421" t="s">
        <v>49</v>
      </c>
      <c r="G1421" s="1" t="s">
        <v>3015</v>
      </c>
      <c r="H1421" t="s">
        <v>3016</v>
      </c>
      <c r="J1421" t="str">
        <f>HYPERLINK("https://www.facebook.com/634639855377280/posts/795715435936387?comment_id=1036003514169930","https://www.facebook.com/634639855377280/posts/795715435936387?comment_id=1036003514169930")</f>
        <v>https://www.facebook.com/634639855377280/posts/795715435936387?comment_id=1036003514169930</v>
      </c>
      <c r="O1421">
        <v>0</v>
      </c>
      <c r="P1421">
        <v>0</v>
      </c>
      <c r="Q1421">
        <v>0</v>
      </c>
      <c r="S1421">
        <v>0</v>
      </c>
      <c r="T1421">
        <v>0</v>
      </c>
      <c r="U1421">
        <v>0</v>
      </c>
      <c r="W1421" t="s">
        <v>52</v>
      </c>
    </row>
    <row r="1422" spans="1:23" x14ac:dyDescent="0.35">
      <c r="A1422" t="s">
        <v>45</v>
      </c>
      <c r="B1422" t="s">
        <v>2968</v>
      </c>
      <c r="C1422" t="s">
        <v>60</v>
      </c>
      <c r="D1422" t="s">
        <v>61</v>
      </c>
      <c r="E1422" t="s">
        <v>61</v>
      </c>
      <c r="F1422" t="s">
        <v>49</v>
      </c>
      <c r="G1422" t="s">
        <v>3017</v>
      </c>
      <c r="H1422" t="s">
        <v>3018</v>
      </c>
      <c r="J1422" t="str">
        <f>HYPERLINK("https://www.facebook.com/634639855377280/posts/795715435936387?comment_id=792771879546282&amp;reply_comment_id=3663043750634386","https://www.facebook.com/634639855377280/posts/795715435936387?comment_id=792771879546282&amp;reply_comment_id=3663043750634386")</f>
        <v>https://www.facebook.com/634639855377280/posts/795715435936387?comment_id=792771879546282&amp;reply_comment_id=3663043750634386</v>
      </c>
      <c r="O1422">
        <v>0</v>
      </c>
      <c r="P1422">
        <v>0</v>
      </c>
      <c r="Q1422">
        <v>0</v>
      </c>
      <c r="S1422">
        <v>0</v>
      </c>
      <c r="T1422">
        <v>0</v>
      </c>
      <c r="U1422">
        <v>0</v>
      </c>
      <c r="W1422" t="s">
        <v>52</v>
      </c>
    </row>
    <row r="1423" spans="1:23" x14ac:dyDescent="0.35">
      <c r="A1423" t="s">
        <v>45</v>
      </c>
      <c r="B1423" t="s">
        <v>2968</v>
      </c>
      <c r="C1423" t="s">
        <v>60</v>
      </c>
      <c r="D1423" t="s">
        <v>61</v>
      </c>
      <c r="E1423" t="s">
        <v>61</v>
      </c>
      <c r="F1423" t="s">
        <v>49</v>
      </c>
      <c r="G1423" t="s">
        <v>3019</v>
      </c>
      <c r="H1423" t="s">
        <v>3020</v>
      </c>
      <c r="J1423" t="str">
        <f>HYPERLINK("https://www.facebook.com/634639855377280/posts/795715435936387?comment_id=1104068960635436&amp;reply_comment_id=718828073712219","https://www.facebook.com/634639855377280/posts/795715435936387?comment_id=1104068960635436&amp;reply_comment_id=718828073712219")</f>
        <v>https://www.facebook.com/634639855377280/posts/795715435936387?comment_id=1104068960635436&amp;reply_comment_id=718828073712219</v>
      </c>
      <c r="O1423">
        <v>0</v>
      </c>
      <c r="P1423">
        <v>0</v>
      </c>
      <c r="Q1423">
        <v>0</v>
      </c>
      <c r="S1423">
        <v>0</v>
      </c>
      <c r="T1423">
        <v>0</v>
      </c>
      <c r="U1423">
        <v>0</v>
      </c>
      <c r="W1423" t="s">
        <v>52</v>
      </c>
    </row>
    <row r="1424" spans="1:23" x14ac:dyDescent="0.35">
      <c r="A1424" t="s">
        <v>45</v>
      </c>
      <c r="B1424" t="s">
        <v>2968</v>
      </c>
      <c r="C1424" t="s">
        <v>60</v>
      </c>
      <c r="D1424" t="s">
        <v>61</v>
      </c>
      <c r="E1424" t="s">
        <v>61</v>
      </c>
      <c r="F1424" t="s">
        <v>49</v>
      </c>
      <c r="G1424" t="s">
        <v>3021</v>
      </c>
      <c r="H1424" t="s">
        <v>3022</v>
      </c>
      <c r="J1424" t="str">
        <f>HYPERLINK("https://www.facebook.com/634639855377280/posts/795715435936387?comment_id=947428432995620&amp;reply_comment_id=389995473788439","https://www.facebook.com/634639855377280/posts/795715435936387?comment_id=947428432995620&amp;reply_comment_id=389995473788439")</f>
        <v>https://www.facebook.com/634639855377280/posts/795715435936387?comment_id=947428432995620&amp;reply_comment_id=389995473788439</v>
      </c>
      <c r="O1424">
        <v>0</v>
      </c>
      <c r="P1424">
        <v>0</v>
      </c>
      <c r="Q1424">
        <v>0</v>
      </c>
      <c r="S1424">
        <v>0</v>
      </c>
      <c r="T1424">
        <v>0</v>
      </c>
      <c r="U1424">
        <v>0</v>
      </c>
      <c r="W1424" t="s">
        <v>52</v>
      </c>
    </row>
    <row r="1425" spans="1:23" x14ac:dyDescent="0.35">
      <c r="A1425" t="s">
        <v>45</v>
      </c>
      <c r="B1425" t="s">
        <v>2968</v>
      </c>
      <c r="C1425" t="s">
        <v>60</v>
      </c>
      <c r="D1425" t="s">
        <v>61</v>
      </c>
      <c r="E1425" t="s">
        <v>61</v>
      </c>
      <c r="F1425" t="s">
        <v>49</v>
      </c>
      <c r="G1425" t="s">
        <v>3023</v>
      </c>
      <c r="H1425" t="s">
        <v>3024</v>
      </c>
      <c r="J1425" t="str">
        <f>HYPERLINK("https://www.facebook.com/634639855377280/posts/795715435936387?comment_id=406847505073046&amp;reply_comment_id=402553505514997","https://www.facebook.com/634639855377280/posts/795715435936387?comment_id=406847505073046&amp;reply_comment_id=402553505514997")</f>
        <v>https://www.facebook.com/634639855377280/posts/795715435936387?comment_id=406847505073046&amp;reply_comment_id=402553505514997</v>
      </c>
      <c r="O1425">
        <v>0</v>
      </c>
      <c r="P1425">
        <v>0</v>
      </c>
      <c r="Q1425">
        <v>0</v>
      </c>
      <c r="S1425">
        <v>0</v>
      </c>
      <c r="T1425">
        <v>0</v>
      </c>
      <c r="U1425">
        <v>0</v>
      </c>
      <c r="W1425" t="s">
        <v>52</v>
      </c>
    </row>
    <row r="1426" spans="1:23" x14ac:dyDescent="0.35">
      <c r="A1426" t="s">
        <v>45</v>
      </c>
      <c r="B1426" t="s">
        <v>2968</v>
      </c>
      <c r="C1426" t="s">
        <v>60</v>
      </c>
      <c r="D1426" t="s">
        <v>61</v>
      </c>
      <c r="E1426" t="s">
        <v>61</v>
      </c>
      <c r="F1426" t="s">
        <v>49</v>
      </c>
      <c r="G1426" t="s">
        <v>3025</v>
      </c>
      <c r="H1426" t="s">
        <v>3026</v>
      </c>
      <c r="J1426" t="str">
        <f>HYPERLINK("https://www.facebook.com/634639855377280/posts/795715435936387?comment_id=1100717677739168&amp;reply_comment_id=716859437150986","https://www.facebook.com/634639855377280/posts/795715435936387?comment_id=1100717677739168&amp;reply_comment_id=716859437150986")</f>
        <v>https://www.facebook.com/634639855377280/posts/795715435936387?comment_id=1100717677739168&amp;reply_comment_id=716859437150986</v>
      </c>
      <c r="O1426">
        <v>0</v>
      </c>
      <c r="P1426">
        <v>0</v>
      </c>
      <c r="Q1426">
        <v>0</v>
      </c>
      <c r="S1426">
        <v>0</v>
      </c>
      <c r="T1426">
        <v>0</v>
      </c>
      <c r="U1426">
        <v>0</v>
      </c>
      <c r="W1426" t="s">
        <v>52</v>
      </c>
    </row>
    <row r="1427" spans="1:23" x14ac:dyDescent="0.35">
      <c r="A1427" t="s">
        <v>45</v>
      </c>
      <c r="B1427" t="s">
        <v>3027</v>
      </c>
      <c r="C1427" t="s">
        <v>60</v>
      </c>
      <c r="D1427" t="s">
        <v>61</v>
      </c>
      <c r="E1427" t="s">
        <v>61</v>
      </c>
      <c r="F1427" t="s">
        <v>49</v>
      </c>
      <c r="G1427" t="s">
        <v>3028</v>
      </c>
      <c r="H1427" t="s">
        <v>3029</v>
      </c>
      <c r="J1427" t="str">
        <f>HYPERLINK("https://www.facebook.com/634639855377280/posts/795715435936387?comment_id=7619474328087402","https://www.facebook.com/634639855377280/posts/795715435936387?comment_id=7619474328087402")</f>
        <v>https://www.facebook.com/634639855377280/posts/795715435936387?comment_id=7619474328087402</v>
      </c>
      <c r="O1427">
        <v>0</v>
      </c>
      <c r="P1427">
        <v>0</v>
      </c>
      <c r="Q1427">
        <v>0</v>
      </c>
      <c r="S1427">
        <v>0</v>
      </c>
      <c r="T1427">
        <v>0</v>
      </c>
      <c r="U1427">
        <v>0</v>
      </c>
      <c r="W1427" t="s">
        <v>52</v>
      </c>
    </row>
    <row r="1428" spans="1:23" x14ac:dyDescent="0.35">
      <c r="A1428" t="s">
        <v>45</v>
      </c>
      <c r="B1428" t="s">
        <v>3027</v>
      </c>
      <c r="C1428" t="s">
        <v>60</v>
      </c>
      <c r="D1428" t="s">
        <v>61</v>
      </c>
      <c r="E1428" t="s">
        <v>61</v>
      </c>
      <c r="F1428" t="s">
        <v>49</v>
      </c>
      <c r="G1428" t="s">
        <v>3030</v>
      </c>
      <c r="H1428" t="s">
        <v>3031</v>
      </c>
      <c r="J1428" t="str">
        <f>HYPERLINK("https://www.facebook.com/634639855377280/posts/795715435936387?comment_id=406847505073046&amp;reply_comment_id=364937113017816","https://www.facebook.com/634639855377280/posts/795715435936387?comment_id=406847505073046&amp;reply_comment_id=364937113017816")</f>
        <v>https://www.facebook.com/634639855377280/posts/795715435936387?comment_id=406847505073046&amp;reply_comment_id=364937113017816</v>
      </c>
      <c r="O1428">
        <v>0</v>
      </c>
      <c r="P1428">
        <v>0</v>
      </c>
      <c r="Q1428">
        <v>0</v>
      </c>
      <c r="S1428">
        <v>0</v>
      </c>
      <c r="T1428">
        <v>0</v>
      </c>
      <c r="U1428">
        <v>0</v>
      </c>
      <c r="W1428" t="s">
        <v>52</v>
      </c>
    </row>
    <row r="1429" spans="1:23" x14ac:dyDescent="0.35">
      <c r="A1429" t="s">
        <v>45</v>
      </c>
      <c r="B1429" t="s">
        <v>3027</v>
      </c>
      <c r="C1429" t="s">
        <v>93</v>
      </c>
      <c r="D1429" t="s">
        <v>3032</v>
      </c>
      <c r="E1429" t="s">
        <v>3033</v>
      </c>
      <c r="F1429" t="s">
        <v>54</v>
      </c>
      <c r="G1429" t="s">
        <v>3034</v>
      </c>
      <c r="H1429" t="s">
        <v>3035</v>
      </c>
      <c r="J1429" t="str">
        <f>HYPERLINK("https://twitter.com/mahendranivesh/status/1760723556906996126","https://twitter.com/mahendranivesh/status/1760723556906996126")</f>
        <v>https://twitter.com/mahendranivesh/status/1760723556906996126</v>
      </c>
      <c r="K1429" t="s">
        <v>67</v>
      </c>
      <c r="O1429">
        <v>0</v>
      </c>
      <c r="P1429">
        <v>0</v>
      </c>
      <c r="Q1429">
        <v>1067</v>
      </c>
      <c r="R1429" t="s">
        <v>3036</v>
      </c>
      <c r="S1429">
        <v>0</v>
      </c>
      <c r="T1429">
        <v>0</v>
      </c>
      <c r="U1429">
        <v>0</v>
      </c>
      <c r="W1429" t="s">
        <v>99</v>
      </c>
    </row>
    <row r="1430" spans="1:23" x14ac:dyDescent="0.35">
      <c r="A1430" t="s">
        <v>45</v>
      </c>
      <c r="B1430" t="s">
        <v>3027</v>
      </c>
      <c r="C1430" t="s">
        <v>47</v>
      </c>
      <c r="D1430" t="s">
        <v>3037</v>
      </c>
      <c r="E1430" t="s">
        <v>3037</v>
      </c>
      <c r="F1430" t="s">
        <v>49</v>
      </c>
      <c r="G1430" t="s">
        <v>3038</v>
      </c>
      <c r="H1430" t="s">
        <v>3039</v>
      </c>
      <c r="J1430" t="str">
        <f>HYPERLINK("https://www.youtube.com/watch?v=sU_8A5IZ7So&amp;lc=UgxmCTsJhwjRSC_KA1x4AaABAg","https://www.youtube.com/watch?v=sU_8A5IZ7So&amp;lc=UgxmCTsJhwjRSC_KA1x4AaABAg")</f>
        <v>https://www.youtube.com/watch?v=sU_8A5IZ7So&amp;lc=UgxmCTsJhwjRSC_KA1x4AaABAg</v>
      </c>
      <c r="O1430">
        <v>0</v>
      </c>
      <c r="P1430">
        <v>0</v>
      </c>
      <c r="Q1430">
        <v>0</v>
      </c>
      <c r="S1430">
        <v>0</v>
      </c>
      <c r="T1430">
        <v>0</v>
      </c>
      <c r="U1430">
        <v>0</v>
      </c>
      <c r="W1430" t="s">
        <v>52</v>
      </c>
    </row>
    <row r="1431" spans="1:23" x14ac:dyDescent="0.35">
      <c r="A1431" t="s">
        <v>45</v>
      </c>
      <c r="B1431" t="s">
        <v>3027</v>
      </c>
      <c r="C1431" t="s">
        <v>60</v>
      </c>
      <c r="D1431" t="s">
        <v>61</v>
      </c>
      <c r="E1431" t="s">
        <v>61</v>
      </c>
      <c r="F1431" t="s">
        <v>193</v>
      </c>
      <c r="G1431" t="s">
        <v>2956</v>
      </c>
      <c r="H1431" t="s">
        <v>3040</v>
      </c>
      <c r="J1431" t="str">
        <f>HYPERLINK("https://www.facebook.com/634639855377280/posts/795715435936387?comment_id=406847505073046","https://www.facebook.com/634639855377280/posts/795715435936387?comment_id=406847505073046")</f>
        <v>https://www.facebook.com/634639855377280/posts/795715435936387?comment_id=406847505073046</v>
      </c>
      <c r="O1431">
        <v>0</v>
      </c>
      <c r="P1431">
        <v>0</v>
      </c>
      <c r="Q1431">
        <v>0</v>
      </c>
      <c r="S1431">
        <v>0</v>
      </c>
      <c r="T1431">
        <v>0</v>
      </c>
      <c r="U1431">
        <v>0</v>
      </c>
      <c r="W1431" t="s">
        <v>52</v>
      </c>
    </row>
    <row r="1432" spans="1:23" x14ac:dyDescent="0.35">
      <c r="A1432" t="s">
        <v>45</v>
      </c>
      <c r="B1432" t="s">
        <v>3027</v>
      </c>
      <c r="C1432" t="s">
        <v>60</v>
      </c>
      <c r="D1432" t="s">
        <v>61</v>
      </c>
      <c r="E1432" t="s">
        <v>61</v>
      </c>
      <c r="F1432" t="s">
        <v>49</v>
      </c>
      <c r="G1432" t="s">
        <v>3041</v>
      </c>
      <c r="H1432" t="s">
        <v>3042</v>
      </c>
      <c r="J1432" t="str">
        <f>HYPERLINK("https://www.facebook.com/634639855377280/posts/795715435936387?comment_id=1100717677739168","https://www.facebook.com/634639855377280/posts/795715435936387?comment_id=1100717677739168")</f>
        <v>https://www.facebook.com/634639855377280/posts/795715435936387?comment_id=1100717677739168</v>
      </c>
      <c r="O1432">
        <v>0</v>
      </c>
      <c r="P1432">
        <v>0</v>
      </c>
      <c r="Q1432">
        <v>0</v>
      </c>
      <c r="S1432">
        <v>0</v>
      </c>
      <c r="T1432">
        <v>0</v>
      </c>
      <c r="U1432">
        <v>0</v>
      </c>
      <c r="W1432" t="s">
        <v>52</v>
      </c>
    </row>
    <row r="1433" spans="1:23" x14ac:dyDescent="0.35">
      <c r="A1433" t="s">
        <v>45</v>
      </c>
      <c r="B1433" t="s">
        <v>3027</v>
      </c>
      <c r="C1433" t="s">
        <v>47</v>
      </c>
      <c r="D1433" t="s">
        <v>68</v>
      </c>
      <c r="E1433" t="s">
        <v>68</v>
      </c>
      <c r="F1433" t="s">
        <v>49</v>
      </c>
      <c r="G1433" t="s">
        <v>3043</v>
      </c>
      <c r="H1433" t="s">
        <v>3044</v>
      </c>
      <c r="J1433" t="str">
        <f>HYPERLINK("https://www.youtube.com/watch?v=V7dofHUJ7vo&amp;lc=UgzOWkwJ2HNa1-_Vhlp4AaABAg.A03nN-kIXtGA071oOKps1W","https://www.youtube.com/watch?v=V7dofHUJ7vo&amp;lc=UgzOWkwJ2HNa1-_Vhlp4AaABAg.A03nN-kIXtGA071oOKps1W")</f>
        <v>https://www.youtube.com/watch?v=V7dofHUJ7vo&amp;lc=UgzOWkwJ2HNa1-_Vhlp4AaABAg.A03nN-kIXtGA071oOKps1W</v>
      </c>
      <c r="O1433">
        <v>0</v>
      </c>
      <c r="P1433">
        <v>0</v>
      </c>
      <c r="Q1433">
        <v>0</v>
      </c>
      <c r="S1433">
        <v>0</v>
      </c>
      <c r="T1433">
        <v>0</v>
      </c>
      <c r="U1433">
        <v>0</v>
      </c>
      <c r="W1433" t="s">
        <v>52</v>
      </c>
    </row>
    <row r="1434" spans="1:23" x14ac:dyDescent="0.35">
      <c r="A1434" t="s">
        <v>45</v>
      </c>
      <c r="B1434" t="s">
        <v>3027</v>
      </c>
      <c r="C1434" t="s">
        <v>60</v>
      </c>
      <c r="D1434" t="s">
        <v>61</v>
      </c>
      <c r="E1434" t="s">
        <v>61</v>
      </c>
      <c r="F1434" t="s">
        <v>49</v>
      </c>
      <c r="G1434" t="s">
        <v>3045</v>
      </c>
      <c r="H1434" t="s">
        <v>3046</v>
      </c>
      <c r="J1434" t="str">
        <f>HYPERLINK("https://www.facebook.com/634639855377280/posts/795715435936387?comment_id=1104068960635436&amp;reply_comment_id=715156067415189","https://www.facebook.com/634639855377280/posts/795715435936387?comment_id=1104068960635436&amp;reply_comment_id=715156067415189")</f>
        <v>https://www.facebook.com/634639855377280/posts/795715435936387?comment_id=1104068960635436&amp;reply_comment_id=715156067415189</v>
      </c>
      <c r="O1434">
        <v>0</v>
      </c>
      <c r="P1434">
        <v>0</v>
      </c>
      <c r="Q1434">
        <v>0</v>
      </c>
      <c r="S1434">
        <v>0</v>
      </c>
      <c r="T1434">
        <v>0</v>
      </c>
      <c r="U1434">
        <v>0</v>
      </c>
      <c r="W1434" t="s">
        <v>52</v>
      </c>
    </row>
    <row r="1435" spans="1:23" x14ac:dyDescent="0.35">
      <c r="A1435" t="s">
        <v>45</v>
      </c>
      <c r="B1435" t="s">
        <v>3027</v>
      </c>
      <c r="C1435" t="s">
        <v>60</v>
      </c>
      <c r="D1435" t="s">
        <v>64</v>
      </c>
      <c r="E1435" t="s">
        <v>64</v>
      </c>
      <c r="F1435" t="s">
        <v>49</v>
      </c>
      <c r="G1435" t="s">
        <v>380</v>
      </c>
      <c r="H1435" t="s">
        <v>3047</v>
      </c>
      <c r="J1435" t="str">
        <f>HYPERLINK("https://www.facebook.com/634639855377280/posts/795184109322853?comment_id=1047075909919724&amp;reply_comment_id=422048880220890","https://www.facebook.com/634639855377280/posts/795184109322853?comment_id=1047075909919724&amp;reply_comment_id=422048880220890")</f>
        <v>https://www.facebook.com/634639855377280/posts/795184109322853?comment_id=1047075909919724&amp;reply_comment_id=422048880220890</v>
      </c>
      <c r="K1435" t="s">
        <v>67</v>
      </c>
      <c r="O1435">
        <v>0</v>
      </c>
      <c r="P1435">
        <v>0</v>
      </c>
      <c r="Q1435">
        <v>0</v>
      </c>
      <c r="S1435">
        <v>0</v>
      </c>
      <c r="T1435">
        <v>0</v>
      </c>
      <c r="U1435">
        <v>0</v>
      </c>
      <c r="W1435" t="s">
        <v>52</v>
      </c>
    </row>
    <row r="1436" spans="1:23" x14ac:dyDescent="0.35">
      <c r="A1436" t="s">
        <v>45</v>
      </c>
      <c r="B1436" t="s">
        <v>3027</v>
      </c>
      <c r="C1436" t="s">
        <v>60</v>
      </c>
      <c r="D1436" t="s">
        <v>64</v>
      </c>
      <c r="E1436" t="s">
        <v>64</v>
      </c>
      <c r="F1436" t="s">
        <v>49</v>
      </c>
      <c r="G1436" t="s">
        <v>100</v>
      </c>
      <c r="H1436" t="s">
        <v>3048</v>
      </c>
      <c r="J1436" t="str">
        <f>HYPERLINK("https://www.facebook.com/634639855377280/posts/794682982706299?comment_id=750640883699937&amp;reply_comment_id=1574500856699419","https://www.facebook.com/634639855377280/posts/794682982706299?comment_id=750640883699937&amp;reply_comment_id=1574500856699419")</f>
        <v>https://www.facebook.com/634639855377280/posts/794682982706299?comment_id=750640883699937&amp;reply_comment_id=1574500856699419</v>
      </c>
      <c r="K1436" t="s">
        <v>67</v>
      </c>
      <c r="O1436">
        <v>0</v>
      </c>
      <c r="P1436">
        <v>0</v>
      </c>
      <c r="Q1436">
        <v>0</v>
      </c>
      <c r="S1436">
        <v>0</v>
      </c>
      <c r="T1436">
        <v>0</v>
      </c>
      <c r="U1436">
        <v>0</v>
      </c>
      <c r="W1436" t="s">
        <v>52</v>
      </c>
    </row>
    <row r="1437" spans="1:23" x14ac:dyDescent="0.35">
      <c r="A1437" t="s">
        <v>45</v>
      </c>
      <c r="B1437" t="s">
        <v>3027</v>
      </c>
      <c r="C1437" t="s">
        <v>60</v>
      </c>
      <c r="D1437" t="s">
        <v>64</v>
      </c>
      <c r="E1437" t="s">
        <v>64</v>
      </c>
      <c r="F1437" t="s">
        <v>49</v>
      </c>
      <c r="G1437" t="s">
        <v>100</v>
      </c>
      <c r="H1437" t="s">
        <v>3049</v>
      </c>
      <c r="J1437" t="str">
        <f>HYPERLINK("https://www.facebook.com/634639855377280/posts/794682982706299?comment_id=1450476725844433&amp;reply_comment_id=1400004883968225","https://www.facebook.com/634639855377280/posts/794682982706299?comment_id=1450476725844433&amp;reply_comment_id=1400004883968225")</f>
        <v>https://www.facebook.com/634639855377280/posts/794682982706299?comment_id=1450476725844433&amp;reply_comment_id=1400004883968225</v>
      </c>
      <c r="K1437" t="s">
        <v>67</v>
      </c>
      <c r="O1437">
        <v>0</v>
      </c>
      <c r="P1437">
        <v>0</v>
      </c>
      <c r="Q1437">
        <v>0</v>
      </c>
      <c r="S1437">
        <v>0</v>
      </c>
      <c r="T1437">
        <v>0</v>
      </c>
      <c r="U1437">
        <v>0</v>
      </c>
      <c r="W1437" t="s">
        <v>52</v>
      </c>
    </row>
    <row r="1438" spans="1:23" x14ac:dyDescent="0.35">
      <c r="A1438" t="s">
        <v>45</v>
      </c>
      <c r="B1438" t="s">
        <v>3027</v>
      </c>
      <c r="C1438" t="s">
        <v>60</v>
      </c>
      <c r="D1438" t="s">
        <v>64</v>
      </c>
      <c r="E1438" t="s">
        <v>64</v>
      </c>
      <c r="F1438" t="s">
        <v>49</v>
      </c>
      <c r="G1438" t="s">
        <v>270</v>
      </c>
      <c r="H1438" t="s">
        <v>3050</v>
      </c>
      <c r="J1438" t="str">
        <f>HYPERLINK("https://www.facebook.com/634639855377280/posts/795715435936387?comment_id=1104068960635436&amp;reply_comment_id=928711888958603","https://www.facebook.com/634639855377280/posts/795715435936387?comment_id=1104068960635436&amp;reply_comment_id=928711888958603")</f>
        <v>https://www.facebook.com/634639855377280/posts/795715435936387?comment_id=1104068960635436&amp;reply_comment_id=928711888958603</v>
      </c>
      <c r="K1438" t="s">
        <v>67</v>
      </c>
      <c r="O1438">
        <v>0</v>
      </c>
      <c r="P1438">
        <v>0</v>
      </c>
      <c r="Q1438">
        <v>0</v>
      </c>
      <c r="S1438">
        <v>0</v>
      </c>
      <c r="T1438">
        <v>0</v>
      </c>
      <c r="U1438">
        <v>0</v>
      </c>
      <c r="W1438" t="s">
        <v>52</v>
      </c>
    </row>
    <row r="1439" spans="1:23" x14ac:dyDescent="0.35">
      <c r="A1439" t="s">
        <v>45</v>
      </c>
      <c r="B1439" t="s">
        <v>3027</v>
      </c>
      <c r="C1439" t="s">
        <v>60</v>
      </c>
      <c r="D1439" t="s">
        <v>64</v>
      </c>
      <c r="E1439" t="s">
        <v>64</v>
      </c>
      <c r="F1439" t="s">
        <v>49</v>
      </c>
      <c r="G1439" t="s">
        <v>83</v>
      </c>
      <c r="H1439" t="s">
        <v>3051</v>
      </c>
      <c r="J1439" t="str">
        <f>HYPERLINK("https://www.facebook.com/634639855377280/posts/795715435936387?comment_id=792771879546282&amp;reply_comment_id=383971514333389","https://www.facebook.com/634639855377280/posts/795715435936387?comment_id=792771879546282&amp;reply_comment_id=383971514333389")</f>
        <v>https://www.facebook.com/634639855377280/posts/795715435936387?comment_id=792771879546282&amp;reply_comment_id=383971514333389</v>
      </c>
      <c r="K1439" t="s">
        <v>67</v>
      </c>
      <c r="O1439">
        <v>0</v>
      </c>
      <c r="P1439">
        <v>0</v>
      </c>
      <c r="Q1439">
        <v>0</v>
      </c>
      <c r="S1439">
        <v>0</v>
      </c>
      <c r="T1439">
        <v>0</v>
      </c>
      <c r="U1439">
        <v>0</v>
      </c>
      <c r="W1439" t="s">
        <v>52</v>
      </c>
    </row>
    <row r="1440" spans="1:23" x14ac:dyDescent="0.35">
      <c r="A1440" t="s">
        <v>45</v>
      </c>
      <c r="B1440" t="s">
        <v>3027</v>
      </c>
      <c r="C1440" t="s">
        <v>60</v>
      </c>
      <c r="D1440" t="s">
        <v>64</v>
      </c>
      <c r="E1440" t="s">
        <v>64</v>
      </c>
      <c r="F1440" t="s">
        <v>49</v>
      </c>
      <c r="G1440" t="s">
        <v>83</v>
      </c>
      <c r="H1440" t="s">
        <v>3052</v>
      </c>
      <c r="J1440" t="str">
        <f>HYPERLINK("https://www.facebook.com/634639855377280/posts/794682982706299?comment_id=1424405351785950&amp;reply_comment_id=930279311999488","https://www.facebook.com/634639855377280/posts/794682982706299?comment_id=1424405351785950&amp;reply_comment_id=930279311999488")</f>
        <v>https://www.facebook.com/634639855377280/posts/794682982706299?comment_id=1424405351785950&amp;reply_comment_id=930279311999488</v>
      </c>
      <c r="K1440" t="s">
        <v>67</v>
      </c>
      <c r="O1440">
        <v>0</v>
      </c>
      <c r="P1440">
        <v>0</v>
      </c>
      <c r="Q1440">
        <v>0</v>
      </c>
      <c r="S1440">
        <v>0</v>
      </c>
      <c r="T1440">
        <v>0</v>
      </c>
      <c r="U1440">
        <v>0</v>
      </c>
      <c r="W1440" t="s">
        <v>52</v>
      </c>
    </row>
    <row r="1441" spans="1:23" x14ac:dyDescent="0.35">
      <c r="A1441" t="s">
        <v>45</v>
      </c>
      <c r="B1441" t="s">
        <v>3027</v>
      </c>
      <c r="C1441" t="s">
        <v>60</v>
      </c>
      <c r="D1441" t="s">
        <v>64</v>
      </c>
      <c r="E1441" t="s">
        <v>64</v>
      </c>
      <c r="F1441" t="s">
        <v>49</v>
      </c>
      <c r="G1441" t="s">
        <v>83</v>
      </c>
      <c r="H1441" t="s">
        <v>3053</v>
      </c>
      <c r="J1441" t="str">
        <f>HYPERLINK("https://www.facebook.com/634639855377280/posts/795715435936387?comment_id=947428432995620&amp;reply_comment_id=1856936758101389","https://www.facebook.com/634639855377280/posts/795715435936387?comment_id=947428432995620&amp;reply_comment_id=1856936758101389")</f>
        <v>https://www.facebook.com/634639855377280/posts/795715435936387?comment_id=947428432995620&amp;reply_comment_id=1856936758101389</v>
      </c>
      <c r="K1441" t="s">
        <v>67</v>
      </c>
      <c r="O1441">
        <v>0</v>
      </c>
      <c r="P1441">
        <v>0</v>
      </c>
      <c r="Q1441">
        <v>0</v>
      </c>
      <c r="S1441">
        <v>0</v>
      </c>
      <c r="T1441">
        <v>0</v>
      </c>
      <c r="U1441">
        <v>0</v>
      </c>
      <c r="W1441" t="s">
        <v>52</v>
      </c>
    </row>
    <row r="1442" spans="1:23" x14ac:dyDescent="0.35">
      <c r="A1442" t="s">
        <v>45</v>
      </c>
      <c r="B1442" t="s">
        <v>3027</v>
      </c>
      <c r="C1442" t="s">
        <v>47</v>
      </c>
      <c r="D1442" t="s">
        <v>68</v>
      </c>
      <c r="E1442" t="s">
        <v>68</v>
      </c>
      <c r="F1442" t="s">
        <v>49</v>
      </c>
      <c r="G1442" t="s">
        <v>102</v>
      </c>
      <c r="H1442" t="s">
        <v>3054</v>
      </c>
      <c r="J1442" t="str">
        <f>HYPERLINK("https://www.youtube.com/watch?v=wJJ455CgzKg&amp;lc=Ugydmnv2KwZpCPdNk8p4AaABAg.A04chqYKmgyA0707egMZBK","https://www.youtube.com/watch?v=wJJ455CgzKg&amp;lc=Ugydmnv2KwZpCPdNk8p4AaABAg.A04chqYKmgyA0707egMZBK")</f>
        <v>https://www.youtube.com/watch?v=wJJ455CgzKg&amp;lc=Ugydmnv2KwZpCPdNk8p4AaABAg.A04chqYKmgyA0707egMZBK</v>
      </c>
      <c r="O1442">
        <v>0</v>
      </c>
      <c r="P1442">
        <v>0</v>
      </c>
      <c r="Q1442">
        <v>0</v>
      </c>
      <c r="S1442">
        <v>0</v>
      </c>
      <c r="T1442">
        <v>0</v>
      </c>
      <c r="U1442">
        <v>0</v>
      </c>
      <c r="W1442" t="s">
        <v>52</v>
      </c>
    </row>
    <row r="1443" spans="1:23" x14ac:dyDescent="0.35">
      <c r="A1443" t="s">
        <v>45</v>
      </c>
      <c r="B1443" t="s">
        <v>3027</v>
      </c>
      <c r="C1443" t="s">
        <v>47</v>
      </c>
      <c r="D1443" t="s">
        <v>68</v>
      </c>
      <c r="E1443" t="s">
        <v>68</v>
      </c>
      <c r="F1443" t="s">
        <v>49</v>
      </c>
      <c r="G1443" t="s">
        <v>102</v>
      </c>
      <c r="H1443" t="s">
        <v>3055</v>
      </c>
      <c r="J1443" t="str">
        <f>HYPERLINK("https://www.youtube.com/watch?v=5DADCSRiE3A&amp;lc=Ugy7U-elvSPcQzjkl5h4AaABAg.A04bhJLDfrGA0705eE7Z4E","https://www.youtube.com/watch?v=5DADCSRiE3A&amp;lc=Ugy7U-elvSPcQzjkl5h4AaABAg.A04bhJLDfrGA0705eE7Z4E")</f>
        <v>https://www.youtube.com/watch?v=5DADCSRiE3A&amp;lc=Ugy7U-elvSPcQzjkl5h4AaABAg.A04bhJLDfrGA0705eE7Z4E</v>
      </c>
      <c r="O1443">
        <v>0</v>
      </c>
      <c r="P1443">
        <v>0</v>
      </c>
      <c r="Q1443">
        <v>0</v>
      </c>
      <c r="S1443">
        <v>0</v>
      </c>
      <c r="T1443">
        <v>0</v>
      </c>
      <c r="U1443">
        <v>0</v>
      </c>
      <c r="W1443" t="s">
        <v>52</v>
      </c>
    </row>
    <row r="1444" spans="1:23" x14ac:dyDescent="0.35">
      <c r="A1444" t="s">
        <v>45</v>
      </c>
      <c r="B1444" t="s">
        <v>3027</v>
      </c>
      <c r="C1444" t="s">
        <v>47</v>
      </c>
      <c r="D1444" t="s">
        <v>68</v>
      </c>
      <c r="E1444" t="s">
        <v>68</v>
      </c>
      <c r="F1444" t="s">
        <v>49</v>
      </c>
      <c r="G1444" t="s">
        <v>102</v>
      </c>
      <c r="H1444" t="s">
        <v>3056</v>
      </c>
      <c r="J1444" t="str">
        <f>HYPERLINK("https://www.youtube.com/watch?v=PE3mRN7gvwo&amp;lc=UgydjyI4yRHZdidkb7h4AaABAg.A02-hBO-JbSA07-qQl481b","https://www.youtube.com/watch?v=PE3mRN7gvwo&amp;lc=UgydjyI4yRHZdidkb7h4AaABAg.A02-hBO-JbSA07-qQl481b")</f>
        <v>https://www.youtube.com/watch?v=PE3mRN7gvwo&amp;lc=UgydjyI4yRHZdidkb7h4AaABAg.A02-hBO-JbSA07-qQl481b</v>
      </c>
      <c r="O1444">
        <v>0</v>
      </c>
      <c r="P1444">
        <v>0</v>
      </c>
      <c r="Q1444">
        <v>0</v>
      </c>
      <c r="S1444">
        <v>0</v>
      </c>
      <c r="T1444">
        <v>0</v>
      </c>
      <c r="U1444">
        <v>0</v>
      </c>
      <c r="W1444" t="s">
        <v>52</v>
      </c>
    </row>
    <row r="1445" spans="1:23" x14ac:dyDescent="0.35">
      <c r="A1445" t="s">
        <v>45</v>
      </c>
      <c r="B1445" t="s">
        <v>3027</v>
      </c>
      <c r="C1445" t="s">
        <v>47</v>
      </c>
      <c r="D1445" t="s">
        <v>68</v>
      </c>
      <c r="E1445" t="s">
        <v>68</v>
      </c>
      <c r="F1445" t="s">
        <v>49</v>
      </c>
      <c r="G1445" t="s">
        <v>293</v>
      </c>
      <c r="H1445" t="s">
        <v>3057</v>
      </c>
      <c r="J1445" t="str">
        <f>HYPERLINK("https://www.youtube.com/watch?v=DMlpygM0MQM&amp;lc=UgxzW4sf0MeXKjBSGi14AaABAg.A050xL5mdUMA07-lMF_m9X","https://www.youtube.com/watch?v=DMlpygM0MQM&amp;lc=UgxzW4sf0MeXKjBSGi14AaABAg.A050xL5mdUMA07-lMF_m9X")</f>
        <v>https://www.youtube.com/watch?v=DMlpygM0MQM&amp;lc=UgxzW4sf0MeXKjBSGi14AaABAg.A050xL5mdUMA07-lMF_m9X</v>
      </c>
      <c r="O1445">
        <v>0</v>
      </c>
      <c r="P1445">
        <v>0</v>
      </c>
      <c r="Q1445">
        <v>0</v>
      </c>
      <c r="S1445">
        <v>0</v>
      </c>
      <c r="T1445">
        <v>0</v>
      </c>
      <c r="U1445">
        <v>0</v>
      </c>
      <c r="W1445" t="s">
        <v>52</v>
      </c>
    </row>
    <row r="1446" spans="1:23" x14ac:dyDescent="0.35">
      <c r="A1446" t="s">
        <v>45</v>
      </c>
      <c r="B1446" t="s">
        <v>3027</v>
      </c>
      <c r="C1446" t="s">
        <v>47</v>
      </c>
      <c r="D1446" t="s">
        <v>68</v>
      </c>
      <c r="E1446" t="s">
        <v>68</v>
      </c>
      <c r="F1446" t="s">
        <v>49</v>
      </c>
      <c r="G1446" t="s">
        <v>102</v>
      </c>
      <c r="H1446" t="s">
        <v>3058</v>
      </c>
      <c r="J1446" t="str">
        <f>HYPERLINK("https://www.youtube.com/watch?v=wDVpKG8jfSo&amp;lc=UgxbvClF5h_z0OGJgXN4AaABAg.A069HOAVfieA07-bZHiHRU","https://www.youtube.com/watch?v=wDVpKG8jfSo&amp;lc=UgxbvClF5h_z0OGJgXN4AaABAg.A069HOAVfieA07-bZHiHRU")</f>
        <v>https://www.youtube.com/watch?v=wDVpKG8jfSo&amp;lc=UgxbvClF5h_z0OGJgXN4AaABAg.A069HOAVfieA07-bZHiHRU</v>
      </c>
      <c r="O1446">
        <v>0</v>
      </c>
      <c r="P1446">
        <v>0</v>
      </c>
      <c r="Q1446">
        <v>0</v>
      </c>
      <c r="S1446">
        <v>0</v>
      </c>
      <c r="T1446">
        <v>0</v>
      </c>
      <c r="U1446">
        <v>0</v>
      </c>
      <c r="W1446" t="s">
        <v>52</v>
      </c>
    </row>
    <row r="1447" spans="1:23" x14ac:dyDescent="0.35">
      <c r="A1447" t="s">
        <v>45</v>
      </c>
      <c r="B1447" t="s">
        <v>3027</v>
      </c>
      <c r="C1447" t="s">
        <v>47</v>
      </c>
      <c r="D1447" t="s">
        <v>68</v>
      </c>
      <c r="E1447" t="s">
        <v>68</v>
      </c>
      <c r="F1447" t="s">
        <v>49</v>
      </c>
      <c r="G1447" t="s">
        <v>3059</v>
      </c>
      <c r="H1447" t="s">
        <v>3060</v>
      </c>
      <c r="J1447" t="str">
        <f>HYPERLINK("https://www.youtube.com/watch?v=V7dofHUJ7vo&amp;lc=UgzFBEhUIehTcJepjjB4AaABAg.A06fYamYKZAA07-LNBP02g","https://www.youtube.com/watch?v=V7dofHUJ7vo&amp;lc=UgzFBEhUIehTcJepjjB4AaABAg.A06fYamYKZAA07-LNBP02g")</f>
        <v>https://www.youtube.com/watch?v=V7dofHUJ7vo&amp;lc=UgzFBEhUIehTcJepjjB4AaABAg.A06fYamYKZAA07-LNBP02g</v>
      </c>
      <c r="O1447">
        <v>0</v>
      </c>
      <c r="P1447">
        <v>0</v>
      </c>
      <c r="Q1447">
        <v>0</v>
      </c>
      <c r="S1447">
        <v>0</v>
      </c>
      <c r="T1447">
        <v>0</v>
      </c>
      <c r="U1447">
        <v>0</v>
      </c>
      <c r="W1447" t="s">
        <v>52</v>
      </c>
    </row>
    <row r="1448" spans="1:23" x14ac:dyDescent="0.35">
      <c r="A1448" t="s">
        <v>45</v>
      </c>
      <c r="B1448" t="s">
        <v>3027</v>
      </c>
      <c r="C1448" t="s">
        <v>47</v>
      </c>
      <c r="D1448" t="s">
        <v>351</v>
      </c>
      <c r="E1448" t="s">
        <v>351</v>
      </c>
      <c r="F1448" t="s">
        <v>49</v>
      </c>
      <c r="G1448" t="s">
        <v>3061</v>
      </c>
      <c r="H1448" t="s">
        <v>3062</v>
      </c>
      <c r="J1448" t="str">
        <f>HYPERLINK("https://www.youtube.com/watch?v=PE3mRN7gvwo&amp;lc=UgzHp_Nmj_hLhjLtU7x4AaABAg","https://www.youtube.com/watch?v=PE3mRN7gvwo&amp;lc=UgzHp_Nmj_hLhjLtU7x4AaABAg")</f>
        <v>https://www.youtube.com/watch?v=PE3mRN7gvwo&amp;lc=UgzHp_Nmj_hLhjLtU7x4AaABAg</v>
      </c>
      <c r="O1448">
        <v>0</v>
      </c>
      <c r="P1448">
        <v>0</v>
      </c>
      <c r="Q1448">
        <v>0</v>
      </c>
      <c r="S1448">
        <v>0</v>
      </c>
      <c r="T1448">
        <v>0</v>
      </c>
      <c r="U1448">
        <v>0</v>
      </c>
      <c r="W1448" t="s">
        <v>52</v>
      </c>
    </row>
    <row r="1449" spans="1:23" x14ac:dyDescent="0.35">
      <c r="A1449" t="s">
        <v>45</v>
      </c>
      <c r="B1449" t="s">
        <v>3027</v>
      </c>
      <c r="C1449" t="s">
        <v>47</v>
      </c>
      <c r="D1449" t="s">
        <v>351</v>
      </c>
      <c r="E1449" t="s">
        <v>351</v>
      </c>
      <c r="F1449" t="s">
        <v>49</v>
      </c>
      <c r="G1449" t="s">
        <v>3063</v>
      </c>
      <c r="H1449" t="s">
        <v>3064</v>
      </c>
      <c r="J1449" t="str">
        <f>HYPERLINK("https://www.youtube.com/watch?v=PE3mRN7gvwo&amp;lc=Ugxd7E2e5HWweNFBUUR4AaABAg","https://www.youtube.com/watch?v=PE3mRN7gvwo&amp;lc=Ugxd7E2e5HWweNFBUUR4AaABAg")</f>
        <v>https://www.youtube.com/watch?v=PE3mRN7gvwo&amp;lc=Ugxd7E2e5HWweNFBUUR4AaABAg</v>
      </c>
      <c r="O1449">
        <v>0</v>
      </c>
      <c r="P1449">
        <v>0</v>
      </c>
      <c r="Q1449">
        <v>0</v>
      </c>
      <c r="S1449">
        <v>0</v>
      </c>
      <c r="T1449">
        <v>0</v>
      </c>
      <c r="U1449">
        <v>0</v>
      </c>
      <c r="W1449" t="s">
        <v>52</v>
      </c>
    </row>
    <row r="1450" spans="1:23" x14ac:dyDescent="0.35">
      <c r="A1450" t="s">
        <v>45</v>
      </c>
      <c r="B1450" t="s">
        <v>3027</v>
      </c>
      <c r="C1450" t="s">
        <v>60</v>
      </c>
      <c r="D1450" t="s">
        <v>61</v>
      </c>
      <c r="E1450" t="s">
        <v>61</v>
      </c>
      <c r="F1450" t="s">
        <v>49</v>
      </c>
      <c r="G1450" t="s">
        <v>3065</v>
      </c>
      <c r="H1450" t="s">
        <v>3066</v>
      </c>
      <c r="J1450" t="str">
        <f>HYPERLINK("https://www.facebook.com/634639855377280/posts/795715435936387?comment_id=947428432995620","https://www.facebook.com/634639855377280/posts/795715435936387?comment_id=947428432995620")</f>
        <v>https://www.facebook.com/634639855377280/posts/795715435936387?comment_id=947428432995620</v>
      </c>
      <c r="O1450">
        <v>0</v>
      </c>
      <c r="P1450">
        <v>0</v>
      </c>
      <c r="Q1450">
        <v>0</v>
      </c>
      <c r="S1450">
        <v>0</v>
      </c>
      <c r="T1450">
        <v>0</v>
      </c>
      <c r="U1450">
        <v>0</v>
      </c>
      <c r="W1450" t="s">
        <v>52</v>
      </c>
    </row>
    <row r="1451" spans="1:23" x14ac:dyDescent="0.35">
      <c r="A1451" t="s">
        <v>45</v>
      </c>
      <c r="B1451" t="s">
        <v>3027</v>
      </c>
      <c r="C1451" t="s">
        <v>47</v>
      </c>
      <c r="D1451" t="s">
        <v>843</v>
      </c>
      <c r="E1451" t="s">
        <v>843</v>
      </c>
      <c r="F1451" t="s">
        <v>193</v>
      </c>
      <c r="G1451" t="s">
        <v>3067</v>
      </c>
      <c r="H1451" t="s">
        <v>3068</v>
      </c>
      <c r="J1451" t="str">
        <f>HYPERLINK("https://www.youtube.com/watch?v=EsUMqWuvYA8&amp;lc=UgzNVjVnS7snT68rN6l4AaABAg","https://www.youtube.com/watch?v=EsUMqWuvYA8&amp;lc=UgzNVjVnS7snT68rN6l4AaABAg")</f>
        <v>https://www.youtube.com/watch?v=EsUMqWuvYA8&amp;lc=UgzNVjVnS7snT68rN6l4AaABAg</v>
      </c>
      <c r="O1451">
        <v>0</v>
      </c>
      <c r="P1451">
        <v>0</v>
      </c>
      <c r="Q1451">
        <v>0</v>
      </c>
      <c r="S1451">
        <v>0</v>
      </c>
      <c r="T1451">
        <v>0</v>
      </c>
      <c r="U1451">
        <v>0</v>
      </c>
      <c r="W1451" t="s">
        <v>52</v>
      </c>
    </row>
    <row r="1452" spans="1:23" x14ac:dyDescent="0.35">
      <c r="A1452" t="s">
        <v>45</v>
      </c>
      <c r="B1452" t="s">
        <v>3027</v>
      </c>
      <c r="C1452" t="s">
        <v>60</v>
      </c>
      <c r="D1452" t="s">
        <v>61</v>
      </c>
      <c r="E1452" t="s">
        <v>61</v>
      </c>
      <c r="F1452" t="s">
        <v>49</v>
      </c>
      <c r="G1452" t="s">
        <v>3069</v>
      </c>
      <c r="H1452" t="s">
        <v>3070</v>
      </c>
      <c r="J1452" t="str">
        <f>HYPERLINK("https://www.facebook.com/634639855377280/posts/794682982706299?comment_id=1424405351785950","https://www.facebook.com/634639855377280/posts/794682982706299?comment_id=1424405351785950")</f>
        <v>https://www.facebook.com/634639855377280/posts/794682982706299?comment_id=1424405351785950</v>
      </c>
      <c r="O1452">
        <v>0</v>
      </c>
      <c r="P1452">
        <v>0</v>
      </c>
      <c r="Q1452">
        <v>0</v>
      </c>
      <c r="S1452">
        <v>0</v>
      </c>
      <c r="T1452">
        <v>0</v>
      </c>
      <c r="U1452">
        <v>0</v>
      </c>
      <c r="W1452" t="s">
        <v>52</v>
      </c>
    </row>
    <row r="1453" spans="1:23" x14ac:dyDescent="0.35">
      <c r="A1453" t="s">
        <v>45</v>
      </c>
      <c r="B1453" t="s">
        <v>3027</v>
      </c>
      <c r="C1453" t="s">
        <v>47</v>
      </c>
      <c r="D1453" t="s">
        <v>351</v>
      </c>
      <c r="E1453" t="s">
        <v>351</v>
      </c>
      <c r="F1453" t="s">
        <v>49</v>
      </c>
      <c r="G1453" t="s">
        <v>3071</v>
      </c>
      <c r="H1453" t="s">
        <v>3072</v>
      </c>
      <c r="J1453" t="str">
        <f>HYPERLINK("https://www.youtube.com/watch?v=V7dofHUJ7vo&amp;lc=UgzFBEhUIehTcJepjjB4AaABAg","https://www.youtube.com/watch?v=V7dofHUJ7vo&amp;lc=UgzFBEhUIehTcJepjjB4AaABAg")</f>
        <v>https://www.youtube.com/watch?v=V7dofHUJ7vo&amp;lc=UgzFBEhUIehTcJepjjB4AaABAg</v>
      </c>
      <c r="O1453">
        <v>0</v>
      </c>
      <c r="P1453">
        <v>0</v>
      </c>
      <c r="Q1453">
        <v>0</v>
      </c>
      <c r="S1453">
        <v>0</v>
      </c>
      <c r="T1453">
        <v>0</v>
      </c>
      <c r="U1453">
        <v>0</v>
      </c>
      <c r="W1453" t="s">
        <v>52</v>
      </c>
    </row>
    <row r="1454" spans="1:23" x14ac:dyDescent="0.35">
      <c r="A1454" t="s">
        <v>45</v>
      </c>
      <c r="B1454" t="s">
        <v>3027</v>
      </c>
      <c r="C1454" t="s">
        <v>47</v>
      </c>
      <c r="D1454" t="s">
        <v>351</v>
      </c>
      <c r="E1454" t="s">
        <v>351</v>
      </c>
      <c r="F1454" t="s">
        <v>49</v>
      </c>
      <c r="G1454" t="s">
        <v>3073</v>
      </c>
      <c r="H1454" t="s">
        <v>3074</v>
      </c>
      <c r="J1454" t="str">
        <f>HYPERLINK("https://www.youtube.com/watch?v=V7dofHUJ7vo&amp;lc=Ugy6Q89OlvEaXHsRA9R4AaABAg","https://www.youtube.com/watch?v=V7dofHUJ7vo&amp;lc=Ugy6Q89OlvEaXHsRA9R4AaABAg")</f>
        <v>https://www.youtube.com/watch?v=V7dofHUJ7vo&amp;lc=Ugy6Q89OlvEaXHsRA9R4AaABAg</v>
      </c>
      <c r="O1454">
        <v>0</v>
      </c>
      <c r="P1454">
        <v>0</v>
      </c>
      <c r="Q1454">
        <v>0</v>
      </c>
      <c r="S1454">
        <v>0</v>
      </c>
      <c r="T1454">
        <v>0</v>
      </c>
      <c r="U1454">
        <v>0</v>
      </c>
      <c r="W1454" t="s">
        <v>52</v>
      </c>
    </row>
    <row r="1455" spans="1:23" x14ac:dyDescent="0.35">
      <c r="A1455" t="s">
        <v>45</v>
      </c>
      <c r="B1455" t="s">
        <v>3027</v>
      </c>
      <c r="C1455" t="s">
        <v>60</v>
      </c>
      <c r="D1455" t="s">
        <v>61</v>
      </c>
      <c r="E1455" t="s">
        <v>61</v>
      </c>
      <c r="F1455" t="s">
        <v>193</v>
      </c>
      <c r="G1455" t="s">
        <v>3075</v>
      </c>
      <c r="H1455" t="s">
        <v>3076</v>
      </c>
      <c r="J1455" t="str">
        <f>HYPERLINK("https://www.facebook.com/634639855377280/posts/795184109322853?comment_id=1108372350498280","https://www.facebook.com/634639855377280/posts/795184109322853?comment_id=1108372350498280")</f>
        <v>https://www.facebook.com/634639855377280/posts/795184109322853?comment_id=1108372350498280</v>
      </c>
      <c r="O1455">
        <v>0</v>
      </c>
      <c r="P1455">
        <v>0</v>
      </c>
      <c r="Q1455">
        <v>0</v>
      </c>
      <c r="S1455">
        <v>0</v>
      </c>
      <c r="T1455">
        <v>0</v>
      </c>
      <c r="U1455">
        <v>0</v>
      </c>
      <c r="W1455" t="s">
        <v>52</v>
      </c>
    </row>
    <row r="1456" spans="1:23" x14ac:dyDescent="0.35">
      <c r="A1456" t="s">
        <v>45</v>
      </c>
      <c r="B1456" t="s">
        <v>3027</v>
      </c>
      <c r="C1456" t="s">
        <v>60</v>
      </c>
      <c r="D1456" t="s">
        <v>61</v>
      </c>
      <c r="E1456" t="s">
        <v>61</v>
      </c>
      <c r="F1456" t="s">
        <v>49</v>
      </c>
      <c r="G1456" t="s">
        <v>3077</v>
      </c>
      <c r="H1456" t="s">
        <v>3078</v>
      </c>
      <c r="J1456" t="str">
        <f>HYPERLINK("https://www.facebook.com/634639855377280/posts/795715435936387?comment_id=792771879546282","https://www.facebook.com/634639855377280/posts/795715435936387?comment_id=792771879546282")</f>
        <v>https://www.facebook.com/634639855377280/posts/795715435936387?comment_id=792771879546282</v>
      </c>
      <c r="O1456">
        <v>0</v>
      </c>
      <c r="P1456">
        <v>0</v>
      </c>
      <c r="Q1456">
        <v>0</v>
      </c>
      <c r="S1456">
        <v>0</v>
      </c>
      <c r="T1456">
        <v>0</v>
      </c>
      <c r="U1456">
        <v>0</v>
      </c>
      <c r="W1456" t="s">
        <v>52</v>
      </c>
    </row>
    <row r="1457" spans="1:23" x14ac:dyDescent="0.35">
      <c r="A1457" t="s">
        <v>45</v>
      </c>
      <c r="B1457" t="s">
        <v>3027</v>
      </c>
      <c r="C1457" t="s">
        <v>60</v>
      </c>
      <c r="D1457" t="s">
        <v>61</v>
      </c>
      <c r="E1457" t="s">
        <v>61</v>
      </c>
      <c r="F1457" t="s">
        <v>49</v>
      </c>
      <c r="G1457" t="s">
        <v>3079</v>
      </c>
      <c r="H1457" t="s">
        <v>3080</v>
      </c>
      <c r="J1457" t="str">
        <f>HYPERLINK("https://www.facebook.com/634639855377280/posts/795715435936387?comment_id=1104068960635436","https://www.facebook.com/634639855377280/posts/795715435936387?comment_id=1104068960635436")</f>
        <v>https://www.facebook.com/634639855377280/posts/795715435936387?comment_id=1104068960635436</v>
      </c>
      <c r="O1457">
        <v>0</v>
      </c>
      <c r="P1457">
        <v>0</v>
      </c>
      <c r="Q1457">
        <v>0</v>
      </c>
      <c r="S1457">
        <v>0</v>
      </c>
      <c r="T1457">
        <v>0</v>
      </c>
      <c r="U1457">
        <v>0</v>
      </c>
      <c r="W1457" t="s">
        <v>52</v>
      </c>
    </row>
    <row r="1458" spans="1:23" x14ac:dyDescent="0.35">
      <c r="A1458" t="s">
        <v>45</v>
      </c>
      <c r="B1458" t="s">
        <v>3027</v>
      </c>
      <c r="C1458" t="s">
        <v>93</v>
      </c>
      <c r="D1458" t="s">
        <v>94</v>
      </c>
      <c r="E1458" t="s">
        <v>45</v>
      </c>
      <c r="F1458" t="s">
        <v>49</v>
      </c>
      <c r="G1458" t="s">
        <v>3081</v>
      </c>
      <c r="H1458" t="s">
        <v>3082</v>
      </c>
      <c r="J1458" t="str">
        <f>HYPERLINK("https://twitter.com/SpiceMoneyIndia/status/1760545415781392682","https://twitter.com/SpiceMoneyIndia/status/1760545415781392682")</f>
        <v>https://twitter.com/SpiceMoneyIndia/status/1760545415781392682</v>
      </c>
      <c r="K1458" t="s">
        <v>67</v>
      </c>
      <c r="O1458">
        <v>0</v>
      </c>
      <c r="P1458">
        <v>0</v>
      </c>
      <c r="Q1458">
        <v>6042</v>
      </c>
      <c r="R1458" t="s">
        <v>97</v>
      </c>
      <c r="S1458">
        <v>0</v>
      </c>
      <c r="T1458">
        <v>0</v>
      </c>
      <c r="U1458">
        <v>0</v>
      </c>
      <c r="V1458" t="s">
        <v>98</v>
      </c>
      <c r="W1458" t="s">
        <v>99</v>
      </c>
    </row>
    <row r="1459" spans="1:23" x14ac:dyDescent="0.35">
      <c r="A1459" t="s">
        <v>45</v>
      </c>
      <c r="B1459" t="s">
        <v>3027</v>
      </c>
      <c r="C1459" t="s">
        <v>60</v>
      </c>
      <c r="D1459" t="s">
        <v>64</v>
      </c>
      <c r="E1459" t="s">
        <v>64</v>
      </c>
      <c r="F1459" t="s">
        <v>49</v>
      </c>
      <c r="G1459" t="s">
        <v>3083</v>
      </c>
      <c r="H1459" t="s">
        <v>3084</v>
      </c>
      <c r="J1459" t="str">
        <f>HYPERLINK("https://www.facebook.com/634639855377280/posts/795715435936387","https://www.facebook.com/634639855377280/posts/795715435936387")</f>
        <v>https://www.facebook.com/634639855377280/posts/795715435936387</v>
      </c>
      <c r="O1459">
        <v>0</v>
      </c>
      <c r="P1459">
        <v>0</v>
      </c>
      <c r="Q1459">
        <v>0</v>
      </c>
      <c r="S1459">
        <v>9</v>
      </c>
      <c r="T1459">
        <v>71</v>
      </c>
      <c r="U1459">
        <v>3</v>
      </c>
      <c r="W1459" t="s">
        <v>346</v>
      </c>
    </row>
    <row r="1460" spans="1:23" x14ac:dyDescent="0.35">
      <c r="A1460" t="s">
        <v>45</v>
      </c>
      <c r="B1460" t="s">
        <v>3027</v>
      </c>
      <c r="C1460" t="s">
        <v>60</v>
      </c>
      <c r="D1460" t="s">
        <v>61</v>
      </c>
      <c r="E1460" t="s">
        <v>61</v>
      </c>
      <c r="F1460" t="s">
        <v>49</v>
      </c>
      <c r="G1460" t="s">
        <v>3085</v>
      </c>
      <c r="H1460" t="s">
        <v>3086</v>
      </c>
      <c r="J1460" t="str">
        <f>HYPERLINK("https://www.facebook.com/634639855377280/posts/794682982706299?comment_id=1450476725844433","https://www.facebook.com/634639855377280/posts/794682982706299?comment_id=1450476725844433")</f>
        <v>https://www.facebook.com/634639855377280/posts/794682982706299?comment_id=1450476725844433</v>
      </c>
      <c r="O1460">
        <v>0</v>
      </c>
      <c r="P1460">
        <v>0</v>
      </c>
      <c r="Q1460">
        <v>0</v>
      </c>
      <c r="S1460">
        <v>0</v>
      </c>
      <c r="T1460">
        <v>0</v>
      </c>
      <c r="U1460">
        <v>0</v>
      </c>
      <c r="W1460" t="s">
        <v>52</v>
      </c>
    </row>
    <row r="1461" spans="1:23" x14ac:dyDescent="0.35">
      <c r="A1461" t="s">
        <v>45</v>
      </c>
      <c r="B1461" t="s">
        <v>3027</v>
      </c>
      <c r="C1461" t="s">
        <v>47</v>
      </c>
      <c r="D1461" t="s">
        <v>3087</v>
      </c>
      <c r="E1461" t="s">
        <v>3087</v>
      </c>
      <c r="F1461" t="s">
        <v>193</v>
      </c>
      <c r="G1461" t="s">
        <v>3088</v>
      </c>
      <c r="H1461" t="s">
        <v>3089</v>
      </c>
      <c r="J1461" t="str">
        <f>HYPERLINK("https://www.youtube.com/watch?v=wDVpKG8jfSo&amp;lc=UgxbvClF5h_z0OGJgXN4AaABAg","https://www.youtube.com/watch?v=wDVpKG8jfSo&amp;lc=UgxbvClF5h_z0OGJgXN4AaABAg")</f>
        <v>https://www.youtube.com/watch?v=wDVpKG8jfSo&amp;lc=UgxbvClF5h_z0OGJgXN4AaABAg</v>
      </c>
      <c r="O1461">
        <v>0</v>
      </c>
      <c r="P1461">
        <v>0</v>
      </c>
      <c r="Q1461">
        <v>0</v>
      </c>
      <c r="S1461">
        <v>0</v>
      </c>
      <c r="T1461">
        <v>0</v>
      </c>
      <c r="U1461">
        <v>0</v>
      </c>
      <c r="W1461" t="s">
        <v>52</v>
      </c>
    </row>
    <row r="1462" spans="1:23" x14ac:dyDescent="0.35">
      <c r="A1462" t="s">
        <v>45</v>
      </c>
      <c r="B1462" t="s">
        <v>3027</v>
      </c>
      <c r="C1462" t="s">
        <v>60</v>
      </c>
      <c r="D1462" t="s">
        <v>61</v>
      </c>
      <c r="E1462" t="s">
        <v>61</v>
      </c>
      <c r="F1462" t="s">
        <v>49</v>
      </c>
      <c r="G1462" t="s">
        <v>3090</v>
      </c>
      <c r="H1462" t="s">
        <v>3091</v>
      </c>
      <c r="J1462" t="str">
        <f>HYPERLINK("https://www.facebook.com/634639855377280/posts/794682982706299?comment_id=750640883699937&amp;reply_comment_id=1107085860428046","https://www.facebook.com/634639855377280/posts/794682982706299?comment_id=750640883699937&amp;reply_comment_id=1107085860428046")</f>
        <v>https://www.facebook.com/634639855377280/posts/794682982706299?comment_id=750640883699937&amp;reply_comment_id=1107085860428046</v>
      </c>
      <c r="O1462">
        <v>0</v>
      </c>
      <c r="P1462">
        <v>0</v>
      </c>
      <c r="Q1462">
        <v>0</v>
      </c>
      <c r="S1462">
        <v>0</v>
      </c>
      <c r="T1462">
        <v>0</v>
      </c>
      <c r="U1462">
        <v>0</v>
      </c>
      <c r="W1462" t="s">
        <v>52</v>
      </c>
    </row>
    <row r="1463" spans="1:23" x14ac:dyDescent="0.35">
      <c r="A1463" t="s">
        <v>45</v>
      </c>
      <c r="B1463" t="s">
        <v>3027</v>
      </c>
      <c r="C1463" t="s">
        <v>60</v>
      </c>
      <c r="D1463" t="s">
        <v>64</v>
      </c>
      <c r="E1463" t="s">
        <v>64</v>
      </c>
      <c r="F1463" t="s">
        <v>49</v>
      </c>
      <c r="G1463" t="s">
        <v>164</v>
      </c>
      <c r="H1463" t="s">
        <v>3092</v>
      </c>
      <c r="J1463" t="str">
        <f>HYPERLINK("https://www.facebook.com/634639855377280/posts/795184109322853?comment_id=1067584314499599&amp;reply_comment_id=773155271383955","https://www.facebook.com/634639855377280/posts/795184109322853?comment_id=1067584314499599&amp;reply_comment_id=773155271383955")</f>
        <v>https://www.facebook.com/634639855377280/posts/795184109322853?comment_id=1067584314499599&amp;reply_comment_id=773155271383955</v>
      </c>
      <c r="K1463" t="s">
        <v>67</v>
      </c>
      <c r="O1463">
        <v>0</v>
      </c>
      <c r="P1463">
        <v>0</v>
      </c>
      <c r="Q1463">
        <v>0</v>
      </c>
      <c r="S1463">
        <v>0</v>
      </c>
      <c r="T1463">
        <v>0</v>
      </c>
      <c r="U1463">
        <v>0</v>
      </c>
      <c r="W1463" t="s">
        <v>52</v>
      </c>
    </row>
    <row r="1464" spans="1:23" x14ac:dyDescent="0.35">
      <c r="A1464" t="s">
        <v>45</v>
      </c>
      <c r="B1464" t="s">
        <v>3027</v>
      </c>
      <c r="C1464" t="s">
        <v>60</v>
      </c>
      <c r="D1464" t="s">
        <v>64</v>
      </c>
      <c r="E1464" t="s">
        <v>64</v>
      </c>
      <c r="F1464" t="s">
        <v>49</v>
      </c>
      <c r="G1464" t="s">
        <v>83</v>
      </c>
      <c r="H1464" t="s">
        <v>3093</v>
      </c>
      <c r="J1464" t="str">
        <f>HYPERLINK("https://www.facebook.com/634639855377280/posts/794682982706299?comment_id=750640883699937&amp;reply_comment_id=1887441555062594","https://www.facebook.com/634639855377280/posts/794682982706299?comment_id=750640883699937&amp;reply_comment_id=1887441555062594")</f>
        <v>https://www.facebook.com/634639855377280/posts/794682982706299?comment_id=750640883699937&amp;reply_comment_id=1887441555062594</v>
      </c>
      <c r="K1464" t="s">
        <v>67</v>
      </c>
      <c r="O1464">
        <v>0</v>
      </c>
      <c r="P1464">
        <v>0</v>
      </c>
      <c r="Q1464">
        <v>0</v>
      </c>
      <c r="S1464">
        <v>0</v>
      </c>
      <c r="T1464">
        <v>0</v>
      </c>
      <c r="U1464">
        <v>0</v>
      </c>
      <c r="W1464" t="s">
        <v>52</v>
      </c>
    </row>
    <row r="1465" spans="1:23" x14ac:dyDescent="0.35">
      <c r="A1465" t="s">
        <v>45</v>
      </c>
      <c r="B1465" t="s">
        <v>3027</v>
      </c>
      <c r="C1465" t="s">
        <v>60</v>
      </c>
      <c r="D1465" t="s">
        <v>64</v>
      </c>
      <c r="E1465" t="s">
        <v>64</v>
      </c>
      <c r="F1465" t="s">
        <v>49</v>
      </c>
      <c r="G1465" t="s">
        <v>83</v>
      </c>
      <c r="H1465" t="s">
        <v>3094</v>
      </c>
      <c r="J1465" t="str">
        <f>HYPERLINK("https://www.facebook.com/634639855377280/posts/794682982706299?comment_id=1341544393202477&amp;reply_comment_id=914245863476974","https://www.facebook.com/634639855377280/posts/794682982706299?comment_id=1341544393202477&amp;reply_comment_id=914245863476974")</f>
        <v>https://www.facebook.com/634639855377280/posts/794682982706299?comment_id=1341544393202477&amp;reply_comment_id=914245863476974</v>
      </c>
      <c r="K1465" t="s">
        <v>67</v>
      </c>
      <c r="O1465">
        <v>0</v>
      </c>
      <c r="P1465">
        <v>0</v>
      </c>
      <c r="Q1465">
        <v>0</v>
      </c>
      <c r="S1465">
        <v>0</v>
      </c>
      <c r="T1465">
        <v>0</v>
      </c>
      <c r="U1465">
        <v>0</v>
      </c>
      <c r="W1465" t="s">
        <v>52</v>
      </c>
    </row>
    <row r="1466" spans="1:23" x14ac:dyDescent="0.35">
      <c r="A1466" t="s">
        <v>45</v>
      </c>
      <c r="B1466" t="s">
        <v>3027</v>
      </c>
      <c r="C1466" t="s">
        <v>93</v>
      </c>
      <c r="D1466" t="s">
        <v>94</v>
      </c>
      <c r="E1466" t="s">
        <v>45</v>
      </c>
      <c r="F1466" t="s">
        <v>49</v>
      </c>
      <c r="G1466" t="s">
        <v>3095</v>
      </c>
      <c r="H1466" t="s">
        <v>3096</v>
      </c>
      <c r="J1466" t="str">
        <f>HYPERLINK("https://twitter.com/SpiceMoneyIndia/status/1760498809799426506","https://twitter.com/SpiceMoneyIndia/status/1760498809799426506")</f>
        <v>https://twitter.com/SpiceMoneyIndia/status/1760498809799426506</v>
      </c>
      <c r="K1466" t="s">
        <v>67</v>
      </c>
      <c r="O1466">
        <v>0</v>
      </c>
      <c r="P1466">
        <v>0</v>
      </c>
      <c r="Q1466">
        <v>6043</v>
      </c>
      <c r="R1466" t="s">
        <v>97</v>
      </c>
      <c r="S1466">
        <v>0</v>
      </c>
      <c r="T1466">
        <v>0</v>
      </c>
      <c r="U1466">
        <v>0</v>
      </c>
      <c r="V1466" t="s">
        <v>98</v>
      </c>
      <c r="W1466" t="s">
        <v>99</v>
      </c>
    </row>
    <row r="1467" spans="1:23" x14ac:dyDescent="0.35">
      <c r="A1467" t="s">
        <v>45</v>
      </c>
      <c r="B1467" t="s">
        <v>3027</v>
      </c>
      <c r="C1467" t="s">
        <v>93</v>
      </c>
      <c r="D1467" t="s">
        <v>94</v>
      </c>
      <c r="E1467" t="s">
        <v>45</v>
      </c>
      <c r="F1467" t="s">
        <v>49</v>
      </c>
      <c r="G1467" t="s">
        <v>3097</v>
      </c>
      <c r="H1467" t="s">
        <v>3098</v>
      </c>
      <c r="J1467" t="str">
        <f>HYPERLINK("https://twitter.com/SpiceMoneyIndia/status/1760497648702779791","https://twitter.com/SpiceMoneyIndia/status/1760497648702779791")</f>
        <v>https://twitter.com/SpiceMoneyIndia/status/1760497648702779791</v>
      </c>
      <c r="K1467" t="s">
        <v>67</v>
      </c>
      <c r="O1467">
        <v>0</v>
      </c>
      <c r="P1467">
        <v>0</v>
      </c>
      <c r="Q1467">
        <v>6043</v>
      </c>
      <c r="R1467" t="s">
        <v>97</v>
      </c>
      <c r="S1467">
        <v>0</v>
      </c>
      <c r="T1467">
        <v>0</v>
      </c>
      <c r="U1467">
        <v>0</v>
      </c>
      <c r="V1467" t="s">
        <v>98</v>
      </c>
      <c r="W1467" t="s">
        <v>99</v>
      </c>
    </row>
    <row r="1468" spans="1:23" x14ac:dyDescent="0.35">
      <c r="A1468" t="s">
        <v>45</v>
      </c>
      <c r="B1468" t="s">
        <v>3027</v>
      </c>
      <c r="C1468" t="s">
        <v>60</v>
      </c>
      <c r="D1468" t="s">
        <v>61</v>
      </c>
      <c r="E1468" t="s">
        <v>61</v>
      </c>
      <c r="F1468" t="s">
        <v>193</v>
      </c>
      <c r="G1468" t="s">
        <v>3099</v>
      </c>
      <c r="H1468" t="s">
        <v>3100</v>
      </c>
      <c r="J1468" t="str">
        <f>HYPERLINK("https://www.facebook.com/634639855377280/posts/795184109322853?comment_id=1067584314499599","https://www.facebook.com/634639855377280/posts/795184109322853?comment_id=1067584314499599")</f>
        <v>https://www.facebook.com/634639855377280/posts/795184109322853?comment_id=1067584314499599</v>
      </c>
      <c r="O1468">
        <v>0</v>
      </c>
      <c r="P1468">
        <v>0</v>
      </c>
      <c r="Q1468">
        <v>0</v>
      </c>
      <c r="S1468">
        <v>0</v>
      </c>
      <c r="T1468">
        <v>0</v>
      </c>
      <c r="U1468">
        <v>0</v>
      </c>
      <c r="W1468" t="s">
        <v>52</v>
      </c>
    </row>
    <row r="1469" spans="1:23" x14ac:dyDescent="0.35">
      <c r="A1469" t="s">
        <v>45</v>
      </c>
      <c r="B1469" t="s">
        <v>3027</v>
      </c>
      <c r="C1469" t="s">
        <v>60</v>
      </c>
      <c r="D1469" t="s">
        <v>61</v>
      </c>
      <c r="E1469" t="s">
        <v>61</v>
      </c>
      <c r="F1469" t="s">
        <v>49</v>
      </c>
      <c r="G1469" t="s">
        <v>3101</v>
      </c>
      <c r="H1469" t="s">
        <v>3102</v>
      </c>
      <c r="J1469" t="str">
        <f>HYPERLINK("https://www.facebook.com/634639855377280/posts/794682982706299?comment_id=750640883699937","https://www.facebook.com/634639855377280/posts/794682982706299?comment_id=750640883699937")</f>
        <v>https://www.facebook.com/634639855377280/posts/794682982706299?comment_id=750640883699937</v>
      </c>
      <c r="O1469">
        <v>0</v>
      </c>
      <c r="P1469">
        <v>0</v>
      </c>
      <c r="Q1469">
        <v>0</v>
      </c>
      <c r="S1469">
        <v>0</v>
      </c>
      <c r="T1469">
        <v>0</v>
      </c>
      <c r="U1469">
        <v>0</v>
      </c>
      <c r="W1469" t="s">
        <v>52</v>
      </c>
    </row>
    <row r="1470" spans="1:23" x14ac:dyDescent="0.35">
      <c r="A1470" t="s">
        <v>45</v>
      </c>
      <c r="B1470" t="s">
        <v>3103</v>
      </c>
      <c r="C1470" t="s">
        <v>60</v>
      </c>
      <c r="D1470" t="s">
        <v>61</v>
      </c>
      <c r="E1470" t="s">
        <v>61</v>
      </c>
      <c r="F1470" t="s">
        <v>49</v>
      </c>
      <c r="G1470" t="s">
        <v>3104</v>
      </c>
      <c r="H1470" t="s">
        <v>3105</v>
      </c>
      <c r="J1470" t="str">
        <f>HYPERLINK("https://www.facebook.com/634639855377280/posts/794682982706299?comment_id=1341544393202477","https://www.facebook.com/634639855377280/posts/794682982706299?comment_id=1341544393202477")</f>
        <v>https://www.facebook.com/634639855377280/posts/794682982706299?comment_id=1341544393202477</v>
      </c>
      <c r="O1470">
        <v>0</v>
      </c>
      <c r="P1470">
        <v>0</v>
      </c>
      <c r="Q1470">
        <v>0</v>
      </c>
      <c r="S1470">
        <v>0</v>
      </c>
      <c r="T1470">
        <v>0</v>
      </c>
      <c r="U1470">
        <v>0</v>
      </c>
      <c r="W1470" t="s">
        <v>52</v>
      </c>
    </row>
    <row r="1471" spans="1:23" x14ac:dyDescent="0.35">
      <c r="A1471" t="s">
        <v>45</v>
      </c>
      <c r="B1471" t="s">
        <v>3103</v>
      </c>
      <c r="C1471" t="s">
        <v>47</v>
      </c>
      <c r="D1471" t="s">
        <v>3106</v>
      </c>
      <c r="E1471" t="s">
        <v>3106</v>
      </c>
      <c r="F1471" t="s">
        <v>49</v>
      </c>
      <c r="G1471" t="s">
        <v>3107</v>
      </c>
      <c r="H1471" t="s">
        <v>3108</v>
      </c>
      <c r="J1471" t="str">
        <f>HYPERLINK("https://www.youtube.com/watch?v=DMlpygM0MQM&amp;lc=UgxzW4sf0MeXKjBSGi14AaABAg","https://www.youtube.com/watch?v=DMlpygM0MQM&amp;lc=UgxzW4sf0MeXKjBSGi14AaABAg")</f>
        <v>https://www.youtube.com/watch?v=DMlpygM0MQM&amp;lc=UgxzW4sf0MeXKjBSGi14AaABAg</v>
      </c>
      <c r="O1471">
        <v>0</v>
      </c>
      <c r="P1471">
        <v>0</v>
      </c>
      <c r="Q1471">
        <v>0</v>
      </c>
      <c r="S1471">
        <v>0</v>
      </c>
      <c r="T1471">
        <v>0</v>
      </c>
      <c r="U1471">
        <v>0</v>
      </c>
      <c r="W1471" t="s">
        <v>52</v>
      </c>
    </row>
    <row r="1472" spans="1:23" x14ac:dyDescent="0.35">
      <c r="A1472" t="s">
        <v>45</v>
      </c>
      <c r="B1472" t="s">
        <v>3103</v>
      </c>
      <c r="C1472" t="s">
        <v>47</v>
      </c>
      <c r="D1472" t="s">
        <v>3106</v>
      </c>
      <c r="E1472" t="s">
        <v>3106</v>
      </c>
      <c r="F1472" t="s">
        <v>193</v>
      </c>
      <c r="G1472" t="s">
        <v>3109</v>
      </c>
      <c r="H1472" t="s">
        <v>3110</v>
      </c>
      <c r="J1472" t="str">
        <f>HYPERLINK("https://www.youtube.com/watch?v=DMlpygM0MQM&amp;lc=UgwDyzdzhUMbQGd01AZ4AaABAg","https://www.youtube.com/watch?v=DMlpygM0MQM&amp;lc=UgwDyzdzhUMbQGd01AZ4AaABAg")</f>
        <v>https://www.youtube.com/watch?v=DMlpygM0MQM&amp;lc=UgwDyzdzhUMbQGd01AZ4AaABAg</v>
      </c>
      <c r="O1472">
        <v>0</v>
      </c>
      <c r="P1472">
        <v>0</v>
      </c>
      <c r="Q1472">
        <v>0</v>
      </c>
      <c r="S1472">
        <v>0</v>
      </c>
      <c r="T1472">
        <v>0</v>
      </c>
      <c r="U1472">
        <v>0</v>
      </c>
      <c r="W1472" t="s">
        <v>52</v>
      </c>
    </row>
    <row r="1473" spans="1:23" x14ac:dyDescent="0.35">
      <c r="A1473" t="s">
        <v>45</v>
      </c>
      <c r="B1473" t="s">
        <v>3103</v>
      </c>
      <c r="C1473" t="s">
        <v>47</v>
      </c>
      <c r="D1473" t="s">
        <v>3106</v>
      </c>
      <c r="E1473" t="s">
        <v>3106</v>
      </c>
      <c r="F1473" t="s">
        <v>193</v>
      </c>
      <c r="G1473" t="s">
        <v>3109</v>
      </c>
      <c r="H1473" t="s">
        <v>3111</v>
      </c>
      <c r="J1473" t="str">
        <f>HYPERLINK("https://www.youtube.com/watch?v=Sw8taVwDscg&amp;lc=UgxUFJOCCrEbIYzumMF4AaABAg","https://www.youtube.com/watch?v=Sw8taVwDscg&amp;lc=UgxUFJOCCrEbIYzumMF4AaABAg")</f>
        <v>https://www.youtube.com/watch?v=Sw8taVwDscg&amp;lc=UgxUFJOCCrEbIYzumMF4AaABAg</v>
      </c>
      <c r="O1473">
        <v>0</v>
      </c>
      <c r="P1473">
        <v>0</v>
      </c>
      <c r="Q1473">
        <v>0</v>
      </c>
      <c r="S1473">
        <v>0</v>
      </c>
      <c r="T1473">
        <v>0</v>
      </c>
      <c r="U1473">
        <v>0</v>
      </c>
      <c r="W1473" t="s">
        <v>52</v>
      </c>
    </row>
    <row r="1474" spans="1:23" x14ac:dyDescent="0.35">
      <c r="A1474" t="s">
        <v>45</v>
      </c>
      <c r="B1474" t="s">
        <v>3103</v>
      </c>
      <c r="C1474" t="s">
        <v>60</v>
      </c>
      <c r="D1474" t="s">
        <v>61</v>
      </c>
      <c r="E1474" t="s">
        <v>61</v>
      </c>
      <c r="F1474" t="s">
        <v>49</v>
      </c>
      <c r="G1474" t="s">
        <v>3112</v>
      </c>
      <c r="H1474" t="s">
        <v>3113</v>
      </c>
      <c r="J1474" t="str">
        <f>HYPERLINK("https://www.facebook.com/634639855377280/posts/795184109322853?comment_id=1047075909919724","https://www.facebook.com/634639855377280/posts/795184109322853?comment_id=1047075909919724")</f>
        <v>https://www.facebook.com/634639855377280/posts/795184109322853?comment_id=1047075909919724</v>
      </c>
      <c r="O1474">
        <v>0</v>
      </c>
      <c r="P1474">
        <v>0</v>
      </c>
      <c r="Q1474">
        <v>0</v>
      </c>
      <c r="S1474">
        <v>0</v>
      </c>
      <c r="T1474">
        <v>0</v>
      </c>
      <c r="U1474">
        <v>0</v>
      </c>
      <c r="W1474" t="s">
        <v>52</v>
      </c>
    </row>
    <row r="1475" spans="1:23" x14ac:dyDescent="0.35">
      <c r="A1475" t="s">
        <v>45</v>
      </c>
      <c r="B1475" t="s">
        <v>3103</v>
      </c>
      <c r="C1475" t="s">
        <v>47</v>
      </c>
      <c r="D1475" t="s">
        <v>3114</v>
      </c>
      <c r="E1475" t="s">
        <v>3114</v>
      </c>
      <c r="F1475" t="s">
        <v>49</v>
      </c>
      <c r="G1475" t="s">
        <v>3115</v>
      </c>
      <c r="H1475" t="s">
        <v>3116</v>
      </c>
      <c r="J1475" t="str">
        <f>HYPERLINK("https://www.youtube.com/watch?v=PE3mRN7gvwo&amp;lc=UgydjyI4yRHZdidkb7h4AaABAg.A02-hBO-JbSA04oX9pYMtg","https://www.youtube.com/watch?v=PE3mRN7gvwo&amp;lc=UgydjyI4yRHZdidkb7h4AaABAg.A02-hBO-JbSA04oX9pYMtg")</f>
        <v>https://www.youtube.com/watch?v=PE3mRN7gvwo&amp;lc=UgydjyI4yRHZdidkb7h4AaABAg.A02-hBO-JbSA04oX9pYMtg</v>
      </c>
      <c r="O1475">
        <v>0</v>
      </c>
      <c r="P1475">
        <v>0</v>
      </c>
      <c r="Q1475">
        <v>0</v>
      </c>
      <c r="S1475">
        <v>0</v>
      </c>
      <c r="T1475">
        <v>0</v>
      </c>
      <c r="U1475">
        <v>0</v>
      </c>
      <c r="W1475" t="s">
        <v>52</v>
      </c>
    </row>
    <row r="1476" spans="1:23" x14ac:dyDescent="0.35">
      <c r="A1476" t="s">
        <v>45</v>
      </c>
      <c r="B1476" t="s">
        <v>3103</v>
      </c>
      <c r="C1476" t="s">
        <v>60</v>
      </c>
      <c r="D1476" t="s">
        <v>61</v>
      </c>
      <c r="E1476" t="s">
        <v>61</v>
      </c>
      <c r="F1476" t="s">
        <v>49</v>
      </c>
      <c r="G1476" t="s">
        <v>3117</v>
      </c>
      <c r="H1476" t="s">
        <v>3118</v>
      </c>
      <c r="J1476" t="str">
        <f>HYPERLINK("https://www.facebook.com/634639855377280/posts/795184109322853?comment_id=3656824224574518","https://www.facebook.com/634639855377280/posts/795184109322853?comment_id=3656824224574518")</f>
        <v>https://www.facebook.com/634639855377280/posts/795184109322853?comment_id=3656824224574518</v>
      </c>
      <c r="O1476">
        <v>0</v>
      </c>
      <c r="P1476">
        <v>0</v>
      </c>
      <c r="Q1476">
        <v>0</v>
      </c>
      <c r="S1476">
        <v>0</v>
      </c>
      <c r="T1476">
        <v>0</v>
      </c>
      <c r="U1476">
        <v>0</v>
      </c>
      <c r="W1476" t="s">
        <v>52</v>
      </c>
    </row>
    <row r="1477" spans="1:23" x14ac:dyDescent="0.35">
      <c r="A1477" t="s">
        <v>45</v>
      </c>
      <c r="B1477" t="s">
        <v>3103</v>
      </c>
      <c r="C1477" t="s">
        <v>47</v>
      </c>
      <c r="D1477" t="s">
        <v>3119</v>
      </c>
      <c r="E1477" t="s">
        <v>3119</v>
      </c>
      <c r="F1477" t="s">
        <v>49</v>
      </c>
      <c r="G1477" t="s">
        <v>3120</v>
      </c>
      <c r="H1477" t="s">
        <v>3121</v>
      </c>
      <c r="J1477" t="str">
        <f>HYPERLINK("https://www.youtube.com/watch?v=wJJ455CgzKg&amp;lc=Ugydmnv2KwZpCPdNk8p4AaABAg","https://www.youtube.com/watch?v=wJJ455CgzKg&amp;lc=Ugydmnv2KwZpCPdNk8p4AaABAg")</f>
        <v>https://www.youtube.com/watch?v=wJJ455CgzKg&amp;lc=Ugydmnv2KwZpCPdNk8p4AaABAg</v>
      </c>
      <c r="O1477">
        <v>0</v>
      </c>
      <c r="P1477">
        <v>0</v>
      </c>
      <c r="Q1477">
        <v>0</v>
      </c>
      <c r="S1477">
        <v>0</v>
      </c>
      <c r="T1477">
        <v>0</v>
      </c>
      <c r="U1477">
        <v>0</v>
      </c>
      <c r="W1477" t="s">
        <v>52</v>
      </c>
    </row>
    <row r="1478" spans="1:23" x14ac:dyDescent="0.35">
      <c r="A1478" t="s">
        <v>45</v>
      </c>
      <c r="B1478" t="s">
        <v>3103</v>
      </c>
      <c r="C1478" t="s">
        <v>60</v>
      </c>
      <c r="D1478" t="s">
        <v>61</v>
      </c>
      <c r="E1478" t="s">
        <v>61</v>
      </c>
      <c r="F1478" t="s">
        <v>49</v>
      </c>
      <c r="G1478" t="s">
        <v>3122</v>
      </c>
      <c r="H1478" t="s">
        <v>3123</v>
      </c>
      <c r="J1478" t="str">
        <f>HYPERLINK("https://www.facebook.com/634639855377280/posts/794682982706299?comment_id=7576364332382360","https://www.facebook.com/634639855377280/posts/794682982706299?comment_id=7576364332382360")</f>
        <v>https://www.facebook.com/634639855377280/posts/794682982706299?comment_id=7576364332382360</v>
      </c>
      <c r="O1478">
        <v>0</v>
      </c>
      <c r="P1478">
        <v>0</v>
      </c>
      <c r="Q1478">
        <v>0</v>
      </c>
      <c r="S1478">
        <v>0</v>
      </c>
      <c r="T1478">
        <v>0</v>
      </c>
      <c r="U1478">
        <v>0</v>
      </c>
      <c r="W1478" t="s">
        <v>52</v>
      </c>
    </row>
    <row r="1479" spans="1:23" x14ac:dyDescent="0.35">
      <c r="A1479" t="s">
        <v>45</v>
      </c>
      <c r="B1479" t="s">
        <v>3103</v>
      </c>
      <c r="C1479" t="s">
        <v>47</v>
      </c>
      <c r="D1479" t="s">
        <v>3124</v>
      </c>
      <c r="E1479" t="s">
        <v>3124</v>
      </c>
      <c r="F1479" t="s">
        <v>49</v>
      </c>
      <c r="G1479" t="s">
        <v>3125</v>
      </c>
      <c r="H1479" t="s">
        <v>3126</v>
      </c>
      <c r="J1479" t="str">
        <f>HYPERLINK("https://www.youtube.com/watch?v=5DADCSRiE3A&amp;lc=Ugy7U-elvSPcQzjkl5h4AaABAg","https://www.youtube.com/watch?v=5DADCSRiE3A&amp;lc=Ugy7U-elvSPcQzjkl5h4AaABAg")</f>
        <v>https://www.youtube.com/watch?v=5DADCSRiE3A&amp;lc=Ugy7U-elvSPcQzjkl5h4AaABAg</v>
      </c>
      <c r="O1479">
        <v>0</v>
      </c>
      <c r="P1479">
        <v>0</v>
      </c>
      <c r="Q1479">
        <v>0</v>
      </c>
      <c r="S1479">
        <v>0</v>
      </c>
      <c r="T1479">
        <v>0</v>
      </c>
      <c r="U1479">
        <v>0</v>
      </c>
      <c r="W1479" t="s">
        <v>52</v>
      </c>
    </row>
    <row r="1480" spans="1:23" x14ac:dyDescent="0.35">
      <c r="A1480" t="s">
        <v>45</v>
      </c>
      <c r="B1480" t="s">
        <v>3103</v>
      </c>
      <c r="C1480" t="s">
        <v>93</v>
      </c>
      <c r="D1480" t="s">
        <v>3127</v>
      </c>
      <c r="E1480" t="s">
        <v>3128</v>
      </c>
      <c r="F1480" t="s">
        <v>54</v>
      </c>
      <c r="G1480" t="s">
        <v>3129</v>
      </c>
      <c r="H1480" t="s">
        <v>3130</v>
      </c>
      <c r="J1480" t="str">
        <f>HYPERLINK("https://twitter.com/dhawan_rishu/status/1760292059926110474","https://twitter.com/dhawan_rishu/status/1760292059926110474")</f>
        <v>https://twitter.com/dhawan_rishu/status/1760292059926110474</v>
      </c>
      <c r="K1480" t="s">
        <v>471</v>
      </c>
      <c r="O1480">
        <v>0</v>
      </c>
      <c r="P1480">
        <v>0</v>
      </c>
      <c r="Q1480">
        <v>42</v>
      </c>
      <c r="S1480">
        <v>0</v>
      </c>
      <c r="T1480">
        <v>0</v>
      </c>
      <c r="U1480">
        <v>0</v>
      </c>
      <c r="W1480" t="s">
        <v>99</v>
      </c>
    </row>
    <row r="1481" spans="1:23" x14ac:dyDescent="0.35">
      <c r="A1481" t="s">
        <v>45</v>
      </c>
      <c r="B1481" t="s">
        <v>3103</v>
      </c>
      <c r="C1481" t="s">
        <v>60</v>
      </c>
      <c r="D1481" t="s">
        <v>61</v>
      </c>
      <c r="E1481" t="s">
        <v>61</v>
      </c>
      <c r="F1481" t="s">
        <v>49</v>
      </c>
      <c r="G1481" t="s">
        <v>3131</v>
      </c>
      <c r="H1481" t="s">
        <v>3132</v>
      </c>
      <c r="J1481" t="str">
        <f>HYPERLINK("https://www.facebook.com/634639855377280/posts/792425026265428?comment_id=1174547183527837","https://www.facebook.com/634639855377280/posts/792425026265428?comment_id=1174547183527837")</f>
        <v>https://www.facebook.com/634639855377280/posts/792425026265428?comment_id=1174547183527837</v>
      </c>
      <c r="O1481">
        <v>0</v>
      </c>
      <c r="P1481">
        <v>0</v>
      </c>
      <c r="Q1481">
        <v>0</v>
      </c>
      <c r="S1481">
        <v>0</v>
      </c>
      <c r="T1481">
        <v>0</v>
      </c>
      <c r="U1481">
        <v>0</v>
      </c>
      <c r="W1481" t="s">
        <v>52</v>
      </c>
    </row>
    <row r="1482" spans="1:23" x14ac:dyDescent="0.35">
      <c r="A1482" t="s">
        <v>45</v>
      </c>
      <c r="B1482" t="s">
        <v>3103</v>
      </c>
      <c r="C1482" t="s">
        <v>93</v>
      </c>
      <c r="D1482" t="s">
        <v>3133</v>
      </c>
      <c r="E1482" t="s">
        <v>3134</v>
      </c>
      <c r="F1482" t="s">
        <v>54</v>
      </c>
      <c r="G1482" t="s">
        <v>3135</v>
      </c>
      <c r="H1482" t="s">
        <v>3136</v>
      </c>
      <c r="J1482" t="str">
        <f>HYPERLINK("https://twitter.com/JournoTribhuwan/status/1760284644111716709","https://twitter.com/JournoTribhuwan/status/1760284644111716709")</f>
        <v>https://twitter.com/JournoTribhuwan/status/1760284644111716709</v>
      </c>
      <c r="O1482">
        <v>0</v>
      </c>
      <c r="P1482">
        <v>0</v>
      </c>
      <c r="Q1482">
        <v>224</v>
      </c>
      <c r="R1482" t="s">
        <v>3137</v>
      </c>
      <c r="S1482">
        <v>0</v>
      </c>
      <c r="T1482">
        <v>0</v>
      </c>
      <c r="U1482">
        <v>0</v>
      </c>
      <c r="W1482" t="s">
        <v>433</v>
      </c>
    </row>
    <row r="1483" spans="1:23" x14ac:dyDescent="0.35">
      <c r="A1483" t="s">
        <v>45</v>
      </c>
      <c r="B1483" t="s">
        <v>3103</v>
      </c>
      <c r="C1483" t="s">
        <v>60</v>
      </c>
      <c r="D1483" t="s">
        <v>64</v>
      </c>
      <c r="E1483" t="s">
        <v>64</v>
      </c>
      <c r="F1483" t="s">
        <v>49</v>
      </c>
      <c r="G1483" t="s">
        <v>3138</v>
      </c>
      <c r="H1483" t="s">
        <v>3139</v>
      </c>
      <c r="J1483" t="str">
        <f>HYPERLINK("https://www.facebook.com/634639855377280/posts/794682982706299?comment_id=1167268490922184&amp;reply_comment_id=1122043192551624","https://www.facebook.com/634639855377280/posts/794682982706299?comment_id=1167268490922184&amp;reply_comment_id=1122043192551624")</f>
        <v>https://www.facebook.com/634639855377280/posts/794682982706299?comment_id=1167268490922184&amp;reply_comment_id=1122043192551624</v>
      </c>
      <c r="K1483" t="s">
        <v>67</v>
      </c>
      <c r="O1483">
        <v>0</v>
      </c>
      <c r="P1483">
        <v>0</v>
      </c>
      <c r="Q1483">
        <v>0</v>
      </c>
      <c r="S1483">
        <v>0</v>
      </c>
      <c r="T1483">
        <v>0</v>
      </c>
      <c r="U1483">
        <v>0</v>
      </c>
      <c r="W1483" t="s">
        <v>52</v>
      </c>
    </row>
    <row r="1484" spans="1:23" x14ac:dyDescent="0.35">
      <c r="A1484" t="s">
        <v>45</v>
      </c>
      <c r="B1484" t="s">
        <v>3103</v>
      </c>
      <c r="C1484" t="s">
        <v>60</v>
      </c>
      <c r="D1484" t="s">
        <v>64</v>
      </c>
      <c r="E1484" t="s">
        <v>64</v>
      </c>
      <c r="F1484" t="s">
        <v>49</v>
      </c>
      <c r="G1484" t="s">
        <v>3140</v>
      </c>
      <c r="H1484" t="s">
        <v>3141</v>
      </c>
      <c r="J1484" t="str">
        <f>HYPERLINK("https://www.facebook.com/634639855377280/posts/794682982706299?comment_id=311999728521347&amp;reply_comment_id=629303825996365","https://www.facebook.com/634639855377280/posts/794682982706299?comment_id=311999728521347&amp;reply_comment_id=629303825996365")</f>
        <v>https://www.facebook.com/634639855377280/posts/794682982706299?comment_id=311999728521347&amp;reply_comment_id=629303825996365</v>
      </c>
      <c r="K1484" t="s">
        <v>67</v>
      </c>
      <c r="O1484">
        <v>0</v>
      </c>
      <c r="P1484">
        <v>0</v>
      </c>
      <c r="Q1484">
        <v>0</v>
      </c>
      <c r="S1484">
        <v>0</v>
      </c>
      <c r="T1484">
        <v>0</v>
      </c>
      <c r="U1484">
        <v>0</v>
      </c>
      <c r="W1484" t="s">
        <v>52</v>
      </c>
    </row>
    <row r="1485" spans="1:23" x14ac:dyDescent="0.35">
      <c r="A1485" t="s">
        <v>45</v>
      </c>
      <c r="B1485" t="s">
        <v>3103</v>
      </c>
      <c r="C1485" t="s">
        <v>60</v>
      </c>
      <c r="D1485" t="s">
        <v>64</v>
      </c>
      <c r="E1485" t="s">
        <v>64</v>
      </c>
      <c r="F1485" t="s">
        <v>49</v>
      </c>
      <c r="G1485" t="s">
        <v>83</v>
      </c>
      <c r="H1485" t="s">
        <v>3142</v>
      </c>
      <c r="J1485" t="str">
        <f>HYPERLINK("https://www.facebook.com/634639855377280/posts/794682982706299?comment_id=2635043469989408&amp;reply_comment_id=3747595478830648","https://www.facebook.com/634639855377280/posts/794682982706299?comment_id=2635043469989408&amp;reply_comment_id=3747595478830648")</f>
        <v>https://www.facebook.com/634639855377280/posts/794682982706299?comment_id=2635043469989408&amp;reply_comment_id=3747595478830648</v>
      </c>
      <c r="K1485" t="s">
        <v>67</v>
      </c>
      <c r="O1485">
        <v>0</v>
      </c>
      <c r="P1485">
        <v>0</v>
      </c>
      <c r="Q1485">
        <v>0</v>
      </c>
      <c r="S1485">
        <v>0</v>
      </c>
      <c r="T1485">
        <v>0</v>
      </c>
      <c r="U1485">
        <v>0</v>
      </c>
      <c r="W1485" t="s">
        <v>52</v>
      </c>
    </row>
    <row r="1486" spans="1:23" x14ac:dyDescent="0.35">
      <c r="A1486" t="s">
        <v>45</v>
      </c>
      <c r="B1486" t="s">
        <v>3103</v>
      </c>
      <c r="C1486" t="s">
        <v>60</v>
      </c>
      <c r="D1486" t="s">
        <v>64</v>
      </c>
      <c r="E1486" t="s">
        <v>64</v>
      </c>
      <c r="F1486" t="s">
        <v>49</v>
      </c>
      <c r="G1486" t="s">
        <v>162</v>
      </c>
      <c r="H1486" t="s">
        <v>3143</v>
      </c>
      <c r="J1486" t="str">
        <f>HYPERLINK("https://www.facebook.com/634639855377280/posts/794682982706299?comment_id=774112551257418&amp;reply_comment_id=1721312875058285","https://www.facebook.com/634639855377280/posts/794682982706299?comment_id=774112551257418&amp;reply_comment_id=1721312875058285")</f>
        <v>https://www.facebook.com/634639855377280/posts/794682982706299?comment_id=774112551257418&amp;reply_comment_id=1721312875058285</v>
      </c>
      <c r="K1486" t="s">
        <v>67</v>
      </c>
      <c r="O1486">
        <v>0</v>
      </c>
      <c r="P1486">
        <v>0</v>
      </c>
      <c r="Q1486">
        <v>0</v>
      </c>
      <c r="S1486">
        <v>0</v>
      </c>
      <c r="T1486">
        <v>0</v>
      </c>
      <c r="U1486">
        <v>0</v>
      </c>
      <c r="W1486" t="s">
        <v>52</v>
      </c>
    </row>
    <row r="1487" spans="1:23" x14ac:dyDescent="0.35">
      <c r="A1487" t="s">
        <v>45</v>
      </c>
      <c r="B1487" t="s">
        <v>3103</v>
      </c>
      <c r="C1487" t="s">
        <v>93</v>
      </c>
      <c r="D1487" t="s">
        <v>3144</v>
      </c>
      <c r="E1487" t="s">
        <v>3145</v>
      </c>
      <c r="F1487" t="s">
        <v>49</v>
      </c>
      <c r="G1487" t="s">
        <v>3146</v>
      </c>
      <c r="H1487" t="s">
        <v>3147</v>
      </c>
      <c r="J1487" t="str">
        <f>HYPERLINK("https://twitter.com/praveenkummar/status/1760280186279600489","https://twitter.com/praveenkummar/status/1760280186279600489")</f>
        <v>https://twitter.com/praveenkummar/status/1760280186279600489</v>
      </c>
      <c r="K1487" t="s">
        <v>67</v>
      </c>
      <c r="O1487">
        <v>0</v>
      </c>
      <c r="P1487">
        <v>0</v>
      </c>
      <c r="Q1487">
        <v>606</v>
      </c>
      <c r="R1487" t="s">
        <v>513</v>
      </c>
      <c r="S1487">
        <v>0</v>
      </c>
      <c r="T1487">
        <v>0</v>
      </c>
      <c r="U1487">
        <v>0</v>
      </c>
      <c r="W1487" t="s">
        <v>99</v>
      </c>
    </row>
    <row r="1488" spans="1:23" x14ac:dyDescent="0.35">
      <c r="A1488" t="s">
        <v>45</v>
      </c>
      <c r="B1488" t="s">
        <v>3103</v>
      </c>
      <c r="C1488" t="s">
        <v>60</v>
      </c>
      <c r="D1488" t="s">
        <v>64</v>
      </c>
      <c r="E1488" t="s">
        <v>64</v>
      </c>
      <c r="F1488" t="s">
        <v>49</v>
      </c>
      <c r="G1488" t="s">
        <v>162</v>
      </c>
      <c r="H1488" t="s">
        <v>3148</v>
      </c>
      <c r="J1488" t="str">
        <f>HYPERLINK("https://www.facebook.com/634639855377280/posts/794079139433350?comment_id=734780585419209&amp;reply_comment_id=7748196998565739","https://www.facebook.com/634639855377280/posts/794079139433350?comment_id=734780585419209&amp;reply_comment_id=7748196998565739")</f>
        <v>https://www.facebook.com/634639855377280/posts/794079139433350?comment_id=734780585419209&amp;reply_comment_id=7748196998565739</v>
      </c>
      <c r="K1488" t="s">
        <v>67</v>
      </c>
      <c r="O1488">
        <v>0</v>
      </c>
      <c r="P1488">
        <v>0</v>
      </c>
      <c r="Q1488">
        <v>0</v>
      </c>
      <c r="S1488">
        <v>0</v>
      </c>
      <c r="T1488">
        <v>0</v>
      </c>
      <c r="U1488">
        <v>0</v>
      </c>
      <c r="W1488" t="s">
        <v>52</v>
      </c>
    </row>
    <row r="1489" spans="1:23" x14ac:dyDescent="0.35">
      <c r="A1489" t="s">
        <v>45</v>
      </c>
      <c r="B1489" t="s">
        <v>3103</v>
      </c>
      <c r="C1489" t="s">
        <v>60</v>
      </c>
      <c r="D1489" t="s">
        <v>64</v>
      </c>
      <c r="E1489" t="s">
        <v>64</v>
      </c>
      <c r="F1489" t="s">
        <v>49</v>
      </c>
      <c r="G1489" t="s">
        <v>83</v>
      </c>
      <c r="H1489" t="s">
        <v>3149</v>
      </c>
      <c r="J1489" t="str">
        <f>HYPERLINK("https://www.facebook.com/634639855377280/posts/794682982706299?comment_id=262964090080858&amp;reply_comment_id=416314630851718","https://www.facebook.com/634639855377280/posts/794682982706299?comment_id=262964090080858&amp;reply_comment_id=416314630851718")</f>
        <v>https://www.facebook.com/634639855377280/posts/794682982706299?comment_id=262964090080858&amp;reply_comment_id=416314630851718</v>
      </c>
      <c r="K1489" t="s">
        <v>67</v>
      </c>
      <c r="O1489">
        <v>0</v>
      </c>
      <c r="P1489">
        <v>0</v>
      </c>
      <c r="Q1489">
        <v>0</v>
      </c>
      <c r="S1489">
        <v>0</v>
      </c>
      <c r="T1489">
        <v>0</v>
      </c>
      <c r="U1489">
        <v>0</v>
      </c>
      <c r="W1489" t="s">
        <v>52</v>
      </c>
    </row>
    <row r="1490" spans="1:23" x14ac:dyDescent="0.35">
      <c r="A1490" t="s">
        <v>45</v>
      </c>
      <c r="B1490" t="s">
        <v>3103</v>
      </c>
      <c r="C1490" t="s">
        <v>93</v>
      </c>
      <c r="D1490" t="s">
        <v>94</v>
      </c>
      <c r="E1490" t="s">
        <v>45</v>
      </c>
      <c r="F1490" t="s">
        <v>49</v>
      </c>
      <c r="G1490" t="s">
        <v>3150</v>
      </c>
      <c r="H1490" t="s">
        <v>3151</v>
      </c>
      <c r="J1490" t="str">
        <f>HYPERLINK("https://twitter.com/SpiceMoneyIndia/status/1760277338527260975","https://twitter.com/SpiceMoneyIndia/status/1760277338527260975")</f>
        <v>https://twitter.com/SpiceMoneyIndia/status/1760277338527260975</v>
      </c>
      <c r="K1490" t="s">
        <v>67</v>
      </c>
      <c r="O1490">
        <v>0</v>
      </c>
      <c r="P1490">
        <v>0</v>
      </c>
      <c r="Q1490">
        <v>6042</v>
      </c>
      <c r="R1490" t="s">
        <v>97</v>
      </c>
      <c r="S1490">
        <v>0</v>
      </c>
      <c r="T1490">
        <v>0</v>
      </c>
      <c r="U1490">
        <v>0</v>
      </c>
      <c r="V1490" t="s">
        <v>98</v>
      </c>
      <c r="W1490" t="s">
        <v>99</v>
      </c>
    </row>
    <row r="1491" spans="1:23" x14ac:dyDescent="0.35">
      <c r="A1491" t="s">
        <v>45</v>
      </c>
      <c r="B1491" t="s">
        <v>3103</v>
      </c>
      <c r="C1491" t="s">
        <v>47</v>
      </c>
      <c r="D1491" t="s">
        <v>68</v>
      </c>
      <c r="E1491" t="s">
        <v>68</v>
      </c>
      <c r="F1491" t="s">
        <v>49</v>
      </c>
      <c r="G1491" t="s">
        <v>102</v>
      </c>
      <c r="H1491" t="s">
        <v>3152</v>
      </c>
      <c r="J1491" t="str">
        <f>HYPERLINK("https://www.youtube.com/watch?v=PE3mRN7gvwo&amp;lc=UgydjyI4yRHZdidkb7h4AaABAg.A02-hBO-JbSA04V5IHZMac","https://www.youtube.com/watch?v=PE3mRN7gvwo&amp;lc=UgydjyI4yRHZdidkb7h4AaABAg.A02-hBO-JbSA04V5IHZMac")</f>
        <v>https://www.youtube.com/watch?v=PE3mRN7gvwo&amp;lc=UgydjyI4yRHZdidkb7h4AaABAg.A02-hBO-JbSA04V5IHZMac</v>
      </c>
      <c r="O1491">
        <v>0</v>
      </c>
      <c r="P1491">
        <v>0</v>
      </c>
      <c r="Q1491">
        <v>0</v>
      </c>
      <c r="S1491">
        <v>0</v>
      </c>
      <c r="T1491">
        <v>0</v>
      </c>
      <c r="U1491">
        <v>0</v>
      </c>
      <c r="W1491" t="s">
        <v>52</v>
      </c>
    </row>
    <row r="1492" spans="1:23" x14ac:dyDescent="0.35">
      <c r="A1492" t="s">
        <v>45</v>
      </c>
      <c r="B1492" t="s">
        <v>3103</v>
      </c>
      <c r="C1492" t="s">
        <v>47</v>
      </c>
      <c r="D1492" t="s">
        <v>68</v>
      </c>
      <c r="E1492" t="s">
        <v>68</v>
      </c>
      <c r="F1492" t="s">
        <v>49</v>
      </c>
      <c r="G1492" t="s">
        <v>102</v>
      </c>
      <c r="H1492" t="s">
        <v>3153</v>
      </c>
      <c r="J1492" t="str">
        <f>HYPERLINK("https://www.youtube.com/watch?v=5DADCSRiE3A&amp;lc=Ugzh089MLw--bz390Ah4AaABAg.A02-9V0cI-OA04Uq2SHjUd","https://www.youtube.com/watch?v=5DADCSRiE3A&amp;lc=Ugzh089MLw--bz390Ah4AaABAg.A02-9V0cI-OA04Uq2SHjUd")</f>
        <v>https://www.youtube.com/watch?v=5DADCSRiE3A&amp;lc=Ugzh089MLw--bz390Ah4AaABAg.A02-9V0cI-OA04Uq2SHjUd</v>
      </c>
      <c r="O1492">
        <v>0</v>
      </c>
      <c r="P1492">
        <v>0</v>
      </c>
      <c r="Q1492">
        <v>0</v>
      </c>
      <c r="S1492">
        <v>0</v>
      </c>
      <c r="T1492">
        <v>0</v>
      </c>
      <c r="U1492">
        <v>0</v>
      </c>
      <c r="W1492" t="s">
        <v>52</v>
      </c>
    </row>
    <row r="1493" spans="1:23" x14ac:dyDescent="0.35">
      <c r="A1493" t="s">
        <v>45</v>
      </c>
      <c r="B1493" t="s">
        <v>3103</v>
      </c>
      <c r="C1493" t="s">
        <v>47</v>
      </c>
      <c r="D1493" t="s">
        <v>68</v>
      </c>
      <c r="E1493" t="s">
        <v>68</v>
      </c>
      <c r="F1493" t="s">
        <v>49</v>
      </c>
      <c r="G1493" t="s">
        <v>253</v>
      </c>
      <c r="H1493" t="s">
        <v>3154</v>
      </c>
      <c r="J1493" t="str">
        <f>HYPERLINK("https://www.youtube.com/watch?v=lOJGQMCsaTg&amp;lc=UgzwCD9O5FEklmk1a2B4AaABAg.A01YUFE1j2pA04Swc_oPnV","https://www.youtube.com/watch?v=lOJGQMCsaTg&amp;lc=UgzwCD9O5FEklmk1a2B4AaABAg.A01YUFE1j2pA04Swc_oPnV")</f>
        <v>https://www.youtube.com/watch?v=lOJGQMCsaTg&amp;lc=UgzwCD9O5FEklmk1a2B4AaABAg.A01YUFE1j2pA04Swc_oPnV</v>
      </c>
      <c r="O1493">
        <v>0</v>
      </c>
      <c r="P1493">
        <v>0</v>
      </c>
      <c r="Q1493">
        <v>0</v>
      </c>
      <c r="S1493">
        <v>0</v>
      </c>
      <c r="T1493">
        <v>0</v>
      </c>
      <c r="U1493">
        <v>0</v>
      </c>
      <c r="W1493" t="s">
        <v>52</v>
      </c>
    </row>
    <row r="1494" spans="1:23" x14ac:dyDescent="0.35">
      <c r="A1494" t="s">
        <v>45</v>
      </c>
      <c r="B1494" t="s">
        <v>3103</v>
      </c>
      <c r="C1494" t="s">
        <v>47</v>
      </c>
      <c r="D1494" t="s">
        <v>68</v>
      </c>
      <c r="E1494" t="s">
        <v>68</v>
      </c>
      <c r="F1494" t="s">
        <v>49</v>
      </c>
      <c r="G1494" t="s">
        <v>102</v>
      </c>
      <c r="H1494" t="s">
        <v>3155</v>
      </c>
      <c r="J1494" t="str">
        <f>HYPERLINK("https://www.youtube.com/watch?v=V7dofHUJ7vo&amp;lc=Ugx3kDGQ5nMaoNV0srx4AaABAg.A03iAJb4nf9A04StFO6ff8","https://www.youtube.com/watch?v=V7dofHUJ7vo&amp;lc=Ugx3kDGQ5nMaoNV0srx4AaABAg.A03iAJb4nf9A04StFO6ff8")</f>
        <v>https://www.youtube.com/watch?v=V7dofHUJ7vo&amp;lc=Ugx3kDGQ5nMaoNV0srx4AaABAg.A03iAJb4nf9A04StFO6ff8</v>
      </c>
      <c r="O1494">
        <v>0</v>
      </c>
      <c r="P1494">
        <v>0</v>
      </c>
      <c r="Q1494">
        <v>0</v>
      </c>
      <c r="S1494">
        <v>0</v>
      </c>
      <c r="T1494">
        <v>0</v>
      </c>
      <c r="U1494">
        <v>0</v>
      </c>
      <c r="W1494" t="s">
        <v>52</v>
      </c>
    </row>
    <row r="1495" spans="1:23" x14ac:dyDescent="0.35">
      <c r="A1495" t="s">
        <v>45</v>
      </c>
      <c r="B1495" t="s">
        <v>3103</v>
      </c>
      <c r="C1495" t="s">
        <v>47</v>
      </c>
      <c r="D1495" t="s">
        <v>68</v>
      </c>
      <c r="E1495" t="s">
        <v>68</v>
      </c>
      <c r="F1495" t="s">
        <v>49</v>
      </c>
      <c r="G1495" t="s">
        <v>293</v>
      </c>
      <c r="H1495" t="s">
        <v>3156</v>
      </c>
      <c r="J1495" t="str">
        <f>HYPERLINK("https://www.youtube.com/watch?v=V7dofHUJ7vo&amp;lc=UgzOWkwJ2HNa1-_Vhlp4AaABAg.A03nN-kIXtGA04SpmXrP1G","https://www.youtube.com/watch?v=V7dofHUJ7vo&amp;lc=UgzOWkwJ2HNa1-_Vhlp4AaABAg.A03nN-kIXtGA04SpmXrP1G")</f>
        <v>https://www.youtube.com/watch?v=V7dofHUJ7vo&amp;lc=UgzOWkwJ2HNa1-_Vhlp4AaABAg.A03nN-kIXtGA04SpmXrP1G</v>
      </c>
      <c r="O1495">
        <v>0</v>
      </c>
      <c r="P1495">
        <v>0</v>
      </c>
      <c r="Q1495">
        <v>0</v>
      </c>
      <c r="S1495">
        <v>0</v>
      </c>
      <c r="T1495">
        <v>0</v>
      </c>
      <c r="U1495">
        <v>0</v>
      </c>
      <c r="W1495" t="s">
        <v>52</v>
      </c>
    </row>
    <row r="1496" spans="1:23" x14ac:dyDescent="0.35">
      <c r="A1496" t="s">
        <v>45</v>
      </c>
      <c r="B1496" t="s">
        <v>3103</v>
      </c>
      <c r="C1496" t="s">
        <v>47</v>
      </c>
      <c r="D1496" t="s">
        <v>68</v>
      </c>
      <c r="E1496" t="s">
        <v>68</v>
      </c>
      <c r="F1496" t="s">
        <v>49</v>
      </c>
      <c r="G1496" t="s">
        <v>102</v>
      </c>
      <c r="H1496" t="s">
        <v>3157</v>
      </c>
      <c r="J1496" t="str">
        <f>HYPERLINK("https://www.youtube.com/watch?v=V7dofHUJ7vo&amp;lc=UgyEMHIqfuEM1EbVRlt4AaABAg.A04BqOdQZpIA04SlWMRRwT","https://www.youtube.com/watch?v=V7dofHUJ7vo&amp;lc=UgyEMHIqfuEM1EbVRlt4AaABAg.A04BqOdQZpIA04SlWMRRwT")</f>
        <v>https://www.youtube.com/watch?v=V7dofHUJ7vo&amp;lc=UgyEMHIqfuEM1EbVRlt4AaABAg.A04BqOdQZpIA04SlWMRRwT</v>
      </c>
      <c r="O1496">
        <v>0</v>
      </c>
      <c r="P1496">
        <v>0</v>
      </c>
      <c r="Q1496">
        <v>0</v>
      </c>
      <c r="S1496">
        <v>0</v>
      </c>
      <c r="T1496">
        <v>0</v>
      </c>
      <c r="U1496">
        <v>0</v>
      </c>
      <c r="W1496" t="s">
        <v>52</v>
      </c>
    </row>
    <row r="1497" spans="1:23" x14ac:dyDescent="0.35">
      <c r="A1497" t="s">
        <v>45</v>
      </c>
      <c r="B1497" t="s">
        <v>3103</v>
      </c>
      <c r="C1497" t="s">
        <v>93</v>
      </c>
      <c r="D1497" t="s">
        <v>3158</v>
      </c>
      <c r="E1497" t="s">
        <v>3159</v>
      </c>
      <c r="F1497" t="s">
        <v>54</v>
      </c>
      <c r="G1497" t="s">
        <v>3135</v>
      </c>
      <c r="H1497" t="s">
        <v>3160</v>
      </c>
      <c r="J1497" t="str">
        <f>HYPERLINK("https://twitter.com/aaqibmlk/status/1760264634031018297","https://twitter.com/aaqibmlk/status/1760264634031018297")</f>
        <v>https://twitter.com/aaqibmlk/status/1760264634031018297</v>
      </c>
      <c r="K1497" t="s">
        <v>67</v>
      </c>
      <c r="O1497">
        <v>0</v>
      </c>
      <c r="P1497">
        <v>0</v>
      </c>
      <c r="Q1497">
        <v>27</v>
      </c>
      <c r="R1497" t="s">
        <v>3161</v>
      </c>
      <c r="S1497">
        <v>0</v>
      </c>
      <c r="T1497">
        <v>0</v>
      </c>
      <c r="U1497">
        <v>0</v>
      </c>
      <c r="W1497" t="s">
        <v>433</v>
      </c>
    </row>
    <row r="1498" spans="1:23" x14ac:dyDescent="0.35">
      <c r="A1498" t="s">
        <v>45</v>
      </c>
      <c r="B1498" t="s">
        <v>3103</v>
      </c>
      <c r="C1498" t="s">
        <v>47</v>
      </c>
      <c r="D1498" t="s">
        <v>351</v>
      </c>
      <c r="E1498" t="s">
        <v>351</v>
      </c>
      <c r="F1498" t="s">
        <v>49</v>
      </c>
      <c r="G1498" t="s">
        <v>3162</v>
      </c>
      <c r="H1498" t="s">
        <v>3163</v>
      </c>
      <c r="J1498" t="str">
        <f>HYPERLINK("https://www.youtube.com/watch?v=WrAL5FpRNIY&amp;lc=UgwcnPEG6FsVqE-hI4B4AaABAg.A-zxlWwAJK3A04NSnM-vKA","https://www.youtube.com/watch?v=WrAL5FpRNIY&amp;lc=UgwcnPEG6FsVqE-hI4B4AaABAg.A-zxlWwAJK3A04NSnM-vKA")</f>
        <v>https://www.youtube.com/watch?v=WrAL5FpRNIY&amp;lc=UgwcnPEG6FsVqE-hI4B4AaABAg.A-zxlWwAJK3A04NSnM-vKA</v>
      </c>
      <c r="O1498">
        <v>0</v>
      </c>
      <c r="P1498">
        <v>0</v>
      </c>
      <c r="Q1498">
        <v>0</v>
      </c>
      <c r="S1498">
        <v>0</v>
      </c>
      <c r="T1498">
        <v>0</v>
      </c>
      <c r="U1498">
        <v>0</v>
      </c>
      <c r="W1498" t="s">
        <v>52</v>
      </c>
    </row>
    <row r="1499" spans="1:23" x14ac:dyDescent="0.35">
      <c r="A1499" t="s">
        <v>45</v>
      </c>
      <c r="B1499" t="s">
        <v>3103</v>
      </c>
      <c r="C1499" t="s">
        <v>93</v>
      </c>
      <c r="D1499" t="s">
        <v>1332</v>
      </c>
      <c r="E1499" t="s">
        <v>1333</v>
      </c>
      <c r="F1499" t="s">
        <v>54</v>
      </c>
      <c r="G1499" t="s">
        <v>3135</v>
      </c>
      <c r="H1499" t="s">
        <v>3164</v>
      </c>
      <c r="J1499" t="str">
        <f>HYPERLINK("https://twitter.com/IamDilipModi/status/1760259116810039537","https://twitter.com/IamDilipModi/status/1760259116810039537")</f>
        <v>https://twitter.com/IamDilipModi/status/1760259116810039537</v>
      </c>
      <c r="K1499" t="s">
        <v>67</v>
      </c>
      <c r="O1499">
        <v>0</v>
      </c>
      <c r="P1499">
        <v>0</v>
      </c>
      <c r="Q1499">
        <v>1879</v>
      </c>
      <c r="S1499">
        <v>0</v>
      </c>
      <c r="T1499">
        <v>0</v>
      </c>
      <c r="U1499">
        <v>0</v>
      </c>
      <c r="V1499" t="s">
        <v>98</v>
      </c>
      <c r="W1499" t="s">
        <v>99</v>
      </c>
    </row>
    <row r="1500" spans="1:23" x14ac:dyDescent="0.35">
      <c r="A1500" t="s">
        <v>45</v>
      </c>
      <c r="B1500" t="s">
        <v>3103</v>
      </c>
      <c r="C1500" t="s">
        <v>47</v>
      </c>
      <c r="D1500" t="s">
        <v>68</v>
      </c>
      <c r="E1500" t="s">
        <v>68</v>
      </c>
      <c r="F1500" t="s">
        <v>49</v>
      </c>
      <c r="G1500" t="s">
        <v>102</v>
      </c>
      <c r="H1500" t="s">
        <v>3165</v>
      </c>
      <c r="J1500" t="str">
        <f>HYPERLINK("https://www.youtube.com/watch?v=V7dofHUJ7vo&amp;lc=UgwQ0IIftfYw0s86pCF4AaABAg.A03lbJRRBUaA04CBMbz4vy","https://www.youtube.com/watch?v=V7dofHUJ7vo&amp;lc=UgwQ0IIftfYw0s86pCF4AaABAg.A03lbJRRBUaA04CBMbz4vy")</f>
        <v>https://www.youtube.com/watch?v=V7dofHUJ7vo&amp;lc=UgwQ0IIftfYw0s86pCF4AaABAg.A03lbJRRBUaA04CBMbz4vy</v>
      </c>
      <c r="O1500">
        <v>0</v>
      </c>
      <c r="P1500">
        <v>0</v>
      </c>
      <c r="Q1500">
        <v>0</v>
      </c>
      <c r="S1500">
        <v>0</v>
      </c>
      <c r="T1500">
        <v>0</v>
      </c>
      <c r="U1500">
        <v>0</v>
      </c>
      <c r="W1500" t="s">
        <v>52</v>
      </c>
    </row>
    <row r="1501" spans="1:23" x14ac:dyDescent="0.35">
      <c r="A1501" t="s">
        <v>45</v>
      </c>
      <c r="B1501" t="s">
        <v>3103</v>
      </c>
      <c r="C1501" t="s">
        <v>47</v>
      </c>
      <c r="D1501" t="s">
        <v>1053</v>
      </c>
      <c r="E1501" t="s">
        <v>1053</v>
      </c>
      <c r="F1501" t="s">
        <v>49</v>
      </c>
      <c r="G1501" t="s">
        <v>3166</v>
      </c>
      <c r="H1501" t="s">
        <v>3167</v>
      </c>
      <c r="J1501" t="str">
        <f>HYPERLINK("https://www.youtube.com/watch?v=V7dofHUJ7vo&amp;lc=UgyEMHIqfuEM1EbVRlt4AaABAg","https://www.youtube.com/watch?v=V7dofHUJ7vo&amp;lc=UgyEMHIqfuEM1EbVRlt4AaABAg")</f>
        <v>https://www.youtube.com/watch?v=V7dofHUJ7vo&amp;lc=UgyEMHIqfuEM1EbVRlt4AaABAg</v>
      </c>
      <c r="O1501">
        <v>0</v>
      </c>
      <c r="P1501">
        <v>0</v>
      </c>
      <c r="Q1501">
        <v>0</v>
      </c>
      <c r="S1501">
        <v>0</v>
      </c>
      <c r="T1501">
        <v>0</v>
      </c>
      <c r="U1501">
        <v>0</v>
      </c>
      <c r="W1501" t="s">
        <v>52</v>
      </c>
    </row>
    <row r="1502" spans="1:23" x14ac:dyDescent="0.35">
      <c r="A1502" t="s">
        <v>45</v>
      </c>
      <c r="B1502" t="s">
        <v>3103</v>
      </c>
      <c r="C1502" t="s">
        <v>47</v>
      </c>
      <c r="D1502" t="s">
        <v>3168</v>
      </c>
      <c r="E1502" t="s">
        <v>3168</v>
      </c>
      <c r="F1502" t="s">
        <v>54</v>
      </c>
      <c r="G1502" t="s">
        <v>3169</v>
      </c>
      <c r="H1502" t="s">
        <v>3170</v>
      </c>
      <c r="J1502" t="str">
        <f>HYPERLINK("https://www.youtube.com/watch?v=V7dofHUJ7vo&amp;lc=Ugz8AmAtb3HmY9CdFSx4AaABAg","https://www.youtube.com/watch?v=V7dofHUJ7vo&amp;lc=Ugz8AmAtb3HmY9CdFSx4AaABAg")</f>
        <v>https://www.youtube.com/watch?v=V7dofHUJ7vo&amp;lc=Ugz8AmAtb3HmY9CdFSx4AaABAg</v>
      </c>
      <c r="O1502">
        <v>0</v>
      </c>
      <c r="P1502">
        <v>0</v>
      </c>
      <c r="Q1502">
        <v>0</v>
      </c>
      <c r="S1502">
        <v>0</v>
      </c>
      <c r="T1502">
        <v>0</v>
      </c>
      <c r="U1502">
        <v>0</v>
      </c>
      <c r="W1502" t="s">
        <v>52</v>
      </c>
    </row>
    <row r="1503" spans="1:23" x14ac:dyDescent="0.35">
      <c r="A1503" t="s">
        <v>45</v>
      </c>
      <c r="B1503" t="s">
        <v>3103</v>
      </c>
      <c r="C1503" t="s">
        <v>60</v>
      </c>
      <c r="D1503" t="s">
        <v>61</v>
      </c>
      <c r="E1503" t="s">
        <v>61</v>
      </c>
      <c r="F1503" t="s">
        <v>49</v>
      </c>
      <c r="G1503" t="s">
        <v>3171</v>
      </c>
      <c r="H1503" t="s">
        <v>3172</v>
      </c>
      <c r="J1503" t="str">
        <f>HYPERLINK("https://www.facebook.com/634639855377280/posts/795184109322853?comment_id=277204498727979","https://www.facebook.com/634639855377280/posts/795184109322853?comment_id=277204498727979")</f>
        <v>https://www.facebook.com/634639855377280/posts/795184109322853?comment_id=277204498727979</v>
      </c>
      <c r="O1503">
        <v>0</v>
      </c>
      <c r="P1503">
        <v>0</v>
      </c>
      <c r="Q1503">
        <v>0</v>
      </c>
      <c r="S1503">
        <v>0</v>
      </c>
      <c r="T1503">
        <v>0</v>
      </c>
      <c r="U1503">
        <v>0</v>
      </c>
      <c r="W1503" t="s">
        <v>52</v>
      </c>
    </row>
    <row r="1504" spans="1:23" x14ac:dyDescent="0.35">
      <c r="A1504" t="s">
        <v>45</v>
      </c>
      <c r="B1504" t="s">
        <v>3103</v>
      </c>
      <c r="C1504" t="s">
        <v>93</v>
      </c>
      <c r="D1504" t="s">
        <v>3173</v>
      </c>
      <c r="E1504" t="s">
        <v>3174</v>
      </c>
      <c r="F1504" t="s">
        <v>54</v>
      </c>
      <c r="G1504" t="s">
        <v>3175</v>
      </c>
      <c r="H1504" t="s">
        <v>3176</v>
      </c>
      <c r="J1504" t="str">
        <f>HYPERLINK("https://twitter.com/Kuldippawar/status/1760180735158133015","https://twitter.com/Kuldippawar/status/1760180735158133015")</f>
        <v>https://twitter.com/Kuldippawar/status/1760180735158133015</v>
      </c>
      <c r="K1504" t="s">
        <v>67</v>
      </c>
      <c r="O1504">
        <v>0</v>
      </c>
      <c r="P1504">
        <v>0</v>
      </c>
      <c r="Q1504">
        <v>2040</v>
      </c>
      <c r="R1504" t="s">
        <v>756</v>
      </c>
      <c r="S1504">
        <v>0</v>
      </c>
      <c r="T1504">
        <v>0</v>
      </c>
      <c r="U1504">
        <v>0</v>
      </c>
      <c r="V1504" t="s">
        <v>98</v>
      </c>
      <c r="W1504" t="s">
        <v>433</v>
      </c>
    </row>
    <row r="1505" spans="1:23" x14ac:dyDescent="0.35">
      <c r="A1505" t="s">
        <v>45</v>
      </c>
      <c r="B1505" t="s">
        <v>3103</v>
      </c>
      <c r="C1505" t="s">
        <v>47</v>
      </c>
      <c r="D1505" t="s">
        <v>843</v>
      </c>
      <c r="E1505" t="s">
        <v>843</v>
      </c>
      <c r="F1505" t="s">
        <v>193</v>
      </c>
      <c r="G1505" t="s">
        <v>3177</v>
      </c>
      <c r="H1505" t="s">
        <v>3178</v>
      </c>
      <c r="J1505" t="str">
        <f>HYPERLINK("https://www.youtube.com/watch?v=V7dofHUJ7vo&amp;lc=UgzOWkwJ2HNa1-_Vhlp4AaABAg","https://www.youtube.com/watch?v=V7dofHUJ7vo&amp;lc=UgzOWkwJ2HNa1-_Vhlp4AaABAg")</f>
        <v>https://www.youtube.com/watch?v=V7dofHUJ7vo&amp;lc=UgzOWkwJ2HNa1-_Vhlp4AaABAg</v>
      </c>
      <c r="O1505">
        <v>0</v>
      </c>
      <c r="P1505">
        <v>0</v>
      </c>
      <c r="Q1505">
        <v>0</v>
      </c>
      <c r="S1505">
        <v>0</v>
      </c>
      <c r="T1505">
        <v>0</v>
      </c>
      <c r="U1505">
        <v>0</v>
      </c>
      <c r="W1505" t="s">
        <v>52</v>
      </c>
    </row>
    <row r="1506" spans="1:23" x14ac:dyDescent="0.35">
      <c r="A1506" t="s">
        <v>45</v>
      </c>
      <c r="B1506" t="s">
        <v>3103</v>
      </c>
      <c r="C1506" t="s">
        <v>47</v>
      </c>
      <c r="D1506" t="s">
        <v>846</v>
      </c>
      <c r="E1506" t="s">
        <v>846</v>
      </c>
      <c r="F1506" t="s">
        <v>49</v>
      </c>
      <c r="G1506" t="s">
        <v>3179</v>
      </c>
      <c r="H1506" t="s">
        <v>3180</v>
      </c>
      <c r="J1506" t="str">
        <f>HYPERLINK("https://www.youtube.com/watch?v=V7dofHUJ7vo&amp;lc=UgwQ0IIftfYw0s86pCF4AaABAg","https://www.youtube.com/watch?v=V7dofHUJ7vo&amp;lc=UgwQ0IIftfYw0s86pCF4AaABAg")</f>
        <v>https://www.youtube.com/watch?v=V7dofHUJ7vo&amp;lc=UgwQ0IIftfYw0s86pCF4AaABAg</v>
      </c>
      <c r="O1506">
        <v>0</v>
      </c>
      <c r="P1506">
        <v>0</v>
      </c>
      <c r="Q1506">
        <v>0</v>
      </c>
      <c r="S1506">
        <v>0</v>
      </c>
      <c r="T1506">
        <v>0</v>
      </c>
      <c r="U1506">
        <v>0</v>
      </c>
      <c r="W1506" t="s">
        <v>52</v>
      </c>
    </row>
    <row r="1507" spans="1:23" x14ac:dyDescent="0.35">
      <c r="A1507" t="s">
        <v>45</v>
      </c>
      <c r="B1507" t="s">
        <v>3103</v>
      </c>
      <c r="C1507" t="s">
        <v>93</v>
      </c>
      <c r="D1507" t="s">
        <v>94</v>
      </c>
      <c r="E1507" t="s">
        <v>45</v>
      </c>
      <c r="F1507" t="s">
        <v>49</v>
      </c>
      <c r="G1507" t="s">
        <v>3181</v>
      </c>
      <c r="H1507" t="s">
        <v>3182</v>
      </c>
      <c r="J1507" t="str">
        <f>HYPERLINK("https://twitter.com/SpiceMoneyIndia/status/1760167465315869115","https://twitter.com/SpiceMoneyIndia/status/1760167465315869115")</f>
        <v>https://twitter.com/SpiceMoneyIndia/status/1760167465315869115</v>
      </c>
      <c r="K1507" t="s">
        <v>67</v>
      </c>
      <c r="O1507">
        <v>0</v>
      </c>
      <c r="P1507">
        <v>0</v>
      </c>
      <c r="Q1507">
        <v>6040</v>
      </c>
      <c r="R1507" t="s">
        <v>97</v>
      </c>
      <c r="S1507">
        <v>0</v>
      </c>
      <c r="T1507">
        <v>0</v>
      </c>
      <c r="U1507">
        <v>0</v>
      </c>
      <c r="V1507" t="s">
        <v>98</v>
      </c>
      <c r="W1507" t="s">
        <v>99</v>
      </c>
    </row>
    <row r="1508" spans="1:23" x14ac:dyDescent="0.35">
      <c r="A1508" t="s">
        <v>45</v>
      </c>
      <c r="B1508" t="s">
        <v>3103</v>
      </c>
      <c r="C1508" t="s">
        <v>47</v>
      </c>
      <c r="D1508" t="s">
        <v>3183</v>
      </c>
      <c r="E1508" t="s">
        <v>3183</v>
      </c>
      <c r="F1508" t="s">
        <v>49</v>
      </c>
      <c r="G1508" t="s">
        <v>3184</v>
      </c>
      <c r="H1508" t="s">
        <v>3185</v>
      </c>
      <c r="J1508" t="str">
        <f>HYPERLINK("https://www.youtube.com/watch?v=V7dofHUJ7vo&amp;lc=Ugx3kDGQ5nMaoNV0srx4AaABAg","https://www.youtube.com/watch?v=V7dofHUJ7vo&amp;lc=Ugx3kDGQ5nMaoNV0srx4AaABAg")</f>
        <v>https://www.youtube.com/watch?v=V7dofHUJ7vo&amp;lc=Ugx3kDGQ5nMaoNV0srx4AaABAg</v>
      </c>
      <c r="O1508">
        <v>0</v>
      </c>
      <c r="P1508">
        <v>0</v>
      </c>
      <c r="Q1508">
        <v>0</v>
      </c>
      <c r="S1508">
        <v>0</v>
      </c>
      <c r="T1508">
        <v>0</v>
      </c>
      <c r="U1508">
        <v>0</v>
      </c>
      <c r="W1508" t="s">
        <v>52</v>
      </c>
    </row>
    <row r="1509" spans="1:23" x14ac:dyDescent="0.35">
      <c r="A1509" t="s">
        <v>45</v>
      </c>
      <c r="B1509" t="s">
        <v>3103</v>
      </c>
      <c r="C1509" t="s">
        <v>60</v>
      </c>
      <c r="D1509" t="s">
        <v>64</v>
      </c>
      <c r="E1509" t="s">
        <v>64</v>
      </c>
      <c r="F1509" t="s">
        <v>49</v>
      </c>
      <c r="G1509" t="s">
        <v>3186</v>
      </c>
      <c r="H1509" t="s">
        <v>3187</v>
      </c>
      <c r="J1509" t="str">
        <f>HYPERLINK("https://www.facebook.com/634639855377280/posts/795184109322853","https://www.facebook.com/634639855377280/posts/795184109322853")</f>
        <v>https://www.facebook.com/634639855377280/posts/795184109322853</v>
      </c>
      <c r="O1509">
        <v>0</v>
      </c>
      <c r="P1509">
        <v>0</v>
      </c>
      <c r="Q1509">
        <v>0</v>
      </c>
      <c r="S1509">
        <v>5</v>
      </c>
      <c r="T1509">
        <v>30</v>
      </c>
      <c r="U1509">
        <v>2</v>
      </c>
      <c r="W1509" t="s">
        <v>346</v>
      </c>
    </row>
    <row r="1510" spans="1:23" x14ac:dyDescent="0.35">
      <c r="A1510" t="s">
        <v>45</v>
      </c>
      <c r="B1510" t="s">
        <v>3103</v>
      </c>
      <c r="C1510" t="s">
        <v>47</v>
      </c>
      <c r="D1510" t="s">
        <v>45</v>
      </c>
      <c r="E1510" t="s">
        <v>45</v>
      </c>
      <c r="F1510" t="s">
        <v>49</v>
      </c>
      <c r="G1510" t="s">
        <v>3188</v>
      </c>
      <c r="H1510" t="s">
        <v>3189</v>
      </c>
      <c r="J1510" t="str">
        <f>HYPERLINK("https://www.youtube.com/watch?v=V7dofHUJ7vo","https://www.youtube.com/watch?v=V7dofHUJ7vo")</f>
        <v>https://www.youtube.com/watch?v=V7dofHUJ7vo</v>
      </c>
      <c r="O1510">
        <v>0</v>
      </c>
      <c r="P1510">
        <v>0</v>
      </c>
      <c r="Q1510">
        <v>0</v>
      </c>
      <c r="S1510">
        <v>0</v>
      </c>
      <c r="T1510">
        <v>0</v>
      </c>
      <c r="U1510">
        <v>0</v>
      </c>
      <c r="W1510" t="s">
        <v>346</v>
      </c>
    </row>
    <row r="1511" spans="1:23" x14ac:dyDescent="0.35">
      <c r="A1511" t="s">
        <v>45</v>
      </c>
      <c r="B1511" t="s">
        <v>3103</v>
      </c>
      <c r="C1511" t="s">
        <v>47</v>
      </c>
      <c r="D1511" t="s">
        <v>3190</v>
      </c>
      <c r="E1511" t="s">
        <v>3190</v>
      </c>
      <c r="F1511" t="s">
        <v>49</v>
      </c>
      <c r="G1511" t="s">
        <v>3191</v>
      </c>
      <c r="H1511" t="s">
        <v>3192</v>
      </c>
      <c r="J1511" t="str">
        <f>HYPERLINK("https://www.youtube.com/watch?v=lOJGQMCsaTg&amp;lc=UgzwCD9O5FEklmk1a2B4AaABAg.A01YUFE1j2pA03ZsZfvJnM","https://www.youtube.com/watch?v=lOJGQMCsaTg&amp;lc=UgzwCD9O5FEklmk1a2B4AaABAg.A01YUFE1j2pA03ZsZfvJnM")</f>
        <v>https://www.youtube.com/watch?v=lOJGQMCsaTg&amp;lc=UgzwCD9O5FEklmk1a2B4AaABAg.A01YUFE1j2pA03ZsZfvJnM</v>
      </c>
      <c r="O1511">
        <v>0</v>
      </c>
      <c r="P1511">
        <v>0</v>
      </c>
      <c r="Q1511">
        <v>0</v>
      </c>
      <c r="S1511">
        <v>0</v>
      </c>
      <c r="T1511">
        <v>0</v>
      </c>
      <c r="U1511">
        <v>0</v>
      </c>
      <c r="W1511" t="s">
        <v>52</v>
      </c>
    </row>
    <row r="1512" spans="1:23" x14ac:dyDescent="0.35">
      <c r="A1512" t="s">
        <v>45</v>
      </c>
      <c r="B1512" t="s">
        <v>3103</v>
      </c>
      <c r="C1512" t="s">
        <v>93</v>
      </c>
      <c r="D1512" t="s">
        <v>3193</v>
      </c>
      <c r="E1512" t="s">
        <v>3194</v>
      </c>
      <c r="F1512" t="s">
        <v>193</v>
      </c>
      <c r="G1512" t="s">
        <v>3195</v>
      </c>
      <c r="H1512" t="s">
        <v>3196</v>
      </c>
      <c r="J1512" t="str">
        <f>HYPERLINK("https://twitter.com/sneh800031671/status/1760139350988480585","https://twitter.com/sneh800031671/status/1760139350988480585")</f>
        <v>https://twitter.com/sneh800031671/status/1760139350988480585</v>
      </c>
      <c r="K1512" t="s">
        <v>67</v>
      </c>
      <c r="O1512">
        <v>0</v>
      </c>
      <c r="P1512">
        <v>0</v>
      </c>
      <c r="Q1512">
        <v>1</v>
      </c>
      <c r="S1512">
        <v>0</v>
      </c>
      <c r="T1512">
        <v>0</v>
      </c>
      <c r="U1512">
        <v>0</v>
      </c>
      <c r="W1512" t="s">
        <v>99</v>
      </c>
    </row>
    <row r="1513" spans="1:23" x14ac:dyDescent="0.35">
      <c r="A1513" t="s">
        <v>45</v>
      </c>
      <c r="B1513" t="s">
        <v>3103</v>
      </c>
      <c r="C1513" t="s">
        <v>60</v>
      </c>
      <c r="D1513" t="s">
        <v>61</v>
      </c>
      <c r="E1513" t="s">
        <v>61</v>
      </c>
      <c r="F1513" t="s">
        <v>49</v>
      </c>
      <c r="G1513" t="s">
        <v>3197</v>
      </c>
      <c r="H1513" t="s">
        <v>3198</v>
      </c>
      <c r="J1513" t="str">
        <f>HYPERLINK("https://www.facebook.com/634639855377280/posts/794682982706299?comment_id=262964090080858","https://www.facebook.com/634639855377280/posts/794682982706299?comment_id=262964090080858")</f>
        <v>https://www.facebook.com/634639855377280/posts/794682982706299?comment_id=262964090080858</v>
      </c>
      <c r="O1513">
        <v>0</v>
      </c>
      <c r="P1513">
        <v>0</v>
      </c>
      <c r="Q1513">
        <v>0</v>
      </c>
      <c r="S1513">
        <v>0</v>
      </c>
      <c r="T1513">
        <v>0</v>
      </c>
      <c r="U1513">
        <v>0</v>
      </c>
      <c r="W1513" t="s">
        <v>52</v>
      </c>
    </row>
    <row r="1514" spans="1:23" x14ac:dyDescent="0.35">
      <c r="A1514" t="s">
        <v>45</v>
      </c>
      <c r="B1514" t="s">
        <v>3103</v>
      </c>
      <c r="C1514" t="s">
        <v>60</v>
      </c>
      <c r="D1514" t="s">
        <v>61</v>
      </c>
      <c r="E1514" t="s">
        <v>61</v>
      </c>
      <c r="F1514" t="s">
        <v>54</v>
      </c>
      <c r="G1514" t="s">
        <v>3199</v>
      </c>
      <c r="H1514" t="s">
        <v>3200</v>
      </c>
      <c r="J1514" t="str">
        <f>HYPERLINK("https://www.facebook.com/634639855377280/posts/794079139433350?comment_id=734780585419209","https://www.facebook.com/634639855377280/posts/794079139433350?comment_id=734780585419209")</f>
        <v>https://www.facebook.com/634639855377280/posts/794079139433350?comment_id=734780585419209</v>
      </c>
      <c r="O1514">
        <v>0</v>
      </c>
      <c r="P1514">
        <v>0</v>
      </c>
      <c r="Q1514">
        <v>0</v>
      </c>
      <c r="S1514">
        <v>0</v>
      </c>
      <c r="T1514">
        <v>0</v>
      </c>
      <c r="U1514">
        <v>0</v>
      </c>
      <c r="W1514" t="s">
        <v>52</v>
      </c>
    </row>
    <row r="1515" spans="1:23" x14ac:dyDescent="0.35">
      <c r="A1515" t="s">
        <v>45</v>
      </c>
      <c r="B1515" t="s">
        <v>3201</v>
      </c>
      <c r="C1515" t="s">
        <v>60</v>
      </c>
      <c r="D1515" t="s">
        <v>61</v>
      </c>
      <c r="E1515" t="s">
        <v>61</v>
      </c>
      <c r="F1515" t="s">
        <v>54</v>
      </c>
      <c r="G1515" t="s">
        <v>3202</v>
      </c>
      <c r="H1515" t="s">
        <v>3203</v>
      </c>
      <c r="J1515" t="str">
        <f>HYPERLINK("https://www.facebook.com/634639855377280/posts/794682982706299?comment_id=774112551257418","https://www.facebook.com/634639855377280/posts/794682982706299?comment_id=774112551257418")</f>
        <v>https://www.facebook.com/634639855377280/posts/794682982706299?comment_id=774112551257418</v>
      </c>
      <c r="O1515">
        <v>0</v>
      </c>
      <c r="P1515">
        <v>0</v>
      </c>
      <c r="Q1515">
        <v>0</v>
      </c>
      <c r="S1515">
        <v>0</v>
      </c>
      <c r="T1515">
        <v>0</v>
      </c>
      <c r="U1515">
        <v>0</v>
      </c>
      <c r="W1515" t="s">
        <v>52</v>
      </c>
    </row>
    <row r="1516" spans="1:23" x14ac:dyDescent="0.35">
      <c r="A1516" t="s">
        <v>45</v>
      </c>
      <c r="B1516" t="s">
        <v>3201</v>
      </c>
      <c r="C1516" t="s">
        <v>60</v>
      </c>
      <c r="D1516" t="s">
        <v>61</v>
      </c>
      <c r="E1516" t="s">
        <v>61</v>
      </c>
      <c r="F1516" t="s">
        <v>49</v>
      </c>
      <c r="G1516" t="s">
        <v>3204</v>
      </c>
      <c r="H1516" t="s">
        <v>3205</v>
      </c>
      <c r="J1516" t="str">
        <f>HYPERLINK("https://www.facebook.com/634639855377280/posts/794682982706299?comment_id=2635043469989408","https://www.facebook.com/634639855377280/posts/794682982706299?comment_id=2635043469989408")</f>
        <v>https://www.facebook.com/634639855377280/posts/794682982706299?comment_id=2635043469989408</v>
      </c>
      <c r="O1516">
        <v>0</v>
      </c>
      <c r="P1516">
        <v>0</v>
      </c>
      <c r="Q1516">
        <v>0</v>
      </c>
      <c r="S1516">
        <v>0</v>
      </c>
      <c r="T1516">
        <v>0</v>
      </c>
      <c r="U1516">
        <v>0</v>
      </c>
      <c r="W1516" t="s">
        <v>52</v>
      </c>
    </row>
    <row r="1517" spans="1:23" x14ac:dyDescent="0.35">
      <c r="A1517" t="s">
        <v>45</v>
      </c>
      <c r="B1517" t="s">
        <v>3201</v>
      </c>
      <c r="C1517" t="s">
        <v>47</v>
      </c>
      <c r="D1517" t="s">
        <v>45</v>
      </c>
      <c r="E1517" t="s">
        <v>45</v>
      </c>
      <c r="F1517" t="s">
        <v>49</v>
      </c>
      <c r="G1517" t="s">
        <v>3188</v>
      </c>
      <c r="H1517" t="s">
        <v>3206</v>
      </c>
      <c r="J1517" t="str">
        <f>HYPERLINK("https://www.youtube.com/watch?v=V7dofHUJ7vo","https://www.youtube.com/watch?v=V7dofHUJ7vo")</f>
        <v>https://www.youtube.com/watch?v=V7dofHUJ7vo</v>
      </c>
      <c r="O1517">
        <v>0</v>
      </c>
      <c r="P1517">
        <v>0</v>
      </c>
      <c r="Q1517">
        <v>0</v>
      </c>
      <c r="S1517">
        <v>0</v>
      </c>
      <c r="T1517">
        <v>0</v>
      </c>
      <c r="U1517">
        <v>0</v>
      </c>
      <c r="W1517" t="s">
        <v>346</v>
      </c>
    </row>
    <row r="1518" spans="1:23" x14ac:dyDescent="0.35">
      <c r="A1518" t="s">
        <v>45</v>
      </c>
      <c r="B1518" t="s">
        <v>3201</v>
      </c>
      <c r="C1518" t="s">
        <v>60</v>
      </c>
      <c r="D1518" t="s">
        <v>61</v>
      </c>
      <c r="E1518" t="s">
        <v>61</v>
      </c>
      <c r="F1518" t="s">
        <v>193</v>
      </c>
      <c r="G1518" t="s">
        <v>3207</v>
      </c>
      <c r="H1518" t="s">
        <v>3208</v>
      </c>
      <c r="J1518" t="str">
        <f>HYPERLINK("https://www.facebook.com/634639855377280/posts/794682982706299?comment_id=311999728521347","https://www.facebook.com/634639855377280/posts/794682982706299?comment_id=311999728521347")</f>
        <v>https://www.facebook.com/634639855377280/posts/794682982706299?comment_id=311999728521347</v>
      </c>
      <c r="O1518">
        <v>0</v>
      </c>
      <c r="P1518">
        <v>0</v>
      </c>
      <c r="Q1518">
        <v>0</v>
      </c>
      <c r="S1518">
        <v>0</v>
      </c>
      <c r="T1518">
        <v>0</v>
      </c>
      <c r="U1518">
        <v>0</v>
      </c>
      <c r="W1518" t="s">
        <v>52</v>
      </c>
    </row>
    <row r="1519" spans="1:23" x14ac:dyDescent="0.35">
      <c r="A1519" t="s">
        <v>45</v>
      </c>
      <c r="B1519" t="s">
        <v>3201</v>
      </c>
      <c r="C1519" t="s">
        <v>47</v>
      </c>
      <c r="D1519" t="s">
        <v>3209</v>
      </c>
      <c r="E1519" t="s">
        <v>3209</v>
      </c>
      <c r="F1519" t="s">
        <v>54</v>
      </c>
      <c r="G1519" t="s">
        <v>3210</v>
      </c>
      <c r="H1519" t="s">
        <v>3211</v>
      </c>
      <c r="J1519" t="str">
        <f>HYPERLINK("https://www.youtube.com/watch?v=PE3mRN7gvwo&amp;lc=UgydjyI4yRHZdidkb7h4AaABAg","https://www.youtube.com/watch?v=PE3mRN7gvwo&amp;lc=UgydjyI4yRHZdidkb7h4AaABAg")</f>
        <v>https://www.youtube.com/watch?v=PE3mRN7gvwo&amp;lc=UgydjyI4yRHZdidkb7h4AaABAg</v>
      </c>
      <c r="O1519">
        <v>0</v>
      </c>
      <c r="P1519">
        <v>0</v>
      </c>
      <c r="Q1519">
        <v>0</v>
      </c>
      <c r="S1519">
        <v>0</v>
      </c>
      <c r="T1519">
        <v>0</v>
      </c>
      <c r="U1519">
        <v>0</v>
      </c>
      <c r="W1519" t="s">
        <v>52</v>
      </c>
    </row>
    <row r="1520" spans="1:23" x14ac:dyDescent="0.35">
      <c r="A1520" t="s">
        <v>45</v>
      </c>
      <c r="B1520" t="s">
        <v>3201</v>
      </c>
      <c r="C1520" t="s">
        <v>47</v>
      </c>
      <c r="D1520" t="s">
        <v>3212</v>
      </c>
      <c r="E1520" t="s">
        <v>3212</v>
      </c>
      <c r="F1520" t="s">
        <v>49</v>
      </c>
      <c r="G1520" t="s">
        <v>3213</v>
      </c>
      <c r="H1520" t="s">
        <v>3214</v>
      </c>
      <c r="J1520" t="str">
        <f>HYPERLINK("https://www.youtube.com/watch?v=5DADCSRiE3A&amp;lc=Ugzh089MLw--bz390Ah4AaABAg","https://www.youtube.com/watch?v=5DADCSRiE3A&amp;lc=Ugzh089MLw--bz390Ah4AaABAg")</f>
        <v>https://www.youtube.com/watch?v=5DADCSRiE3A&amp;lc=Ugzh089MLw--bz390Ah4AaABAg</v>
      </c>
      <c r="O1520">
        <v>0</v>
      </c>
      <c r="P1520">
        <v>0</v>
      </c>
      <c r="Q1520">
        <v>0</v>
      </c>
      <c r="S1520">
        <v>0</v>
      </c>
      <c r="T1520">
        <v>0</v>
      </c>
      <c r="U1520">
        <v>0</v>
      </c>
      <c r="W1520" t="s">
        <v>52</v>
      </c>
    </row>
    <row r="1521" spans="1:23" x14ac:dyDescent="0.35">
      <c r="A1521" t="s">
        <v>45</v>
      </c>
      <c r="B1521" t="s">
        <v>3201</v>
      </c>
      <c r="C1521" t="s">
        <v>60</v>
      </c>
      <c r="D1521" t="s">
        <v>61</v>
      </c>
      <c r="E1521" t="s">
        <v>61</v>
      </c>
      <c r="F1521" t="s">
        <v>49</v>
      </c>
      <c r="G1521" t="s">
        <v>3215</v>
      </c>
      <c r="H1521" t="s">
        <v>3216</v>
      </c>
      <c r="J1521" t="str">
        <f>HYPERLINK("https://www.facebook.com/634639855377280/posts/794682982706299?comment_id=1167268490922184","https://www.facebook.com/634639855377280/posts/794682982706299?comment_id=1167268490922184")</f>
        <v>https://www.facebook.com/634639855377280/posts/794682982706299?comment_id=1167268490922184</v>
      </c>
      <c r="O1521">
        <v>0</v>
      </c>
      <c r="P1521">
        <v>0</v>
      </c>
      <c r="Q1521">
        <v>0</v>
      </c>
      <c r="S1521">
        <v>0</v>
      </c>
      <c r="T1521">
        <v>0</v>
      </c>
      <c r="U1521">
        <v>0</v>
      </c>
      <c r="W1521" t="s">
        <v>52</v>
      </c>
    </row>
    <row r="1522" spans="1:23" x14ac:dyDescent="0.35">
      <c r="A1522" t="s">
        <v>45</v>
      </c>
      <c r="B1522" t="s">
        <v>3201</v>
      </c>
      <c r="C1522" t="s">
        <v>47</v>
      </c>
      <c r="D1522" t="s">
        <v>68</v>
      </c>
      <c r="E1522" t="s">
        <v>68</v>
      </c>
      <c r="F1522" t="s">
        <v>49</v>
      </c>
      <c r="G1522" t="s">
        <v>102</v>
      </c>
      <c r="H1522" t="s">
        <v>3217</v>
      </c>
      <c r="J1522" t="str">
        <f>HYPERLINK("https://www.youtube.com/watch?v=PE3mRN7gvwo&amp;lc=UgyzP5zPb15lJMs26RR4AaABAg.A01dHq_G52xA01yRAfpgfn","https://www.youtube.com/watch?v=PE3mRN7gvwo&amp;lc=UgyzP5zPb15lJMs26RR4AaABAg.A01dHq_G52xA01yRAfpgfn")</f>
        <v>https://www.youtube.com/watch?v=PE3mRN7gvwo&amp;lc=UgyzP5zPb15lJMs26RR4AaABAg.A01dHq_G52xA01yRAfpgfn</v>
      </c>
      <c r="O1522">
        <v>0</v>
      </c>
      <c r="P1522">
        <v>0</v>
      </c>
      <c r="Q1522">
        <v>0</v>
      </c>
      <c r="S1522">
        <v>0</v>
      </c>
      <c r="T1522">
        <v>0</v>
      </c>
      <c r="U1522">
        <v>0</v>
      </c>
      <c r="W1522" t="s">
        <v>52</v>
      </c>
    </row>
    <row r="1523" spans="1:23" x14ac:dyDescent="0.35">
      <c r="A1523" t="s">
        <v>45</v>
      </c>
      <c r="B1523" t="s">
        <v>3201</v>
      </c>
      <c r="C1523" t="s">
        <v>60</v>
      </c>
      <c r="D1523" t="s">
        <v>64</v>
      </c>
      <c r="E1523" t="s">
        <v>64</v>
      </c>
      <c r="F1523" t="s">
        <v>49</v>
      </c>
      <c r="G1523" t="s">
        <v>3218</v>
      </c>
      <c r="H1523" t="s">
        <v>3219</v>
      </c>
      <c r="J1523" t="str">
        <f>HYPERLINK("https://www.facebook.com/634639855377280/posts/794682982706299?comment_id=445144418262323&amp;reply_comment_id=766566368321525","https://www.facebook.com/634639855377280/posts/794682982706299?comment_id=445144418262323&amp;reply_comment_id=766566368321525")</f>
        <v>https://www.facebook.com/634639855377280/posts/794682982706299?comment_id=445144418262323&amp;reply_comment_id=766566368321525</v>
      </c>
      <c r="K1523" t="s">
        <v>67</v>
      </c>
      <c r="O1523">
        <v>0</v>
      </c>
      <c r="P1523">
        <v>0</v>
      </c>
      <c r="Q1523">
        <v>0</v>
      </c>
      <c r="S1523">
        <v>0</v>
      </c>
      <c r="T1523">
        <v>0</v>
      </c>
      <c r="U1523">
        <v>0</v>
      </c>
      <c r="W1523" t="s">
        <v>52</v>
      </c>
    </row>
    <row r="1524" spans="1:23" x14ac:dyDescent="0.35">
      <c r="A1524" t="s">
        <v>45</v>
      </c>
      <c r="B1524" t="s">
        <v>3201</v>
      </c>
      <c r="C1524" t="s">
        <v>60</v>
      </c>
      <c r="D1524" t="s">
        <v>64</v>
      </c>
      <c r="E1524" t="s">
        <v>64</v>
      </c>
      <c r="F1524" t="s">
        <v>49</v>
      </c>
      <c r="G1524" t="s">
        <v>100</v>
      </c>
      <c r="H1524" t="s">
        <v>3220</v>
      </c>
      <c r="J1524" t="str">
        <f>HYPERLINK("https://www.facebook.com/634639855377280/posts/794682982706299?comment_id=954361732218292&amp;reply_comment_id=361903850016600","https://www.facebook.com/634639855377280/posts/794682982706299?comment_id=954361732218292&amp;reply_comment_id=361903850016600")</f>
        <v>https://www.facebook.com/634639855377280/posts/794682982706299?comment_id=954361732218292&amp;reply_comment_id=361903850016600</v>
      </c>
      <c r="K1524" t="s">
        <v>67</v>
      </c>
      <c r="O1524">
        <v>0</v>
      </c>
      <c r="P1524">
        <v>0</v>
      </c>
      <c r="Q1524">
        <v>0</v>
      </c>
      <c r="S1524">
        <v>0</v>
      </c>
      <c r="T1524">
        <v>0</v>
      </c>
      <c r="U1524">
        <v>0</v>
      </c>
      <c r="W1524" t="s">
        <v>52</v>
      </c>
    </row>
    <row r="1525" spans="1:23" x14ac:dyDescent="0.35">
      <c r="A1525" t="s">
        <v>45</v>
      </c>
      <c r="B1525" t="s">
        <v>3201</v>
      </c>
      <c r="C1525" t="s">
        <v>60</v>
      </c>
      <c r="D1525" t="s">
        <v>61</v>
      </c>
      <c r="E1525" t="s">
        <v>61</v>
      </c>
      <c r="F1525" t="s">
        <v>49</v>
      </c>
      <c r="G1525" t="s">
        <v>3221</v>
      </c>
      <c r="H1525" t="s">
        <v>3222</v>
      </c>
      <c r="J1525" t="str">
        <f>HYPERLINK("https://www.facebook.com/634639855377280/posts/794682982706299?comment_id=445144418262323","https://www.facebook.com/634639855377280/posts/794682982706299?comment_id=445144418262323")</f>
        <v>https://www.facebook.com/634639855377280/posts/794682982706299?comment_id=445144418262323</v>
      </c>
      <c r="O1525">
        <v>0</v>
      </c>
      <c r="P1525">
        <v>0</v>
      </c>
      <c r="Q1525">
        <v>0</v>
      </c>
      <c r="S1525">
        <v>0</v>
      </c>
      <c r="T1525">
        <v>0</v>
      </c>
      <c r="U1525">
        <v>0</v>
      </c>
      <c r="W1525" t="s">
        <v>52</v>
      </c>
    </row>
    <row r="1526" spans="1:23" x14ac:dyDescent="0.35">
      <c r="A1526" t="s">
        <v>45</v>
      </c>
      <c r="B1526" t="s">
        <v>3201</v>
      </c>
      <c r="C1526" t="s">
        <v>60</v>
      </c>
      <c r="D1526" t="s">
        <v>64</v>
      </c>
      <c r="E1526" t="s">
        <v>64</v>
      </c>
      <c r="F1526" t="s">
        <v>49</v>
      </c>
      <c r="G1526" t="s">
        <v>492</v>
      </c>
      <c r="H1526" t="s">
        <v>3223</v>
      </c>
      <c r="J1526" t="str">
        <f>HYPERLINK("https://www.facebook.com/634639855377280/posts/794079139433350?comment_id=3695955940633744&amp;reply_comment_id=1912443222585700","https://www.facebook.com/634639855377280/posts/794079139433350?comment_id=3695955940633744&amp;reply_comment_id=1912443222585700")</f>
        <v>https://www.facebook.com/634639855377280/posts/794079139433350?comment_id=3695955940633744&amp;reply_comment_id=1912443222585700</v>
      </c>
      <c r="K1526" t="s">
        <v>67</v>
      </c>
      <c r="O1526">
        <v>0</v>
      </c>
      <c r="P1526">
        <v>0</v>
      </c>
      <c r="Q1526">
        <v>0</v>
      </c>
      <c r="S1526">
        <v>0</v>
      </c>
      <c r="T1526">
        <v>0</v>
      </c>
      <c r="U1526">
        <v>0</v>
      </c>
      <c r="W1526" t="s">
        <v>52</v>
      </c>
    </row>
    <row r="1527" spans="1:23" x14ac:dyDescent="0.35">
      <c r="A1527" t="s">
        <v>45</v>
      </c>
      <c r="B1527" t="s">
        <v>3201</v>
      </c>
      <c r="C1527" t="s">
        <v>93</v>
      </c>
      <c r="D1527" t="s">
        <v>94</v>
      </c>
      <c r="E1527" t="s">
        <v>45</v>
      </c>
      <c r="F1527" t="s">
        <v>49</v>
      </c>
      <c r="G1527" t="s">
        <v>3224</v>
      </c>
      <c r="H1527" t="s">
        <v>3225</v>
      </c>
      <c r="J1527" t="str">
        <f>HYPERLINK("https://twitter.com/SpiceMoneyIndia/status/1759915470751219862","https://twitter.com/SpiceMoneyIndia/status/1759915470751219862")</f>
        <v>https://twitter.com/SpiceMoneyIndia/status/1759915470751219862</v>
      </c>
      <c r="K1527" t="s">
        <v>67</v>
      </c>
      <c r="O1527">
        <v>0</v>
      </c>
      <c r="P1527">
        <v>0</v>
      </c>
      <c r="Q1527">
        <v>6040</v>
      </c>
      <c r="R1527" t="s">
        <v>97</v>
      </c>
      <c r="S1527">
        <v>0</v>
      </c>
      <c r="T1527">
        <v>0</v>
      </c>
      <c r="U1527">
        <v>0</v>
      </c>
      <c r="V1527" t="s">
        <v>98</v>
      </c>
      <c r="W1527" t="s">
        <v>99</v>
      </c>
    </row>
    <row r="1528" spans="1:23" x14ac:dyDescent="0.35">
      <c r="A1528" t="s">
        <v>45</v>
      </c>
      <c r="B1528" t="s">
        <v>3201</v>
      </c>
      <c r="C1528" t="s">
        <v>93</v>
      </c>
      <c r="D1528" t="s">
        <v>94</v>
      </c>
      <c r="E1528" t="s">
        <v>45</v>
      </c>
      <c r="F1528" t="s">
        <v>49</v>
      </c>
      <c r="G1528" t="s">
        <v>3226</v>
      </c>
      <c r="H1528" t="s">
        <v>3227</v>
      </c>
      <c r="J1528" t="str">
        <f>HYPERLINK("https://twitter.com/SpiceMoneyIndia/status/1759915361753796611","https://twitter.com/SpiceMoneyIndia/status/1759915361753796611")</f>
        <v>https://twitter.com/SpiceMoneyIndia/status/1759915361753796611</v>
      </c>
      <c r="K1528" t="s">
        <v>67</v>
      </c>
      <c r="O1528">
        <v>0</v>
      </c>
      <c r="P1528">
        <v>0</v>
      </c>
      <c r="Q1528">
        <v>6040</v>
      </c>
      <c r="R1528" t="s">
        <v>97</v>
      </c>
      <c r="S1528">
        <v>0</v>
      </c>
      <c r="T1528">
        <v>0</v>
      </c>
      <c r="U1528">
        <v>0</v>
      </c>
      <c r="V1528" t="s">
        <v>98</v>
      </c>
      <c r="W1528" t="s">
        <v>99</v>
      </c>
    </row>
    <row r="1529" spans="1:23" x14ac:dyDescent="0.35">
      <c r="A1529" t="s">
        <v>45</v>
      </c>
      <c r="B1529" t="s">
        <v>3201</v>
      </c>
      <c r="C1529" t="s">
        <v>60</v>
      </c>
      <c r="D1529" t="s">
        <v>61</v>
      </c>
      <c r="E1529" t="s">
        <v>61</v>
      </c>
      <c r="F1529" t="s">
        <v>49</v>
      </c>
      <c r="G1529" t="s">
        <v>3228</v>
      </c>
      <c r="H1529" t="s">
        <v>3229</v>
      </c>
      <c r="J1529" t="str">
        <f>HYPERLINK("https://www.facebook.com/634639855377280/posts/794682982706299?comment_id=954361732218292&amp;reply_comment_id=1329936837713388","https://www.facebook.com/634639855377280/posts/794682982706299?comment_id=954361732218292&amp;reply_comment_id=1329936837713388")</f>
        <v>https://www.facebook.com/634639855377280/posts/794682982706299?comment_id=954361732218292&amp;reply_comment_id=1329936837713388</v>
      </c>
      <c r="O1529">
        <v>0</v>
      </c>
      <c r="P1529">
        <v>0</v>
      </c>
      <c r="Q1529">
        <v>0</v>
      </c>
      <c r="S1529">
        <v>0</v>
      </c>
      <c r="T1529">
        <v>0</v>
      </c>
      <c r="U1529">
        <v>0</v>
      </c>
      <c r="W1529" t="s">
        <v>52</v>
      </c>
    </row>
    <row r="1530" spans="1:23" x14ac:dyDescent="0.35">
      <c r="A1530" t="s">
        <v>45</v>
      </c>
      <c r="B1530" t="s">
        <v>3201</v>
      </c>
      <c r="C1530" t="s">
        <v>60</v>
      </c>
      <c r="D1530" t="s">
        <v>64</v>
      </c>
      <c r="E1530" t="s">
        <v>64</v>
      </c>
      <c r="F1530" t="s">
        <v>49</v>
      </c>
      <c r="G1530" t="s">
        <v>266</v>
      </c>
      <c r="H1530" t="s">
        <v>3230</v>
      </c>
      <c r="J1530" t="str">
        <f>HYPERLINK("https://www.facebook.com/634639855377280/posts/794682982706299?comment_id=909531227379696&amp;reply_comment_id=1063116294955637","https://www.facebook.com/634639855377280/posts/794682982706299?comment_id=909531227379696&amp;reply_comment_id=1063116294955637")</f>
        <v>https://www.facebook.com/634639855377280/posts/794682982706299?comment_id=909531227379696&amp;reply_comment_id=1063116294955637</v>
      </c>
      <c r="K1530" t="s">
        <v>67</v>
      </c>
      <c r="O1530">
        <v>0</v>
      </c>
      <c r="P1530">
        <v>0</v>
      </c>
      <c r="Q1530">
        <v>0</v>
      </c>
      <c r="S1530">
        <v>0</v>
      </c>
      <c r="T1530">
        <v>0</v>
      </c>
      <c r="U1530">
        <v>0</v>
      </c>
      <c r="W1530" t="s">
        <v>52</v>
      </c>
    </row>
    <row r="1531" spans="1:23" x14ac:dyDescent="0.35">
      <c r="A1531" t="s">
        <v>45</v>
      </c>
      <c r="B1531" t="s">
        <v>3201</v>
      </c>
      <c r="C1531" t="s">
        <v>93</v>
      </c>
      <c r="D1531" t="s">
        <v>94</v>
      </c>
      <c r="E1531" t="s">
        <v>45</v>
      </c>
      <c r="F1531" t="s">
        <v>49</v>
      </c>
      <c r="G1531" t="s">
        <v>3231</v>
      </c>
      <c r="H1531" t="s">
        <v>3232</v>
      </c>
      <c r="J1531" t="str">
        <f>HYPERLINK("https://twitter.com/SpiceMoneyIndia/status/1759914106419626171","https://twitter.com/SpiceMoneyIndia/status/1759914106419626171")</f>
        <v>https://twitter.com/SpiceMoneyIndia/status/1759914106419626171</v>
      </c>
      <c r="K1531" t="s">
        <v>67</v>
      </c>
      <c r="O1531">
        <v>0</v>
      </c>
      <c r="P1531">
        <v>0</v>
      </c>
      <c r="Q1531">
        <v>6040</v>
      </c>
      <c r="R1531" t="s">
        <v>97</v>
      </c>
      <c r="S1531">
        <v>0</v>
      </c>
      <c r="T1531">
        <v>0</v>
      </c>
      <c r="U1531">
        <v>0</v>
      </c>
      <c r="V1531" t="s">
        <v>98</v>
      </c>
      <c r="W1531" t="s">
        <v>99</v>
      </c>
    </row>
    <row r="1532" spans="1:23" x14ac:dyDescent="0.35">
      <c r="A1532" t="s">
        <v>45</v>
      </c>
      <c r="B1532" t="s">
        <v>3201</v>
      </c>
      <c r="C1532" t="s">
        <v>60</v>
      </c>
      <c r="D1532" t="s">
        <v>64</v>
      </c>
      <c r="E1532" t="s">
        <v>64</v>
      </c>
      <c r="F1532" t="s">
        <v>49</v>
      </c>
      <c r="G1532" t="s">
        <v>3233</v>
      </c>
      <c r="H1532" t="s">
        <v>3234</v>
      </c>
      <c r="J1532" t="str">
        <f>HYPERLINK("https://www.facebook.com/634639855377280/posts/794682982706299?comment_id=954361732218292&amp;reply_comment_id=799732104821169","https://www.facebook.com/634639855377280/posts/794682982706299?comment_id=954361732218292&amp;reply_comment_id=799732104821169")</f>
        <v>https://www.facebook.com/634639855377280/posts/794682982706299?comment_id=954361732218292&amp;reply_comment_id=799732104821169</v>
      </c>
      <c r="K1532" t="s">
        <v>67</v>
      </c>
      <c r="O1532">
        <v>0</v>
      </c>
      <c r="P1532">
        <v>0</v>
      </c>
      <c r="Q1532">
        <v>0</v>
      </c>
      <c r="S1532">
        <v>0</v>
      </c>
      <c r="T1532">
        <v>0</v>
      </c>
      <c r="U1532">
        <v>0</v>
      </c>
      <c r="W1532" t="s">
        <v>52</v>
      </c>
    </row>
    <row r="1533" spans="1:23" x14ac:dyDescent="0.35">
      <c r="A1533" t="s">
        <v>45</v>
      </c>
      <c r="B1533" t="s">
        <v>3201</v>
      </c>
      <c r="C1533" t="s">
        <v>47</v>
      </c>
      <c r="D1533" t="s">
        <v>3235</v>
      </c>
      <c r="E1533" t="s">
        <v>3235</v>
      </c>
      <c r="F1533" t="s">
        <v>49</v>
      </c>
      <c r="G1533" t="s">
        <v>3236</v>
      </c>
      <c r="H1533" t="s">
        <v>3237</v>
      </c>
      <c r="J1533" t="str">
        <f>HYPERLINK("https://www.youtube.com/watch?v=PE3mRN7gvwo&amp;lc=UgyzP5zPb15lJMs26RR4AaABAg.A01dHq_G52xA01txZiW21i","https://www.youtube.com/watch?v=PE3mRN7gvwo&amp;lc=UgyzP5zPb15lJMs26RR4AaABAg.A01dHq_G52xA01txZiW21i")</f>
        <v>https://www.youtube.com/watch?v=PE3mRN7gvwo&amp;lc=UgyzP5zPb15lJMs26RR4AaABAg.A01dHq_G52xA01txZiW21i</v>
      </c>
      <c r="O1533">
        <v>0</v>
      </c>
      <c r="P1533">
        <v>0</v>
      </c>
      <c r="Q1533">
        <v>0</v>
      </c>
      <c r="S1533">
        <v>0</v>
      </c>
      <c r="T1533">
        <v>0</v>
      </c>
      <c r="U1533">
        <v>0</v>
      </c>
      <c r="W1533" t="s">
        <v>52</v>
      </c>
    </row>
    <row r="1534" spans="1:23" x14ac:dyDescent="0.35">
      <c r="A1534" t="s">
        <v>45</v>
      </c>
      <c r="B1534" t="s">
        <v>3201</v>
      </c>
      <c r="C1534" t="s">
        <v>93</v>
      </c>
      <c r="D1534" t="s">
        <v>94</v>
      </c>
      <c r="E1534" t="s">
        <v>45</v>
      </c>
      <c r="F1534" t="s">
        <v>49</v>
      </c>
      <c r="G1534" t="s">
        <v>3238</v>
      </c>
      <c r="H1534" t="s">
        <v>3239</v>
      </c>
      <c r="J1534" t="str">
        <f>HYPERLINK("https://twitter.com/SpiceMoneyIndia/status/1759911446324867189","https://twitter.com/SpiceMoneyIndia/status/1759911446324867189")</f>
        <v>https://twitter.com/SpiceMoneyIndia/status/1759911446324867189</v>
      </c>
      <c r="K1534" t="s">
        <v>67</v>
      </c>
      <c r="O1534">
        <v>0</v>
      </c>
      <c r="P1534">
        <v>0</v>
      </c>
      <c r="Q1534">
        <v>6040</v>
      </c>
      <c r="R1534" t="s">
        <v>97</v>
      </c>
      <c r="S1534">
        <v>0</v>
      </c>
      <c r="T1534">
        <v>0</v>
      </c>
      <c r="U1534">
        <v>0</v>
      </c>
      <c r="V1534" t="s">
        <v>98</v>
      </c>
      <c r="W1534" t="s">
        <v>99</v>
      </c>
    </row>
    <row r="1535" spans="1:23" x14ac:dyDescent="0.35">
      <c r="A1535" t="s">
        <v>45</v>
      </c>
      <c r="B1535" t="s">
        <v>3201</v>
      </c>
      <c r="C1535" t="s">
        <v>93</v>
      </c>
      <c r="D1535" t="s">
        <v>2939</v>
      </c>
      <c r="E1535" t="s">
        <v>2940</v>
      </c>
      <c r="F1535" t="s">
        <v>49</v>
      </c>
      <c r="G1535" t="s">
        <v>3240</v>
      </c>
      <c r="H1535" t="s">
        <v>3241</v>
      </c>
      <c r="J1535" t="str">
        <f>HYPERLINK("https://twitter.com/amandwi39776875/status/1759910174540632364","https://twitter.com/amandwi39776875/status/1759910174540632364")</f>
        <v>https://twitter.com/amandwi39776875/status/1759910174540632364</v>
      </c>
      <c r="O1535">
        <v>0</v>
      </c>
      <c r="P1535">
        <v>0</v>
      </c>
      <c r="Q1535">
        <v>115</v>
      </c>
      <c r="R1535" t="s">
        <v>2943</v>
      </c>
      <c r="S1535">
        <v>0</v>
      </c>
      <c r="T1535">
        <v>0</v>
      </c>
      <c r="U1535">
        <v>0</v>
      </c>
      <c r="W1535" t="s">
        <v>99</v>
      </c>
    </row>
    <row r="1536" spans="1:23" x14ac:dyDescent="0.35">
      <c r="A1536" t="s">
        <v>45</v>
      </c>
      <c r="B1536" t="s">
        <v>3201</v>
      </c>
      <c r="C1536" t="s">
        <v>47</v>
      </c>
      <c r="D1536" t="s">
        <v>68</v>
      </c>
      <c r="E1536" t="s">
        <v>68</v>
      </c>
      <c r="F1536" t="s">
        <v>49</v>
      </c>
      <c r="G1536" t="s">
        <v>102</v>
      </c>
      <c r="H1536" t="s">
        <v>3242</v>
      </c>
      <c r="J1536" t="str">
        <f>HYPERLINK("https://www.youtube.com/watch?v=EsUMqWuvYA8&amp;lc=UgwrDPpYeDz1jwTzD1h4AaABAg.A-yIdkNLaJOA01skLSC6DZ","https://www.youtube.com/watch?v=EsUMqWuvYA8&amp;lc=UgwrDPpYeDz1jwTzD1h4AaABAg.A-yIdkNLaJOA01skLSC6DZ")</f>
        <v>https://www.youtube.com/watch?v=EsUMqWuvYA8&amp;lc=UgwrDPpYeDz1jwTzD1h4AaABAg.A-yIdkNLaJOA01skLSC6DZ</v>
      </c>
      <c r="O1536">
        <v>0</v>
      </c>
      <c r="P1536">
        <v>0</v>
      </c>
      <c r="Q1536">
        <v>0</v>
      </c>
      <c r="S1536">
        <v>0</v>
      </c>
      <c r="T1536">
        <v>0</v>
      </c>
      <c r="U1536">
        <v>0</v>
      </c>
      <c r="W1536" t="s">
        <v>52</v>
      </c>
    </row>
    <row r="1537" spans="1:23" x14ac:dyDescent="0.35">
      <c r="A1537" t="s">
        <v>45</v>
      </c>
      <c r="B1537" t="s">
        <v>3201</v>
      </c>
      <c r="C1537" t="s">
        <v>47</v>
      </c>
      <c r="D1537" t="s">
        <v>68</v>
      </c>
      <c r="E1537" t="s">
        <v>68</v>
      </c>
      <c r="F1537" t="s">
        <v>49</v>
      </c>
      <c r="G1537" t="s">
        <v>102</v>
      </c>
      <c r="H1537" t="s">
        <v>3243</v>
      </c>
      <c r="J1537" t="str">
        <f>HYPERLINK("https://www.youtube.com/watch?v=WrAL5FpRNIY&amp;lc=UgwcnPEG6FsVqE-hI4B4AaABAg.A-zxlWwAJK3A01sio98Imd","https://www.youtube.com/watch?v=WrAL5FpRNIY&amp;lc=UgwcnPEG6FsVqE-hI4B4AaABAg.A-zxlWwAJK3A01sio98Imd")</f>
        <v>https://www.youtube.com/watch?v=WrAL5FpRNIY&amp;lc=UgwcnPEG6FsVqE-hI4B4AaABAg.A-zxlWwAJK3A01sio98Imd</v>
      </c>
      <c r="O1537">
        <v>0</v>
      </c>
      <c r="P1537">
        <v>0</v>
      </c>
      <c r="Q1537">
        <v>0</v>
      </c>
      <c r="S1537">
        <v>0</v>
      </c>
      <c r="T1537">
        <v>0</v>
      </c>
      <c r="U1537">
        <v>0</v>
      </c>
      <c r="W1537" t="s">
        <v>52</v>
      </c>
    </row>
    <row r="1538" spans="1:23" x14ac:dyDescent="0.35">
      <c r="A1538" t="s">
        <v>45</v>
      </c>
      <c r="B1538" t="s">
        <v>3201</v>
      </c>
      <c r="C1538" t="s">
        <v>47</v>
      </c>
      <c r="D1538" t="s">
        <v>68</v>
      </c>
      <c r="E1538" t="s">
        <v>68</v>
      </c>
      <c r="F1538" t="s">
        <v>49</v>
      </c>
      <c r="G1538" t="s">
        <v>253</v>
      </c>
      <c r="H1538" t="s">
        <v>3244</v>
      </c>
      <c r="J1538" t="str">
        <f>HYPERLINK("https://www.youtube.com/watch?v=lOJGQMCsaTg&amp;lc=UgzwCD9O5FEklmk1a2B4AaABAg.A01YUFE1j2pA01rIYhGVsI","https://www.youtube.com/watch?v=lOJGQMCsaTg&amp;lc=UgzwCD9O5FEklmk1a2B4AaABAg.A01YUFE1j2pA01rIYhGVsI")</f>
        <v>https://www.youtube.com/watch?v=lOJGQMCsaTg&amp;lc=UgzwCD9O5FEklmk1a2B4AaABAg.A01YUFE1j2pA01rIYhGVsI</v>
      </c>
      <c r="O1538">
        <v>0</v>
      </c>
      <c r="P1538">
        <v>0</v>
      </c>
      <c r="Q1538">
        <v>0</v>
      </c>
      <c r="S1538">
        <v>0</v>
      </c>
      <c r="T1538">
        <v>0</v>
      </c>
      <c r="U1538">
        <v>0</v>
      </c>
      <c r="W1538" t="s">
        <v>52</v>
      </c>
    </row>
    <row r="1539" spans="1:23" x14ac:dyDescent="0.35">
      <c r="A1539" t="s">
        <v>45</v>
      </c>
      <c r="B1539" t="s">
        <v>3201</v>
      </c>
      <c r="C1539" t="s">
        <v>47</v>
      </c>
      <c r="D1539" t="s">
        <v>68</v>
      </c>
      <c r="E1539" t="s">
        <v>68</v>
      </c>
      <c r="F1539" t="s">
        <v>49</v>
      </c>
      <c r="G1539" t="s">
        <v>253</v>
      </c>
      <c r="H1539" t="s">
        <v>3245</v>
      </c>
      <c r="J1539" t="str">
        <f>HYPERLINK("https://www.youtube.com/watch?v=PE3mRN7gvwo&amp;lc=UgyzP5zPb15lJMs26RR4AaABAg.A01dHq_G52xA01rGqq8lNb","https://www.youtube.com/watch?v=PE3mRN7gvwo&amp;lc=UgyzP5zPb15lJMs26RR4AaABAg.A01dHq_G52xA01rGqq8lNb")</f>
        <v>https://www.youtube.com/watch?v=PE3mRN7gvwo&amp;lc=UgyzP5zPb15lJMs26RR4AaABAg.A01dHq_G52xA01rGqq8lNb</v>
      </c>
      <c r="O1539">
        <v>0</v>
      </c>
      <c r="P1539">
        <v>0</v>
      </c>
      <c r="Q1539">
        <v>0</v>
      </c>
      <c r="S1539">
        <v>0</v>
      </c>
      <c r="T1539">
        <v>0</v>
      </c>
      <c r="U1539">
        <v>0</v>
      </c>
      <c r="W1539" t="s">
        <v>52</v>
      </c>
    </row>
    <row r="1540" spans="1:23" x14ac:dyDescent="0.35">
      <c r="A1540" t="s">
        <v>45</v>
      </c>
      <c r="B1540" t="s">
        <v>3201</v>
      </c>
      <c r="C1540" t="s">
        <v>60</v>
      </c>
      <c r="D1540" t="s">
        <v>64</v>
      </c>
      <c r="E1540" t="s">
        <v>64</v>
      </c>
      <c r="F1540" t="s">
        <v>49</v>
      </c>
      <c r="G1540" t="s">
        <v>3246</v>
      </c>
      <c r="H1540" t="s">
        <v>3247</v>
      </c>
      <c r="J1540" t="str">
        <f>HYPERLINK("https://www.facebook.com/634639855377280/posts/791769542997643?comment_id=310278852032821&amp;reply_comment_id=1621577221922390","https://www.facebook.com/634639855377280/posts/791769542997643?comment_id=310278852032821&amp;reply_comment_id=1621577221922390")</f>
        <v>https://www.facebook.com/634639855377280/posts/791769542997643?comment_id=310278852032821&amp;reply_comment_id=1621577221922390</v>
      </c>
      <c r="K1540" t="s">
        <v>67</v>
      </c>
      <c r="O1540">
        <v>0</v>
      </c>
      <c r="P1540">
        <v>0</v>
      </c>
      <c r="Q1540">
        <v>0</v>
      </c>
      <c r="S1540">
        <v>0</v>
      </c>
      <c r="T1540">
        <v>0</v>
      </c>
      <c r="U1540">
        <v>0</v>
      </c>
      <c r="W1540" t="s">
        <v>52</v>
      </c>
    </row>
    <row r="1541" spans="1:23" x14ac:dyDescent="0.35">
      <c r="A1541" t="s">
        <v>45</v>
      </c>
      <c r="B1541" t="s">
        <v>3201</v>
      </c>
      <c r="C1541" t="s">
        <v>60</v>
      </c>
      <c r="D1541" t="s">
        <v>61</v>
      </c>
      <c r="E1541" t="s">
        <v>61</v>
      </c>
      <c r="F1541" t="s">
        <v>49</v>
      </c>
      <c r="G1541" t="s">
        <v>3101</v>
      </c>
      <c r="H1541" t="s">
        <v>3248</v>
      </c>
      <c r="J1541" t="str">
        <f>HYPERLINK("https://www.facebook.com/634639855377280/posts/794682982706299?comment_id=954361732218292","https://www.facebook.com/634639855377280/posts/794682982706299?comment_id=954361732218292")</f>
        <v>https://www.facebook.com/634639855377280/posts/794682982706299?comment_id=954361732218292</v>
      </c>
      <c r="O1541">
        <v>0</v>
      </c>
      <c r="P1541">
        <v>0</v>
      </c>
      <c r="Q1541">
        <v>0</v>
      </c>
      <c r="S1541">
        <v>0</v>
      </c>
      <c r="T1541">
        <v>0</v>
      </c>
      <c r="U1541">
        <v>0</v>
      </c>
      <c r="W1541" t="s">
        <v>52</v>
      </c>
    </row>
    <row r="1542" spans="1:23" x14ac:dyDescent="0.35">
      <c r="A1542" t="s">
        <v>45</v>
      </c>
      <c r="B1542" t="s">
        <v>3201</v>
      </c>
      <c r="C1542" t="s">
        <v>47</v>
      </c>
      <c r="D1542" t="s">
        <v>1007</v>
      </c>
      <c r="E1542" t="s">
        <v>1007</v>
      </c>
      <c r="F1542" t="s">
        <v>54</v>
      </c>
      <c r="G1542" t="s">
        <v>3249</v>
      </c>
      <c r="H1542" t="s">
        <v>3250</v>
      </c>
      <c r="J1542" t="str">
        <f>HYPERLINK("https://www.youtube.com/watch?v=PE3mRN7gvwo&amp;lc=UgyzP5zPb15lJMs26RR4AaABAg","https://www.youtube.com/watch?v=PE3mRN7gvwo&amp;lc=UgyzP5zPb15lJMs26RR4AaABAg")</f>
        <v>https://www.youtube.com/watch?v=PE3mRN7gvwo&amp;lc=UgyzP5zPb15lJMs26RR4AaABAg</v>
      </c>
      <c r="O1542">
        <v>0</v>
      </c>
      <c r="P1542">
        <v>0</v>
      </c>
      <c r="Q1542">
        <v>0</v>
      </c>
      <c r="S1542">
        <v>0</v>
      </c>
      <c r="T1542">
        <v>0</v>
      </c>
      <c r="U1542">
        <v>0</v>
      </c>
      <c r="W1542" t="s">
        <v>52</v>
      </c>
    </row>
    <row r="1543" spans="1:23" x14ac:dyDescent="0.35">
      <c r="A1543" t="s">
        <v>45</v>
      </c>
      <c r="B1543" t="s">
        <v>3201</v>
      </c>
      <c r="C1543" t="s">
        <v>60</v>
      </c>
      <c r="D1543" t="s">
        <v>61</v>
      </c>
      <c r="E1543" t="s">
        <v>61</v>
      </c>
      <c r="F1543" t="s">
        <v>49</v>
      </c>
      <c r="G1543" t="s">
        <v>3251</v>
      </c>
      <c r="H1543" t="s">
        <v>3252</v>
      </c>
      <c r="J1543" t="str">
        <f>HYPERLINK("https://www.facebook.com/634639855377280/posts/794682982706299?comment_id=909531227379696","https://www.facebook.com/634639855377280/posts/794682982706299?comment_id=909531227379696")</f>
        <v>https://www.facebook.com/634639855377280/posts/794682982706299?comment_id=909531227379696</v>
      </c>
      <c r="O1543">
        <v>0</v>
      </c>
      <c r="P1543">
        <v>0</v>
      </c>
      <c r="Q1543">
        <v>0</v>
      </c>
      <c r="S1543">
        <v>0</v>
      </c>
      <c r="T1543">
        <v>0</v>
      </c>
      <c r="U1543">
        <v>0</v>
      </c>
      <c r="W1543" t="s">
        <v>52</v>
      </c>
    </row>
    <row r="1544" spans="1:23" x14ac:dyDescent="0.35">
      <c r="A1544" t="s">
        <v>45</v>
      </c>
      <c r="B1544" t="s">
        <v>3201</v>
      </c>
      <c r="C1544" t="s">
        <v>47</v>
      </c>
      <c r="D1544" t="s">
        <v>3190</v>
      </c>
      <c r="E1544" t="s">
        <v>3190</v>
      </c>
      <c r="F1544" t="s">
        <v>49</v>
      </c>
      <c r="G1544" t="s">
        <v>3253</v>
      </c>
      <c r="H1544" t="s">
        <v>3254</v>
      </c>
      <c r="J1544" t="str">
        <f>HYPERLINK("https://www.youtube.com/watch?v=lOJGQMCsaTg&amp;lc=UgzwCD9O5FEklmk1a2B4AaABAg","https://www.youtube.com/watch?v=lOJGQMCsaTg&amp;lc=UgzwCD9O5FEklmk1a2B4AaABAg")</f>
        <v>https://www.youtube.com/watch?v=lOJGQMCsaTg&amp;lc=UgzwCD9O5FEklmk1a2B4AaABAg</v>
      </c>
      <c r="O1544">
        <v>0</v>
      </c>
      <c r="P1544">
        <v>0</v>
      </c>
      <c r="Q1544">
        <v>0</v>
      </c>
      <c r="S1544">
        <v>0</v>
      </c>
      <c r="T1544">
        <v>0</v>
      </c>
      <c r="U1544">
        <v>0</v>
      </c>
      <c r="W1544" t="s">
        <v>52</v>
      </c>
    </row>
    <row r="1545" spans="1:23" x14ac:dyDescent="0.35">
      <c r="A1545" t="s">
        <v>45</v>
      </c>
      <c r="B1545" t="s">
        <v>3201</v>
      </c>
      <c r="C1545" t="s">
        <v>47</v>
      </c>
      <c r="D1545" t="s">
        <v>3255</v>
      </c>
      <c r="E1545" t="s">
        <v>3255</v>
      </c>
      <c r="F1545" t="s">
        <v>49</v>
      </c>
      <c r="G1545" t="s">
        <v>3256</v>
      </c>
      <c r="H1545" t="s">
        <v>3257</v>
      </c>
      <c r="J1545" t="str">
        <f>HYPERLINK("https://www.youtube.com/watch?v=wDK8G5aqJuE","https://www.youtube.com/watch?v=wDK8G5aqJuE")</f>
        <v>https://www.youtube.com/watch?v=wDK8G5aqJuE</v>
      </c>
      <c r="O1545">
        <v>0</v>
      </c>
      <c r="P1545">
        <v>0</v>
      </c>
      <c r="Q1545">
        <v>0</v>
      </c>
      <c r="S1545">
        <v>0</v>
      </c>
      <c r="T1545">
        <v>0</v>
      </c>
      <c r="U1545">
        <v>0</v>
      </c>
      <c r="W1545" t="s">
        <v>346</v>
      </c>
    </row>
    <row r="1546" spans="1:23" x14ac:dyDescent="0.35">
      <c r="A1546" t="s">
        <v>45</v>
      </c>
      <c r="B1546" t="s">
        <v>3201</v>
      </c>
      <c r="C1546" t="s">
        <v>93</v>
      </c>
      <c r="D1546" t="s">
        <v>2939</v>
      </c>
      <c r="E1546" t="s">
        <v>2940</v>
      </c>
      <c r="F1546" t="s">
        <v>49</v>
      </c>
      <c r="G1546" t="s">
        <v>3258</v>
      </c>
      <c r="H1546" t="s">
        <v>3259</v>
      </c>
      <c r="J1546" t="str">
        <f>HYPERLINK("https://twitter.com/amandwi39776875/status/1759845795686486253","https://twitter.com/amandwi39776875/status/1759845795686486253")</f>
        <v>https://twitter.com/amandwi39776875/status/1759845795686486253</v>
      </c>
      <c r="O1546">
        <v>0</v>
      </c>
      <c r="P1546">
        <v>0</v>
      </c>
      <c r="Q1546">
        <v>115</v>
      </c>
      <c r="R1546" t="s">
        <v>2943</v>
      </c>
      <c r="S1546">
        <v>0</v>
      </c>
      <c r="T1546">
        <v>0</v>
      </c>
      <c r="U1546">
        <v>0</v>
      </c>
      <c r="W1546" t="s">
        <v>99</v>
      </c>
    </row>
    <row r="1547" spans="1:23" x14ac:dyDescent="0.35">
      <c r="A1547" t="s">
        <v>45</v>
      </c>
      <c r="B1547" t="s">
        <v>3201</v>
      </c>
      <c r="C1547" t="s">
        <v>93</v>
      </c>
      <c r="D1547" t="s">
        <v>94</v>
      </c>
      <c r="E1547" t="s">
        <v>45</v>
      </c>
      <c r="F1547" t="s">
        <v>49</v>
      </c>
      <c r="G1547" t="s">
        <v>3260</v>
      </c>
      <c r="H1547" t="s">
        <v>3261</v>
      </c>
      <c r="J1547" t="str">
        <f>HYPERLINK("https://twitter.com/SpiceMoneyIndia/status/1759844724100207044","https://twitter.com/SpiceMoneyIndia/status/1759844724100207044")</f>
        <v>https://twitter.com/SpiceMoneyIndia/status/1759844724100207044</v>
      </c>
      <c r="K1547" t="s">
        <v>67</v>
      </c>
      <c r="O1547">
        <v>0</v>
      </c>
      <c r="P1547">
        <v>0</v>
      </c>
      <c r="Q1547">
        <v>6041</v>
      </c>
      <c r="R1547" t="s">
        <v>97</v>
      </c>
      <c r="S1547">
        <v>0</v>
      </c>
      <c r="T1547">
        <v>0</v>
      </c>
      <c r="U1547">
        <v>0</v>
      </c>
      <c r="V1547" t="s">
        <v>98</v>
      </c>
      <c r="W1547" t="s">
        <v>99</v>
      </c>
    </row>
    <row r="1548" spans="1:23" x14ac:dyDescent="0.35">
      <c r="A1548" t="s">
        <v>45</v>
      </c>
      <c r="B1548" t="s">
        <v>3201</v>
      </c>
      <c r="C1548" t="s">
        <v>93</v>
      </c>
      <c r="D1548" t="s">
        <v>3262</v>
      </c>
      <c r="E1548" t="s">
        <v>3263</v>
      </c>
      <c r="F1548" t="s">
        <v>49</v>
      </c>
      <c r="G1548" t="s">
        <v>3264</v>
      </c>
      <c r="H1548" t="s">
        <v>3265</v>
      </c>
      <c r="J1548" t="str">
        <f>HYPERLINK("https://twitter.com/ShoaibAkhtertsk/status/1759844454289256766","https://twitter.com/ShoaibAkhtertsk/status/1759844454289256766")</f>
        <v>https://twitter.com/ShoaibAkhtertsk/status/1759844454289256766</v>
      </c>
      <c r="K1548" t="s">
        <v>67</v>
      </c>
      <c r="O1548">
        <v>0</v>
      </c>
      <c r="P1548">
        <v>0</v>
      </c>
      <c r="Q1548">
        <v>50</v>
      </c>
      <c r="R1548" t="s">
        <v>3266</v>
      </c>
      <c r="S1548">
        <v>0</v>
      </c>
      <c r="T1548">
        <v>0</v>
      </c>
      <c r="U1548">
        <v>0</v>
      </c>
      <c r="W1548" t="s">
        <v>99</v>
      </c>
    </row>
    <row r="1549" spans="1:23" x14ac:dyDescent="0.35">
      <c r="A1549" t="s">
        <v>45</v>
      </c>
      <c r="B1549" t="s">
        <v>3201</v>
      </c>
      <c r="C1549" t="s">
        <v>60</v>
      </c>
      <c r="D1549" t="s">
        <v>64</v>
      </c>
      <c r="E1549" t="s">
        <v>64</v>
      </c>
      <c r="F1549" t="s">
        <v>49</v>
      </c>
      <c r="G1549" t="s">
        <v>3267</v>
      </c>
      <c r="H1549" t="s">
        <v>3268</v>
      </c>
      <c r="J1549" t="str">
        <f>HYPERLINK("https://www.facebook.com/634639855377280/posts/794682982706299","https://www.facebook.com/634639855377280/posts/794682982706299")</f>
        <v>https://www.facebook.com/634639855377280/posts/794682982706299</v>
      </c>
      <c r="O1549">
        <v>0</v>
      </c>
      <c r="P1549">
        <v>0</v>
      </c>
      <c r="Q1549">
        <v>0</v>
      </c>
      <c r="S1549">
        <v>14</v>
      </c>
      <c r="T1549">
        <v>76</v>
      </c>
      <c r="U1549">
        <v>2</v>
      </c>
      <c r="W1549" t="s">
        <v>346</v>
      </c>
    </row>
    <row r="1550" spans="1:23" x14ac:dyDescent="0.35">
      <c r="A1550" t="s">
        <v>45</v>
      </c>
      <c r="B1550" t="s">
        <v>3201</v>
      </c>
      <c r="C1550" t="s">
        <v>47</v>
      </c>
      <c r="D1550" t="s">
        <v>45</v>
      </c>
      <c r="E1550" t="s">
        <v>45</v>
      </c>
      <c r="F1550" t="s">
        <v>49</v>
      </c>
      <c r="G1550" t="s">
        <v>3269</v>
      </c>
      <c r="H1550" t="s">
        <v>3270</v>
      </c>
      <c r="J1550" t="str">
        <f>HYPERLINK("https://www.youtube.com/watch?v=PE3mRN7gvwo","https://www.youtube.com/watch?v=PE3mRN7gvwo")</f>
        <v>https://www.youtube.com/watch?v=PE3mRN7gvwo</v>
      </c>
      <c r="O1550">
        <v>0</v>
      </c>
      <c r="P1550">
        <v>0</v>
      </c>
      <c r="Q1550">
        <v>0</v>
      </c>
      <c r="S1550">
        <v>0</v>
      </c>
      <c r="T1550">
        <v>0</v>
      </c>
      <c r="U1550">
        <v>0</v>
      </c>
      <c r="W1550" t="s">
        <v>346</v>
      </c>
    </row>
    <row r="1551" spans="1:23" x14ac:dyDescent="0.35">
      <c r="A1551" t="s">
        <v>45</v>
      </c>
      <c r="B1551" t="s">
        <v>3201</v>
      </c>
      <c r="C1551" t="s">
        <v>47</v>
      </c>
      <c r="D1551" t="s">
        <v>45</v>
      </c>
      <c r="E1551" t="s">
        <v>45</v>
      </c>
      <c r="F1551" t="s">
        <v>49</v>
      </c>
      <c r="G1551" t="s">
        <v>3269</v>
      </c>
      <c r="H1551" t="s">
        <v>3271</v>
      </c>
      <c r="J1551" t="str">
        <f>HYPERLINK("https://www.youtube.com/watch?v=PE3mRN7gvwo","https://www.youtube.com/watch?v=PE3mRN7gvwo")</f>
        <v>https://www.youtube.com/watch?v=PE3mRN7gvwo</v>
      </c>
      <c r="O1551">
        <v>0</v>
      </c>
      <c r="P1551">
        <v>0</v>
      </c>
      <c r="Q1551">
        <v>0</v>
      </c>
      <c r="S1551">
        <v>0</v>
      </c>
      <c r="T1551">
        <v>0</v>
      </c>
      <c r="U1551">
        <v>0</v>
      </c>
      <c r="W1551" t="s">
        <v>346</v>
      </c>
    </row>
    <row r="1552" spans="1:23" x14ac:dyDescent="0.35">
      <c r="A1552" t="s">
        <v>45</v>
      </c>
      <c r="B1552" t="s">
        <v>3201</v>
      </c>
      <c r="C1552" t="s">
        <v>47</v>
      </c>
      <c r="D1552" t="s">
        <v>3272</v>
      </c>
      <c r="E1552" t="s">
        <v>3272</v>
      </c>
      <c r="F1552" t="s">
        <v>49</v>
      </c>
      <c r="G1552" t="s">
        <v>3273</v>
      </c>
      <c r="H1552" t="s">
        <v>3274</v>
      </c>
      <c r="J1552" t="str">
        <f>HYPERLINK("https://www.youtube.com/watch?v=O1k8n-FuCa8","https://www.youtube.com/watch?v=O1k8n-FuCa8")</f>
        <v>https://www.youtube.com/watch?v=O1k8n-FuCa8</v>
      </c>
      <c r="O1552">
        <v>0</v>
      </c>
      <c r="P1552">
        <v>0</v>
      </c>
      <c r="Q1552">
        <v>0</v>
      </c>
      <c r="S1552">
        <v>0</v>
      </c>
      <c r="T1552">
        <v>0</v>
      </c>
      <c r="U1552">
        <v>0</v>
      </c>
      <c r="W1552" t="s">
        <v>346</v>
      </c>
    </row>
    <row r="1553" spans="1:23" x14ac:dyDescent="0.35">
      <c r="A1553" t="s">
        <v>45</v>
      </c>
      <c r="B1553" t="s">
        <v>3201</v>
      </c>
      <c r="C1553" t="s">
        <v>93</v>
      </c>
      <c r="D1553" t="s">
        <v>2421</v>
      </c>
      <c r="E1553" t="s">
        <v>2422</v>
      </c>
      <c r="F1553" t="s">
        <v>49</v>
      </c>
      <c r="G1553" t="s">
        <v>3275</v>
      </c>
      <c r="H1553" t="s">
        <v>3276</v>
      </c>
      <c r="J1553" t="str">
        <f>HYPERLINK("https://twitter.com/PankajK0055/status/1759834703442645177","https://twitter.com/PankajK0055/status/1759834703442645177")</f>
        <v>https://twitter.com/PankajK0055/status/1759834703442645177</v>
      </c>
      <c r="K1553" t="s">
        <v>67</v>
      </c>
      <c r="O1553">
        <v>0</v>
      </c>
      <c r="P1553">
        <v>0</v>
      </c>
      <c r="Q1553">
        <v>2</v>
      </c>
      <c r="S1553">
        <v>0</v>
      </c>
      <c r="T1553">
        <v>0</v>
      </c>
      <c r="U1553">
        <v>0</v>
      </c>
      <c r="W1553" t="s">
        <v>99</v>
      </c>
    </row>
    <row r="1554" spans="1:23" x14ac:dyDescent="0.35">
      <c r="A1554" t="s">
        <v>45</v>
      </c>
      <c r="B1554" t="s">
        <v>3201</v>
      </c>
      <c r="C1554" t="s">
        <v>93</v>
      </c>
      <c r="D1554" t="s">
        <v>2611</v>
      </c>
      <c r="E1554" t="s">
        <v>2612</v>
      </c>
      <c r="F1554" t="s">
        <v>49</v>
      </c>
      <c r="G1554" t="s">
        <v>3277</v>
      </c>
      <c r="H1554" t="s">
        <v>3278</v>
      </c>
      <c r="J1554" t="str">
        <f>HYPERLINK("https://twitter.com/kumar_ashi86730/status/1759808968119996447","https://twitter.com/kumar_ashi86730/status/1759808968119996447")</f>
        <v>https://twitter.com/kumar_ashi86730/status/1759808968119996447</v>
      </c>
      <c r="K1554" t="s">
        <v>67</v>
      </c>
      <c r="O1554">
        <v>0</v>
      </c>
      <c r="P1554">
        <v>0</v>
      </c>
      <c r="Q1554">
        <v>1</v>
      </c>
      <c r="S1554">
        <v>0</v>
      </c>
      <c r="T1554">
        <v>0</v>
      </c>
      <c r="U1554">
        <v>0</v>
      </c>
      <c r="W1554" t="s">
        <v>99</v>
      </c>
    </row>
    <row r="1555" spans="1:23" x14ac:dyDescent="0.35">
      <c r="A1555" t="s">
        <v>45</v>
      </c>
      <c r="B1555" t="s">
        <v>3201</v>
      </c>
      <c r="C1555" t="s">
        <v>60</v>
      </c>
      <c r="D1555" t="s">
        <v>61</v>
      </c>
      <c r="E1555" t="s">
        <v>61</v>
      </c>
      <c r="F1555" t="s">
        <v>49</v>
      </c>
      <c r="G1555" t="s">
        <v>3279</v>
      </c>
      <c r="H1555" t="s">
        <v>3280</v>
      </c>
      <c r="J1555" t="str">
        <f>HYPERLINK("https://www.facebook.com/634639855377280/posts/794079139433350?comment_id=3695955940633744&amp;reply_comment_id=1675136806352782","https://www.facebook.com/634639855377280/posts/794079139433350?comment_id=3695955940633744&amp;reply_comment_id=1675136806352782")</f>
        <v>https://www.facebook.com/634639855377280/posts/794079139433350?comment_id=3695955940633744&amp;reply_comment_id=1675136806352782</v>
      </c>
      <c r="O1555">
        <v>0</v>
      </c>
      <c r="P1555">
        <v>0</v>
      </c>
      <c r="Q1555">
        <v>0</v>
      </c>
      <c r="S1555">
        <v>0</v>
      </c>
      <c r="T1555">
        <v>0</v>
      </c>
      <c r="U1555">
        <v>0</v>
      </c>
      <c r="W1555" t="s">
        <v>52</v>
      </c>
    </row>
    <row r="1556" spans="1:23" x14ac:dyDescent="0.35">
      <c r="A1556" t="s">
        <v>45</v>
      </c>
      <c r="B1556" t="s">
        <v>3201</v>
      </c>
      <c r="C1556" t="s">
        <v>60</v>
      </c>
      <c r="D1556" t="s">
        <v>64</v>
      </c>
      <c r="E1556" t="s">
        <v>64</v>
      </c>
      <c r="F1556" t="s">
        <v>49</v>
      </c>
      <c r="G1556" t="s">
        <v>100</v>
      </c>
      <c r="H1556" t="s">
        <v>3281</v>
      </c>
      <c r="J1556" t="str">
        <f>HYPERLINK("https://www.facebook.com/634639855377280/posts/794079139433350?comment_id=3695955940633744&amp;reply_comment_id=1320239221988313","https://www.facebook.com/634639855377280/posts/794079139433350?comment_id=3695955940633744&amp;reply_comment_id=1320239221988313")</f>
        <v>https://www.facebook.com/634639855377280/posts/794079139433350?comment_id=3695955940633744&amp;reply_comment_id=1320239221988313</v>
      </c>
      <c r="K1556" t="s">
        <v>67</v>
      </c>
      <c r="O1556">
        <v>0</v>
      </c>
      <c r="P1556">
        <v>0</v>
      </c>
      <c r="Q1556">
        <v>0</v>
      </c>
      <c r="S1556">
        <v>0</v>
      </c>
      <c r="T1556">
        <v>0</v>
      </c>
      <c r="U1556">
        <v>0</v>
      </c>
      <c r="W1556" t="s">
        <v>52</v>
      </c>
    </row>
    <row r="1557" spans="1:23" x14ac:dyDescent="0.35">
      <c r="A1557" t="s">
        <v>45</v>
      </c>
      <c r="B1557" t="s">
        <v>3201</v>
      </c>
      <c r="C1557" t="s">
        <v>93</v>
      </c>
      <c r="D1557" t="s">
        <v>94</v>
      </c>
      <c r="E1557" t="s">
        <v>45</v>
      </c>
      <c r="F1557" t="s">
        <v>49</v>
      </c>
      <c r="G1557" t="s">
        <v>3282</v>
      </c>
      <c r="H1557" t="s">
        <v>3283</v>
      </c>
      <c r="J1557" t="str">
        <f>HYPERLINK("https://twitter.com/SpiceMoneyIndia/status/1759786944651751692","https://twitter.com/SpiceMoneyIndia/status/1759786944651751692")</f>
        <v>https://twitter.com/SpiceMoneyIndia/status/1759786944651751692</v>
      </c>
      <c r="K1557" t="s">
        <v>67</v>
      </c>
      <c r="O1557">
        <v>0</v>
      </c>
      <c r="P1557">
        <v>0</v>
      </c>
      <c r="Q1557">
        <v>6039</v>
      </c>
      <c r="R1557" t="s">
        <v>97</v>
      </c>
      <c r="S1557">
        <v>0</v>
      </c>
      <c r="T1557">
        <v>0</v>
      </c>
      <c r="U1557">
        <v>0</v>
      </c>
      <c r="V1557" t="s">
        <v>98</v>
      </c>
      <c r="W1557" t="s">
        <v>99</v>
      </c>
    </row>
    <row r="1558" spans="1:23" x14ac:dyDescent="0.35">
      <c r="A1558" t="s">
        <v>45</v>
      </c>
      <c r="B1558" t="s">
        <v>3201</v>
      </c>
      <c r="C1558" t="s">
        <v>47</v>
      </c>
      <c r="D1558" t="s">
        <v>68</v>
      </c>
      <c r="E1558" t="s">
        <v>68</v>
      </c>
      <c r="F1558" t="s">
        <v>49</v>
      </c>
      <c r="G1558" t="s">
        <v>492</v>
      </c>
      <c r="H1558" t="s">
        <v>3284</v>
      </c>
      <c r="J1558" t="str">
        <f>HYPERLINK("https://www.youtube.com/watch?v=XJpOhRgEj34&amp;lc=UgwtNvW1ZDqYg_MfsYl4AaABAg.A00-HL-EKvOA01-Rw_S6Ge","https://www.youtube.com/watch?v=XJpOhRgEj34&amp;lc=UgwtNvW1ZDqYg_MfsYl4AaABAg.A00-HL-EKvOA01-Rw_S6Ge")</f>
        <v>https://www.youtube.com/watch?v=XJpOhRgEj34&amp;lc=UgwtNvW1ZDqYg_MfsYl4AaABAg.A00-HL-EKvOA01-Rw_S6Ge</v>
      </c>
      <c r="O1558">
        <v>0</v>
      </c>
      <c r="P1558">
        <v>0</v>
      </c>
      <c r="Q1558">
        <v>0</v>
      </c>
      <c r="S1558">
        <v>0</v>
      </c>
      <c r="T1558">
        <v>0</v>
      </c>
      <c r="U1558">
        <v>0</v>
      </c>
      <c r="W1558" t="s">
        <v>52</v>
      </c>
    </row>
    <row r="1559" spans="1:23" x14ac:dyDescent="0.35">
      <c r="A1559" t="s">
        <v>45</v>
      </c>
      <c r="B1559" t="s">
        <v>3201</v>
      </c>
      <c r="C1559" t="s">
        <v>60</v>
      </c>
      <c r="D1559" t="s">
        <v>61</v>
      </c>
      <c r="E1559" t="s">
        <v>61</v>
      </c>
      <c r="F1559" t="s">
        <v>49</v>
      </c>
      <c r="G1559" t="s">
        <v>3285</v>
      </c>
      <c r="H1559" t="s">
        <v>3286</v>
      </c>
      <c r="J1559" t="str">
        <f>HYPERLINK("https://www.facebook.com/634639855377280/posts/792883919552872?comment_id=403836738964115&amp;reply_comment_id=412741258093840","https://www.facebook.com/634639855377280/posts/792883919552872?comment_id=403836738964115&amp;reply_comment_id=412741258093840")</f>
        <v>https://www.facebook.com/634639855377280/posts/792883919552872?comment_id=403836738964115&amp;reply_comment_id=412741258093840</v>
      </c>
      <c r="O1559">
        <v>0</v>
      </c>
      <c r="P1559">
        <v>0</v>
      </c>
      <c r="Q1559">
        <v>0</v>
      </c>
      <c r="S1559">
        <v>0</v>
      </c>
      <c r="T1559">
        <v>0</v>
      </c>
      <c r="U1559">
        <v>0</v>
      </c>
      <c r="W1559" t="s">
        <v>52</v>
      </c>
    </row>
    <row r="1560" spans="1:23" x14ac:dyDescent="0.35">
      <c r="A1560" t="s">
        <v>45</v>
      </c>
      <c r="B1560" t="s">
        <v>3287</v>
      </c>
      <c r="C1560" t="s">
        <v>47</v>
      </c>
      <c r="D1560" t="s">
        <v>3288</v>
      </c>
      <c r="E1560" t="s">
        <v>3288</v>
      </c>
      <c r="F1560" t="s">
        <v>49</v>
      </c>
      <c r="G1560" t="s">
        <v>3289</v>
      </c>
      <c r="H1560" t="s">
        <v>3290</v>
      </c>
      <c r="J1560" t="str">
        <f>HYPERLINK("https://www.youtube.com/watch?v=XJpOhRgEj34&amp;lc=UgwtNvW1ZDqYg_MfsYl4AaABAg","https://www.youtube.com/watch?v=XJpOhRgEj34&amp;lc=UgwtNvW1ZDqYg_MfsYl4AaABAg")</f>
        <v>https://www.youtube.com/watch?v=XJpOhRgEj34&amp;lc=UgwtNvW1ZDqYg_MfsYl4AaABAg</v>
      </c>
      <c r="O1560">
        <v>0</v>
      </c>
      <c r="P1560">
        <v>0</v>
      </c>
      <c r="Q1560">
        <v>0</v>
      </c>
      <c r="S1560">
        <v>0</v>
      </c>
      <c r="T1560">
        <v>0</v>
      </c>
      <c r="U1560">
        <v>0</v>
      </c>
      <c r="W1560" t="s">
        <v>52</v>
      </c>
    </row>
    <row r="1561" spans="1:23" x14ac:dyDescent="0.35">
      <c r="A1561" t="s">
        <v>45</v>
      </c>
      <c r="B1561" t="s">
        <v>3287</v>
      </c>
      <c r="C1561" t="s">
        <v>93</v>
      </c>
      <c r="D1561" t="s">
        <v>3291</v>
      </c>
      <c r="E1561" t="s">
        <v>3292</v>
      </c>
      <c r="F1561" t="s">
        <v>49</v>
      </c>
      <c r="G1561" t="s">
        <v>3293</v>
      </c>
      <c r="H1561" t="s">
        <v>3294</v>
      </c>
      <c r="J1561" t="str">
        <f>HYPERLINK("https://twitter.com/srupendra33/status/1759571060603961597","https://twitter.com/srupendra33/status/1759571060603961597")</f>
        <v>https://twitter.com/srupendra33/status/1759571060603961597</v>
      </c>
      <c r="K1561" t="s">
        <v>67</v>
      </c>
      <c r="O1561">
        <v>0</v>
      </c>
      <c r="P1561">
        <v>0</v>
      </c>
      <c r="Q1561">
        <v>146</v>
      </c>
      <c r="R1561" t="s">
        <v>3295</v>
      </c>
      <c r="S1561">
        <v>0</v>
      </c>
      <c r="T1561">
        <v>0</v>
      </c>
      <c r="U1561">
        <v>0</v>
      </c>
      <c r="W1561" t="s">
        <v>99</v>
      </c>
    </row>
    <row r="1562" spans="1:23" x14ac:dyDescent="0.35">
      <c r="A1562" t="s">
        <v>45</v>
      </c>
      <c r="B1562" t="s">
        <v>3287</v>
      </c>
      <c r="C1562" t="s">
        <v>60</v>
      </c>
      <c r="D1562" t="s">
        <v>61</v>
      </c>
      <c r="E1562" t="s">
        <v>61</v>
      </c>
      <c r="F1562" t="s">
        <v>49</v>
      </c>
      <c r="G1562" t="s">
        <v>3296</v>
      </c>
      <c r="H1562" t="s">
        <v>3297</v>
      </c>
      <c r="J1562" t="str">
        <f>HYPERLINK("https://www.facebook.com/634639855377280/posts/794079139433350?comment_id=3695955940633744&amp;reply_comment_id=1126746721683101","https://www.facebook.com/634639855377280/posts/794079139433350?comment_id=3695955940633744&amp;reply_comment_id=1126746721683101")</f>
        <v>https://www.facebook.com/634639855377280/posts/794079139433350?comment_id=3695955940633744&amp;reply_comment_id=1126746721683101</v>
      </c>
      <c r="O1562">
        <v>0</v>
      </c>
      <c r="P1562">
        <v>0</v>
      </c>
      <c r="Q1562">
        <v>0</v>
      </c>
      <c r="S1562">
        <v>0</v>
      </c>
      <c r="T1562">
        <v>0</v>
      </c>
      <c r="U1562">
        <v>0</v>
      </c>
      <c r="W1562" t="s">
        <v>52</v>
      </c>
    </row>
    <row r="1563" spans="1:23" x14ac:dyDescent="0.35">
      <c r="A1563" t="s">
        <v>45</v>
      </c>
      <c r="B1563" t="s">
        <v>3287</v>
      </c>
      <c r="C1563" t="s">
        <v>60</v>
      </c>
      <c r="D1563" t="s">
        <v>64</v>
      </c>
      <c r="E1563" t="s">
        <v>64</v>
      </c>
      <c r="F1563" t="s">
        <v>49</v>
      </c>
      <c r="G1563" t="s">
        <v>1715</v>
      </c>
      <c r="H1563" t="s">
        <v>3298</v>
      </c>
      <c r="J1563" t="str">
        <f>HYPERLINK("https://www.facebook.com/634639855377280/posts/792883919552872?comment_id=394942169813282&amp;reply_comment_id=2915236621950144","https://www.facebook.com/634639855377280/posts/792883919552872?comment_id=394942169813282&amp;reply_comment_id=2915236621950144")</f>
        <v>https://www.facebook.com/634639855377280/posts/792883919552872?comment_id=394942169813282&amp;reply_comment_id=2915236621950144</v>
      </c>
      <c r="K1563" t="s">
        <v>67</v>
      </c>
      <c r="O1563">
        <v>0</v>
      </c>
      <c r="P1563">
        <v>0</v>
      </c>
      <c r="Q1563">
        <v>0</v>
      </c>
      <c r="S1563">
        <v>0</v>
      </c>
      <c r="T1563">
        <v>0</v>
      </c>
      <c r="U1563">
        <v>0</v>
      </c>
      <c r="W1563" t="s">
        <v>52</v>
      </c>
    </row>
    <row r="1564" spans="1:23" x14ac:dyDescent="0.35">
      <c r="A1564" t="s">
        <v>45</v>
      </c>
      <c r="B1564" t="s">
        <v>3287</v>
      </c>
      <c r="C1564" t="s">
        <v>60</v>
      </c>
      <c r="D1564" t="s">
        <v>64</v>
      </c>
      <c r="E1564" t="s">
        <v>64</v>
      </c>
      <c r="F1564" t="s">
        <v>49</v>
      </c>
      <c r="G1564" t="s">
        <v>100</v>
      </c>
      <c r="H1564" t="s">
        <v>3299</v>
      </c>
      <c r="J1564" t="str">
        <f>HYPERLINK("https://www.facebook.com/634639855377280/posts/792425026265428?comment_id=1415303495752808&amp;reply_comment_id=1603071116765634","https://www.facebook.com/634639855377280/posts/792425026265428?comment_id=1415303495752808&amp;reply_comment_id=1603071116765634")</f>
        <v>https://www.facebook.com/634639855377280/posts/792425026265428?comment_id=1415303495752808&amp;reply_comment_id=1603071116765634</v>
      </c>
      <c r="K1564" t="s">
        <v>67</v>
      </c>
      <c r="O1564">
        <v>0</v>
      </c>
      <c r="P1564">
        <v>0</v>
      </c>
      <c r="Q1564">
        <v>0</v>
      </c>
      <c r="S1564">
        <v>0</v>
      </c>
      <c r="T1564">
        <v>0</v>
      </c>
      <c r="U1564">
        <v>0</v>
      </c>
      <c r="W1564" t="s">
        <v>52</v>
      </c>
    </row>
    <row r="1565" spans="1:23" x14ac:dyDescent="0.35">
      <c r="A1565" t="s">
        <v>45</v>
      </c>
      <c r="B1565" t="s">
        <v>3287</v>
      </c>
      <c r="C1565" t="s">
        <v>60</v>
      </c>
      <c r="D1565" t="s">
        <v>64</v>
      </c>
      <c r="E1565" t="s">
        <v>64</v>
      </c>
      <c r="F1565" t="s">
        <v>49</v>
      </c>
      <c r="G1565" t="s">
        <v>100</v>
      </c>
      <c r="H1565" t="s">
        <v>3300</v>
      </c>
      <c r="J1565" t="str">
        <f>HYPERLINK("https://www.facebook.com/634639855377280/posts/794079139433350?comment_id=661770702637040&amp;reply_comment_id=716599396950658","https://www.facebook.com/634639855377280/posts/794079139433350?comment_id=661770702637040&amp;reply_comment_id=716599396950658")</f>
        <v>https://www.facebook.com/634639855377280/posts/794079139433350?comment_id=661770702637040&amp;reply_comment_id=716599396950658</v>
      </c>
      <c r="K1565" t="s">
        <v>67</v>
      </c>
      <c r="O1565">
        <v>0</v>
      </c>
      <c r="P1565">
        <v>0</v>
      </c>
      <c r="Q1565">
        <v>0</v>
      </c>
      <c r="S1565">
        <v>0</v>
      </c>
      <c r="T1565">
        <v>0</v>
      </c>
      <c r="U1565">
        <v>0</v>
      </c>
      <c r="W1565" t="s">
        <v>52</v>
      </c>
    </row>
    <row r="1566" spans="1:23" x14ac:dyDescent="0.35">
      <c r="A1566" t="s">
        <v>45</v>
      </c>
      <c r="B1566" t="s">
        <v>3287</v>
      </c>
      <c r="C1566" t="s">
        <v>60</v>
      </c>
      <c r="D1566" t="s">
        <v>64</v>
      </c>
      <c r="E1566" t="s">
        <v>64</v>
      </c>
      <c r="F1566" t="s">
        <v>49</v>
      </c>
      <c r="G1566" t="s">
        <v>1595</v>
      </c>
      <c r="H1566" t="s">
        <v>3301</v>
      </c>
      <c r="J1566" t="str">
        <f>HYPERLINK("https://www.facebook.com/634639855377280/posts/794079139433350?comment_id=1539094783605311&amp;reply_comment_id=757229143008835","https://www.facebook.com/634639855377280/posts/794079139433350?comment_id=1539094783605311&amp;reply_comment_id=757229143008835")</f>
        <v>https://www.facebook.com/634639855377280/posts/794079139433350?comment_id=1539094783605311&amp;reply_comment_id=757229143008835</v>
      </c>
      <c r="K1566" t="s">
        <v>67</v>
      </c>
      <c r="O1566">
        <v>0</v>
      </c>
      <c r="P1566">
        <v>0</v>
      </c>
      <c r="Q1566">
        <v>0</v>
      </c>
      <c r="S1566">
        <v>0</v>
      </c>
      <c r="T1566">
        <v>0</v>
      </c>
      <c r="U1566">
        <v>0</v>
      </c>
      <c r="W1566" t="s">
        <v>52</v>
      </c>
    </row>
    <row r="1567" spans="1:23" x14ac:dyDescent="0.35">
      <c r="A1567" t="s">
        <v>45</v>
      </c>
      <c r="B1567" t="s">
        <v>3287</v>
      </c>
      <c r="C1567" t="s">
        <v>60</v>
      </c>
      <c r="D1567" t="s">
        <v>64</v>
      </c>
      <c r="E1567" t="s">
        <v>64</v>
      </c>
      <c r="F1567" t="s">
        <v>49</v>
      </c>
      <c r="G1567" t="s">
        <v>83</v>
      </c>
      <c r="H1567" t="s">
        <v>3302</v>
      </c>
      <c r="J1567" t="str">
        <f>HYPERLINK("https://www.facebook.com/634639855377280/posts/794079139433350?comment_id=3695955940633744&amp;reply_comment_id=402928992146095","https://www.facebook.com/634639855377280/posts/794079139433350?comment_id=3695955940633744&amp;reply_comment_id=402928992146095")</f>
        <v>https://www.facebook.com/634639855377280/posts/794079139433350?comment_id=3695955940633744&amp;reply_comment_id=402928992146095</v>
      </c>
      <c r="K1567" t="s">
        <v>67</v>
      </c>
      <c r="O1567">
        <v>0</v>
      </c>
      <c r="P1567">
        <v>0</v>
      </c>
      <c r="Q1567">
        <v>0</v>
      </c>
      <c r="S1567">
        <v>0</v>
      </c>
      <c r="T1567">
        <v>0</v>
      </c>
      <c r="U1567">
        <v>0</v>
      </c>
      <c r="W1567" t="s">
        <v>52</v>
      </c>
    </row>
    <row r="1568" spans="1:23" x14ac:dyDescent="0.35">
      <c r="A1568" t="s">
        <v>45</v>
      </c>
      <c r="B1568" t="s">
        <v>3287</v>
      </c>
      <c r="C1568" t="s">
        <v>47</v>
      </c>
      <c r="D1568" t="s">
        <v>3303</v>
      </c>
      <c r="E1568" t="s">
        <v>3303</v>
      </c>
      <c r="F1568" t="s">
        <v>54</v>
      </c>
      <c r="G1568" t="s">
        <v>3304</v>
      </c>
      <c r="H1568" t="s">
        <v>3305</v>
      </c>
      <c r="J1568" t="str">
        <f>HYPERLINK("https://www.youtube.com/watch?v=PYpn83izJR0&amp;lc=UgxeuWaUcDtPuPxQT-p4AaABAg","https://www.youtube.com/watch?v=PYpn83izJR0&amp;lc=UgxeuWaUcDtPuPxQT-p4AaABAg")</f>
        <v>https://www.youtube.com/watch?v=PYpn83izJR0&amp;lc=UgxeuWaUcDtPuPxQT-p4AaABAg</v>
      </c>
      <c r="O1568">
        <v>0</v>
      </c>
      <c r="P1568">
        <v>0</v>
      </c>
      <c r="Q1568">
        <v>0</v>
      </c>
      <c r="S1568">
        <v>0</v>
      </c>
      <c r="T1568">
        <v>0</v>
      </c>
      <c r="U1568">
        <v>0</v>
      </c>
      <c r="W1568" t="s">
        <v>52</v>
      </c>
    </row>
    <row r="1569" spans="1:23" x14ac:dyDescent="0.35">
      <c r="A1569" t="s">
        <v>45</v>
      </c>
      <c r="B1569" t="s">
        <v>3287</v>
      </c>
      <c r="C1569" t="s">
        <v>60</v>
      </c>
      <c r="D1569" t="s">
        <v>61</v>
      </c>
      <c r="E1569" t="s">
        <v>61</v>
      </c>
      <c r="F1569" t="s">
        <v>49</v>
      </c>
      <c r="G1569" t="s">
        <v>3306</v>
      </c>
      <c r="H1569" t="s">
        <v>3307</v>
      </c>
      <c r="J1569" t="str">
        <f>HYPERLINK("https://www.facebook.com/634639855377280/posts/794079139433350?comment_id=3695955940633744","https://www.facebook.com/634639855377280/posts/794079139433350?comment_id=3695955940633744")</f>
        <v>https://www.facebook.com/634639855377280/posts/794079139433350?comment_id=3695955940633744</v>
      </c>
      <c r="O1569">
        <v>0</v>
      </c>
      <c r="P1569">
        <v>0</v>
      </c>
      <c r="Q1569">
        <v>0</v>
      </c>
      <c r="S1569">
        <v>0</v>
      </c>
      <c r="T1569">
        <v>0</v>
      </c>
      <c r="U1569">
        <v>0</v>
      </c>
      <c r="W1569" t="s">
        <v>52</v>
      </c>
    </row>
    <row r="1570" spans="1:23" x14ac:dyDescent="0.35">
      <c r="A1570" t="s">
        <v>45</v>
      </c>
      <c r="B1570" t="s">
        <v>3287</v>
      </c>
      <c r="C1570" t="s">
        <v>47</v>
      </c>
      <c r="D1570" t="s">
        <v>351</v>
      </c>
      <c r="E1570" t="s">
        <v>351</v>
      </c>
      <c r="F1570" t="s">
        <v>49</v>
      </c>
      <c r="G1570" t="s">
        <v>3308</v>
      </c>
      <c r="H1570" t="s">
        <v>3309</v>
      </c>
      <c r="J1570" t="str">
        <f>HYPERLINK("https://www.youtube.com/watch?v=WrAL5FpRNIY&amp;lc=UgwcnPEG6FsVqE-hI4B4AaABAg","https://www.youtube.com/watch?v=WrAL5FpRNIY&amp;lc=UgwcnPEG6FsVqE-hI4B4AaABAg")</f>
        <v>https://www.youtube.com/watch?v=WrAL5FpRNIY&amp;lc=UgwcnPEG6FsVqE-hI4B4AaABAg</v>
      </c>
      <c r="O1570">
        <v>0</v>
      </c>
      <c r="P1570">
        <v>0</v>
      </c>
      <c r="Q1570">
        <v>0</v>
      </c>
      <c r="S1570">
        <v>0</v>
      </c>
      <c r="T1570">
        <v>0</v>
      </c>
      <c r="U1570">
        <v>0</v>
      </c>
      <c r="W1570" t="s">
        <v>52</v>
      </c>
    </row>
    <row r="1571" spans="1:23" x14ac:dyDescent="0.35">
      <c r="A1571" t="s">
        <v>45</v>
      </c>
      <c r="B1571" t="s">
        <v>3287</v>
      </c>
      <c r="C1571" t="s">
        <v>60</v>
      </c>
      <c r="D1571" t="s">
        <v>61</v>
      </c>
      <c r="E1571" t="s">
        <v>61</v>
      </c>
      <c r="F1571" t="s">
        <v>49</v>
      </c>
      <c r="G1571" t="s">
        <v>3310</v>
      </c>
      <c r="H1571" t="s">
        <v>3311</v>
      </c>
      <c r="J1571" t="str">
        <f>HYPERLINK("https://www.facebook.com/634639855377280/posts/794079139433350?comment_id=1539094783605311","https://www.facebook.com/634639855377280/posts/794079139433350?comment_id=1539094783605311")</f>
        <v>https://www.facebook.com/634639855377280/posts/794079139433350?comment_id=1539094783605311</v>
      </c>
      <c r="O1571">
        <v>0</v>
      </c>
      <c r="P1571">
        <v>0</v>
      </c>
      <c r="Q1571">
        <v>0</v>
      </c>
      <c r="S1571">
        <v>0</v>
      </c>
      <c r="T1571">
        <v>0</v>
      </c>
      <c r="U1571">
        <v>0</v>
      </c>
      <c r="W1571" t="s">
        <v>52</v>
      </c>
    </row>
    <row r="1572" spans="1:23" x14ac:dyDescent="0.35">
      <c r="A1572" t="s">
        <v>45</v>
      </c>
      <c r="B1572" t="s">
        <v>3287</v>
      </c>
      <c r="C1572" t="s">
        <v>60</v>
      </c>
      <c r="D1572" t="s">
        <v>61</v>
      </c>
      <c r="E1572" t="s">
        <v>61</v>
      </c>
      <c r="F1572" t="s">
        <v>49</v>
      </c>
      <c r="G1572" t="s">
        <v>3312</v>
      </c>
      <c r="H1572" t="s">
        <v>3313</v>
      </c>
      <c r="J1572" t="str">
        <f>HYPERLINK("https://www.facebook.com/634639855377280/posts/794079139433350?comment_id=661770702637040","https://www.facebook.com/634639855377280/posts/794079139433350?comment_id=661770702637040")</f>
        <v>https://www.facebook.com/634639855377280/posts/794079139433350?comment_id=661770702637040</v>
      </c>
      <c r="O1572">
        <v>0</v>
      </c>
      <c r="P1572">
        <v>0</v>
      </c>
      <c r="Q1572">
        <v>0</v>
      </c>
      <c r="S1572">
        <v>0</v>
      </c>
      <c r="T1572">
        <v>0</v>
      </c>
      <c r="U1572">
        <v>0</v>
      </c>
      <c r="W1572" t="s">
        <v>52</v>
      </c>
    </row>
    <row r="1573" spans="1:23" x14ac:dyDescent="0.35">
      <c r="A1573" t="s">
        <v>45</v>
      </c>
      <c r="B1573" t="s">
        <v>3287</v>
      </c>
      <c r="C1573" t="s">
        <v>93</v>
      </c>
      <c r="D1573" t="s">
        <v>94</v>
      </c>
      <c r="E1573" t="s">
        <v>45</v>
      </c>
      <c r="F1573" t="s">
        <v>49</v>
      </c>
      <c r="G1573" t="s">
        <v>3314</v>
      </c>
      <c r="H1573" t="s">
        <v>3315</v>
      </c>
      <c r="J1573" t="str">
        <f>HYPERLINK("https://twitter.com/SpiceMoneyIndia/status/1759456861974036643","https://twitter.com/SpiceMoneyIndia/status/1759456861974036643")</f>
        <v>https://twitter.com/SpiceMoneyIndia/status/1759456861974036643</v>
      </c>
      <c r="K1573" t="s">
        <v>67</v>
      </c>
      <c r="O1573">
        <v>0</v>
      </c>
      <c r="P1573">
        <v>0</v>
      </c>
      <c r="Q1573">
        <v>6038</v>
      </c>
      <c r="R1573" t="s">
        <v>97</v>
      </c>
      <c r="S1573">
        <v>0</v>
      </c>
      <c r="T1573">
        <v>0</v>
      </c>
      <c r="U1573">
        <v>0</v>
      </c>
      <c r="V1573" t="s">
        <v>98</v>
      </c>
      <c r="W1573" t="s">
        <v>99</v>
      </c>
    </row>
    <row r="1574" spans="1:23" x14ac:dyDescent="0.35">
      <c r="A1574" t="s">
        <v>45</v>
      </c>
      <c r="B1574" t="s">
        <v>3287</v>
      </c>
      <c r="C1574" t="s">
        <v>60</v>
      </c>
      <c r="D1574" t="s">
        <v>64</v>
      </c>
      <c r="E1574" t="s">
        <v>64</v>
      </c>
      <c r="F1574" t="s">
        <v>49</v>
      </c>
      <c r="G1574" t="s">
        <v>3316</v>
      </c>
      <c r="H1574" t="s">
        <v>3317</v>
      </c>
      <c r="J1574" t="str">
        <f>HYPERLINK("https://www.facebook.com/634639855377280/posts/794079139433350","https://www.facebook.com/634639855377280/posts/794079139433350")</f>
        <v>https://www.facebook.com/634639855377280/posts/794079139433350</v>
      </c>
      <c r="O1574">
        <v>0</v>
      </c>
      <c r="P1574">
        <v>0</v>
      </c>
      <c r="Q1574">
        <v>0</v>
      </c>
      <c r="S1574">
        <v>4</v>
      </c>
      <c r="T1574">
        <v>28</v>
      </c>
      <c r="U1574">
        <v>0</v>
      </c>
      <c r="W1574" t="s">
        <v>346</v>
      </c>
    </row>
    <row r="1575" spans="1:23" x14ac:dyDescent="0.35">
      <c r="A1575" t="s">
        <v>45</v>
      </c>
      <c r="B1575" t="s">
        <v>3287</v>
      </c>
      <c r="C1575" t="s">
        <v>47</v>
      </c>
      <c r="D1575" t="s">
        <v>45</v>
      </c>
      <c r="E1575" t="s">
        <v>45</v>
      </c>
      <c r="F1575" t="s">
        <v>49</v>
      </c>
      <c r="G1575" t="s">
        <v>3318</v>
      </c>
      <c r="H1575" t="s">
        <v>3319</v>
      </c>
      <c r="J1575" t="str">
        <f>HYPERLINK("https://www.youtube.com/watch?v=PYpn83izJR0","https://www.youtube.com/watch?v=PYpn83izJR0")</f>
        <v>https://www.youtube.com/watch?v=PYpn83izJR0</v>
      </c>
      <c r="O1575">
        <v>0</v>
      </c>
      <c r="P1575">
        <v>0</v>
      </c>
      <c r="Q1575">
        <v>0</v>
      </c>
      <c r="S1575">
        <v>0</v>
      </c>
      <c r="T1575">
        <v>0</v>
      </c>
      <c r="U1575">
        <v>0</v>
      </c>
      <c r="W1575" t="s">
        <v>346</v>
      </c>
    </row>
    <row r="1576" spans="1:23" x14ac:dyDescent="0.35">
      <c r="A1576" t="s">
        <v>45</v>
      </c>
      <c r="B1576" t="s">
        <v>3287</v>
      </c>
      <c r="C1576" t="s">
        <v>47</v>
      </c>
      <c r="D1576" t="s">
        <v>45</v>
      </c>
      <c r="E1576" t="s">
        <v>45</v>
      </c>
      <c r="F1576" t="s">
        <v>49</v>
      </c>
      <c r="G1576" t="s">
        <v>3318</v>
      </c>
      <c r="H1576" t="s">
        <v>3320</v>
      </c>
      <c r="J1576" t="str">
        <f>HYPERLINK("https://www.youtube.com/watch?v=PYpn83izJR0","https://www.youtube.com/watch?v=PYpn83izJR0")</f>
        <v>https://www.youtube.com/watch?v=PYpn83izJR0</v>
      </c>
      <c r="O1576">
        <v>0</v>
      </c>
      <c r="P1576">
        <v>0</v>
      </c>
      <c r="Q1576">
        <v>0</v>
      </c>
      <c r="S1576">
        <v>0</v>
      </c>
      <c r="T1576">
        <v>0</v>
      </c>
      <c r="U1576">
        <v>0</v>
      </c>
      <c r="W1576" t="s">
        <v>346</v>
      </c>
    </row>
    <row r="1577" spans="1:23" x14ac:dyDescent="0.35">
      <c r="A1577" t="s">
        <v>45</v>
      </c>
      <c r="B1577" t="s">
        <v>3287</v>
      </c>
      <c r="C1577" t="s">
        <v>60</v>
      </c>
      <c r="D1577" t="s">
        <v>61</v>
      </c>
      <c r="E1577" t="s">
        <v>61</v>
      </c>
      <c r="F1577" t="s">
        <v>49</v>
      </c>
      <c r="G1577" t="s">
        <v>3321</v>
      </c>
      <c r="H1577" t="s">
        <v>3322</v>
      </c>
      <c r="J1577" t="str">
        <f>HYPERLINK("https://www.facebook.com/634639855377280/posts/792425026265428?comment_id=1415303495752808","https://www.facebook.com/634639855377280/posts/792425026265428?comment_id=1415303495752808")</f>
        <v>https://www.facebook.com/634639855377280/posts/792425026265428?comment_id=1415303495752808</v>
      </c>
      <c r="O1577">
        <v>0</v>
      </c>
      <c r="P1577">
        <v>0</v>
      </c>
      <c r="Q1577">
        <v>0</v>
      </c>
      <c r="S1577">
        <v>0</v>
      </c>
      <c r="T1577">
        <v>0</v>
      </c>
      <c r="U1577">
        <v>0</v>
      </c>
      <c r="W1577" t="s">
        <v>52</v>
      </c>
    </row>
    <row r="1578" spans="1:23" x14ac:dyDescent="0.35">
      <c r="A1578" t="s">
        <v>45</v>
      </c>
      <c r="B1578" t="s">
        <v>3287</v>
      </c>
      <c r="C1578" t="s">
        <v>93</v>
      </c>
      <c r="D1578" t="s">
        <v>94</v>
      </c>
      <c r="E1578" t="s">
        <v>45</v>
      </c>
      <c r="F1578" t="s">
        <v>49</v>
      </c>
      <c r="G1578" t="s">
        <v>3323</v>
      </c>
      <c r="H1578" t="s">
        <v>3324</v>
      </c>
      <c r="J1578" t="str">
        <f>HYPERLINK("https://twitter.com/SpiceMoneyIndia/status/1759429337596506514","https://twitter.com/SpiceMoneyIndia/status/1759429337596506514")</f>
        <v>https://twitter.com/SpiceMoneyIndia/status/1759429337596506514</v>
      </c>
      <c r="K1578" t="s">
        <v>67</v>
      </c>
      <c r="O1578">
        <v>0</v>
      </c>
      <c r="P1578">
        <v>0</v>
      </c>
      <c r="Q1578">
        <v>6038</v>
      </c>
      <c r="R1578" t="s">
        <v>97</v>
      </c>
      <c r="S1578">
        <v>0</v>
      </c>
      <c r="T1578">
        <v>0</v>
      </c>
      <c r="U1578">
        <v>0</v>
      </c>
      <c r="V1578" t="s">
        <v>98</v>
      </c>
      <c r="W1578" t="s">
        <v>99</v>
      </c>
    </row>
    <row r="1579" spans="1:23" x14ac:dyDescent="0.35">
      <c r="A1579" t="s">
        <v>45</v>
      </c>
      <c r="B1579" t="s">
        <v>3287</v>
      </c>
      <c r="C1579" t="s">
        <v>93</v>
      </c>
      <c r="D1579" t="s">
        <v>94</v>
      </c>
      <c r="E1579" t="s">
        <v>45</v>
      </c>
      <c r="F1579" t="s">
        <v>49</v>
      </c>
      <c r="G1579" t="s">
        <v>3231</v>
      </c>
      <c r="H1579" t="s">
        <v>3325</v>
      </c>
      <c r="J1579" t="str">
        <f>HYPERLINK("https://twitter.com/SpiceMoneyIndia/status/1759428391269278055","https://twitter.com/SpiceMoneyIndia/status/1759428391269278055")</f>
        <v>https://twitter.com/SpiceMoneyIndia/status/1759428391269278055</v>
      </c>
      <c r="K1579" t="s">
        <v>67</v>
      </c>
      <c r="O1579">
        <v>0</v>
      </c>
      <c r="P1579">
        <v>0</v>
      </c>
      <c r="Q1579">
        <v>6038</v>
      </c>
      <c r="R1579" t="s">
        <v>97</v>
      </c>
      <c r="S1579">
        <v>0</v>
      </c>
      <c r="T1579">
        <v>0</v>
      </c>
      <c r="U1579">
        <v>0</v>
      </c>
      <c r="V1579" t="s">
        <v>98</v>
      </c>
      <c r="W1579" t="s">
        <v>99</v>
      </c>
    </row>
    <row r="1580" spans="1:23" x14ac:dyDescent="0.35">
      <c r="A1580" t="s">
        <v>45</v>
      </c>
      <c r="B1580" t="s">
        <v>3287</v>
      </c>
      <c r="C1580" t="s">
        <v>60</v>
      </c>
      <c r="D1580" t="s">
        <v>61</v>
      </c>
      <c r="E1580" t="s">
        <v>61</v>
      </c>
      <c r="F1580" t="s">
        <v>49</v>
      </c>
      <c r="G1580" t="s">
        <v>3326</v>
      </c>
      <c r="H1580" t="s">
        <v>3327</v>
      </c>
      <c r="J1580" t="str">
        <f>HYPERLINK("https://www.facebook.com/634639855377280/posts/792883919552872?comment_id=403836738964115","https://www.facebook.com/634639855377280/posts/792883919552872?comment_id=403836738964115")</f>
        <v>https://www.facebook.com/634639855377280/posts/792883919552872?comment_id=403836738964115</v>
      </c>
      <c r="O1580">
        <v>0</v>
      </c>
      <c r="P1580">
        <v>0</v>
      </c>
      <c r="Q1580">
        <v>0</v>
      </c>
      <c r="S1580">
        <v>0</v>
      </c>
      <c r="T1580">
        <v>0</v>
      </c>
      <c r="U1580">
        <v>0</v>
      </c>
      <c r="W1580" t="s">
        <v>52</v>
      </c>
    </row>
    <row r="1581" spans="1:23" x14ac:dyDescent="0.35">
      <c r="A1581" t="s">
        <v>45</v>
      </c>
      <c r="B1581" t="s">
        <v>3287</v>
      </c>
      <c r="C1581" t="s">
        <v>60</v>
      </c>
      <c r="D1581" t="s">
        <v>61</v>
      </c>
      <c r="E1581" t="s">
        <v>61</v>
      </c>
      <c r="F1581" t="s">
        <v>49</v>
      </c>
      <c r="G1581" t="s">
        <v>3328</v>
      </c>
      <c r="H1581" t="s">
        <v>3329</v>
      </c>
      <c r="J1581" t="str">
        <f>HYPERLINK("https://www.facebook.com/634639855377280/posts/792883919552872?comment_id=394942169813282","https://www.facebook.com/634639855377280/posts/792883919552872?comment_id=394942169813282")</f>
        <v>https://www.facebook.com/634639855377280/posts/792883919552872?comment_id=394942169813282</v>
      </c>
      <c r="O1581">
        <v>0</v>
      </c>
      <c r="P1581">
        <v>0</v>
      </c>
      <c r="Q1581">
        <v>0</v>
      </c>
      <c r="S1581">
        <v>0</v>
      </c>
      <c r="T1581">
        <v>0</v>
      </c>
      <c r="U1581">
        <v>0</v>
      </c>
      <c r="W1581" t="s">
        <v>52</v>
      </c>
    </row>
    <row r="1582" spans="1:23" x14ac:dyDescent="0.35">
      <c r="A1582" t="s">
        <v>45</v>
      </c>
      <c r="B1582" t="s">
        <v>3287</v>
      </c>
      <c r="C1582" t="s">
        <v>60</v>
      </c>
      <c r="D1582" t="s">
        <v>64</v>
      </c>
      <c r="E1582" t="s">
        <v>64</v>
      </c>
      <c r="F1582" t="s">
        <v>49</v>
      </c>
      <c r="G1582" t="s">
        <v>83</v>
      </c>
      <c r="H1582" t="s">
        <v>3330</v>
      </c>
      <c r="J1582" t="str">
        <f>HYPERLINK("https://www.facebook.com/634639855377280/posts/792883919552872?comment_id=770025167848098&amp;reply_comment_id=1121988432484491","https://www.facebook.com/634639855377280/posts/792883919552872?comment_id=770025167848098&amp;reply_comment_id=1121988432484491")</f>
        <v>https://www.facebook.com/634639855377280/posts/792883919552872?comment_id=770025167848098&amp;reply_comment_id=1121988432484491</v>
      </c>
      <c r="K1582" t="s">
        <v>67</v>
      </c>
      <c r="O1582">
        <v>0</v>
      </c>
      <c r="P1582">
        <v>0</v>
      </c>
      <c r="Q1582">
        <v>0</v>
      </c>
      <c r="S1582">
        <v>0</v>
      </c>
      <c r="T1582">
        <v>0</v>
      </c>
      <c r="U1582">
        <v>0</v>
      </c>
      <c r="W1582" t="s">
        <v>52</v>
      </c>
    </row>
    <row r="1583" spans="1:23" x14ac:dyDescent="0.35">
      <c r="A1583" t="s">
        <v>45</v>
      </c>
      <c r="B1583" t="s">
        <v>3287</v>
      </c>
      <c r="C1583" t="s">
        <v>60</v>
      </c>
      <c r="D1583" t="s">
        <v>64</v>
      </c>
      <c r="E1583" t="s">
        <v>64</v>
      </c>
      <c r="F1583" t="s">
        <v>49</v>
      </c>
      <c r="G1583" t="s">
        <v>268</v>
      </c>
      <c r="H1583" t="s">
        <v>3331</v>
      </c>
      <c r="J1583" t="str">
        <f>HYPERLINK("https://www.facebook.com/634639855377280/posts/792425026265428?comment_id=717767520347219&amp;reply_comment_id=962372175459305","https://www.facebook.com/634639855377280/posts/792425026265428?comment_id=717767520347219&amp;reply_comment_id=962372175459305")</f>
        <v>https://www.facebook.com/634639855377280/posts/792425026265428?comment_id=717767520347219&amp;reply_comment_id=962372175459305</v>
      </c>
      <c r="K1583" t="s">
        <v>67</v>
      </c>
      <c r="O1583">
        <v>0</v>
      </c>
      <c r="P1583">
        <v>0</v>
      </c>
      <c r="Q1583">
        <v>0</v>
      </c>
      <c r="S1583">
        <v>0</v>
      </c>
      <c r="T1583">
        <v>0</v>
      </c>
      <c r="U1583">
        <v>0</v>
      </c>
      <c r="W1583" t="s">
        <v>52</v>
      </c>
    </row>
    <row r="1584" spans="1:23" x14ac:dyDescent="0.35">
      <c r="A1584" t="s">
        <v>45</v>
      </c>
      <c r="B1584" t="s">
        <v>3287</v>
      </c>
      <c r="C1584" t="s">
        <v>93</v>
      </c>
      <c r="D1584" t="s">
        <v>2939</v>
      </c>
      <c r="E1584" t="s">
        <v>2940</v>
      </c>
      <c r="F1584" t="s">
        <v>49</v>
      </c>
      <c r="G1584" t="s">
        <v>3332</v>
      </c>
      <c r="H1584" t="s">
        <v>3333</v>
      </c>
      <c r="J1584" t="str">
        <f>HYPERLINK("https://twitter.com/amandwi39776875/status/1759395069474287634","https://twitter.com/amandwi39776875/status/1759395069474287634")</f>
        <v>https://twitter.com/amandwi39776875/status/1759395069474287634</v>
      </c>
      <c r="O1584">
        <v>0</v>
      </c>
      <c r="P1584">
        <v>0</v>
      </c>
      <c r="Q1584">
        <v>114</v>
      </c>
      <c r="R1584" t="s">
        <v>2943</v>
      </c>
      <c r="S1584">
        <v>0</v>
      </c>
      <c r="T1584">
        <v>0</v>
      </c>
      <c r="U1584">
        <v>0</v>
      </c>
      <c r="W1584" t="s">
        <v>99</v>
      </c>
    </row>
    <row r="1585" spans="1:23" x14ac:dyDescent="0.35">
      <c r="A1585" t="s">
        <v>45</v>
      </c>
      <c r="B1585" t="s">
        <v>3334</v>
      </c>
      <c r="C1585" t="s">
        <v>47</v>
      </c>
      <c r="D1585" t="s">
        <v>3335</v>
      </c>
      <c r="E1585" t="s">
        <v>3335</v>
      </c>
      <c r="F1585" t="s">
        <v>49</v>
      </c>
      <c r="G1585" t="s">
        <v>3336</v>
      </c>
      <c r="H1585" t="s">
        <v>3337</v>
      </c>
      <c r="J1585" t="str">
        <f>HYPERLINK("https://www.youtube.com/watch?v=EsUMqWuvYA8&amp;lc=UgwrDPpYeDz1jwTzD1h4AaABAg","https://www.youtube.com/watch?v=EsUMqWuvYA8&amp;lc=UgwrDPpYeDz1jwTzD1h4AaABAg")</f>
        <v>https://www.youtube.com/watch?v=EsUMqWuvYA8&amp;lc=UgwrDPpYeDz1jwTzD1h4AaABAg</v>
      </c>
      <c r="O1585">
        <v>0</v>
      </c>
      <c r="P1585">
        <v>0</v>
      </c>
      <c r="Q1585">
        <v>0</v>
      </c>
      <c r="S1585">
        <v>0</v>
      </c>
      <c r="T1585">
        <v>0</v>
      </c>
      <c r="U1585">
        <v>0</v>
      </c>
      <c r="W1585" t="s">
        <v>52</v>
      </c>
    </row>
    <row r="1586" spans="1:23" x14ac:dyDescent="0.35">
      <c r="A1586" t="s">
        <v>45</v>
      </c>
      <c r="B1586" t="s">
        <v>3334</v>
      </c>
      <c r="C1586" t="s">
        <v>60</v>
      </c>
      <c r="D1586" t="s">
        <v>61</v>
      </c>
      <c r="E1586" t="s">
        <v>61</v>
      </c>
      <c r="F1586" t="s">
        <v>49</v>
      </c>
      <c r="G1586" t="s">
        <v>3338</v>
      </c>
      <c r="H1586" t="s">
        <v>3339</v>
      </c>
      <c r="J1586" t="str">
        <f>HYPERLINK("https://www.facebook.com/634639855377280/posts/792425026265428?comment_id=717767520347219","https://www.facebook.com/634639855377280/posts/792425026265428?comment_id=717767520347219")</f>
        <v>https://www.facebook.com/634639855377280/posts/792425026265428?comment_id=717767520347219</v>
      </c>
      <c r="O1586">
        <v>0</v>
      </c>
      <c r="P1586">
        <v>0</v>
      </c>
      <c r="Q1586">
        <v>0</v>
      </c>
      <c r="S1586">
        <v>0</v>
      </c>
      <c r="T1586">
        <v>0</v>
      </c>
      <c r="U1586">
        <v>0</v>
      </c>
      <c r="W1586" t="s">
        <v>52</v>
      </c>
    </row>
    <row r="1587" spans="1:23" x14ac:dyDescent="0.35">
      <c r="A1587" t="s">
        <v>45</v>
      </c>
      <c r="B1587" t="s">
        <v>3334</v>
      </c>
      <c r="C1587" t="s">
        <v>60</v>
      </c>
      <c r="D1587" t="s">
        <v>61</v>
      </c>
      <c r="E1587" t="s">
        <v>61</v>
      </c>
      <c r="F1587" t="s">
        <v>49</v>
      </c>
      <c r="G1587" t="s">
        <v>3340</v>
      </c>
      <c r="H1587" t="s">
        <v>3341</v>
      </c>
      <c r="J1587" t="str">
        <f>HYPERLINK("https://www.facebook.com/634639855377280/posts/792883919552872?comment_id=770025167848098","https://www.facebook.com/634639855377280/posts/792883919552872?comment_id=770025167848098")</f>
        <v>https://www.facebook.com/634639855377280/posts/792883919552872?comment_id=770025167848098</v>
      </c>
      <c r="O1587">
        <v>0</v>
      </c>
      <c r="P1587">
        <v>0</v>
      </c>
      <c r="Q1587">
        <v>0</v>
      </c>
      <c r="S1587">
        <v>0</v>
      </c>
      <c r="T1587">
        <v>0</v>
      </c>
      <c r="U1587">
        <v>0</v>
      </c>
      <c r="W1587" t="s">
        <v>52</v>
      </c>
    </row>
    <row r="1588" spans="1:23" x14ac:dyDescent="0.35">
      <c r="A1588" t="s">
        <v>45</v>
      </c>
      <c r="B1588" t="s">
        <v>3334</v>
      </c>
      <c r="C1588" t="s">
        <v>60</v>
      </c>
      <c r="D1588" t="s">
        <v>64</v>
      </c>
      <c r="E1588" t="s">
        <v>64</v>
      </c>
      <c r="F1588" t="s">
        <v>49</v>
      </c>
      <c r="G1588" t="s">
        <v>83</v>
      </c>
      <c r="H1588" t="s">
        <v>3342</v>
      </c>
      <c r="J1588" t="str">
        <f>HYPERLINK("https://www.facebook.com/634639855377280/posts/792425026265428?comment_id=285835747854636&amp;reply_comment_id=921195509641635","https://www.facebook.com/634639855377280/posts/792425026265428?comment_id=285835747854636&amp;reply_comment_id=921195509641635")</f>
        <v>https://www.facebook.com/634639855377280/posts/792425026265428?comment_id=285835747854636&amp;reply_comment_id=921195509641635</v>
      </c>
      <c r="K1588" t="s">
        <v>67</v>
      </c>
      <c r="O1588">
        <v>0</v>
      </c>
      <c r="P1588">
        <v>0</v>
      </c>
      <c r="Q1588">
        <v>0</v>
      </c>
      <c r="S1588">
        <v>0</v>
      </c>
      <c r="T1588">
        <v>0</v>
      </c>
      <c r="U1588">
        <v>0</v>
      </c>
      <c r="W1588" t="s">
        <v>52</v>
      </c>
    </row>
    <row r="1589" spans="1:23" x14ac:dyDescent="0.35">
      <c r="A1589" t="s">
        <v>45</v>
      </c>
      <c r="B1589" t="s">
        <v>3334</v>
      </c>
      <c r="C1589" t="s">
        <v>60</v>
      </c>
      <c r="D1589" t="s">
        <v>64</v>
      </c>
      <c r="E1589" t="s">
        <v>64</v>
      </c>
      <c r="F1589" t="s">
        <v>49</v>
      </c>
      <c r="G1589" t="s">
        <v>3343</v>
      </c>
      <c r="H1589" t="s">
        <v>3344</v>
      </c>
      <c r="J1589" t="str">
        <f>HYPERLINK("https://www.facebook.com/634639855377280/posts/792425026265428?comment_id=3553796218266659&amp;reply_comment_id=410227885017527","https://www.facebook.com/634639855377280/posts/792425026265428?comment_id=3553796218266659&amp;reply_comment_id=410227885017527")</f>
        <v>https://www.facebook.com/634639855377280/posts/792425026265428?comment_id=3553796218266659&amp;reply_comment_id=410227885017527</v>
      </c>
      <c r="K1589" t="s">
        <v>67</v>
      </c>
      <c r="O1589">
        <v>0</v>
      </c>
      <c r="P1589">
        <v>0</v>
      </c>
      <c r="Q1589">
        <v>0</v>
      </c>
      <c r="S1589">
        <v>0</v>
      </c>
      <c r="T1589">
        <v>0</v>
      </c>
      <c r="U1589">
        <v>0</v>
      </c>
      <c r="W1589" t="s">
        <v>52</v>
      </c>
    </row>
    <row r="1590" spans="1:23" x14ac:dyDescent="0.35">
      <c r="A1590" t="s">
        <v>45</v>
      </c>
      <c r="B1590" t="s">
        <v>3334</v>
      </c>
      <c r="C1590" t="s">
        <v>60</v>
      </c>
      <c r="D1590" t="s">
        <v>64</v>
      </c>
      <c r="E1590" t="s">
        <v>64</v>
      </c>
      <c r="F1590" t="s">
        <v>49</v>
      </c>
      <c r="G1590" t="s">
        <v>3345</v>
      </c>
      <c r="H1590" t="s">
        <v>3346</v>
      </c>
      <c r="J1590" t="str">
        <f>HYPERLINK("https://www.facebook.com/634639855377280/posts/791004233074174?comment_id=1436861583609303&amp;reply_comment_id=411395187929385","https://www.facebook.com/634639855377280/posts/791004233074174?comment_id=1436861583609303&amp;reply_comment_id=411395187929385")</f>
        <v>https://www.facebook.com/634639855377280/posts/791004233074174?comment_id=1436861583609303&amp;reply_comment_id=411395187929385</v>
      </c>
      <c r="K1590" t="s">
        <v>67</v>
      </c>
      <c r="O1590">
        <v>0</v>
      </c>
      <c r="P1590">
        <v>0</v>
      </c>
      <c r="Q1590">
        <v>0</v>
      </c>
      <c r="S1590">
        <v>0</v>
      </c>
      <c r="T1590">
        <v>0</v>
      </c>
      <c r="U1590">
        <v>0</v>
      </c>
      <c r="W1590" t="s">
        <v>52</v>
      </c>
    </row>
    <row r="1591" spans="1:23" x14ac:dyDescent="0.35">
      <c r="A1591" t="s">
        <v>45</v>
      </c>
      <c r="B1591" t="s">
        <v>3334</v>
      </c>
      <c r="C1591" t="s">
        <v>60</v>
      </c>
      <c r="D1591" t="s">
        <v>61</v>
      </c>
      <c r="E1591" t="s">
        <v>61</v>
      </c>
      <c r="F1591" t="s">
        <v>49</v>
      </c>
      <c r="G1591" t="s">
        <v>3347</v>
      </c>
      <c r="H1591" t="s">
        <v>3348</v>
      </c>
      <c r="J1591" t="str">
        <f>HYPERLINK("https://www.facebook.com/634639855377280/posts/792425026265428?comment_id=3553796218266659","https://www.facebook.com/634639855377280/posts/792425026265428?comment_id=3553796218266659")</f>
        <v>https://www.facebook.com/634639855377280/posts/792425026265428?comment_id=3553796218266659</v>
      </c>
      <c r="O1591">
        <v>0</v>
      </c>
      <c r="P1591">
        <v>0</v>
      </c>
      <c r="Q1591">
        <v>0</v>
      </c>
      <c r="S1591">
        <v>0</v>
      </c>
      <c r="T1591">
        <v>0</v>
      </c>
      <c r="U1591">
        <v>0</v>
      </c>
      <c r="W1591" t="s">
        <v>52</v>
      </c>
    </row>
    <row r="1592" spans="1:23" x14ac:dyDescent="0.35">
      <c r="A1592" t="s">
        <v>45</v>
      </c>
      <c r="B1592" t="s">
        <v>3334</v>
      </c>
      <c r="C1592" t="s">
        <v>60</v>
      </c>
      <c r="D1592" t="s">
        <v>61</v>
      </c>
      <c r="E1592" t="s">
        <v>61</v>
      </c>
      <c r="F1592" t="s">
        <v>49</v>
      </c>
      <c r="G1592" t="s">
        <v>3349</v>
      </c>
      <c r="H1592" t="s">
        <v>3350</v>
      </c>
      <c r="J1592" t="str">
        <f>HYPERLINK("https://www.facebook.com/634639855377280/posts/792425026265428?comment_id=285835747854636","https://www.facebook.com/634639855377280/posts/792425026265428?comment_id=285835747854636")</f>
        <v>https://www.facebook.com/634639855377280/posts/792425026265428?comment_id=285835747854636</v>
      </c>
      <c r="O1592">
        <v>0</v>
      </c>
      <c r="P1592">
        <v>0</v>
      </c>
      <c r="Q1592">
        <v>0</v>
      </c>
      <c r="S1592">
        <v>0</v>
      </c>
      <c r="T1592">
        <v>0</v>
      </c>
      <c r="U1592">
        <v>0</v>
      </c>
      <c r="W1592" t="s">
        <v>52</v>
      </c>
    </row>
    <row r="1593" spans="1:23" x14ac:dyDescent="0.35">
      <c r="A1593" t="s">
        <v>45</v>
      </c>
      <c r="B1593" t="s">
        <v>3334</v>
      </c>
      <c r="C1593" t="s">
        <v>93</v>
      </c>
      <c r="D1593" t="s">
        <v>94</v>
      </c>
      <c r="E1593" t="s">
        <v>45</v>
      </c>
      <c r="F1593" t="s">
        <v>49</v>
      </c>
      <c r="G1593" t="s">
        <v>3351</v>
      </c>
      <c r="H1593" t="s">
        <v>3352</v>
      </c>
      <c r="J1593" t="str">
        <f>HYPERLINK("https://twitter.com/SpiceMoneyIndia/status/1759157611969028186","https://twitter.com/SpiceMoneyIndia/status/1759157611969028186")</f>
        <v>https://twitter.com/SpiceMoneyIndia/status/1759157611969028186</v>
      </c>
      <c r="K1593" t="s">
        <v>67</v>
      </c>
      <c r="O1593">
        <v>0</v>
      </c>
      <c r="P1593">
        <v>0</v>
      </c>
      <c r="Q1593">
        <v>6037</v>
      </c>
      <c r="R1593" t="s">
        <v>97</v>
      </c>
      <c r="S1593">
        <v>0</v>
      </c>
      <c r="T1593">
        <v>0</v>
      </c>
      <c r="U1593">
        <v>0</v>
      </c>
      <c r="V1593" t="s">
        <v>98</v>
      </c>
      <c r="W1593" t="s">
        <v>99</v>
      </c>
    </row>
    <row r="1594" spans="1:23" x14ac:dyDescent="0.35">
      <c r="A1594" t="s">
        <v>45</v>
      </c>
      <c r="B1594" t="s">
        <v>3334</v>
      </c>
      <c r="C1594" t="s">
        <v>93</v>
      </c>
      <c r="D1594" t="s">
        <v>3353</v>
      </c>
      <c r="E1594" t="s">
        <v>3354</v>
      </c>
      <c r="F1594" t="s">
        <v>49</v>
      </c>
      <c r="G1594" t="s">
        <v>3355</v>
      </c>
      <c r="H1594" t="s">
        <v>3356</v>
      </c>
      <c r="J1594" t="str">
        <f>HYPERLINK("https://twitter.com/desiboy973/status/1759130247520522269","https://twitter.com/desiboy973/status/1759130247520522269")</f>
        <v>https://twitter.com/desiboy973/status/1759130247520522269</v>
      </c>
      <c r="K1594" t="s">
        <v>67</v>
      </c>
      <c r="O1594">
        <v>0</v>
      </c>
      <c r="P1594">
        <v>0</v>
      </c>
      <c r="Q1594">
        <v>0</v>
      </c>
      <c r="S1594">
        <v>0</v>
      </c>
      <c r="T1594">
        <v>0</v>
      </c>
      <c r="U1594">
        <v>0</v>
      </c>
      <c r="W1594" t="s">
        <v>99</v>
      </c>
    </row>
    <row r="1595" spans="1:23" x14ac:dyDescent="0.35">
      <c r="A1595" t="s">
        <v>45</v>
      </c>
      <c r="B1595" t="s">
        <v>3334</v>
      </c>
      <c r="C1595" t="s">
        <v>60</v>
      </c>
      <c r="D1595" t="s">
        <v>64</v>
      </c>
      <c r="E1595" t="s">
        <v>64</v>
      </c>
      <c r="F1595" t="s">
        <v>49</v>
      </c>
      <c r="G1595" t="s">
        <v>3357</v>
      </c>
      <c r="H1595" t="s">
        <v>3358</v>
      </c>
      <c r="J1595" t="str">
        <f>HYPERLINK("https://www.facebook.com/634639855377280/posts/792883919552872?comment_id=305724058796842&amp;reply_comment_id=1417279852483530","https://www.facebook.com/634639855377280/posts/792883919552872?comment_id=305724058796842&amp;reply_comment_id=1417279852483530")</f>
        <v>https://www.facebook.com/634639855377280/posts/792883919552872?comment_id=305724058796842&amp;reply_comment_id=1417279852483530</v>
      </c>
      <c r="K1595" t="s">
        <v>67</v>
      </c>
      <c r="O1595">
        <v>0</v>
      </c>
      <c r="P1595">
        <v>0</v>
      </c>
      <c r="Q1595">
        <v>0</v>
      </c>
      <c r="S1595">
        <v>0</v>
      </c>
      <c r="T1595">
        <v>0</v>
      </c>
      <c r="U1595">
        <v>0</v>
      </c>
      <c r="W1595" t="s">
        <v>52</v>
      </c>
    </row>
    <row r="1596" spans="1:23" x14ac:dyDescent="0.35">
      <c r="A1596" t="s">
        <v>45</v>
      </c>
      <c r="B1596" t="s">
        <v>3334</v>
      </c>
      <c r="C1596" t="s">
        <v>47</v>
      </c>
      <c r="D1596" t="s">
        <v>68</v>
      </c>
      <c r="E1596" t="s">
        <v>68</v>
      </c>
      <c r="F1596" t="s">
        <v>49</v>
      </c>
      <c r="G1596" t="s">
        <v>3359</v>
      </c>
      <c r="H1596" t="s">
        <v>3360</v>
      </c>
      <c r="J1596" t="str">
        <f>HYPERLINK("https://www.youtube.com/watch?v=4Zg3zYPaGiw&amp;lc=Ugxl8UEMJShAvAzAhV94AaABAg.A-vIIEsr7T1A-xL7QqJQGh","https://www.youtube.com/watch?v=4Zg3zYPaGiw&amp;lc=Ugxl8UEMJShAvAzAhV94AaABAg.A-vIIEsr7T1A-xL7QqJQGh")</f>
        <v>https://www.youtube.com/watch?v=4Zg3zYPaGiw&amp;lc=Ugxl8UEMJShAvAzAhV94AaABAg.A-vIIEsr7T1A-xL7QqJQGh</v>
      </c>
      <c r="O1596">
        <v>0</v>
      </c>
      <c r="P1596">
        <v>0</v>
      </c>
      <c r="Q1596">
        <v>0</v>
      </c>
      <c r="S1596">
        <v>0</v>
      </c>
      <c r="T1596">
        <v>0</v>
      </c>
      <c r="U1596">
        <v>0</v>
      </c>
      <c r="W1596" t="s">
        <v>52</v>
      </c>
    </row>
    <row r="1597" spans="1:23" x14ac:dyDescent="0.35">
      <c r="A1597" t="s">
        <v>45</v>
      </c>
      <c r="B1597" t="s">
        <v>3334</v>
      </c>
      <c r="C1597" t="s">
        <v>47</v>
      </c>
      <c r="D1597" t="s">
        <v>68</v>
      </c>
      <c r="E1597" t="s">
        <v>68</v>
      </c>
      <c r="F1597" t="s">
        <v>49</v>
      </c>
      <c r="G1597" t="s">
        <v>164</v>
      </c>
      <c r="H1597" t="s">
        <v>3361</v>
      </c>
      <c r="J1597" t="str">
        <f>HYPERLINK("https://www.youtube.com/watch?v=WrAL5FpRNIY&amp;lc=Ugze_rhateo5jFAfvMZ4AaABAg.A-wpqjtE5qwA-x1iqQTVUR","https://www.youtube.com/watch?v=WrAL5FpRNIY&amp;lc=Ugze_rhateo5jFAfvMZ4AaABAg.A-wpqjtE5qwA-x1iqQTVUR")</f>
        <v>https://www.youtube.com/watch?v=WrAL5FpRNIY&amp;lc=Ugze_rhateo5jFAfvMZ4AaABAg.A-wpqjtE5qwA-x1iqQTVUR</v>
      </c>
      <c r="O1597">
        <v>0</v>
      </c>
      <c r="P1597">
        <v>0</v>
      </c>
      <c r="Q1597">
        <v>0</v>
      </c>
      <c r="S1597">
        <v>0</v>
      </c>
      <c r="T1597">
        <v>0</v>
      </c>
      <c r="U1597">
        <v>0</v>
      </c>
      <c r="W1597" t="s">
        <v>52</v>
      </c>
    </row>
    <row r="1598" spans="1:23" x14ac:dyDescent="0.35">
      <c r="A1598" t="s">
        <v>45</v>
      </c>
      <c r="B1598" t="s">
        <v>3334</v>
      </c>
      <c r="C1598" t="s">
        <v>93</v>
      </c>
      <c r="D1598" t="s">
        <v>94</v>
      </c>
      <c r="E1598" t="s">
        <v>45</v>
      </c>
      <c r="F1598" t="s">
        <v>49</v>
      </c>
      <c r="G1598" t="s">
        <v>3362</v>
      </c>
      <c r="H1598" t="s">
        <v>3363</v>
      </c>
      <c r="J1598" t="str">
        <f>HYPERLINK("https://twitter.com/SpiceMoneyIndia/status/1759067697038467088","https://twitter.com/SpiceMoneyIndia/status/1759067697038467088")</f>
        <v>https://twitter.com/SpiceMoneyIndia/status/1759067697038467088</v>
      </c>
      <c r="K1598" t="s">
        <v>67</v>
      </c>
      <c r="O1598">
        <v>0</v>
      </c>
      <c r="P1598">
        <v>0</v>
      </c>
      <c r="Q1598">
        <v>6037</v>
      </c>
      <c r="R1598" t="s">
        <v>97</v>
      </c>
      <c r="S1598">
        <v>0</v>
      </c>
      <c r="T1598">
        <v>0</v>
      </c>
      <c r="U1598">
        <v>0</v>
      </c>
      <c r="V1598" t="s">
        <v>98</v>
      </c>
      <c r="W1598" t="s">
        <v>99</v>
      </c>
    </row>
    <row r="1599" spans="1:23" x14ac:dyDescent="0.35">
      <c r="A1599" t="s">
        <v>45</v>
      </c>
      <c r="B1599" t="s">
        <v>3334</v>
      </c>
      <c r="C1599" t="s">
        <v>93</v>
      </c>
      <c r="D1599" t="s">
        <v>94</v>
      </c>
      <c r="E1599" t="s">
        <v>45</v>
      </c>
      <c r="F1599" t="s">
        <v>49</v>
      </c>
      <c r="G1599" t="s">
        <v>3364</v>
      </c>
      <c r="H1599" t="s">
        <v>3365</v>
      </c>
      <c r="J1599" t="str">
        <f>HYPERLINK("https://twitter.com/SpiceMoneyIndia/status/1759064928881635335","https://twitter.com/SpiceMoneyIndia/status/1759064928881635335")</f>
        <v>https://twitter.com/SpiceMoneyIndia/status/1759064928881635335</v>
      </c>
      <c r="K1599" t="s">
        <v>67</v>
      </c>
      <c r="O1599">
        <v>0</v>
      </c>
      <c r="P1599">
        <v>0</v>
      </c>
      <c r="Q1599">
        <v>6037</v>
      </c>
      <c r="R1599" t="s">
        <v>97</v>
      </c>
      <c r="S1599">
        <v>0</v>
      </c>
      <c r="T1599">
        <v>0</v>
      </c>
      <c r="U1599">
        <v>0</v>
      </c>
      <c r="V1599" t="s">
        <v>98</v>
      </c>
      <c r="W1599" t="s">
        <v>99</v>
      </c>
    </row>
    <row r="1600" spans="1:23" x14ac:dyDescent="0.35">
      <c r="A1600" t="s">
        <v>45</v>
      </c>
      <c r="B1600" t="s">
        <v>3334</v>
      </c>
      <c r="C1600" t="s">
        <v>47</v>
      </c>
      <c r="D1600" t="s">
        <v>68</v>
      </c>
      <c r="E1600" t="s">
        <v>68</v>
      </c>
      <c r="F1600" t="s">
        <v>49</v>
      </c>
      <c r="G1600" t="s">
        <v>162</v>
      </c>
      <c r="H1600" t="s">
        <v>3366</v>
      </c>
      <c r="J1600" t="str">
        <f>HYPERLINK("https://www.youtube.com/watch?v=EsUMqWuvYA8&amp;lc=UgyJLpqeBTTxndvN3lZ4AaABAg.A-sWpxPSu3YA-wsc_IUxDS","https://www.youtube.com/watch?v=EsUMqWuvYA8&amp;lc=UgyJLpqeBTTxndvN3lZ4AaABAg.A-sWpxPSu3YA-wsc_IUxDS")</f>
        <v>https://www.youtube.com/watch?v=EsUMqWuvYA8&amp;lc=UgyJLpqeBTTxndvN3lZ4AaABAg.A-sWpxPSu3YA-wsc_IUxDS</v>
      </c>
      <c r="O1600">
        <v>0</v>
      </c>
      <c r="P1600">
        <v>0</v>
      </c>
      <c r="Q1600">
        <v>0</v>
      </c>
      <c r="S1600">
        <v>0</v>
      </c>
      <c r="T1600">
        <v>0</v>
      </c>
      <c r="U1600">
        <v>0</v>
      </c>
      <c r="W1600" t="s">
        <v>52</v>
      </c>
    </row>
    <row r="1601" spans="1:23" x14ac:dyDescent="0.35">
      <c r="A1601" t="s">
        <v>45</v>
      </c>
      <c r="B1601" t="s">
        <v>3334</v>
      </c>
      <c r="C1601" t="s">
        <v>47</v>
      </c>
      <c r="D1601" t="s">
        <v>68</v>
      </c>
      <c r="E1601" t="s">
        <v>68</v>
      </c>
      <c r="F1601" t="s">
        <v>49</v>
      </c>
      <c r="G1601" t="s">
        <v>69</v>
      </c>
      <c r="H1601" t="s">
        <v>3367</v>
      </c>
      <c r="J1601" t="str">
        <f>HYPERLINK("https://www.youtube.com/watch?v=Vk9kehZJdww&amp;lc=UgwqInGrafXRuJkdvkB4AaABAg.A-seygoNtoUA-wrzGI6L40","https://www.youtube.com/watch?v=Vk9kehZJdww&amp;lc=UgwqInGrafXRuJkdvkB4AaABAg.A-seygoNtoUA-wrzGI6L40")</f>
        <v>https://www.youtube.com/watch?v=Vk9kehZJdww&amp;lc=UgwqInGrafXRuJkdvkB4AaABAg.A-seygoNtoUA-wrzGI6L40</v>
      </c>
      <c r="O1601">
        <v>0</v>
      </c>
      <c r="P1601">
        <v>0</v>
      </c>
      <c r="Q1601">
        <v>0</v>
      </c>
      <c r="S1601">
        <v>0</v>
      </c>
      <c r="T1601">
        <v>0</v>
      </c>
      <c r="U1601">
        <v>0</v>
      </c>
      <c r="W1601" t="s">
        <v>52</v>
      </c>
    </row>
    <row r="1602" spans="1:23" x14ac:dyDescent="0.35">
      <c r="A1602" t="s">
        <v>45</v>
      </c>
      <c r="B1602" t="s">
        <v>3334</v>
      </c>
      <c r="C1602" t="s">
        <v>47</v>
      </c>
      <c r="D1602" t="s">
        <v>68</v>
      </c>
      <c r="E1602" t="s">
        <v>68</v>
      </c>
      <c r="F1602" t="s">
        <v>49</v>
      </c>
      <c r="G1602" t="s">
        <v>280</v>
      </c>
      <c r="H1602" t="s">
        <v>3368</v>
      </c>
      <c r="J1602" t="str">
        <f>HYPERLINK("https://www.youtube.com/watch?v=EsUMqWuvYA8&amp;lc=Ugzd_Q8VvvkN8TKpzGx4AaABAg.A-sdlpwBTCEA-wrppJsXm3","https://www.youtube.com/watch?v=EsUMqWuvYA8&amp;lc=Ugzd_Q8VvvkN8TKpzGx4AaABAg.A-sdlpwBTCEA-wrppJsXm3")</f>
        <v>https://www.youtube.com/watch?v=EsUMqWuvYA8&amp;lc=Ugzd_Q8VvvkN8TKpzGx4AaABAg.A-sdlpwBTCEA-wrppJsXm3</v>
      </c>
      <c r="O1602">
        <v>0</v>
      </c>
      <c r="P1602">
        <v>0</v>
      </c>
      <c r="Q1602">
        <v>0</v>
      </c>
      <c r="S1602">
        <v>0</v>
      </c>
      <c r="T1602">
        <v>0</v>
      </c>
      <c r="U1602">
        <v>0</v>
      </c>
      <c r="W1602" t="s">
        <v>52</v>
      </c>
    </row>
    <row r="1603" spans="1:23" x14ac:dyDescent="0.35">
      <c r="A1603" t="s">
        <v>45</v>
      </c>
      <c r="B1603" t="s">
        <v>3334</v>
      </c>
      <c r="C1603" t="s">
        <v>47</v>
      </c>
      <c r="D1603" t="s">
        <v>68</v>
      </c>
      <c r="E1603" t="s">
        <v>68</v>
      </c>
      <c r="F1603" t="s">
        <v>49</v>
      </c>
      <c r="G1603" t="s">
        <v>69</v>
      </c>
      <c r="H1603" t="s">
        <v>3369</v>
      </c>
      <c r="J1603" t="str">
        <f>HYPERLINK("https://www.youtube.com/watch?v=L7PeKVwMvu8&amp;lc=Ugzql0CdCJxY412SlIx4AaABAg.A-srttFJ_TQA-wraL6DWx9","https://www.youtube.com/watch?v=L7PeKVwMvu8&amp;lc=Ugzql0CdCJxY412SlIx4AaABAg.A-srttFJ_TQA-wraL6DWx9")</f>
        <v>https://www.youtube.com/watch?v=L7PeKVwMvu8&amp;lc=Ugzql0CdCJxY412SlIx4AaABAg.A-srttFJ_TQA-wraL6DWx9</v>
      </c>
      <c r="O1603">
        <v>0</v>
      </c>
      <c r="P1603">
        <v>0</v>
      </c>
      <c r="Q1603">
        <v>0</v>
      </c>
      <c r="S1603">
        <v>0</v>
      </c>
      <c r="T1603">
        <v>0</v>
      </c>
      <c r="U1603">
        <v>0</v>
      </c>
      <c r="W1603" t="s">
        <v>52</v>
      </c>
    </row>
    <row r="1604" spans="1:23" x14ac:dyDescent="0.35">
      <c r="A1604" t="s">
        <v>45</v>
      </c>
      <c r="B1604" t="s">
        <v>3334</v>
      </c>
      <c r="C1604" t="s">
        <v>47</v>
      </c>
      <c r="D1604" t="s">
        <v>68</v>
      </c>
      <c r="E1604" t="s">
        <v>68</v>
      </c>
      <c r="F1604" t="s">
        <v>49</v>
      </c>
      <c r="G1604" t="s">
        <v>69</v>
      </c>
      <c r="H1604" t="s">
        <v>3370</v>
      </c>
      <c r="J1604" t="str">
        <f>HYPERLINK("https://www.youtube.com/watch?v=7CmE06V5n_4&amp;lc=Ugxo6gHvMrOgBhencVJ4AaABAg.A-t5jbojWtQA-wqv7MRkwl","https://www.youtube.com/watch?v=7CmE06V5n_4&amp;lc=Ugxo6gHvMrOgBhencVJ4AaABAg.A-t5jbojWtQA-wqv7MRkwl")</f>
        <v>https://www.youtube.com/watch?v=7CmE06V5n_4&amp;lc=Ugxo6gHvMrOgBhencVJ4AaABAg.A-t5jbojWtQA-wqv7MRkwl</v>
      </c>
      <c r="O1604">
        <v>0</v>
      </c>
      <c r="P1604">
        <v>0</v>
      </c>
      <c r="Q1604">
        <v>0</v>
      </c>
      <c r="S1604">
        <v>0</v>
      </c>
      <c r="T1604">
        <v>0</v>
      </c>
      <c r="U1604">
        <v>0</v>
      </c>
      <c r="W1604" t="s">
        <v>52</v>
      </c>
    </row>
    <row r="1605" spans="1:23" x14ac:dyDescent="0.35">
      <c r="A1605" t="s">
        <v>45</v>
      </c>
      <c r="B1605" t="s">
        <v>3334</v>
      </c>
      <c r="C1605" t="s">
        <v>47</v>
      </c>
      <c r="D1605" t="s">
        <v>68</v>
      </c>
      <c r="E1605" t="s">
        <v>68</v>
      </c>
      <c r="F1605" t="s">
        <v>49</v>
      </c>
      <c r="G1605" t="s">
        <v>102</v>
      </c>
      <c r="H1605" t="s">
        <v>3371</v>
      </c>
      <c r="J1605" t="str">
        <f>HYPERLINK("https://www.youtube.com/watch?v=pJw8yRpVZew&amp;lc=Ugyf9M9eBKKnBy04rKB4AaABAg.A-t4VAx6YIrA-wqphzfRdk","https://www.youtube.com/watch?v=pJw8yRpVZew&amp;lc=Ugyf9M9eBKKnBy04rKB4AaABAg.A-t4VAx6YIrA-wqphzfRdk")</f>
        <v>https://www.youtube.com/watch?v=pJw8yRpVZew&amp;lc=Ugyf9M9eBKKnBy04rKB4AaABAg.A-t4VAx6YIrA-wqphzfRdk</v>
      </c>
      <c r="O1605">
        <v>0</v>
      </c>
      <c r="P1605">
        <v>0</v>
      </c>
      <c r="Q1605">
        <v>0</v>
      </c>
      <c r="S1605">
        <v>0</v>
      </c>
      <c r="T1605">
        <v>0</v>
      </c>
      <c r="U1605">
        <v>0</v>
      </c>
      <c r="W1605" t="s">
        <v>52</v>
      </c>
    </row>
    <row r="1606" spans="1:23" x14ac:dyDescent="0.35">
      <c r="A1606" t="s">
        <v>45</v>
      </c>
      <c r="B1606" t="s">
        <v>3334</v>
      </c>
      <c r="C1606" t="s">
        <v>47</v>
      </c>
      <c r="D1606" t="s">
        <v>68</v>
      </c>
      <c r="E1606" t="s">
        <v>68</v>
      </c>
      <c r="F1606" t="s">
        <v>49</v>
      </c>
      <c r="G1606" t="s">
        <v>102</v>
      </c>
      <c r="H1606" t="s">
        <v>3372</v>
      </c>
      <c r="J1606" t="str">
        <f>HYPERLINK("https://www.youtube.com/watch?v=EsUMqWuvYA8&amp;lc=UgzwSXFf29UFAEBb9TN4AaABAg.A-tCsk78H9KA-wq_SoN00p","https://www.youtube.com/watch?v=EsUMqWuvYA8&amp;lc=UgzwSXFf29UFAEBb9TN4AaABAg.A-tCsk78H9KA-wq_SoN00p")</f>
        <v>https://www.youtube.com/watch?v=EsUMqWuvYA8&amp;lc=UgzwSXFf29UFAEBb9TN4AaABAg.A-tCsk78H9KA-wq_SoN00p</v>
      </c>
      <c r="O1606">
        <v>0</v>
      </c>
      <c r="P1606">
        <v>0</v>
      </c>
      <c r="Q1606">
        <v>0</v>
      </c>
      <c r="S1606">
        <v>0</v>
      </c>
      <c r="T1606">
        <v>0</v>
      </c>
      <c r="U1606">
        <v>0</v>
      </c>
      <c r="W1606" t="s">
        <v>52</v>
      </c>
    </row>
    <row r="1607" spans="1:23" x14ac:dyDescent="0.35">
      <c r="A1607" t="s">
        <v>45</v>
      </c>
      <c r="B1607" t="s">
        <v>3334</v>
      </c>
      <c r="C1607" t="s">
        <v>47</v>
      </c>
      <c r="D1607" t="s">
        <v>68</v>
      </c>
      <c r="E1607" t="s">
        <v>68</v>
      </c>
      <c r="F1607" t="s">
        <v>49</v>
      </c>
      <c r="G1607" t="s">
        <v>293</v>
      </c>
      <c r="H1607" t="s">
        <v>3373</v>
      </c>
      <c r="J1607" t="str">
        <f>HYPERLINK("https://www.youtube.com/watch?v=IHWzT2TNYKQ&amp;lc=UgxkK7xvEZ8UOHhyVGN4AaABAg.A-uW6t6-DOcA-wqL3U9ey_","https://www.youtube.com/watch?v=IHWzT2TNYKQ&amp;lc=UgxkK7xvEZ8UOHhyVGN4AaABAg.A-uW6t6-DOcA-wqL3U9ey_")</f>
        <v>https://www.youtube.com/watch?v=IHWzT2TNYKQ&amp;lc=UgxkK7xvEZ8UOHhyVGN4AaABAg.A-uW6t6-DOcA-wqL3U9ey_</v>
      </c>
      <c r="O1607">
        <v>0</v>
      </c>
      <c r="P1607">
        <v>0</v>
      </c>
      <c r="Q1607">
        <v>0</v>
      </c>
      <c r="S1607">
        <v>0</v>
      </c>
      <c r="T1607">
        <v>0</v>
      </c>
      <c r="U1607">
        <v>0</v>
      </c>
      <c r="W1607" t="s">
        <v>52</v>
      </c>
    </row>
    <row r="1608" spans="1:23" x14ac:dyDescent="0.35">
      <c r="A1608" t="s">
        <v>45</v>
      </c>
      <c r="B1608" t="s">
        <v>3334</v>
      </c>
      <c r="C1608" t="s">
        <v>47</v>
      </c>
      <c r="D1608" t="s">
        <v>68</v>
      </c>
      <c r="E1608" t="s">
        <v>68</v>
      </c>
      <c r="F1608" t="s">
        <v>49</v>
      </c>
      <c r="G1608" t="s">
        <v>102</v>
      </c>
      <c r="H1608" t="s">
        <v>3374</v>
      </c>
      <c r="J1608" t="str">
        <f>HYPERLINK("https://www.youtube.com/watch?v=L48LASyoHuE&amp;lc=Ugw4z0jfGIMy8tlZYy94AaABAg.A-ueUQfycxdA-wqEuEiL0B","https://www.youtube.com/watch?v=L48LASyoHuE&amp;lc=Ugw4z0jfGIMy8tlZYy94AaABAg.A-ueUQfycxdA-wqEuEiL0B")</f>
        <v>https://www.youtube.com/watch?v=L48LASyoHuE&amp;lc=Ugw4z0jfGIMy8tlZYy94AaABAg.A-ueUQfycxdA-wqEuEiL0B</v>
      </c>
      <c r="O1608">
        <v>0</v>
      </c>
      <c r="P1608">
        <v>0</v>
      </c>
      <c r="Q1608">
        <v>0</v>
      </c>
      <c r="S1608">
        <v>0</v>
      </c>
      <c r="T1608">
        <v>0</v>
      </c>
      <c r="U1608">
        <v>0</v>
      </c>
      <c r="W1608" t="s">
        <v>52</v>
      </c>
    </row>
    <row r="1609" spans="1:23" x14ac:dyDescent="0.35">
      <c r="A1609" t="s">
        <v>45</v>
      </c>
      <c r="B1609" t="s">
        <v>3334</v>
      </c>
      <c r="C1609" t="s">
        <v>47</v>
      </c>
      <c r="D1609" t="s">
        <v>351</v>
      </c>
      <c r="E1609" t="s">
        <v>351</v>
      </c>
      <c r="F1609" t="s">
        <v>49</v>
      </c>
      <c r="G1609" t="s">
        <v>3375</v>
      </c>
      <c r="H1609" t="s">
        <v>3376</v>
      </c>
      <c r="J1609" t="str">
        <f>HYPERLINK("https://www.youtube.com/watch?v=WrAL5FpRNIY&amp;lc=Ugze_rhateo5jFAfvMZ4AaABAg","https://www.youtube.com/watch?v=WrAL5FpRNIY&amp;lc=Ugze_rhateo5jFAfvMZ4AaABAg")</f>
        <v>https://www.youtube.com/watch?v=WrAL5FpRNIY&amp;lc=Ugze_rhateo5jFAfvMZ4AaABAg</v>
      </c>
      <c r="O1609">
        <v>0</v>
      </c>
      <c r="P1609">
        <v>0</v>
      </c>
      <c r="Q1609">
        <v>0</v>
      </c>
      <c r="S1609">
        <v>0</v>
      </c>
      <c r="T1609">
        <v>0</v>
      </c>
      <c r="U1609">
        <v>0</v>
      </c>
      <c r="W1609" t="s">
        <v>52</v>
      </c>
    </row>
    <row r="1610" spans="1:23" x14ac:dyDescent="0.35">
      <c r="A1610" t="s">
        <v>45</v>
      </c>
      <c r="B1610" t="s">
        <v>3334</v>
      </c>
      <c r="C1610" t="s">
        <v>60</v>
      </c>
      <c r="D1610" t="s">
        <v>64</v>
      </c>
      <c r="E1610" t="s">
        <v>64</v>
      </c>
      <c r="F1610" t="s">
        <v>49</v>
      </c>
      <c r="G1610" t="s">
        <v>3377</v>
      </c>
      <c r="H1610" t="s">
        <v>3378</v>
      </c>
      <c r="J1610" t="str">
        <f>HYPERLINK("https://www.facebook.com/634639855377280/posts/793402339501030","https://www.facebook.com/634639855377280/posts/793402339501030")</f>
        <v>https://www.facebook.com/634639855377280/posts/793402339501030</v>
      </c>
      <c r="O1610">
        <v>0</v>
      </c>
      <c r="P1610">
        <v>0</v>
      </c>
      <c r="Q1610">
        <v>0</v>
      </c>
      <c r="S1610">
        <v>0</v>
      </c>
      <c r="T1610">
        <v>31</v>
      </c>
      <c r="U1610">
        <v>3</v>
      </c>
      <c r="W1610" t="s">
        <v>346</v>
      </c>
    </row>
    <row r="1611" spans="1:23" x14ac:dyDescent="0.35">
      <c r="A1611" t="s">
        <v>45</v>
      </c>
      <c r="B1611" t="s">
        <v>3334</v>
      </c>
      <c r="C1611" t="s">
        <v>93</v>
      </c>
      <c r="D1611" t="s">
        <v>94</v>
      </c>
      <c r="E1611" t="s">
        <v>45</v>
      </c>
      <c r="F1611" t="s">
        <v>49</v>
      </c>
      <c r="G1611" t="s">
        <v>3379</v>
      </c>
      <c r="H1611" t="s">
        <v>3380</v>
      </c>
      <c r="J1611" t="str">
        <f>HYPERLINK("https://twitter.com/SpiceMoneyIndia/status/1759057650237538379","https://twitter.com/SpiceMoneyIndia/status/1759057650237538379")</f>
        <v>https://twitter.com/SpiceMoneyIndia/status/1759057650237538379</v>
      </c>
      <c r="K1611" t="s">
        <v>67</v>
      </c>
      <c r="O1611">
        <v>0</v>
      </c>
      <c r="P1611">
        <v>0</v>
      </c>
      <c r="Q1611">
        <v>6037</v>
      </c>
      <c r="R1611" t="s">
        <v>97</v>
      </c>
      <c r="S1611">
        <v>0</v>
      </c>
      <c r="T1611">
        <v>0</v>
      </c>
      <c r="U1611">
        <v>0</v>
      </c>
      <c r="V1611" t="s">
        <v>98</v>
      </c>
      <c r="W1611" t="s">
        <v>99</v>
      </c>
    </row>
    <row r="1612" spans="1:23" x14ac:dyDescent="0.35">
      <c r="A1612" t="s">
        <v>45</v>
      </c>
      <c r="B1612" t="s">
        <v>3334</v>
      </c>
      <c r="C1612" t="s">
        <v>47</v>
      </c>
      <c r="D1612" t="s">
        <v>68</v>
      </c>
      <c r="E1612" t="s">
        <v>68</v>
      </c>
      <c r="F1612" t="s">
        <v>49</v>
      </c>
      <c r="G1612" t="s">
        <v>69</v>
      </c>
      <c r="H1612" t="s">
        <v>3381</v>
      </c>
      <c r="J1612" t="str">
        <f>HYPERLINK("https://www.youtube.com/watch?v=WrAL5FpRNIY&amp;lc=UgzsRXhynEBih0rM2wd4AaABAg.A-vKGUbketlA-woXqy8sPg","https://www.youtube.com/watch?v=WrAL5FpRNIY&amp;lc=UgzsRXhynEBih0rM2wd4AaABAg.A-vKGUbketlA-woXqy8sPg")</f>
        <v>https://www.youtube.com/watch?v=WrAL5FpRNIY&amp;lc=UgzsRXhynEBih0rM2wd4AaABAg.A-vKGUbketlA-woXqy8sPg</v>
      </c>
      <c r="O1612">
        <v>0</v>
      </c>
      <c r="P1612">
        <v>0</v>
      </c>
      <c r="Q1612">
        <v>0</v>
      </c>
      <c r="S1612">
        <v>0</v>
      </c>
      <c r="T1612">
        <v>0</v>
      </c>
      <c r="U1612">
        <v>0</v>
      </c>
      <c r="W1612" t="s">
        <v>52</v>
      </c>
    </row>
    <row r="1613" spans="1:23" x14ac:dyDescent="0.35">
      <c r="A1613" t="s">
        <v>45</v>
      </c>
      <c r="B1613" t="s">
        <v>3334</v>
      </c>
      <c r="C1613" t="s">
        <v>47</v>
      </c>
      <c r="D1613" t="s">
        <v>68</v>
      </c>
      <c r="E1613" t="s">
        <v>68</v>
      </c>
      <c r="F1613" t="s">
        <v>49</v>
      </c>
      <c r="G1613" t="s">
        <v>162</v>
      </c>
      <c r="H1613" t="s">
        <v>3382</v>
      </c>
      <c r="J1613" t="str">
        <f>HYPERLINK("https://www.youtube.com/watch?v=WrAL5FpRNIY&amp;lc=UgwusNraGNHiV_z4eKt4AaABAg.A-vtoaUdINvA-woCxFwFOZ","https://www.youtube.com/watch?v=WrAL5FpRNIY&amp;lc=UgwusNraGNHiV_z4eKt4AaABAg.A-vtoaUdINvA-woCxFwFOZ")</f>
        <v>https://www.youtube.com/watch?v=WrAL5FpRNIY&amp;lc=UgwusNraGNHiV_z4eKt4AaABAg.A-vtoaUdINvA-woCxFwFOZ</v>
      </c>
      <c r="O1613">
        <v>0</v>
      </c>
      <c r="P1613">
        <v>0</v>
      </c>
      <c r="Q1613">
        <v>0</v>
      </c>
      <c r="S1613">
        <v>0</v>
      </c>
      <c r="T1613">
        <v>0</v>
      </c>
      <c r="U1613">
        <v>0</v>
      </c>
      <c r="W1613" t="s">
        <v>52</v>
      </c>
    </row>
    <row r="1614" spans="1:23" x14ac:dyDescent="0.35">
      <c r="A1614" t="s">
        <v>45</v>
      </c>
      <c r="B1614" t="s">
        <v>3334</v>
      </c>
      <c r="C1614" t="s">
        <v>47</v>
      </c>
      <c r="D1614" t="s">
        <v>68</v>
      </c>
      <c r="E1614" t="s">
        <v>68</v>
      </c>
      <c r="F1614" t="s">
        <v>49</v>
      </c>
      <c r="G1614" t="s">
        <v>102</v>
      </c>
      <c r="H1614" t="s">
        <v>3383</v>
      </c>
      <c r="J1614" t="str">
        <f>HYPERLINK("https://www.youtube.com/watch?v=WrAL5FpRNIY&amp;lc=UgwlOzyzH8BSYcDALtp4AaABAg.A-vi1P-soKrA-wo9Y_gI9k","https://www.youtube.com/watch?v=WrAL5FpRNIY&amp;lc=UgwlOzyzH8BSYcDALtp4AaABAg.A-vi1P-soKrA-wo9Y_gI9k")</f>
        <v>https://www.youtube.com/watch?v=WrAL5FpRNIY&amp;lc=UgwlOzyzH8BSYcDALtp4AaABAg.A-vi1P-soKrA-wo9Y_gI9k</v>
      </c>
      <c r="O1614">
        <v>0</v>
      </c>
      <c r="P1614">
        <v>0</v>
      </c>
      <c r="Q1614">
        <v>0</v>
      </c>
      <c r="S1614">
        <v>0</v>
      </c>
      <c r="T1614">
        <v>0</v>
      </c>
      <c r="U1614">
        <v>0</v>
      </c>
      <c r="W1614" t="s">
        <v>52</v>
      </c>
    </row>
    <row r="1615" spans="1:23" x14ac:dyDescent="0.35">
      <c r="A1615" t="s">
        <v>45</v>
      </c>
      <c r="B1615" t="s">
        <v>3334</v>
      </c>
      <c r="C1615" t="s">
        <v>47</v>
      </c>
      <c r="D1615" t="s">
        <v>68</v>
      </c>
      <c r="E1615" t="s">
        <v>68</v>
      </c>
      <c r="F1615" t="s">
        <v>49</v>
      </c>
      <c r="G1615" t="s">
        <v>266</v>
      </c>
      <c r="H1615" t="s">
        <v>3384</v>
      </c>
      <c r="J1615" t="str">
        <f>HYPERLINK("https://www.youtube.com/watch?v=WrAL5FpRNIY&amp;lc=UgyeiMCdtECgwZYsJCp4AaABAg.A-vC-up73HZA-wnuXA0cJ2","https://www.youtube.com/watch?v=WrAL5FpRNIY&amp;lc=UgyeiMCdtECgwZYsJCp4AaABAg.A-vC-up73HZA-wnuXA0cJ2")</f>
        <v>https://www.youtube.com/watch?v=WrAL5FpRNIY&amp;lc=UgyeiMCdtECgwZYsJCp4AaABAg.A-vC-up73HZA-wnuXA0cJ2</v>
      </c>
      <c r="O1615">
        <v>0</v>
      </c>
      <c r="P1615">
        <v>0</v>
      </c>
      <c r="Q1615">
        <v>0</v>
      </c>
      <c r="S1615">
        <v>0</v>
      </c>
      <c r="T1615">
        <v>0</v>
      </c>
      <c r="U1615">
        <v>0</v>
      </c>
      <c r="W1615" t="s">
        <v>52</v>
      </c>
    </row>
    <row r="1616" spans="1:23" x14ac:dyDescent="0.35">
      <c r="A1616" t="s">
        <v>45</v>
      </c>
      <c r="B1616" t="s">
        <v>3334</v>
      </c>
      <c r="C1616" t="s">
        <v>47</v>
      </c>
      <c r="D1616" t="s">
        <v>3385</v>
      </c>
      <c r="E1616" t="s">
        <v>3385</v>
      </c>
      <c r="F1616" t="s">
        <v>54</v>
      </c>
      <c r="G1616" t="s">
        <v>3386</v>
      </c>
      <c r="H1616" t="s">
        <v>3387</v>
      </c>
      <c r="J1616" t="str">
        <f>HYPERLINK("https://www.youtube.com/watch?v=WrAL5FpRNIY&amp;lc=UgwusNraGNHiV_z4eKt4AaABAg","https://www.youtube.com/watch?v=WrAL5FpRNIY&amp;lc=UgwusNraGNHiV_z4eKt4AaABAg")</f>
        <v>https://www.youtube.com/watch?v=WrAL5FpRNIY&amp;lc=UgwusNraGNHiV_z4eKt4AaABAg</v>
      </c>
      <c r="O1616">
        <v>0</v>
      </c>
      <c r="P1616">
        <v>0</v>
      </c>
      <c r="Q1616">
        <v>0</v>
      </c>
      <c r="S1616">
        <v>0</v>
      </c>
      <c r="T1616">
        <v>0</v>
      </c>
      <c r="U1616">
        <v>0</v>
      </c>
      <c r="W1616" t="s">
        <v>52</v>
      </c>
    </row>
    <row r="1617" spans="1:23" x14ac:dyDescent="0.35">
      <c r="A1617" t="s">
        <v>45</v>
      </c>
      <c r="B1617" t="s">
        <v>3388</v>
      </c>
      <c r="C1617" t="s">
        <v>47</v>
      </c>
      <c r="D1617" t="s">
        <v>1007</v>
      </c>
      <c r="E1617" t="s">
        <v>1007</v>
      </c>
      <c r="F1617" t="s">
        <v>49</v>
      </c>
      <c r="G1617" t="s">
        <v>3389</v>
      </c>
      <c r="H1617" t="s">
        <v>3390</v>
      </c>
      <c r="J1617" t="str">
        <f>HYPERLINK("https://www.youtube.com/watch?v=WrAL5FpRNIY&amp;lc=UgwlOzyzH8BSYcDALtp4AaABAg","https://www.youtube.com/watch?v=WrAL5FpRNIY&amp;lc=UgwlOzyzH8BSYcDALtp4AaABAg")</f>
        <v>https://www.youtube.com/watch?v=WrAL5FpRNIY&amp;lc=UgwlOzyzH8BSYcDALtp4AaABAg</v>
      </c>
      <c r="O1617">
        <v>0</v>
      </c>
      <c r="P1617">
        <v>0</v>
      </c>
      <c r="Q1617">
        <v>0</v>
      </c>
      <c r="S1617">
        <v>0</v>
      </c>
      <c r="T1617">
        <v>0</v>
      </c>
      <c r="U1617">
        <v>0</v>
      </c>
      <c r="W1617" t="s">
        <v>52</v>
      </c>
    </row>
    <row r="1618" spans="1:23" x14ac:dyDescent="0.35">
      <c r="A1618" t="s">
        <v>45</v>
      </c>
      <c r="B1618" t="s">
        <v>3388</v>
      </c>
      <c r="C1618" t="s">
        <v>93</v>
      </c>
      <c r="D1618" t="s">
        <v>3391</v>
      </c>
      <c r="E1618" t="s">
        <v>3392</v>
      </c>
      <c r="F1618" t="s">
        <v>193</v>
      </c>
      <c r="G1618" t="s">
        <v>3393</v>
      </c>
      <c r="H1618" t="s">
        <v>3394</v>
      </c>
      <c r="J1618" t="str">
        <f>HYPERLINK("https://twitter.com/princesikari/status/1758854701250961516","https://twitter.com/princesikari/status/1758854701250961516")</f>
        <v>https://twitter.com/princesikari/status/1758854701250961516</v>
      </c>
      <c r="O1618">
        <v>0</v>
      </c>
      <c r="P1618">
        <v>0</v>
      </c>
      <c r="Q1618">
        <v>8</v>
      </c>
      <c r="R1618" t="s">
        <v>3395</v>
      </c>
      <c r="S1618">
        <v>0</v>
      </c>
      <c r="T1618">
        <v>0</v>
      </c>
      <c r="U1618">
        <v>0</v>
      </c>
      <c r="W1618" t="s">
        <v>99</v>
      </c>
    </row>
    <row r="1619" spans="1:23" x14ac:dyDescent="0.35">
      <c r="A1619" t="s">
        <v>45</v>
      </c>
      <c r="B1619" t="s">
        <v>3388</v>
      </c>
      <c r="C1619" t="s">
        <v>47</v>
      </c>
      <c r="D1619" t="s">
        <v>351</v>
      </c>
      <c r="E1619" t="s">
        <v>351</v>
      </c>
      <c r="F1619" t="s">
        <v>49</v>
      </c>
      <c r="G1619" t="s">
        <v>3396</v>
      </c>
      <c r="H1619" t="s">
        <v>3397</v>
      </c>
      <c r="J1619" t="str">
        <f>HYPERLINK("https://www.youtube.com/watch?v=WrAL5FpRNIY&amp;lc=UgzsRXhynEBih0rM2wd4AaABAg","https://www.youtube.com/watch?v=WrAL5FpRNIY&amp;lc=UgzsRXhynEBih0rM2wd4AaABAg")</f>
        <v>https://www.youtube.com/watch?v=WrAL5FpRNIY&amp;lc=UgzsRXhynEBih0rM2wd4AaABAg</v>
      </c>
      <c r="O1619">
        <v>0</v>
      </c>
      <c r="P1619">
        <v>0</v>
      </c>
      <c r="Q1619">
        <v>0</v>
      </c>
      <c r="S1619">
        <v>0</v>
      </c>
      <c r="T1619">
        <v>0</v>
      </c>
      <c r="U1619">
        <v>0</v>
      </c>
      <c r="W1619" t="s">
        <v>52</v>
      </c>
    </row>
    <row r="1620" spans="1:23" x14ac:dyDescent="0.35">
      <c r="A1620" t="s">
        <v>45</v>
      </c>
      <c r="B1620" t="s">
        <v>3388</v>
      </c>
      <c r="C1620" t="s">
        <v>47</v>
      </c>
      <c r="D1620" t="s">
        <v>351</v>
      </c>
      <c r="E1620" t="s">
        <v>351</v>
      </c>
      <c r="F1620" t="s">
        <v>49</v>
      </c>
      <c r="G1620" t="s">
        <v>3398</v>
      </c>
      <c r="H1620" t="s">
        <v>3399</v>
      </c>
      <c r="J1620" t="str">
        <f>HYPERLINK("https://www.youtube.com/watch?v=WrAL5FpRNIY&amp;lc=UgzFnQevPjul2Z86FOl4AaABAg","https://www.youtube.com/watch?v=WrAL5FpRNIY&amp;lc=UgzFnQevPjul2Z86FOl4AaABAg")</f>
        <v>https://www.youtube.com/watch?v=WrAL5FpRNIY&amp;lc=UgzFnQevPjul2Z86FOl4AaABAg</v>
      </c>
      <c r="O1620">
        <v>0</v>
      </c>
      <c r="P1620">
        <v>0</v>
      </c>
      <c r="Q1620">
        <v>0</v>
      </c>
      <c r="S1620">
        <v>0</v>
      </c>
      <c r="T1620">
        <v>0</v>
      </c>
      <c r="U1620">
        <v>0</v>
      </c>
      <c r="W1620" t="s">
        <v>52</v>
      </c>
    </row>
    <row r="1621" spans="1:23" x14ac:dyDescent="0.35">
      <c r="A1621" t="s">
        <v>45</v>
      </c>
      <c r="B1621" t="s">
        <v>3388</v>
      </c>
      <c r="C1621" t="s">
        <v>60</v>
      </c>
      <c r="D1621" t="s">
        <v>61</v>
      </c>
      <c r="E1621" t="s">
        <v>61</v>
      </c>
      <c r="F1621" t="s">
        <v>49</v>
      </c>
      <c r="G1621" t="s">
        <v>3400</v>
      </c>
      <c r="H1621" t="s">
        <v>3401</v>
      </c>
      <c r="J1621" t="str">
        <f>HYPERLINK("https://www.facebook.com/634639855377280/posts/792883919552872?comment_id=305724058796842&amp;reply_comment_id=340366522325949","https://www.facebook.com/634639855377280/posts/792883919552872?comment_id=305724058796842&amp;reply_comment_id=340366522325949")</f>
        <v>https://www.facebook.com/634639855377280/posts/792883919552872?comment_id=305724058796842&amp;reply_comment_id=340366522325949</v>
      </c>
      <c r="O1621">
        <v>0</v>
      </c>
      <c r="P1621">
        <v>0</v>
      </c>
      <c r="Q1621">
        <v>0</v>
      </c>
      <c r="S1621">
        <v>0</v>
      </c>
      <c r="T1621">
        <v>0</v>
      </c>
      <c r="U1621">
        <v>0</v>
      </c>
      <c r="W1621" t="s">
        <v>52</v>
      </c>
    </row>
    <row r="1622" spans="1:23" x14ac:dyDescent="0.35">
      <c r="A1622" t="s">
        <v>45</v>
      </c>
      <c r="B1622" t="s">
        <v>3388</v>
      </c>
      <c r="C1622" t="s">
        <v>47</v>
      </c>
      <c r="D1622" t="s">
        <v>3402</v>
      </c>
      <c r="E1622" t="s">
        <v>3402</v>
      </c>
      <c r="F1622" t="s">
        <v>49</v>
      </c>
      <c r="G1622" t="s">
        <v>3403</v>
      </c>
      <c r="H1622" t="s">
        <v>3404</v>
      </c>
      <c r="J1622" t="str">
        <f>HYPERLINK("https://www.youtube.com/watch?v=4Zg3zYPaGiw&amp;lc=Ugxl8UEMJShAvAzAhV94AaABAg","https://www.youtube.com/watch?v=4Zg3zYPaGiw&amp;lc=Ugxl8UEMJShAvAzAhV94AaABAg")</f>
        <v>https://www.youtube.com/watch?v=4Zg3zYPaGiw&amp;lc=Ugxl8UEMJShAvAzAhV94AaABAg</v>
      </c>
      <c r="O1622">
        <v>0</v>
      </c>
      <c r="P1622">
        <v>0</v>
      </c>
      <c r="Q1622">
        <v>0</v>
      </c>
      <c r="S1622">
        <v>0</v>
      </c>
      <c r="T1622">
        <v>0</v>
      </c>
      <c r="U1622">
        <v>0</v>
      </c>
      <c r="W1622" t="s">
        <v>52</v>
      </c>
    </row>
    <row r="1623" spans="1:23" x14ac:dyDescent="0.35">
      <c r="A1623" t="s">
        <v>45</v>
      </c>
      <c r="B1623" t="s">
        <v>3388</v>
      </c>
      <c r="C1623" t="s">
        <v>47</v>
      </c>
      <c r="D1623" t="s">
        <v>846</v>
      </c>
      <c r="E1623" t="s">
        <v>846</v>
      </c>
      <c r="F1623" t="s">
        <v>54</v>
      </c>
      <c r="G1623" t="s">
        <v>3405</v>
      </c>
      <c r="H1623" t="s">
        <v>3406</v>
      </c>
      <c r="J1623" t="str">
        <f>HYPERLINK("https://www.youtube.com/watch?v=WrAL5FpRNIY&amp;lc=UgyeiMCdtECgwZYsJCp4AaABAg","https://www.youtube.com/watch?v=WrAL5FpRNIY&amp;lc=UgyeiMCdtECgwZYsJCp4AaABAg")</f>
        <v>https://www.youtube.com/watch?v=WrAL5FpRNIY&amp;lc=UgyeiMCdtECgwZYsJCp4AaABAg</v>
      </c>
      <c r="O1623">
        <v>0</v>
      </c>
      <c r="P1623">
        <v>0</v>
      </c>
      <c r="Q1623">
        <v>0</v>
      </c>
      <c r="S1623">
        <v>0</v>
      </c>
      <c r="T1623">
        <v>0</v>
      </c>
      <c r="U1623">
        <v>0</v>
      </c>
      <c r="W1623" t="s">
        <v>52</v>
      </c>
    </row>
    <row r="1624" spans="1:23" x14ac:dyDescent="0.35">
      <c r="A1624" t="s">
        <v>45</v>
      </c>
      <c r="B1624" t="s">
        <v>3388</v>
      </c>
      <c r="C1624" t="s">
        <v>47</v>
      </c>
      <c r="D1624" t="s">
        <v>351</v>
      </c>
      <c r="E1624" t="s">
        <v>351</v>
      </c>
      <c r="F1624" t="s">
        <v>49</v>
      </c>
      <c r="G1624" t="s">
        <v>3407</v>
      </c>
      <c r="H1624" t="s">
        <v>3408</v>
      </c>
      <c r="J1624" t="str">
        <f>HYPERLINK("https://www.youtube.com/watch?v=zkfWhYOCqb8&amp;lc=Ugzp1EliRUH6AJTCw0t4AaABAg","https://www.youtube.com/watch?v=zkfWhYOCqb8&amp;lc=Ugzp1EliRUH6AJTCw0t4AaABAg")</f>
        <v>https://www.youtube.com/watch?v=zkfWhYOCqb8&amp;lc=Ugzp1EliRUH6AJTCw0t4AaABAg</v>
      </c>
      <c r="O1624">
        <v>0</v>
      </c>
      <c r="P1624">
        <v>0</v>
      </c>
      <c r="Q1624">
        <v>0</v>
      </c>
      <c r="S1624">
        <v>0</v>
      </c>
      <c r="T1624">
        <v>0</v>
      </c>
      <c r="U1624">
        <v>0</v>
      </c>
      <c r="W1624" t="s">
        <v>52</v>
      </c>
    </row>
    <row r="1625" spans="1:23" x14ac:dyDescent="0.35">
      <c r="A1625" t="s">
        <v>45</v>
      </c>
      <c r="B1625" t="s">
        <v>3388</v>
      </c>
      <c r="C1625" t="s">
        <v>60</v>
      </c>
      <c r="D1625" t="s">
        <v>61</v>
      </c>
      <c r="E1625" t="s">
        <v>61</v>
      </c>
      <c r="F1625" t="s">
        <v>49</v>
      </c>
      <c r="G1625" t="s">
        <v>3409</v>
      </c>
      <c r="H1625" t="s">
        <v>3410</v>
      </c>
      <c r="J1625" t="str">
        <f>HYPERLINK("https://www.facebook.com/634639855377280/posts/792883919552872?comment_id=6895118790598078","https://www.facebook.com/634639855377280/posts/792883919552872?comment_id=6895118790598078")</f>
        <v>https://www.facebook.com/634639855377280/posts/792883919552872?comment_id=6895118790598078</v>
      </c>
      <c r="O1625">
        <v>0</v>
      </c>
      <c r="P1625">
        <v>0</v>
      </c>
      <c r="Q1625">
        <v>0</v>
      </c>
      <c r="S1625">
        <v>0</v>
      </c>
      <c r="T1625">
        <v>0</v>
      </c>
      <c r="U1625">
        <v>0</v>
      </c>
      <c r="W1625" t="s">
        <v>52</v>
      </c>
    </row>
    <row r="1626" spans="1:23" x14ac:dyDescent="0.35">
      <c r="A1626" t="s">
        <v>45</v>
      </c>
      <c r="B1626" t="s">
        <v>3388</v>
      </c>
      <c r="C1626" t="s">
        <v>47</v>
      </c>
      <c r="D1626" t="s">
        <v>45</v>
      </c>
      <c r="E1626" t="s">
        <v>45</v>
      </c>
      <c r="F1626" t="s">
        <v>49</v>
      </c>
      <c r="G1626" t="s">
        <v>3411</v>
      </c>
      <c r="H1626" t="s">
        <v>3412</v>
      </c>
      <c r="J1626" t="str">
        <f>HYPERLINK("https://www.youtube.com/watch?v=WrAL5FpRNIY","https://www.youtube.com/watch?v=WrAL5FpRNIY")</f>
        <v>https://www.youtube.com/watch?v=WrAL5FpRNIY</v>
      </c>
      <c r="O1626">
        <v>0</v>
      </c>
      <c r="P1626">
        <v>0</v>
      </c>
      <c r="Q1626">
        <v>0</v>
      </c>
      <c r="S1626">
        <v>0</v>
      </c>
      <c r="T1626">
        <v>0</v>
      </c>
      <c r="U1626">
        <v>0</v>
      </c>
      <c r="W1626" t="s">
        <v>346</v>
      </c>
    </row>
    <row r="1627" spans="1:23" x14ac:dyDescent="0.35">
      <c r="A1627" t="s">
        <v>45</v>
      </c>
      <c r="B1627" t="s">
        <v>3388</v>
      </c>
      <c r="C1627" t="s">
        <v>47</v>
      </c>
      <c r="D1627" t="s">
        <v>45</v>
      </c>
      <c r="E1627" t="s">
        <v>45</v>
      </c>
      <c r="F1627" t="s">
        <v>49</v>
      </c>
      <c r="G1627" t="s">
        <v>3411</v>
      </c>
      <c r="H1627" t="s">
        <v>3413</v>
      </c>
      <c r="J1627" t="str">
        <f>HYPERLINK("https://www.youtube.com/watch?v=WrAL5FpRNIY","https://www.youtube.com/watch?v=WrAL5FpRNIY")</f>
        <v>https://www.youtube.com/watch?v=WrAL5FpRNIY</v>
      </c>
      <c r="O1627">
        <v>0</v>
      </c>
      <c r="P1627">
        <v>0</v>
      </c>
      <c r="Q1627">
        <v>0</v>
      </c>
      <c r="S1627">
        <v>0</v>
      </c>
      <c r="T1627">
        <v>0</v>
      </c>
      <c r="U1627">
        <v>0</v>
      </c>
      <c r="W1627" t="s">
        <v>346</v>
      </c>
    </row>
    <row r="1628" spans="1:23" x14ac:dyDescent="0.35">
      <c r="A1628" t="s">
        <v>45</v>
      </c>
      <c r="B1628" t="s">
        <v>3388</v>
      </c>
      <c r="C1628" t="s">
        <v>60</v>
      </c>
      <c r="D1628" t="s">
        <v>61</v>
      </c>
      <c r="E1628" t="s">
        <v>61</v>
      </c>
      <c r="F1628" t="s">
        <v>49</v>
      </c>
      <c r="G1628" t="s">
        <v>3414</v>
      </c>
      <c r="H1628" t="s">
        <v>3415</v>
      </c>
      <c r="J1628" t="str">
        <f>HYPERLINK("https://www.facebook.com/634639855377280/posts/792425026265428?comment_id=4488688308022074","https://www.facebook.com/634639855377280/posts/792425026265428?comment_id=4488688308022074")</f>
        <v>https://www.facebook.com/634639855377280/posts/792425026265428?comment_id=4488688308022074</v>
      </c>
      <c r="O1628">
        <v>0</v>
      </c>
      <c r="P1628">
        <v>0</v>
      </c>
      <c r="Q1628">
        <v>0</v>
      </c>
      <c r="S1628">
        <v>0</v>
      </c>
      <c r="T1628">
        <v>0</v>
      </c>
      <c r="U1628">
        <v>0</v>
      </c>
      <c r="W1628" t="s">
        <v>52</v>
      </c>
    </row>
    <row r="1629" spans="1:23" x14ac:dyDescent="0.35">
      <c r="A1629" t="s">
        <v>45</v>
      </c>
      <c r="B1629" t="s">
        <v>3388</v>
      </c>
      <c r="C1629" t="s">
        <v>93</v>
      </c>
      <c r="D1629" t="s">
        <v>3416</v>
      </c>
      <c r="E1629" t="s">
        <v>3417</v>
      </c>
      <c r="F1629" t="s">
        <v>193</v>
      </c>
      <c r="G1629" t="s">
        <v>3418</v>
      </c>
      <c r="H1629" t="s">
        <v>3419</v>
      </c>
      <c r="J1629" t="str">
        <f>HYPERLINK("https://twitter.com/rinkuk538/status/1758755830227403009","https://twitter.com/rinkuk538/status/1758755830227403009")</f>
        <v>https://twitter.com/rinkuk538/status/1758755830227403009</v>
      </c>
      <c r="K1629" t="s">
        <v>67</v>
      </c>
      <c r="O1629">
        <v>0</v>
      </c>
      <c r="P1629">
        <v>0</v>
      </c>
      <c r="Q1629">
        <v>522</v>
      </c>
      <c r="S1629">
        <v>0</v>
      </c>
      <c r="T1629">
        <v>0</v>
      </c>
      <c r="U1629">
        <v>0</v>
      </c>
      <c r="W1629" t="s">
        <v>99</v>
      </c>
    </row>
    <row r="1630" spans="1:23" x14ac:dyDescent="0.35">
      <c r="A1630" t="s">
        <v>45</v>
      </c>
      <c r="B1630" t="s">
        <v>3388</v>
      </c>
      <c r="C1630" t="s">
        <v>60</v>
      </c>
      <c r="D1630" t="s">
        <v>61</v>
      </c>
      <c r="E1630" t="s">
        <v>61</v>
      </c>
      <c r="F1630" t="s">
        <v>49</v>
      </c>
      <c r="G1630" t="s">
        <v>3420</v>
      </c>
      <c r="H1630" t="s">
        <v>3421</v>
      </c>
      <c r="J1630" t="str">
        <f>HYPERLINK("https://www.facebook.com/634639855377280/posts/792883919552872?comment_id=305724058796842","https://www.facebook.com/634639855377280/posts/792883919552872?comment_id=305724058796842")</f>
        <v>https://www.facebook.com/634639855377280/posts/792883919552872?comment_id=305724058796842</v>
      </c>
      <c r="O1630">
        <v>0</v>
      </c>
      <c r="P1630">
        <v>0</v>
      </c>
      <c r="Q1630">
        <v>0</v>
      </c>
      <c r="S1630">
        <v>0</v>
      </c>
      <c r="T1630">
        <v>0</v>
      </c>
      <c r="U1630">
        <v>0</v>
      </c>
      <c r="W1630" t="s">
        <v>52</v>
      </c>
    </row>
    <row r="1631" spans="1:23" x14ac:dyDescent="0.35">
      <c r="A1631" t="s">
        <v>45</v>
      </c>
      <c r="B1631" t="s">
        <v>3388</v>
      </c>
      <c r="C1631" t="s">
        <v>47</v>
      </c>
      <c r="D1631" t="s">
        <v>3422</v>
      </c>
      <c r="E1631" t="s">
        <v>3422</v>
      </c>
      <c r="F1631" t="s">
        <v>54</v>
      </c>
      <c r="G1631" t="s">
        <v>3423</v>
      </c>
      <c r="H1631" t="s">
        <v>3424</v>
      </c>
      <c r="J1631" t="str">
        <f>HYPERLINK("https://www.youtube.com/watch?v=L48LASyoHuE&amp;lc=Ugw4z0jfGIMy8tlZYy94AaABAg","https://www.youtube.com/watch?v=L48LASyoHuE&amp;lc=Ugw4z0jfGIMy8tlZYy94AaABAg")</f>
        <v>https://www.youtube.com/watch?v=L48LASyoHuE&amp;lc=Ugw4z0jfGIMy8tlZYy94AaABAg</v>
      </c>
      <c r="O1631">
        <v>0</v>
      </c>
      <c r="P1631">
        <v>0</v>
      </c>
      <c r="Q1631">
        <v>0</v>
      </c>
      <c r="S1631">
        <v>0</v>
      </c>
      <c r="T1631">
        <v>0</v>
      </c>
      <c r="U1631">
        <v>0</v>
      </c>
      <c r="W1631" t="s">
        <v>52</v>
      </c>
    </row>
    <row r="1632" spans="1:23" x14ac:dyDescent="0.35">
      <c r="A1632" t="s">
        <v>45</v>
      </c>
      <c r="B1632" t="s">
        <v>3388</v>
      </c>
      <c r="C1632" t="s">
        <v>47</v>
      </c>
      <c r="D1632" t="s">
        <v>3422</v>
      </c>
      <c r="E1632" t="s">
        <v>3422</v>
      </c>
      <c r="F1632" t="s">
        <v>54</v>
      </c>
      <c r="G1632" t="s">
        <v>3425</v>
      </c>
      <c r="H1632" t="s">
        <v>3426</v>
      </c>
      <c r="J1632" t="str">
        <f>HYPERLINK("https://www.youtube.com/watch?v=EsUMqWuvYA8&amp;lc=UgwUIzaVHZHb2X6LSnJ4AaABAg","https://www.youtube.com/watch?v=EsUMqWuvYA8&amp;lc=UgwUIzaVHZHb2X6LSnJ4AaABAg")</f>
        <v>https://www.youtube.com/watch?v=EsUMqWuvYA8&amp;lc=UgwUIzaVHZHb2X6LSnJ4AaABAg</v>
      </c>
      <c r="O1632">
        <v>0</v>
      </c>
      <c r="P1632">
        <v>0</v>
      </c>
      <c r="Q1632">
        <v>0</v>
      </c>
      <c r="S1632">
        <v>0</v>
      </c>
      <c r="T1632">
        <v>0</v>
      </c>
      <c r="U1632">
        <v>0</v>
      </c>
      <c r="W1632" t="s">
        <v>52</v>
      </c>
    </row>
    <row r="1633" spans="1:23" x14ac:dyDescent="0.35">
      <c r="A1633" t="s">
        <v>45</v>
      </c>
      <c r="B1633" t="s">
        <v>3388</v>
      </c>
      <c r="C1633" t="s">
        <v>47</v>
      </c>
      <c r="D1633" t="s">
        <v>843</v>
      </c>
      <c r="E1633" t="s">
        <v>843</v>
      </c>
      <c r="F1633" t="s">
        <v>193</v>
      </c>
      <c r="G1633" t="s">
        <v>3427</v>
      </c>
      <c r="H1633" t="s">
        <v>3428</v>
      </c>
      <c r="J1633" t="str">
        <f>HYPERLINK("https://www.youtube.com/watch?v=IHWzT2TNYKQ&amp;lc=UgxkK7xvEZ8UOHhyVGN4AaABAg","https://www.youtube.com/watch?v=IHWzT2TNYKQ&amp;lc=UgxkK7xvEZ8UOHhyVGN4AaABAg")</f>
        <v>https://www.youtube.com/watch?v=IHWzT2TNYKQ&amp;lc=UgxkK7xvEZ8UOHhyVGN4AaABAg</v>
      </c>
      <c r="O1633">
        <v>0</v>
      </c>
      <c r="P1633">
        <v>0</v>
      </c>
      <c r="Q1633">
        <v>0</v>
      </c>
      <c r="S1633">
        <v>0</v>
      </c>
      <c r="T1633">
        <v>0</v>
      </c>
      <c r="U1633">
        <v>0</v>
      </c>
      <c r="W1633" t="s">
        <v>52</v>
      </c>
    </row>
    <row r="1634" spans="1:23" x14ac:dyDescent="0.35">
      <c r="A1634" t="s">
        <v>45</v>
      </c>
      <c r="B1634" t="s">
        <v>3388</v>
      </c>
      <c r="C1634" t="s">
        <v>60</v>
      </c>
      <c r="D1634" t="s">
        <v>64</v>
      </c>
      <c r="E1634" t="s">
        <v>64</v>
      </c>
      <c r="F1634" t="s">
        <v>49</v>
      </c>
      <c r="G1634" t="s">
        <v>3429</v>
      </c>
      <c r="H1634" t="s">
        <v>3430</v>
      </c>
      <c r="J1634" t="str">
        <f>HYPERLINK("https://www.facebook.com/634639855377280/posts/792883919552872","https://www.facebook.com/634639855377280/posts/792883919552872")</f>
        <v>https://www.facebook.com/634639855377280/posts/792883919552872</v>
      </c>
      <c r="O1634">
        <v>0</v>
      </c>
      <c r="P1634">
        <v>0</v>
      </c>
      <c r="Q1634">
        <v>0</v>
      </c>
      <c r="S1634">
        <v>5</v>
      </c>
      <c r="T1634">
        <v>72</v>
      </c>
      <c r="U1634">
        <v>5</v>
      </c>
      <c r="W1634" t="s">
        <v>346</v>
      </c>
    </row>
    <row r="1635" spans="1:23" x14ac:dyDescent="0.35">
      <c r="A1635" t="s">
        <v>45</v>
      </c>
      <c r="B1635" t="s">
        <v>3431</v>
      </c>
      <c r="C1635" t="s">
        <v>93</v>
      </c>
      <c r="D1635" t="s">
        <v>3432</v>
      </c>
      <c r="E1635" t="s">
        <v>3433</v>
      </c>
      <c r="F1635" t="s">
        <v>49</v>
      </c>
      <c r="G1635" t="s">
        <v>3434</v>
      </c>
      <c r="H1635" t="s">
        <v>3435</v>
      </c>
      <c r="J1635" t="str">
        <f>HYPERLINK("https://twitter.com/Sadananda93/status/1758552036939903039","https://twitter.com/Sadananda93/status/1758552036939903039")</f>
        <v>https://twitter.com/Sadananda93/status/1758552036939903039</v>
      </c>
      <c r="K1635" t="s">
        <v>67</v>
      </c>
      <c r="O1635">
        <v>0</v>
      </c>
      <c r="P1635">
        <v>0</v>
      </c>
      <c r="Q1635">
        <v>2</v>
      </c>
      <c r="S1635">
        <v>0</v>
      </c>
      <c r="T1635">
        <v>0</v>
      </c>
      <c r="U1635">
        <v>0</v>
      </c>
      <c r="W1635" t="s">
        <v>99</v>
      </c>
    </row>
    <row r="1636" spans="1:23" x14ac:dyDescent="0.35">
      <c r="A1636" t="s">
        <v>45</v>
      </c>
      <c r="B1636" t="s">
        <v>3431</v>
      </c>
      <c r="C1636" t="s">
        <v>47</v>
      </c>
      <c r="D1636" t="s">
        <v>3436</v>
      </c>
      <c r="E1636" t="s">
        <v>3436</v>
      </c>
      <c r="F1636" t="s">
        <v>49</v>
      </c>
      <c r="G1636" t="s">
        <v>3437</v>
      </c>
      <c r="H1636" t="s">
        <v>3438</v>
      </c>
      <c r="J1636" t="str">
        <f>HYPERLINK("https://www.youtube.com/watch?v=EsUMqWuvYA8&amp;lc=UgzwSXFf29UFAEBb9TN4AaABAg","https://www.youtube.com/watch?v=EsUMqWuvYA8&amp;lc=UgzwSXFf29UFAEBb9TN4AaABAg")</f>
        <v>https://www.youtube.com/watch?v=EsUMqWuvYA8&amp;lc=UgzwSXFf29UFAEBb9TN4AaABAg</v>
      </c>
      <c r="O1636">
        <v>0</v>
      </c>
      <c r="P1636">
        <v>0</v>
      </c>
      <c r="Q1636">
        <v>0</v>
      </c>
      <c r="S1636">
        <v>0</v>
      </c>
      <c r="T1636">
        <v>0</v>
      </c>
      <c r="U1636">
        <v>0</v>
      </c>
      <c r="W1636" t="s">
        <v>52</v>
      </c>
    </row>
    <row r="1637" spans="1:23" x14ac:dyDescent="0.35">
      <c r="A1637" t="s">
        <v>45</v>
      </c>
      <c r="B1637" t="s">
        <v>3431</v>
      </c>
      <c r="C1637" t="s">
        <v>47</v>
      </c>
      <c r="D1637" t="s">
        <v>295</v>
      </c>
      <c r="E1637" t="s">
        <v>295</v>
      </c>
      <c r="F1637" t="s">
        <v>54</v>
      </c>
      <c r="G1637" t="s">
        <v>3439</v>
      </c>
      <c r="H1637" t="s">
        <v>3440</v>
      </c>
      <c r="J1637" t="str">
        <f>HYPERLINK("https://www.youtube.com/watch?v=EsUMqWuvYA8&amp;lc=UgxGqCbUfg__FP9wilV4AaABAg","https://www.youtube.com/watch?v=EsUMqWuvYA8&amp;lc=UgxGqCbUfg__FP9wilV4AaABAg")</f>
        <v>https://www.youtube.com/watch?v=EsUMqWuvYA8&amp;lc=UgxGqCbUfg__FP9wilV4AaABAg</v>
      </c>
      <c r="O1637">
        <v>0</v>
      </c>
      <c r="P1637">
        <v>0</v>
      </c>
      <c r="Q1637">
        <v>0</v>
      </c>
      <c r="S1637">
        <v>0</v>
      </c>
      <c r="T1637">
        <v>0</v>
      </c>
      <c r="U1637">
        <v>0</v>
      </c>
      <c r="W1637" t="s">
        <v>52</v>
      </c>
    </row>
    <row r="1638" spans="1:23" x14ac:dyDescent="0.35">
      <c r="A1638" t="s">
        <v>45</v>
      </c>
      <c r="B1638" t="s">
        <v>3431</v>
      </c>
      <c r="C1638" t="s">
        <v>47</v>
      </c>
      <c r="D1638" t="s">
        <v>3441</v>
      </c>
      <c r="E1638" t="s">
        <v>3441</v>
      </c>
      <c r="F1638" t="s">
        <v>54</v>
      </c>
      <c r="G1638" t="s">
        <v>3442</v>
      </c>
      <c r="H1638" t="s">
        <v>3443</v>
      </c>
      <c r="J1638" t="str">
        <f>HYPERLINK("https://www.youtube.com/watch?v=7CmE06V5n_4&amp;lc=UgyMoFm-Aq_sDYQSycF4AaABAg","https://www.youtube.com/watch?v=7CmE06V5n_4&amp;lc=UgyMoFm-Aq_sDYQSycF4AaABAg")</f>
        <v>https://www.youtube.com/watch?v=7CmE06V5n_4&amp;lc=UgyMoFm-Aq_sDYQSycF4AaABAg</v>
      </c>
      <c r="O1638">
        <v>0</v>
      </c>
      <c r="P1638">
        <v>0</v>
      </c>
      <c r="Q1638">
        <v>0</v>
      </c>
      <c r="S1638">
        <v>0</v>
      </c>
      <c r="T1638">
        <v>0</v>
      </c>
      <c r="U1638">
        <v>0</v>
      </c>
      <c r="W1638" t="s">
        <v>52</v>
      </c>
    </row>
    <row r="1639" spans="1:23" x14ac:dyDescent="0.35">
      <c r="A1639" t="s">
        <v>45</v>
      </c>
      <c r="B1639" t="s">
        <v>3431</v>
      </c>
      <c r="C1639" t="s">
        <v>47</v>
      </c>
      <c r="D1639" t="s">
        <v>3441</v>
      </c>
      <c r="E1639" t="s">
        <v>3441</v>
      </c>
      <c r="F1639" t="s">
        <v>49</v>
      </c>
      <c r="G1639" t="s">
        <v>3444</v>
      </c>
      <c r="H1639" t="s">
        <v>3445</v>
      </c>
      <c r="J1639" t="str">
        <f>HYPERLINK("https://www.youtube.com/watch?v=7CmE06V5n_4&amp;lc=Ugxo6gHvMrOgBhencVJ4AaABAg","https://www.youtube.com/watch?v=7CmE06V5n_4&amp;lc=Ugxo6gHvMrOgBhencVJ4AaABAg")</f>
        <v>https://www.youtube.com/watch?v=7CmE06V5n_4&amp;lc=Ugxo6gHvMrOgBhencVJ4AaABAg</v>
      </c>
      <c r="O1639">
        <v>0</v>
      </c>
      <c r="P1639">
        <v>0</v>
      </c>
      <c r="Q1639">
        <v>0</v>
      </c>
      <c r="S1639">
        <v>0</v>
      </c>
      <c r="T1639">
        <v>0</v>
      </c>
      <c r="U1639">
        <v>0</v>
      </c>
      <c r="W1639" t="s">
        <v>52</v>
      </c>
    </row>
    <row r="1640" spans="1:23" x14ac:dyDescent="0.35">
      <c r="A1640" t="s">
        <v>45</v>
      </c>
      <c r="B1640" t="s">
        <v>3431</v>
      </c>
      <c r="C1640" t="s">
        <v>47</v>
      </c>
      <c r="D1640" t="s">
        <v>3446</v>
      </c>
      <c r="E1640" t="s">
        <v>3446</v>
      </c>
      <c r="F1640" t="s">
        <v>54</v>
      </c>
      <c r="G1640" t="s">
        <v>3447</v>
      </c>
      <c r="H1640" t="s">
        <v>3448</v>
      </c>
      <c r="J1640" t="str">
        <f>HYPERLINK("https://www.youtube.com/watch?v=pJw8yRpVZew&amp;lc=Ugyf9M9eBKKnBy04rKB4AaABAg","https://www.youtube.com/watch?v=pJw8yRpVZew&amp;lc=Ugyf9M9eBKKnBy04rKB4AaABAg")</f>
        <v>https://www.youtube.com/watch?v=pJw8yRpVZew&amp;lc=Ugyf9M9eBKKnBy04rKB4AaABAg</v>
      </c>
      <c r="O1640">
        <v>0</v>
      </c>
      <c r="P1640">
        <v>0</v>
      </c>
      <c r="Q1640">
        <v>0</v>
      </c>
      <c r="S1640">
        <v>0</v>
      </c>
      <c r="T1640">
        <v>0</v>
      </c>
      <c r="U1640">
        <v>0</v>
      </c>
      <c r="W1640" t="s">
        <v>52</v>
      </c>
    </row>
    <row r="1641" spans="1:23" x14ac:dyDescent="0.35">
      <c r="A1641" t="s">
        <v>45</v>
      </c>
      <c r="B1641" t="s">
        <v>3431</v>
      </c>
      <c r="C1641" t="s">
        <v>60</v>
      </c>
      <c r="D1641" t="s">
        <v>61</v>
      </c>
      <c r="E1641" t="s">
        <v>61</v>
      </c>
      <c r="F1641" t="s">
        <v>54</v>
      </c>
      <c r="G1641" t="s">
        <v>3449</v>
      </c>
      <c r="H1641" t="s">
        <v>3450</v>
      </c>
      <c r="J1641" t="str">
        <f>HYPERLINK("https://www.facebook.com/634639855377280/posts/792425026265428?comment_id=406780795042607","https://www.facebook.com/634639855377280/posts/792425026265428?comment_id=406780795042607")</f>
        <v>https://www.facebook.com/634639855377280/posts/792425026265428?comment_id=406780795042607</v>
      </c>
      <c r="O1641">
        <v>0</v>
      </c>
      <c r="P1641">
        <v>0</v>
      </c>
      <c r="Q1641">
        <v>0</v>
      </c>
      <c r="S1641">
        <v>0</v>
      </c>
      <c r="T1641">
        <v>0</v>
      </c>
      <c r="U1641">
        <v>0</v>
      </c>
      <c r="W1641" t="s">
        <v>52</v>
      </c>
    </row>
    <row r="1642" spans="1:23" x14ac:dyDescent="0.35">
      <c r="A1642" t="s">
        <v>45</v>
      </c>
      <c r="B1642" t="s">
        <v>3431</v>
      </c>
      <c r="C1642" t="s">
        <v>60</v>
      </c>
      <c r="D1642" t="s">
        <v>61</v>
      </c>
      <c r="E1642" t="s">
        <v>61</v>
      </c>
      <c r="F1642" t="s">
        <v>49</v>
      </c>
      <c r="G1642" t="s">
        <v>3451</v>
      </c>
      <c r="H1642" t="s">
        <v>3452</v>
      </c>
      <c r="J1642" t="str">
        <f>HYPERLINK("https://www.facebook.com/634639855377280/posts/791769542997643?comment_id=702846572046059","https://www.facebook.com/634639855377280/posts/791769542997643?comment_id=702846572046059")</f>
        <v>https://www.facebook.com/634639855377280/posts/791769542997643?comment_id=702846572046059</v>
      </c>
      <c r="O1642">
        <v>0</v>
      </c>
      <c r="P1642">
        <v>0</v>
      </c>
      <c r="Q1642">
        <v>0</v>
      </c>
      <c r="S1642">
        <v>0</v>
      </c>
      <c r="T1642">
        <v>0</v>
      </c>
      <c r="U1642">
        <v>0</v>
      </c>
      <c r="W1642" t="s">
        <v>52</v>
      </c>
    </row>
    <row r="1643" spans="1:23" x14ac:dyDescent="0.35">
      <c r="A1643" t="s">
        <v>45</v>
      </c>
      <c r="B1643" t="s">
        <v>3431</v>
      </c>
      <c r="C1643" t="s">
        <v>47</v>
      </c>
      <c r="D1643" t="s">
        <v>3453</v>
      </c>
      <c r="E1643" t="s">
        <v>3453</v>
      </c>
      <c r="F1643" t="s">
        <v>54</v>
      </c>
      <c r="G1643" t="s">
        <v>3454</v>
      </c>
      <c r="H1643" t="s">
        <v>3455</v>
      </c>
      <c r="J1643" t="str">
        <f>HYPERLINK("https://www.youtube.com/watch?v=Rt7UUqkb-J0&amp;lc=Ugyw8oPcZ6ogckjEFnF4AaABAg.A-sM3u0DE7IA-sscpZmemC","https://www.youtube.com/watch?v=Rt7UUqkb-J0&amp;lc=Ugyw8oPcZ6ogckjEFnF4AaABAg.A-sM3u0DE7IA-sscpZmemC")</f>
        <v>https://www.youtube.com/watch?v=Rt7UUqkb-J0&amp;lc=Ugyw8oPcZ6ogckjEFnF4AaABAg.A-sM3u0DE7IA-sscpZmemC</v>
      </c>
      <c r="O1643">
        <v>0</v>
      </c>
      <c r="P1643">
        <v>0</v>
      </c>
      <c r="Q1643">
        <v>0</v>
      </c>
      <c r="S1643">
        <v>0</v>
      </c>
      <c r="T1643">
        <v>0</v>
      </c>
      <c r="U1643">
        <v>0</v>
      </c>
      <c r="W1643" t="s">
        <v>52</v>
      </c>
    </row>
    <row r="1644" spans="1:23" x14ac:dyDescent="0.35">
      <c r="A1644" t="s">
        <v>45</v>
      </c>
      <c r="B1644" t="s">
        <v>3431</v>
      </c>
      <c r="C1644" t="s">
        <v>47</v>
      </c>
      <c r="D1644" t="s">
        <v>3456</v>
      </c>
      <c r="E1644" t="s">
        <v>3456</v>
      </c>
      <c r="F1644" t="s">
        <v>54</v>
      </c>
      <c r="G1644" t="s">
        <v>3457</v>
      </c>
      <c r="H1644" t="s">
        <v>3458</v>
      </c>
      <c r="J1644" t="str">
        <f>HYPERLINK("https://www.youtube.com/watch?v=L7PeKVwMvu8&amp;lc=Ugzql0CdCJxY412SlIx4AaABAg","https://www.youtube.com/watch?v=L7PeKVwMvu8&amp;lc=Ugzql0CdCJxY412SlIx4AaABAg")</f>
        <v>https://www.youtube.com/watch?v=L7PeKVwMvu8&amp;lc=Ugzql0CdCJxY412SlIx4AaABAg</v>
      </c>
      <c r="O1644">
        <v>0</v>
      </c>
      <c r="P1644">
        <v>0</v>
      </c>
      <c r="Q1644">
        <v>0</v>
      </c>
      <c r="S1644">
        <v>0</v>
      </c>
      <c r="T1644">
        <v>0</v>
      </c>
      <c r="U1644">
        <v>0</v>
      </c>
      <c r="W1644" t="s">
        <v>52</v>
      </c>
    </row>
    <row r="1645" spans="1:23" x14ac:dyDescent="0.35">
      <c r="A1645" t="s">
        <v>45</v>
      </c>
      <c r="B1645" t="s">
        <v>3431</v>
      </c>
      <c r="C1645" t="s">
        <v>93</v>
      </c>
      <c r="D1645" t="s">
        <v>2939</v>
      </c>
      <c r="E1645" t="s">
        <v>2940</v>
      </c>
      <c r="F1645" t="s">
        <v>49</v>
      </c>
      <c r="G1645" t="s">
        <v>3459</v>
      </c>
      <c r="H1645" t="s">
        <v>3460</v>
      </c>
      <c r="J1645" t="str">
        <f>HYPERLINK("https://twitter.com/amandwi39776875/status/1758484905825382690","https://twitter.com/amandwi39776875/status/1758484905825382690")</f>
        <v>https://twitter.com/amandwi39776875/status/1758484905825382690</v>
      </c>
      <c r="O1645">
        <v>0</v>
      </c>
      <c r="P1645">
        <v>0</v>
      </c>
      <c r="Q1645">
        <v>112</v>
      </c>
      <c r="R1645" t="s">
        <v>2943</v>
      </c>
      <c r="S1645">
        <v>0</v>
      </c>
      <c r="T1645">
        <v>0</v>
      </c>
      <c r="U1645">
        <v>0</v>
      </c>
      <c r="W1645" t="s">
        <v>99</v>
      </c>
    </row>
    <row r="1646" spans="1:23" x14ac:dyDescent="0.35">
      <c r="A1646" t="s">
        <v>45</v>
      </c>
      <c r="B1646" t="s">
        <v>3431</v>
      </c>
      <c r="C1646" t="s">
        <v>93</v>
      </c>
      <c r="D1646" t="s">
        <v>94</v>
      </c>
      <c r="E1646" t="s">
        <v>45</v>
      </c>
      <c r="F1646" t="s">
        <v>49</v>
      </c>
      <c r="G1646" t="s">
        <v>3461</v>
      </c>
      <c r="H1646" t="s">
        <v>3462</v>
      </c>
      <c r="J1646" t="str">
        <f>HYPERLINK("https://twitter.com/SpiceMoneyIndia/status/1758480695654064446","https://twitter.com/SpiceMoneyIndia/status/1758480695654064446")</f>
        <v>https://twitter.com/SpiceMoneyIndia/status/1758480695654064446</v>
      </c>
      <c r="K1646" t="s">
        <v>67</v>
      </c>
      <c r="O1646">
        <v>0</v>
      </c>
      <c r="P1646">
        <v>0</v>
      </c>
      <c r="Q1646">
        <v>6031</v>
      </c>
      <c r="R1646" t="s">
        <v>97</v>
      </c>
      <c r="S1646">
        <v>0</v>
      </c>
      <c r="T1646">
        <v>0</v>
      </c>
      <c r="U1646">
        <v>0</v>
      </c>
      <c r="V1646" t="s">
        <v>98</v>
      </c>
      <c r="W1646" t="s">
        <v>99</v>
      </c>
    </row>
    <row r="1647" spans="1:23" x14ac:dyDescent="0.35">
      <c r="A1647" t="s">
        <v>45</v>
      </c>
      <c r="B1647" t="s">
        <v>3431</v>
      </c>
      <c r="C1647" t="s">
        <v>47</v>
      </c>
      <c r="D1647" t="s">
        <v>3463</v>
      </c>
      <c r="E1647" t="s">
        <v>3463</v>
      </c>
      <c r="F1647" t="s">
        <v>54</v>
      </c>
      <c r="G1647" t="s">
        <v>3464</v>
      </c>
      <c r="H1647" t="s">
        <v>3465</v>
      </c>
      <c r="J1647" t="str">
        <f>HYPERLINK("https://www.youtube.com/watch?v=Vk9kehZJdww&amp;lc=UgwqInGrafXRuJkdvkB4AaABAg","https://www.youtube.com/watch?v=Vk9kehZJdww&amp;lc=UgwqInGrafXRuJkdvkB4AaABAg")</f>
        <v>https://www.youtube.com/watch?v=Vk9kehZJdww&amp;lc=UgwqInGrafXRuJkdvkB4AaABAg</v>
      </c>
      <c r="O1647">
        <v>0</v>
      </c>
      <c r="P1647">
        <v>0</v>
      </c>
      <c r="Q1647">
        <v>0</v>
      </c>
      <c r="S1647">
        <v>0</v>
      </c>
      <c r="T1647">
        <v>0</v>
      </c>
      <c r="U1647">
        <v>0</v>
      </c>
      <c r="W1647" t="s">
        <v>52</v>
      </c>
    </row>
    <row r="1648" spans="1:23" x14ac:dyDescent="0.35">
      <c r="A1648" t="s">
        <v>45</v>
      </c>
      <c r="B1648" t="s">
        <v>3431</v>
      </c>
      <c r="C1648" t="s">
        <v>47</v>
      </c>
      <c r="D1648" t="s">
        <v>3466</v>
      </c>
      <c r="E1648" t="s">
        <v>3466</v>
      </c>
      <c r="F1648" t="s">
        <v>49</v>
      </c>
      <c r="G1648" t="s">
        <v>3467</v>
      </c>
      <c r="H1648" t="s">
        <v>3468</v>
      </c>
      <c r="J1648" t="str">
        <f>HYPERLINK("https://www.youtube.com/watch?v=EsUMqWuvYA8&amp;lc=Ugzd_Q8VvvkN8TKpzGx4AaABAg","https://www.youtube.com/watch?v=EsUMqWuvYA8&amp;lc=Ugzd_Q8VvvkN8TKpzGx4AaABAg")</f>
        <v>https://www.youtube.com/watch?v=EsUMqWuvYA8&amp;lc=Ugzd_Q8VvvkN8TKpzGx4AaABAg</v>
      </c>
      <c r="O1648">
        <v>0</v>
      </c>
      <c r="P1648">
        <v>0</v>
      </c>
      <c r="Q1648">
        <v>0</v>
      </c>
      <c r="S1648">
        <v>0</v>
      </c>
      <c r="T1648">
        <v>0</v>
      </c>
      <c r="U1648">
        <v>0</v>
      </c>
      <c r="W1648" t="s">
        <v>52</v>
      </c>
    </row>
    <row r="1649" spans="1:23" x14ac:dyDescent="0.35">
      <c r="A1649" t="s">
        <v>45</v>
      </c>
      <c r="B1649" t="s">
        <v>3431</v>
      </c>
      <c r="C1649" t="s">
        <v>60</v>
      </c>
      <c r="D1649" t="s">
        <v>61</v>
      </c>
      <c r="E1649" t="s">
        <v>61</v>
      </c>
      <c r="F1649" t="s">
        <v>49</v>
      </c>
      <c r="G1649" t="s">
        <v>3469</v>
      </c>
      <c r="H1649" t="s">
        <v>3470</v>
      </c>
      <c r="J1649" t="str">
        <f>HYPERLINK("https://www.facebook.com/634639855377280/posts/791769542997643?comment_id=1758130748017829","https://www.facebook.com/634639855377280/posts/791769542997643?comment_id=1758130748017829")</f>
        <v>https://www.facebook.com/634639855377280/posts/791769542997643?comment_id=1758130748017829</v>
      </c>
      <c r="O1649">
        <v>0</v>
      </c>
      <c r="P1649">
        <v>0</v>
      </c>
      <c r="Q1649">
        <v>0</v>
      </c>
      <c r="S1649">
        <v>0</v>
      </c>
      <c r="T1649">
        <v>0</v>
      </c>
      <c r="U1649">
        <v>0</v>
      </c>
      <c r="W1649" t="s">
        <v>52</v>
      </c>
    </row>
    <row r="1650" spans="1:23" x14ac:dyDescent="0.35">
      <c r="A1650" t="s">
        <v>45</v>
      </c>
      <c r="B1650" t="s">
        <v>3431</v>
      </c>
      <c r="C1650" t="s">
        <v>60</v>
      </c>
      <c r="D1650" t="s">
        <v>61</v>
      </c>
      <c r="E1650" t="s">
        <v>61</v>
      </c>
      <c r="F1650" t="s">
        <v>49</v>
      </c>
      <c r="G1650" t="s">
        <v>3471</v>
      </c>
      <c r="H1650" t="s">
        <v>3472</v>
      </c>
      <c r="J1650" t="str">
        <f>HYPERLINK("https://www.facebook.com/634639855377280/posts/792425026265428?comment_id=585715410436708&amp;reply_comment_id=1657282254678617","https://www.facebook.com/634639855377280/posts/792425026265428?comment_id=585715410436708&amp;reply_comment_id=1657282254678617")</f>
        <v>https://www.facebook.com/634639855377280/posts/792425026265428?comment_id=585715410436708&amp;reply_comment_id=1657282254678617</v>
      </c>
      <c r="O1650">
        <v>0</v>
      </c>
      <c r="P1650">
        <v>0</v>
      </c>
      <c r="Q1650">
        <v>0</v>
      </c>
      <c r="S1650">
        <v>0</v>
      </c>
      <c r="T1650">
        <v>0</v>
      </c>
      <c r="U1650">
        <v>0</v>
      </c>
      <c r="W1650" t="s">
        <v>52</v>
      </c>
    </row>
    <row r="1651" spans="1:23" x14ac:dyDescent="0.35">
      <c r="A1651" t="s">
        <v>45</v>
      </c>
      <c r="B1651" t="s">
        <v>3431</v>
      </c>
      <c r="C1651" t="s">
        <v>93</v>
      </c>
      <c r="D1651" t="s">
        <v>94</v>
      </c>
      <c r="E1651" t="s">
        <v>45</v>
      </c>
      <c r="F1651" t="s">
        <v>49</v>
      </c>
      <c r="G1651" t="s">
        <v>3473</v>
      </c>
      <c r="H1651" t="s">
        <v>3474</v>
      </c>
      <c r="J1651" t="str">
        <f>HYPERLINK("https://twitter.com/SpiceMoneyIndia/status/1758462739146551526","https://twitter.com/SpiceMoneyIndia/status/1758462739146551526")</f>
        <v>https://twitter.com/SpiceMoneyIndia/status/1758462739146551526</v>
      </c>
      <c r="K1651" t="s">
        <v>67</v>
      </c>
      <c r="O1651">
        <v>0</v>
      </c>
      <c r="P1651">
        <v>0</v>
      </c>
      <c r="Q1651">
        <v>6031</v>
      </c>
      <c r="R1651" t="s">
        <v>97</v>
      </c>
      <c r="S1651">
        <v>0</v>
      </c>
      <c r="T1651">
        <v>0</v>
      </c>
      <c r="U1651">
        <v>0</v>
      </c>
      <c r="V1651" t="s">
        <v>98</v>
      </c>
      <c r="W1651" t="s">
        <v>99</v>
      </c>
    </row>
    <row r="1652" spans="1:23" x14ac:dyDescent="0.35">
      <c r="A1652" t="s">
        <v>45</v>
      </c>
      <c r="B1652" t="s">
        <v>3431</v>
      </c>
      <c r="C1652" t="s">
        <v>60</v>
      </c>
      <c r="D1652" t="s">
        <v>61</v>
      </c>
      <c r="E1652" t="s">
        <v>61</v>
      </c>
      <c r="F1652" t="s">
        <v>193</v>
      </c>
      <c r="G1652" t="s">
        <v>3475</v>
      </c>
      <c r="H1652" t="s">
        <v>3476</v>
      </c>
      <c r="J1652" t="str">
        <f>HYPERLINK("https://www.facebook.com/634639855377280/posts/792425026265428?comment_id=585715410436708","https://www.facebook.com/634639855377280/posts/792425026265428?comment_id=585715410436708")</f>
        <v>https://www.facebook.com/634639855377280/posts/792425026265428?comment_id=585715410436708</v>
      </c>
      <c r="O1652">
        <v>0</v>
      </c>
      <c r="P1652">
        <v>0</v>
      </c>
      <c r="Q1652">
        <v>0</v>
      </c>
      <c r="S1652">
        <v>0</v>
      </c>
      <c r="T1652">
        <v>0</v>
      </c>
      <c r="U1652">
        <v>0</v>
      </c>
      <c r="W1652" t="s">
        <v>52</v>
      </c>
    </row>
    <row r="1653" spans="1:23" x14ac:dyDescent="0.35">
      <c r="A1653" t="s">
        <v>45</v>
      </c>
      <c r="B1653" t="s">
        <v>3431</v>
      </c>
      <c r="C1653" t="s">
        <v>60</v>
      </c>
      <c r="D1653" t="s">
        <v>64</v>
      </c>
      <c r="E1653" t="s">
        <v>64</v>
      </c>
      <c r="F1653" t="s">
        <v>49</v>
      </c>
      <c r="G1653" t="s">
        <v>83</v>
      </c>
      <c r="H1653" t="s">
        <v>3477</v>
      </c>
      <c r="J1653" t="str">
        <f>HYPERLINK("https://www.facebook.com/634639855377280/posts/791306126377318?comment_id=1330135441009985&amp;reply_comment_id=2849244328549381","https://www.facebook.com/634639855377280/posts/791306126377318?comment_id=1330135441009985&amp;reply_comment_id=2849244328549381")</f>
        <v>https://www.facebook.com/634639855377280/posts/791306126377318?comment_id=1330135441009985&amp;reply_comment_id=2849244328549381</v>
      </c>
      <c r="K1653" t="s">
        <v>67</v>
      </c>
      <c r="O1653">
        <v>0</v>
      </c>
      <c r="P1653">
        <v>0</v>
      </c>
      <c r="Q1653">
        <v>0</v>
      </c>
      <c r="S1653">
        <v>0</v>
      </c>
      <c r="T1653">
        <v>0</v>
      </c>
      <c r="U1653">
        <v>0</v>
      </c>
      <c r="W1653" t="s">
        <v>52</v>
      </c>
    </row>
    <row r="1654" spans="1:23" x14ac:dyDescent="0.35">
      <c r="A1654" t="s">
        <v>45</v>
      </c>
      <c r="B1654" t="s">
        <v>3431</v>
      </c>
      <c r="C1654" t="s">
        <v>60</v>
      </c>
      <c r="D1654" t="s">
        <v>64</v>
      </c>
      <c r="E1654" t="s">
        <v>64</v>
      </c>
      <c r="F1654" t="s">
        <v>49</v>
      </c>
      <c r="G1654" t="s">
        <v>1595</v>
      </c>
      <c r="H1654" t="s">
        <v>3478</v>
      </c>
      <c r="J1654" t="str">
        <f>HYPERLINK("https://www.facebook.com/634639855377280/posts/791769542997643?comment_id=1485497989057048&amp;reply_comment_id=3405176023107605","https://www.facebook.com/634639855377280/posts/791769542997643?comment_id=1485497989057048&amp;reply_comment_id=3405176023107605")</f>
        <v>https://www.facebook.com/634639855377280/posts/791769542997643?comment_id=1485497989057048&amp;reply_comment_id=3405176023107605</v>
      </c>
      <c r="K1654" t="s">
        <v>67</v>
      </c>
      <c r="O1654">
        <v>0</v>
      </c>
      <c r="P1654">
        <v>0</v>
      </c>
      <c r="Q1654">
        <v>0</v>
      </c>
      <c r="S1654">
        <v>0</v>
      </c>
      <c r="T1654">
        <v>0</v>
      </c>
      <c r="U1654">
        <v>0</v>
      </c>
      <c r="W1654" t="s">
        <v>52</v>
      </c>
    </row>
    <row r="1655" spans="1:23" x14ac:dyDescent="0.35">
      <c r="A1655" t="s">
        <v>45</v>
      </c>
      <c r="B1655" t="s">
        <v>3431</v>
      </c>
      <c r="C1655" t="s">
        <v>60</v>
      </c>
      <c r="D1655" t="s">
        <v>64</v>
      </c>
      <c r="E1655" t="s">
        <v>64</v>
      </c>
      <c r="F1655" t="s">
        <v>49</v>
      </c>
      <c r="G1655" t="s">
        <v>162</v>
      </c>
      <c r="H1655" t="s">
        <v>3479</v>
      </c>
      <c r="J1655" t="str">
        <f>HYPERLINK("https://www.facebook.com/634639855377280/posts/792425026265428?comment_id=775227051323649&amp;reply_comment_id=291013483728273","https://www.facebook.com/634639855377280/posts/792425026265428?comment_id=775227051323649&amp;reply_comment_id=291013483728273")</f>
        <v>https://www.facebook.com/634639855377280/posts/792425026265428?comment_id=775227051323649&amp;reply_comment_id=291013483728273</v>
      </c>
      <c r="K1655" t="s">
        <v>67</v>
      </c>
      <c r="O1655">
        <v>0</v>
      </c>
      <c r="P1655">
        <v>0</v>
      </c>
      <c r="Q1655">
        <v>0</v>
      </c>
      <c r="S1655">
        <v>0</v>
      </c>
      <c r="T1655">
        <v>0</v>
      </c>
      <c r="U1655">
        <v>0</v>
      </c>
      <c r="W1655" t="s">
        <v>52</v>
      </c>
    </row>
    <row r="1656" spans="1:23" x14ac:dyDescent="0.35">
      <c r="A1656" t="s">
        <v>45</v>
      </c>
      <c r="B1656" t="s">
        <v>3431</v>
      </c>
      <c r="C1656" t="s">
        <v>93</v>
      </c>
      <c r="D1656" t="s">
        <v>94</v>
      </c>
      <c r="E1656" t="s">
        <v>45</v>
      </c>
      <c r="F1656" t="s">
        <v>49</v>
      </c>
      <c r="G1656" t="s">
        <v>3480</v>
      </c>
      <c r="H1656" t="s">
        <v>3481</v>
      </c>
      <c r="J1656" t="str">
        <f>HYPERLINK("https://twitter.com/SpiceMoneyIndia/status/1758457971665756531","https://twitter.com/SpiceMoneyIndia/status/1758457971665756531")</f>
        <v>https://twitter.com/SpiceMoneyIndia/status/1758457971665756531</v>
      </c>
      <c r="K1656" t="s">
        <v>67</v>
      </c>
      <c r="O1656">
        <v>0</v>
      </c>
      <c r="P1656">
        <v>0</v>
      </c>
      <c r="Q1656">
        <v>6031</v>
      </c>
      <c r="R1656" t="s">
        <v>97</v>
      </c>
      <c r="S1656">
        <v>0</v>
      </c>
      <c r="T1656">
        <v>0</v>
      </c>
      <c r="U1656">
        <v>0</v>
      </c>
      <c r="V1656" t="s">
        <v>98</v>
      </c>
      <c r="W1656" t="s">
        <v>99</v>
      </c>
    </row>
    <row r="1657" spans="1:23" x14ac:dyDescent="0.35">
      <c r="A1657" t="s">
        <v>45</v>
      </c>
      <c r="B1657" t="s">
        <v>3431</v>
      </c>
      <c r="C1657" t="s">
        <v>93</v>
      </c>
      <c r="D1657" t="s">
        <v>94</v>
      </c>
      <c r="E1657" t="s">
        <v>45</v>
      </c>
      <c r="F1657" t="s">
        <v>49</v>
      </c>
      <c r="G1657" t="s">
        <v>3482</v>
      </c>
      <c r="H1657" t="s">
        <v>3483</v>
      </c>
      <c r="J1657" t="str">
        <f>HYPERLINK("https://twitter.com/SpiceMoneyIndia/status/1758457632514322569","https://twitter.com/SpiceMoneyIndia/status/1758457632514322569")</f>
        <v>https://twitter.com/SpiceMoneyIndia/status/1758457632514322569</v>
      </c>
      <c r="K1657" t="s">
        <v>67</v>
      </c>
      <c r="O1657">
        <v>0</v>
      </c>
      <c r="P1657">
        <v>0</v>
      </c>
      <c r="Q1657">
        <v>6031</v>
      </c>
      <c r="R1657" t="s">
        <v>97</v>
      </c>
      <c r="S1657">
        <v>0</v>
      </c>
      <c r="T1657">
        <v>0</v>
      </c>
      <c r="U1657">
        <v>0</v>
      </c>
      <c r="V1657" t="s">
        <v>98</v>
      </c>
      <c r="W1657" t="s">
        <v>99</v>
      </c>
    </row>
    <row r="1658" spans="1:23" x14ac:dyDescent="0.35">
      <c r="A1658" t="s">
        <v>45</v>
      </c>
      <c r="B1658" t="s">
        <v>3431</v>
      </c>
      <c r="C1658" t="s">
        <v>47</v>
      </c>
      <c r="D1658" t="s">
        <v>68</v>
      </c>
      <c r="E1658" t="s">
        <v>68</v>
      </c>
      <c r="F1658" t="s">
        <v>49</v>
      </c>
      <c r="G1658" t="s">
        <v>162</v>
      </c>
      <c r="H1658" t="s">
        <v>3484</v>
      </c>
      <c r="J1658" t="str">
        <f>HYPERLINK("https://www.youtube.com/watch?v=Rt7UUqkb-J0&amp;lc=Ugyw8oPcZ6ogckjEFnF4AaABAg.A-sM3u0DE7IA-sZX-ocuKe","https://www.youtube.com/watch?v=Rt7UUqkb-J0&amp;lc=Ugyw8oPcZ6ogckjEFnF4AaABAg.A-sM3u0DE7IA-sZX-ocuKe")</f>
        <v>https://www.youtube.com/watch?v=Rt7UUqkb-J0&amp;lc=Ugyw8oPcZ6ogckjEFnF4AaABAg.A-sM3u0DE7IA-sZX-ocuKe</v>
      </c>
      <c r="O1658">
        <v>0</v>
      </c>
      <c r="P1658">
        <v>0</v>
      </c>
      <c r="Q1658">
        <v>0</v>
      </c>
      <c r="S1658">
        <v>0</v>
      </c>
      <c r="T1658">
        <v>0</v>
      </c>
      <c r="U1658">
        <v>0</v>
      </c>
      <c r="W1658" t="s">
        <v>52</v>
      </c>
    </row>
    <row r="1659" spans="1:23" x14ac:dyDescent="0.35">
      <c r="A1659" t="s">
        <v>45</v>
      </c>
      <c r="B1659" t="s">
        <v>3431</v>
      </c>
      <c r="C1659" t="s">
        <v>47</v>
      </c>
      <c r="D1659" t="s">
        <v>3485</v>
      </c>
      <c r="E1659" t="s">
        <v>3485</v>
      </c>
      <c r="F1659" t="s">
        <v>54</v>
      </c>
      <c r="G1659" t="s">
        <v>3486</v>
      </c>
      <c r="H1659" t="s">
        <v>3487</v>
      </c>
      <c r="J1659" t="str">
        <f>HYPERLINK("https://www.youtube.com/watch?v=EsUMqWuvYA8&amp;lc=UgyJLpqeBTTxndvN3lZ4AaABAg","https://www.youtube.com/watch?v=EsUMqWuvYA8&amp;lc=UgyJLpqeBTTxndvN3lZ4AaABAg")</f>
        <v>https://www.youtube.com/watch?v=EsUMqWuvYA8&amp;lc=UgyJLpqeBTTxndvN3lZ4AaABAg</v>
      </c>
      <c r="O1659">
        <v>0</v>
      </c>
      <c r="P1659">
        <v>0</v>
      </c>
      <c r="Q1659">
        <v>0</v>
      </c>
      <c r="S1659">
        <v>0</v>
      </c>
      <c r="T1659">
        <v>0</v>
      </c>
      <c r="U1659">
        <v>0</v>
      </c>
      <c r="W1659" t="s">
        <v>52</v>
      </c>
    </row>
    <row r="1660" spans="1:23" x14ac:dyDescent="0.35">
      <c r="A1660" t="s">
        <v>45</v>
      </c>
      <c r="B1660" t="s">
        <v>3431</v>
      </c>
      <c r="C1660" t="s">
        <v>60</v>
      </c>
      <c r="D1660" t="s">
        <v>61</v>
      </c>
      <c r="E1660" t="s">
        <v>61</v>
      </c>
      <c r="F1660" t="s">
        <v>54</v>
      </c>
      <c r="G1660" t="s">
        <v>3488</v>
      </c>
      <c r="H1660" t="s">
        <v>3489</v>
      </c>
      <c r="J1660" t="str">
        <f>HYPERLINK("https://www.facebook.com/634639855377280/posts/792425026265428?comment_id=775227051323649","https://www.facebook.com/634639855377280/posts/792425026265428?comment_id=775227051323649")</f>
        <v>https://www.facebook.com/634639855377280/posts/792425026265428?comment_id=775227051323649</v>
      </c>
      <c r="O1660">
        <v>0</v>
      </c>
      <c r="P1660">
        <v>0</v>
      </c>
      <c r="Q1660">
        <v>0</v>
      </c>
      <c r="S1660">
        <v>0</v>
      </c>
      <c r="T1660">
        <v>0</v>
      </c>
      <c r="U1660">
        <v>0</v>
      </c>
      <c r="W1660" t="s">
        <v>52</v>
      </c>
    </row>
    <row r="1661" spans="1:23" x14ac:dyDescent="0.35">
      <c r="A1661" t="s">
        <v>45</v>
      </c>
      <c r="B1661" t="s">
        <v>3431</v>
      </c>
      <c r="C1661" t="s">
        <v>60</v>
      </c>
      <c r="D1661" t="s">
        <v>61</v>
      </c>
      <c r="E1661" t="s">
        <v>61</v>
      </c>
      <c r="F1661" t="s">
        <v>193</v>
      </c>
      <c r="G1661" t="s">
        <v>3490</v>
      </c>
      <c r="H1661" t="s">
        <v>3491</v>
      </c>
      <c r="J1661" t="str">
        <f>HYPERLINK("https://www.facebook.com/634639855377280/posts/792425026265428?comment_id=2024540991263803","https://www.facebook.com/634639855377280/posts/792425026265428?comment_id=2024540991263803")</f>
        <v>https://www.facebook.com/634639855377280/posts/792425026265428?comment_id=2024540991263803</v>
      </c>
      <c r="O1661">
        <v>0</v>
      </c>
      <c r="P1661">
        <v>0</v>
      </c>
      <c r="Q1661">
        <v>0</v>
      </c>
      <c r="S1661">
        <v>0</v>
      </c>
      <c r="T1661">
        <v>0</v>
      </c>
      <c r="U1661">
        <v>0</v>
      </c>
      <c r="W1661" t="s">
        <v>52</v>
      </c>
    </row>
    <row r="1662" spans="1:23" x14ac:dyDescent="0.35">
      <c r="A1662" t="s">
        <v>45</v>
      </c>
      <c r="B1662" t="s">
        <v>3431</v>
      </c>
      <c r="C1662" t="s">
        <v>60</v>
      </c>
      <c r="D1662" t="s">
        <v>61</v>
      </c>
      <c r="E1662" t="s">
        <v>61</v>
      </c>
      <c r="F1662" t="s">
        <v>49</v>
      </c>
      <c r="G1662" t="s">
        <v>3492</v>
      </c>
      <c r="H1662" t="s">
        <v>3493</v>
      </c>
      <c r="J1662" t="str">
        <f>HYPERLINK("https://www.facebook.com/634639855377280/posts/792425026265428?comment_id=1538496170278585","https://www.facebook.com/634639855377280/posts/792425026265428?comment_id=1538496170278585")</f>
        <v>https://www.facebook.com/634639855377280/posts/792425026265428?comment_id=1538496170278585</v>
      </c>
      <c r="O1662">
        <v>0</v>
      </c>
      <c r="P1662">
        <v>0</v>
      </c>
      <c r="Q1662">
        <v>0</v>
      </c>
      <c r="S1662">
        <v>0</v>
      </c>
      <c r="T1662">
        <v>0</v>
      </c>
      <c r="U1662">
        <v>0</v>
      </c>
      <c r="W1662" t="s">
        <v>52</v>
      </c>
    </row>
    <row r="1663" spans="1:23" x14ac:dyDescent="0.35">
      <c r="A1663" t="s">
        <v>45</v>
      </c>
      <c r="B1663" t="s">
        <v>3431</v>
      </c>
      <c r="C1663" t="s">
        <v>60</v>
      </c>
      <c r="D1663" t="s">
        <v>64</v>
      </c>
      <c r="E1663" t="s">
        <v>64</v>
      </c>
      <c r="F1663" t="s">
        <v>49</v>
      </c>
      <c r="G1663" t="s">
        <v>3494</v>
      </c>
      <c r="H1663" t="s">
        <v>3495</v>
      </c>
      <c r="J1663" t="str">
        <f>HYPERLINK("https://www.facebook.com/634639855377280/posts/792425026265428","https://www.facebook.com/634639855377280/posts/792425026265428")</f>
        <v>https://www.facebook.com/634639855377280/posts/792425026265428</v>
      </c>
      <c r="O1663">
        <v>0</v>
      </c>
      <c r="P1663">
        <v>0</v>
      </c>
      <c r="Q1663">
        <v>0</v>
      </c>
      <c r="S1663">
        <v>13</v>
      </c>
      <c r="T1663">
        <v>91</v>
      </c>
      <c r="U1663">
        <v>8</v>
      </c>
      <c r="W1663" t="s">
        <v>346</v>
      </c>
    </row>
    <row r="1664" spans="1:23" x14ac:dyDescent="0.35">
      <c r="A1664" t="s">
        <v>45</v>
      </c>
      <c r="B1664" t="s">
        <v>3431</v>
      </c>
      <c r="C1664" t="s">
        <v>93</v>
      </c>
      <c r="D1664" t="s">
        <v>94</v>
      </c>
      <c r="E1664" t="s">
        <v>45</v>
      </c>
      <c r="F1664" t="s">
        <v>49</v>
      </c>
      <c r="G1664" t="s">
        <v>3496</v>
      </c>
      <c r="H1664" t="s">
        <v>3497</v>
      </c>
      <c r="J1664" t="str">
        <f>HYPERLINK("https://twitter.com/SpiceMoneyIndia/status/1758443126430048637","https://twitter.com/SpiceMoneyIndia/status/1758443126430048637")</f>
        <v>https://twitter.com/SpiceMoneyIndia/status/1758443126430048637</v>
      </c>
      <c r="K1664" t="s">
        <v>67</v>
      </c>
      <c r="O1664">
        <v>0</v>
      </c>
      <c r="P1664">
        <v>0</v>
      </c>
      <c r="Q1664">
        <v>6031</v>
      </c>
      <c r="R1664" t="s">
        <v>97</v>
      </c>
      <c r="S1664">
        <v>0</v>
      </c>
      <c r="T1664">
        <v>0</v>
      </c>
      <c r="U1664">
        <v>0</v>
      </c>
      <c r="V1664" t="s">
        <v>98</v>
      </c>
      <c r="W1664" t="s">
        <v>99</v>
      </c>
    </row>
    <row r="1665" spans="1:23" x14ac:dyDescent="0.35">
      <c r="A1665" t="s">
        <v>45</v>
      </c>
      <c r="B1665" t="s">
        <v>3431</v>
      </c>
      <c r="C1665" t="s">
        <v>47</v>
      </c>
      <c r="D1665" t="s">
        <v>45</v>
      </c>
      <c r="E1665" t="s">
        <v>45</v>
      </c>
      <c r="F1665" t="s">
        <v>49</v>
      </c>
      <c r="G1665" t="s">
        <v>3498</v>
      </c>
      <c r="H1665" t="s">
        <v>3499</v>
      </c>
      <c r="J1665" t="str">
        <f>HYPERLINK("https://www.youtube.com/watch?v=EsUMqWuvYA8","https://www.youtube.com/watch?v=EsUMqWuvYA8")</f>
        <v>https://www.youtube.com/watch?v=EsUMqWuvYA8</v>
      </c>
      <c r="O1665">
        <v>0</v>
      </c>
      <c r="P1665">
        <v>0</v>
      </c>
      <c r="Q1665">
        <v>0</v>
      </c>
      <c r="S1665">
        <v>0</v>
      </c>
      <c r="T1665">
        <v>0</v>
      </c>
      <c r="U1665">
        <v>0</v>
      </c>
      <c r="W1665" t="s">
        <v>346</v>
      </c>
    </row>
    <row r="1666" spans="1:23" x14ac:dyDescent="0.35">
      <c r="A1666" t="s">
        <v>45</v>
      </c>
      <c r="B1666" t="s">
        <v>3431</v>
      </c>
      <c r="C1666" t="s">
        <v>47</v>
      </c>
      <c r="D1666" t="s">
        <v>45</v>
      </c>
      <c r="E1666" t="s">
        <v>45</v>
      </c>
      <c r="F1666" t="s">
        <v>49</v>
      </c>
      <c r="G1666" t="s">
        <v>3498</v>
      </c>
      <c r="H1666" t="s">
        <v>3500</v>
      </c>
      <c r="J1666" t="str">
        <f>HYPERLINK("https://www.youtube.com/watch?v=EsUMqWuvYA8","https://www.youtube.com/watch?v=EsUMqWuvYA8")</f>
        <v>https://www.youtube.com/watch?v=EsUMqWuvYA8</v>
      </c>
      <c r="O1666">
        <v>0</v>
      </c>
      <c r="P1666">
        <v>0</v>
      </c>
      <c r="Q1666">
        <v>0</v>
      </c>
      <c r="S1666">
        <v>0</v>
      </c>
      <c r="T1666">
        <v>0</v>
      </c>
      <c r="U1666">
        <v>0</v>
      </c>
      <c r="W1666" t="s">
        <v>346</v>
      </c>
    </row>
    <row r="1667" spans="1:23" x14ac:dyDescent="0.35">
      <c r="A1667" t="s">
        <v>45</v>
      </c>
      <c r="B1667" t="s">
        <v>3431</v>
      </c>
      <c r="C1667" t="s">
        <v>47</v>
      </c>
      <c r="D1667" t="s">
        <v>3453</v>
      </c>
      <c r="E1667" t="s">
        <v>3453</v>
      </c>
      <c r="F1667" t="s">
        <v>54</v>
      </c>
      <c r="G1667" t="s">
        <v>3501</v>
      </c>
      <c r="H1667" t="s">
        <v>3502</v>
      </c>
      <c r="J1667" t="str">
        <f>HYPERLINK("https://www.youtube.com/watch?v=Rt7UUqkb-J0&amp;lc=Ugyw8oPcZ6ogckjEFnF4AaABAg","https://www.youtube.com/watch?v=Rt7UUqkb-J0&amp;lc=Ugyw8oPcZ6ogckjEFnF4AaABAg")</f>
        <v>https://www.youtube.com/watch?v=Rt7UUqkb-J0&amp;lc=Ugyw8oPcZ6ogckjEFnF4AaABAg</v>
      </c>
      <c r="O1667">
        <v>0</v>
      </c>
      <c r="P1667">
        <v>0</v>
      </c>
      <c r="Q1667">
        <v>0</v>
      </c>
      <c r="S1667">
        <v>0</v>
      </c>
      <c r="T1667">
        <v>0</v>
      </c>
      <c r="U1667">
        <v>0</v>
      </c>
      <c r="W1667" t="s">
        <v>52</v>
      </c>
    </row>
    <row r="1668" spans="1:23" x14ac:dyDescent="0.35">
      <c r="A1668" t="s">
        <v>45</v>
      </c>
      <c r="B1668" t="s">
        <v>3431</v>
      </c>
      <c r="C1668" t="s">
        <v>60</v>
      </c>
      <c r="D1668" t="s">
        <v>61</v>
      </c>
      <c r="E1668" t="s">
        <v>61</v>
      </c>
      <c r="F1668" t="s">
        <v>49</v>
      </c>
      <c r="G1668" t="s">
        <v>3503</v>
      </c>
      <c r="H1668" t="s">
        <v>3504</v>
      </c>
      <c r="J1668" t="str">
        <f>HYPERLINK("https://www.facebook.com/634639855377280/posts/791769542997643?comment_id=1485497989057048","https://www.facebook.com/634639855377280/posts/791769542997643?comment_id=1485497989057048")</f>
        <v>https://www.facebook.com/634639855377280/posts/791769542997643?comment_id=1485497989057048</v>
      </c>
      <c r="O1668">
        <v>0</v>
      </c>
      <c r="P1668">
        <v>0</v>
      </c>
      <c r="Q1668">
        <v>0</v>
      </c>
      <c r="S1668">
        <v>0</v>
      </c>
      <c r="T1668">
        <v>0</v>
      </c>
      <c r="U1668">
        <v>0</v>
      </c>
      <c r="W1668" t="s">
        <v>52</v>
      </c>
    </row>
    <row r="1669" spans="1:23" x14ac:dyDescent="0.35">
      <c r="A1669" t="s">
        <v>45</v>
      </c>
      <c r="B1669" t="s">
        <v>3431</v>
      </c>
      <c r="C1669" t="s">
        <v>60</v>
      </c>
      <c r="D1669" t="s">
        <v>61</v>
      </c>
      <c r="E1669" t="s">
        <v>61</v>
      </c>
      <c r="F1669" t="s">
        <v>193</v>
      </c>
      <c r="G1669" t="s">
        <v>3505</v>
      </c>
      <c r="H1669" t="s">
        <v>3506</v>
      </c>
      <c r="J1669" t="str">
        <f>HYPERLINK("https://www.facebook.com/634639855377280/posts/789196523254945?comment_id=1338633720189415","https://www.facebook.com/634639855377280/posts/789196523254945?comment_id=1338633720189415")</f>
        <v>https://www.facebook.com/634639855377280/posts/789196523254945?comment_id=1338633720189415</v>
      </c>
      <c r="O1669">
        <v>0</v>
      </c>
      <c r="P1669">
        <v>0</v>
      </c>
      <c r="Q1669">
        <v>0</v>
      </c>
      <c r="S1669">
        <v>0</v>
      </c>
      <c r="T1669">
        <v>0</v>
      </c>
      <c r="U1669">
        <v>0</v>
      </c>
      <c r="W1669" t="s">
        <v>52</v>
      </c>
    </row>
    <row r="1670" spans="1:23" x14ac:dyDescent="0.35">
      <c r="A1670" t="s">
        <v>45</v>
      </c>
      <c r="B1670" t="s">
        <v>3431</v>
      </c>
      <c r="C1670" t="s">
        <v>60</v>
      </c>
      <c r="D1670" t="s">
        <v>61</v>
      </c>
      <c r="E1670" t="s">
        <v>61</v>
      </c>
      <c r="F1670" t="s">
        <v>49</v>
      </c>
      <c r="G1670" t="s">
        <v>3507</v>
      </c>
      <c r="H1670" t="s">
        <v>3508</v>
      </c>
      <c r="J1670" t="str">
        <f>HYPERLINK("https://www.facebook.com/634639855377280/posts/791306126377318?comment_id=771516821520244","https://www.facebook.com/634639855377280/posts/791306126377318?comment_id=771516821520244")</f>
        <v>https://www.facebook.com/634639855377280/posts/791306126377318?comment_id=771516821520244</v>
      </c>
      <c r="O1670">
        <v>0</v>
      </c>
      <c r="P1670">
        <v>0</v>
      </c>
      <c r="Q1670">
        <v>0</v>
      </c>
      <c r="S1670">
        <v>0</v>
      </c>
      <c r="T1670">
        <v>0</v>
      </c>
      <c r="U1670">
        <v>0</v>
      </c>
      <c r="W1670" t="s">
        <v>52</v>
      </c>
    </row>
    <row r="1671" spans="1:23" x14ac:dyDescent="0.35">
      <c r="A1671" t="s">
        <v>45</v>
      </c>
      <c r="B1671" t="s">
        <v>3431</v>
      </c>
      <c r="C1671" t="s">
        <v>93</v>
      </c>
      <c r="D1671" t="s">
        <v>752</v>
      </c>
      <c r="E1671" t="s">
        <v>753</v>
      </c>
      <c r="F1671" t="s">
        <v>49</v>
      </c>
      <c r="G1671" t="s">
        <v>3509</v>
      </c>
      <c r="H1671" t="s">
        <v>3510</v>
      </c>
      <c r="J1671" t="str">
        <f>HYPERLINK("https://twitter.com/PayNearby/status/1758380300692836767","https://twitter.com/PayNearby/status/1758380300692836767")</f>
        <v>https://twitter.com/PayNearby/status/1758380300692836767</v>
      </c>
      <c r="O1671">
        <v>0</v>
      </c>
      <c r="P1671">
        <v>0</v>
      </c>
      <c r="Q1671">
        <v>5997</v>
      </c>
      <c r="R1671" t="s">
        <v>756</v>
      </c>
      <c r="S1671">
        <v>0</v>
      </c>
      <c r="T1671">
        <v>0</v>
      </c>
      <c r="U1671">
        <v>0</v>
      </c>
      <c r="W1671" t="s">
        <v>99</v>
      </c>
    </row>
    <row r="1672" spans="1:23" x14ac:dyDescent="0.35">
      <c r="A1672" t="s">
        <v>45</v>
      </c>
      <c r="B1672" t="s">
        <v>3431</v>
      </c>
      <c r="C1672" t="s">
        <v>93</v>
      </c>
      <c r="D1672" t="s">
        <v>3511</v>
      </c>
      <c r="E1672" t="s">
        <v>3512</v>
      </c>
      <c r="F1672" t="s">
        <v>49</v>
      </c>
      <c r="G1672" t="s">
        <v>3513</v>
      </c>
      <c r="H1672" t="s">
        <v>3514</v>
      </c>
      <c r="J1672" t="str">
        <f>HYPERLINK("https://twitter.com/janardhan965245/status/1758370917359730752","https://twitter.com/janardhan965245/status/1758370917359730752")</f>
        <v>https://twitter.com/janardhan965245/status/1758370917359730752</v>
      </c>
      <c r="K1672" t="s">
        <v>67</v>
      </c>
      <c r="O1672">
        <v>0</v>
      </c>
      <c r="P1672">
        <v>0</v>
      </c>
      <c r="Q1672">
        <v>1</v>
      </c>
      <c r="S1672">
        <v>0</v>
      </c>
      <c r="T1672">
        <v>0</v>
      </c>
      <c r="U1672">
        <v>0</v>
      </c>
      <c r="W1672" t="s">
        <v>433</v>
      </c>
    </row>
    <row r="1673" spans="1:23" x14ac:dyDescent="0.35">
      <c r="A1673" t="s">
        <v>45</v>
      </c>
      <c r="B1673" t="s">
        <v>3431</v>
      </c>
      <c r="C1673" t="s">
        <v>93</v>
      </c>
      <c r="D1673" t="s">
        <v>2648</v>
      </c>
      <c r="E1673" t="s">
        <v>2649</v>
      </c>
      <c r="F1673" t="s">
        <v>49</v>
      </c>
      <c r="G1673" t="s">
        <v>3515</v>
      </c>
      <c r="H1673" t="s">
        <v>3516</v>
      </c>
      <c r="J1673" t="str">
        <f>HYPERLINK("https://twitter.com/anwer_raqib/status/1758370788057743689","https://twitter.com/anwer_raqib/status/1758370788057743689")</f>
        <v>https://twitter.com/anwer_raqib/status/1758370788057743689</v>
      </c>
      <c r="K1673" t="s">
        <v>67</v>
      </c>
      <c r="O1673">
        <v>0</v>
      </c>
      <c r="P1673">
        <v>0</v>
      </c>
      <c r="Q1673">
        <v>18</v>
      </c>
      <c r="R1673" t="s">
        <v>756</v>
      </c>
      <c r="S1673">
        <v>0</v>
      </c>
      <c r="T1673">
        <v>0</v>
      </c>
      <c r="U1673">
        <v>0</v>
      </c>
      <c r="W1673" t="s">
        <v>99</v>
      </c>
    </row>
    <row r="1674" spans="1:23" x14ac:dyDescent="0.35">
      <c r="A1674" t="s">
        <v>45</v>
      </c>
      <c r="B1674" t="s">
        <v>3431</v>
      </c>
      <c r="C1674" t="s">
        <v>60</v>
      </c>
      <c r="D1674" t="s">
        <v>61</v>
      </c>
      <c r="E1674" t="s">
        <v>61</v>
      </c>
      <c r="F1674" t="s">
        <v>49</v>
      </c>
      <c r="G1674" t="s">
        <v>2360</v>
      </c>
      <c r="H1674" t="s">
        <v>3517</v>
      </c>
      <c r="J1674" t="str">
        <f>HYPERLINK("https://www.facebook.com/634639855377280/posts/791004233074174?comment_id=384524907540034&amp;reply_comment_id=708562814786010","https://www.facebook.com/634639855377280/posts/791004233074174?comment_id=384524907540034&amp;reply_comment_id=708562814786010")</f>
        <v>https://www.facebook.com/634639855377280/posts/791004233074174?comment_id=384524907540034&amp;reply_comment_id=708562814786010</v>
      </c>
      <c r="O1674">
        <v>0</v>
      </c>
      <c r="P1674">
        <v>0</v>
      </c>
      <c r="Q1674">
        <v>0</v>
      </c>
      <c r="S1674">
        <v>0</v>
      </c>
      <c r="T1674">
        <v>0</v>
      </c>
      <c r="U1674">
        <v>0</v>
      </c>
      <c r="W1674" t="s">
        <v>52</v>
      </c>
    </row>
    <row r="1675" spans="1:23" x14ac:dyDescent="0.35">
      <c r="A1675" t="s">
        <v>45</v>
      </c>
      <c r="B1675" t="s">
        <v>3431</v>
      </c>
      <c r="C1675" t="s">
        <v>93</v>
      </c>
      <c r="D1675" t="s">
        <v>3416</v>
      </c>
      <c r="E1675" t="s">
        <v>3417</v>
      </c>
      <c r="F1675" t="s">
        <v>54</v>
      </c>
      <c r="G1675" t="s">
        <v>3518</v>
      </c>
      <c r="H1675" t="s">
        <v>3519</v>
      </c>
      <c r="J1675" t="str">
        <f>HYPERLINK("https://twitter.com/rinkuk538/status/1758309599147679874","https://twitter.com/rinkuk538/status/1758309599147679874")</f>
        <v>https://twitter.com/rinkuk538/status/1758309599147679874</v>
      </c>
      <c r="K1675" t="s">
        <v>67</v>
      </c>
      <c r="O1675">
        <v>0</v>
      </c>
      <c r="P1675">
        <v>0</v>
      </c>
      <c r="Q1675">
        <v>522</v>
      </c>
      <c r="S1675">
        <v>0</v>
      </c>
      <c r="T1675">
        <v>0</v>
      </c>
      <c r="U1675">
        <v>0</v>
      </c>
      <c r="W1675" t="s">
        <v>99</v>
      </c>
    </row>
    <row r="1676" spans="1:23" x14ac:dyDescent="0.35">
      <c r="A1676" t="s">
        <v>45</v>
      </c>
      <c r="B1676" t="s">
        <v>3520</v>
      </c>
      <c r="C1676" t="s">
        <v>60</v>
      </c>
      <c r="D1676" t="s">
        <v>61</v>
      </c>
      <c r="E1676" t="s">
        <v>61</v>
      </c>
      <c r="F1676" t="s">
        <v>49</v>
      </c>
      <c r="G1676" t="s">
        <v>3521</v>
      </c>
      <c r="H1676" t="s">
        <v>3522</v>
      </c>
      <c r="J1676" t="str">
        <f>HYPERLINK("https://www.facebook.com/634639855377280/posts/791306126377318?comment_id=1330135441009985","https://www.facebook.com/634639855377280/posts/791306126377318?comment_id=1330135441009985")</f>
        <v>https://www.facebook.com/634639855377280/posts/791306126377318?comment_id=1330135441009985</v>
      </c>
      <c r="O1676">
        <v>0</v>
      </c>
      <c r="P1676">
        <v>0</v>
      </c>
      <c r="Q1676">
        <v>0</v>
      </c>
      <c r="S1676">
        <v>0</v>
      </c>
      <c r="T1676">
        <v>0</v>
      </c>
      <c r="U1676">
        <v>0</v>
      </c>
      <c r="W1676" t="s">
        <v>52</v>
      </c>
    </row>
    <row r="1677" spans="1:23" x14ac:dyDescent="0.35">
      <c r="A1677" t="s">
        <v>45</v>
      </c>
      <c r="B1677" t="s">
        <v>3520</v>
      </c>
      <c r="C1677" t="s">
        <v>93</v>
      </c>
      <c r="D1677" t="s">
        <v>3523</v>
      </c>
      <c r="E1677" t="s">
        <v>3524</v>
      </c>
      <c r="F1677" t="s">
        <v>49</v>
      </c>
      <c r="G1677" t="s">
        <v>3525</v>
      </c>
      <c r="H1677" t="s">
        <v>3526</v>
      </c>
      <c r="J1677" t="str">
        <f>HYPERLINK("https://twitter.com/IMRANDHANLA/status/1758111553017315733","https://twitter.com/IMRANDHANLA/status/1758111553017315733")</f>
        <v>https://twitter.com/IMRANDHANLA/status/1758111553017315733</v>
      </c>
      <c r="K1677" t="s">
        <v>67</v>
      </c>
      <c r="O1677">
        <v>0</v>
      </c>
      <c r="P1677">
        <v>0</v>
      </c>
      <c r="Q1677">
        <v>101</v>
      </c>
      <c r="R1677" t="s">
        <v>3527</v>
      </c>
      <c r="S1677">
        <v>0</v>
      </c>
      <c r="T1677">
        <v>0</v>
      </c>
      <c r="U1677">
        <v>0</v>
      </c>
      <c r="W1677" t="s">
        <v>99</v>
      </c>
    </row>
    <row r="1678" spans="1:23" x14ac:dyDescent="0.35">
      <c r="A1678" t="s">
        <v>45</v>
      </c>
      <c r="B1678" t="s">
        <v>3520</v>
      </c>
      <c r="C1678" t="s">
        <v>60</v>
      </c>
      <c r="D1678" t="s">
        <v>61</v>
      </c>
      <c r="E1678" t="s">
        <v>61</v>
      </c>
      <c r="F1678" t="s">
        <v>193</v>
      </c>
      <c r="G1678" t="s">
        <v>3528</v>
      </c>
      <c r="H1678" t="s">
        <v>3529</v>
      </c>
      <c r="J1678" t="str">
        <f>HYPERLINK("https://www.facebook.com/634639855377280/posts/790576553116942?comment_id=766066881660311&amp;reply_comment_id=411379378129681","https://www.facebook.com/634639855377280/posts/790576553116942?comment_id=766066881660311&amp;reply_comment_id=411379378129681")</f>
        <v>https://www.facebook.com/634639855377280/posts/790576553116942?comment_id=766066881660311&amp;reply_comment_id=411379378129681</v>
      </c>
      <c r="O1678">
        <v>0</v>
      </c>
      <c r="P1678">
        <v>0</v>
      </c>
      <c r="Q1678">
        <v>0</v>
      </c>
      <c r="S1678">
        <v>0</v>
      </c>
      <c r="T1678">
        <v>0</v>
      </c>
      <c r="U1678">
        <v>0</v>
      </c>
      <c r="W1678" t="s">
        <v>52</v>
      </c>
    </row>
    <row r="1679" spans="1:23" x14ac:dyDescent="0.35">
      <c r="A1679" t="s">
        <v>45</v>
      </c>
      <c r="B1679" t="s">
        <v>3520</v>
      </c>
      <c r="C1679" t="s">
        <v>93</v>
      </c>
      <c r="D1679" t="s">
        <v>94</v>
      </c>
      <c r="E1679" t="s">
        <v>45</v>
      </c>
      <c r="F1679" t="s">
        <v>49</v>
      </c>
      <c r="G1679" t="s">
        <v>3530</v>
      </c>
      <c r="H1679" t="s">
        <v>3531</v>
      </c>
      <c r="J1679" t="str">
        <f>HYPERLINK("https://twitter.com/SpiceMoneyIndia/status/1758105721558708546","https://twitter.com/SpiceMoneyIndia/status/1758105721558708546")</f>
        <v>https://twitter.com/SpiceMoneyIndia/status/1758105721558708546</v>
      </c>
      <c r="K1679" t="s">
        <v>67</v>
      </c>
      <c r="O1679">
        <v>0</v>
      </c>
      <c r="P1679">
        <v>0</v>
      </c>
      <c r="Q1679">
        <v>6029</v>
      </c>
      <c r="R1679" t="s">
        <v>97</v>
      </c>
      <c r="S1679">
        <v>0</v>
      </c>
      <c r="T1679">
        <v>0</v>
      </c>
      <c r="U1679">
        <v>0</v>
      </c>
      <c r="V1679" t="s">
        <v>98</v>
      </c>
      <c r="W1679" t="s">
        <v>99</v>
      </c>
    </row>
    <row r="1680" spans="1:23" x14ac:dyDescent="0.35">
      <c r="A1680" t="s">
        <v>45</v>
      </c>
      <c r="B1680" t="s">
        <v>3520</v>
      </c>
      <c r="C1680" t="s">
        <v>60</v>
      </c>
      <c r="D1680" t="s">
        <v>64</v>
      </c>
      <c r="E1680" t="s">
        <v>64</v>
      </c>
      <c r="F1680" t="s">
        <v>49</v>
      </c>
      <c r="G1680" t="s">
        <v>454</v>
      </c>
      <c r="H1680" t="s">
        <v>3532</v>
      </c>
      <c r="J1680" t="str">
        <f>HYPERLINK("https://www.facebook.com/634639855377280/posts/790576553116942?comment_id=766066881660311&amp;reply_comment_id=316104070971288","https://www.facebook.com/634639855377280/posts/790576553116942?comment_id=766066881660311&amp;reply_comment_id=316104070971288")</f>
        <v>https://www.facebook.com/634639855377280/posts/790576553116942?comment_id=766066881660311&amp;reply_comment_id=316104070971288</v>
      </c>
      <c r="K1680" t="s">
        <v>67</v>
      </c>
      <c r="O1680">
        <v>0</v>
      </c>
      <c r="P1680">
        <v>0</v>
      </c>
      <c r="Q1680">
        <v>0</v>
      </c>
      <c r="S1680">
        <v>0</v>
      </c>
      <c r="T1680">
        <v>0</v>
      </c>
      <c r="U1680">
        <v>0</v>
      </c>
      <c r="W1680" t="s">
        <v>52</v>
      </c>
    </row>
    <row r="1681" spans="1:23" x14ac:dyDescent="0.35">
      <c r="A1681" t="s">
        <v>45</v>
      </c>
      <c r="B1681" t="s">
        <v>3520</v>
      </c>
      <c r="C1681" t="s">
        <v>93</v>
      </c>
      <c r="D1681" t="s">
        <v>94</v>
      </c>
      <c r="E1681" t="s">
        <v>45</v>
      </c>
      <c r="F1681" t="s">
        <v>49</v>
      </c>
      <c r="G1681" t="s">
        <v>3533</v>
      </c>
      <c r="H1681" t="s">
        <v>3534</v>
      </c>
      <c r="J1681" t="str">
        <f>HYPERLINK("https://twitter.com/SpiceMoneyIndia/status/1758104710064546197","https://twitter.com/SpiceMoneyIndia/status/1758104710064546197")</f>
        <v>https://twitter.com/SpiceMoneyIndia/status/1758104710064546197</v>
      </c>
      <c r="K1681" t="s">
        <v>67</v>
      </c>
      <c r="O1681">
        <v>0</v>
      </c>
      <c r="P1681">
        <v>0</v>
      </c>
      <c r="Q1681">
        <v>6029</v>
      </c>
      <c r="R1681" t="s">
        <v>97</v>
      </c>
      <c r="S1681">
        <v>0</v>
      </c>
      <c r="T1681">
        <v>0</v>
      </c>
      <c r="U1681">
        <v>0</v>
      </c>
      <c r="V1681" t="s">
        <v>98</v>
      </c>
      <c r="W1681" t="s">
        <v>99</v>
      </c>
    </row>
    <row r="1682" spans="1:23" x14ac:dyDescent="0.35">
      <c r="A1682" t="s">
        <v>45</v>
      </c>
      <c r="B1682" t="s">
        <v>3520</v>
      </c>
      <c r="C1682" t="s">
        <v>60</v>
      </c>
      <c r="D1682" t="s">
        <v>64</v>
      </c>
      <c r="E1682" t="s">
        <v>64</v>
      </c>
      <c r="F1682" t="s">
        <v>49</v>
      </c>
      <c r="G1682" t="s">
        <v>164</v>
      </c>
      <c r="H1682" t="s">
        <v>3535</v>
      </c>
      <c r="J1682" t="str">
        <f>HYPERLINK("https://www.facebook.com/634639855377280/posts/791306126377318?comment_id=7097226170361444&amp;reply_comment_id=359628997049135","https://www.facebook.com/634639855377280/posts/791306126377318?comment_id=7097226170361444&amp;reply_comment_id=359628997049135")</f>
        <v>https://www.facebook.com/634639855377280/posts/791306126377318?comment_id=7097226170361444&amp;reply_comment_id=359628997049135</v>
      </c>
      <c r="K1682" t="s">
        <v>67</v>
      </c>
      <c r="O1682">
        <v>0</v>
      </c>
      <c r="P1682">
        <v>0</v>
      </c>
      <c r="Q1682">
        <v>0</v>
      </c>
      <c r="S1682">
        <v>0</v>
      </c>
      <c r="T1682">
        <v>0</v>
      </c>
      <c r="U1682">
        <v>0</v>
      </c>
      <c r="W1682" t="s">
        <v>52</v>
      </c>
    </row>
    <row r="1683" spans="1:23" x14ac:dyDescent="0.35">
      <c r="A1683" t="s">
        <v>45</v>
      </c>
      <c r="B1683" t="s">
        <v>3520</v>
      </c>
      <c r="C1683" t="s">
        <v>60</v>
      </c>
      <c r="D1683" t="s">
        <v>64</v>
      </c>
      <c r="E1683" t="s">
        <v>64</v>
      </c>
      <c r="F1683" t="s">
        <v>49</v>
      </c>
      <c r="G1683" t="s">
        <v>83</v>
      </c>
      <c r="H1683" t="s">
        <v>3536</v>
      </c>
      <c r="J1683" t="str">
        <f>HYPERLINK("https://www.facebook.com/634639855377280/posts/791306126377318?comment_id=369337982549236&amp;reply_comment_id=7337911076263023","https://www.facebook.com/634639855377280/posts/791306126377318?comment_id=369337982549236&amp;reply_comment_id=7337911076263023")</f>
        <v>https://www.facebook.com/634639855377280/posts/791306126377318?comment_id=369337982549236&amp;reply_comment_id=7337911076263023</v>
      </c>
      <c r="K1683" t="s">
        <v>67</v>
      </c>
      <c r="O1683">
        <v>0</v>
      </c>
      <c r="P1683">
        <v>0</v>
      </c>
      <c r="Q1683">
        <v>0</v>
      </c>
      <c r="S1683">
        <v>0</v>
      </c>
      <c r="T1683">
        <v>0</v>
      </c>
      <c r="U1683">
        <v>0</v>
      </c>
      <c r="W1683" t="s">
        <v>52</v>
      </c>
    </row>
    <row r="1684" spans="1:23" x14ac:dyDescent="0.35">
      <c r="A1684" t="s">
        <v>45</v>
      </c>
      <c r="B1684" t="s">
        <v>3520</v>
      </c>
      <c r="C1684" t="s">
        <v>60</v>
      </c>
      <c r="D1684" t="s">
        <v>64</v>
      </c>
      <c r="E1684" t="s">
        <v>64</v>
      </c>
      <c r="F1684" t="s">
        <v>49</v>
      </c>
      <c r="G1684" t="s">
        <v>3537</v>
      </c>
      <c r="H1684" t="s">
        <v>3538</v>
      </c>
      <c r="J1684" t="str">
        <f>HYPERLINK("https://www.facebook.com/634639855377280/posts/791306126377318?comment_id=360909280062233&amp;reply_comment_id=363253923259971","https://www.facebook.com/634639855377280/posts/791306126377318?comment_id=360909280062233&amp;reply_comment_id=363253923259971")</f>
        <v>https://www.facebook.com/634639855377280/posts/791306126377318?comment_id=360909280062233&amp;reply_comment_id=363253923259971</v>
      </c>
      <c r="K1684" t="s">
        <v>67</v>
      </c>
      <c r="O1684">
        <v>0</v>
      </c>
      <c r="P1684">
        <v>0</v>
      </c>
      <c r="Q1684">
        <v>0</v>
      </c>
      <c r="S1684">
        <v>0</v>
      </c>
      <c r="T1684">
        <v>0</v>
      </c>
      <c r="U1684">
        <v>0</v>
      </c>
      <c r="W1684" t="s">
        <v>52</v>
      </c>
    </row>
    <row r="1685" spans="1:23" x14ac:dyDescent="0.35">
      <c r="A1685" t="s">
        <v>45</v>
      </c>
      <c r="B1685" t="s">
        <v>3520</v>
      </c>
      <c r="C1685" t="s">
        <v>93</v>
      </c>
      <c r="D1685" t="s">
        <v>752</v>
      </c>
      <c r="E1685" t="s">
        <v>753</v>
      </c>
      <c r="F1685" t="s">
        <v>49</v>
      </c>
      <c r="G1685" t="s">
        <v>3539</v>
      </c>
      <c r="H1685" t="s">
        <v>3540</v>
      </c>
      <c r="J1685" t="str">
        <f>HYPERLINK("https://twitter.com/PayNearby/status/1758102222066315566","https://twitter.com/PayNearby/status/1758102222066315566")</f>
        <v>https://twitter.com/PayNearby/status/1758102222066315566</v>
      </c>
      <c r="O1685">
        <v>0</v>
      </c>
      <c r="P1685">
        <v>0</v>
      </c>
      <c r="Q1685">
        <v>5998</v>
      </c>
      <c r="R1685" t="s">
        <v>756</v>
      </c>
      <c r="S1685">
        <v>0</v>
      </c>
      <c r="T1685">
        <v>0</v>
      </c>
      <c r="U1685">
        <v>0</v>
      </c>
      <c r="W1685" t="s">
        <v>99</v>
      </c>
    </row>
    <row r="1686" spans="1:23" x14ac:dyDescent="0.35">
      <c r="A1686" t="s">
        <v>45</v>
      </c>
      <c r="B1686" t="s">
        <v>3520</v>
      </c>
      <c r="C1686" t="s">
        <v>60</v>
      </c>
      <c r="D1686" t="s">
        <v>64</v>
      </c>
      <c r="E1686" t="s">
        <v>64</v>
      </c>
      <c r="F1686" t="s">
        <v>49</v>
      </c>
      <c r="G1686" t="s">
        <v>3541</v>
      </c>
      <c r="H1686" t="s">
        <v>3542</v>
      </c>
      <c r="J1686" t="str">
        <f>HYPERLINK("https://www.facebook.com/634639855377280/posts/790576553116942?comment_id=309714498751710&amp;reply_comment_id=1885308301923187","https://www.facebook.com/634639855377280/posts/790576553116942?comment_id=309714498751710&amp;reply_comment_id=1885308301923187")</f>
        <v>https://www.facebook.com/634639855377280/posts/790576553116942?comment_id=309714498751710&amp;reply_comment_id=1885308301923187</v>
      </c>
      <c r="K1686" t="s">
        <v>67</v>
      </c>
      <c r="O1686">
        <v>0</v>
      </c>
      <c r="P1686">
        <v>0</v>
      </c>
      <c r="Q1686">
        <v>0</v>
      </c>
      <c r="S1686">
        <v>0</v>
      </c>
      <c r="T1686">
        <v>0</v>
      </c>
      <c r="U1686">
        <v>0</v>
      </c>
      <c r="W1686" t="s">
        <v>52</v>
      </c>
    </row>
    <row r="1687" spans="1:23" x14ac:dyDescent="0.35">
      <c r="A1687" t="s">
        <v>45</v>
      </c>
      <c r="B1687" t="s">
        <v>3520</v>
      </c>
      <c r="C1687" t="s">
        <v>60</v>
      </c>
      <c r="D1687" t="s">
        <v>64</v>
      </c>
      <c r="E1687" t="s">
        <v>64</v>
      </c>
      <c r="F1687" t="s">
        <v>49</v>
      </c>
      <c r="G1687" t="s">
        <v>83</v>
      </c>
      <c r="H1687" t="s">
        <v>3543</v>
      </c>
      <c r="J1687" t="str">
        <f>HYPERLINK("https://www.facebook.com/634639855377280/posts/791004233074174?comment_id=384524907540034&amp;reply_comment_id=920453339354649","https://www.facebook.com/634639855377280/posts/791004233074174?comment_id=384524907540034&amp;reply_comment_id=920453339354649")</f>
        <v>https://www.facebook.com/634639855377280/posts/791004233074174?comment_id=384524907540034&amp;reply_comment_id=920453339354649</v>
      </c>
      <c r="K1687" t="s">
        <v>67</v>
      </c>
      <c r="O1687">
        <v>0</v>
      </c>
      <c r="P1687">
        <v>0</v>
      </c>
      <c r="Q1687">
        <v>0</v>
      </c>
      <c r="S1687">
        <v>0</v>
      </c>
      <c r="T1687">
        <v>0</v>
      </c>
      <c r="U1687">
        <v>0</v>
      </c>
      <c r="W1687" t="s">
        <v>52</v>
      </c>
    </row>
    <row r="1688" spans="1:23" x14ac:dyDescent="0.35">
      <c r="A1688" t="s">
        <v>45</v>
      </c>
      <c r="B1688" t="s">
        <v>3520</v>
      </c>
      <c r="C1688" t="s">
        <v>60</v>
      </c>
      <c r="D1688" t="s">
        <v>64</v>
      </c>
      <c r="E1688" t="s">
        <v>64</v>
      </c>
      <c r="F1688" t="s">
        <v>49</v>
      </c>
      <c r="G1688" t="s">
        <v>454</v>
      </c>
      <c r="H1688" t="s">
        <v>3544</v>
      </c>
      <c r="J1688" t="str">
        <f>HYPERLINK("https://www.facebook.com/634639855377280/posts/791769542997643?comment_id=310278852032821&amp;reply_comment_id=947596903602735","https://www.facebook.com/634639855377280/posts/791769542997643?comment_id=310278852032821&amp;reply_comment_id=947596903602735")</f>
        <v>https://www.facebook.com/634639855377280/posts/791769542997643?comment_id=310278852032821&amp;reply_comment_id=947596903602735</v>
      </c>
      <c r="K1688" t="s">
        <v>67</v>
      </c>
      <c r="O1688">
        <v>0</v>
      </c>
      <c r="P1688">
        <v>0</v>
      </c>
      <c r="Q1688">
        <v>0</v>
      </c>
      <c r="S1688">
        <v>0</v>
      </c>
      <c r="T1688">
        <v>0</v>
      </c>
      <c r="U1688">
        <v>0</v>
      </c>
      <c r="W1688" t="s">
        <v>52</v>
      </c>
    </row>
    <row r="1689" spans="1:23" x14ac:dyDescent="0.35">
      <c r="A1689" t="s">
        <v>45</v>
      </c>
      <c r="B1689" t="s">
        <v>3520</v>
      </c>
      <c r="C1689" t="s">
        <v>93</v>
      </c>
      <c r="D1689" t="s">
        <v>94</v>
      </c>
      <c r="E1689" t="s">
        <v>45</v>
      </c>
      <c r="F1689" t="s">
        <v>49</v>
      </c>
      <c r="G1689" t="s">
        <v>3545</v>
      </c>
      <c r="H1689" t="s">
        <v>3546</v>
      </c>
      <c r="J1689" t="str">
        <f>HYPERLINK("https://twitter.com/SpiceMoneyIndia/status/1758101170390802786","https://twitter.com/SpiceMoneyIndia/status/1758101170390802786")</f>
        <v>https://twitter.com/SpiceMoneyIndia/status/1758101170390802786</v>
      </c>
      <c r="K1689" t="s">
        <v>67</v>
      </c>
      <c r="O1689">
        <v>0</v>
      </c>
      <c r="P1689">
        <v>0</v>
      </c>
      <c r="Q1689">
        <v>6029</v>
      </c>
      <c r="R1689" t="s">
        <v>97</v>
      </c>
      <c r="S1689">
        <v>0</v>
      </c>
      <c r="T1689">
        <v>0</v>
      </c>
      <c r="U1689">
        <v>0</v>
      </c>
      <c r="V1689" t="s">
        <v>98</v>
      </c>
      <c r="W1689" t="s">
        <v>99</v>
      </c>
    </row>
    <row r="1690" spans="1:23" x14ac:dyDescent="0.35">
      <c r="A1690" t="s">
        <v>45</v>
      </c>
      <c r="B1690" t="s">
        <v>3520</v>
      </c>
      <c r="C1690" t="s">
        <v>47</v>
      </c>
      <c r="D1690" t="s">
        <v>68</v>
      </c>
      <c r="E1690" t="s">
        <v>68</v>
      </c>
      <c r="F1690" t="s">
        <v>49</v>
      </c>
      <c r="G1690" t="s">
        <v>2766</v>
      </c>
      <c r="H1690" t="s">
        <v>3547</v>
      </c>
      <c r="J1690" t="str">
        <f>HYPERLINK("https://www.youtube.com/watch?v=Rt7UUqkb-J0&amp;lc=UgzKRp05Yediy5yz_bt4AaABAg.A-pcsh8GaKYA-q1TedlQCZ","https://www.youtube.com/watch?v=Rt7UUqkb-J0&amp;lc=UgzKRp05Yediy5yz_bt4AaABAg.A-pcsh8GaKYA-q1TedlQCZ")</f>
        <v>https://www.youtube.com/watch?v=Rt7UUqkb-J0&amp;lc=UgzKRp05Yediy5yz_bt4AaABAg.A-pcsh8GaKYA-q1TedlQCZ</v>
      </c>
      <c r="O1690">
        <v>0</v>
      </c>
      <c r="P1690">
        <v>0</v>
      </c>
      <c r="Q1690">
        <v>0</v>
      </c>
      <c r="S1690">
        <v>0</v>
      </c>
      <c r="T1690">
        <v>0</v>
      </c>
      <c r="U1690">
        <v>0</v>
      </c>
      <c r="W1690" t="s">
        <v>52</v>
      </c>
    </row>
    <row r="1691" spans="1:23" x14ac:dyDescent="0.35">
      <c r="A1691" t="s">
        <v>45</v>
      </c>
      <c r="B1691" t="s">
        <v>3520</v>
      </c>
      <c r="C1691" t="s">
        <v>47</v>
      </c>
      <c r="D1691" t="s">
        <v>68</v>
      </c>
      <c r="E1691" t="s">
        <v>68</v>
      </c>
      <c r="F1691" t="s">
        <v>49</v>
      </c>
      <c r="G1691" t="s">
        <v>3548</v>
      </c>
      <c r="H1691" t="s">
        <v>3549</v>
      </c>
      <c r="J1691" t="str">
        <f>HYPERLINK("https://www.youtube.com/watch?v=zkfWhYOCqb8&amp;lc=UgzOzYxJ49TIW2mI72Z4AaABAg.A-pJ7kNJi0hA-q1HnNhcz5","https://www.youtube.com/watch?v=zkfWhYOCqb8&amp;lc=UgzOzYxJ49TIW2mI72Z4AaABAg.A-pJ7kNJi0hA-q1HnNhcz5")</f>
        <v>https://www.youtube.com/watch?v=zkfWhYOCqb8&amp;lc=UgzOzYxJ49TIW2mI72Z4AaABAg.A-pJ7kNJi0hA-q1HnNhcz5</v>
      </c>
      <c r="O1691">
        <v>0</v>
      </c>
      <c r="P1691">
        <v>0</v>
      </c>
      <c r="Q1691">
        <v>0</v>
      </c>
      <c r="S1691">
        <v>0</v>
      </c>
      <c r="T1691">
        <v>0</v>
      </c>
      <c r="U1691">
        <v>0</v>
      </c>
      <c r="W1691" t="s">
        <v>52</v>
      </c>
    </row>
    <row r="1692" spans="1:23" x14ac:dyDescent="0.35">
      <c r="A1692" t="s">
        <v>45</v>
      </c>
      <c r="B1692" t="s">
        <v>3520</v>
      </c>
      <c r="C1692" t="s">
        <v>47</v>
      </c>
      <c r="D1692" t="s">
        <v>68</v>
      </c>
      <c r="E1692" t="s">
        <v>68</v>
      </c>
      <c r="F1692" t="s">
        <v>49</v>
      </c>
      <c r="G1692" t="s">
        <v>3550</v>
      </c>
      <c r="H1692" t="s">
        <v>3551</v>
      </c>
      <c r="J1692" t="str">
        <f>HYPERLINK("https://www.youtube.com/watch?v=zkfWhYOCqb8&amp;lc=Ugxlol0uBnGIhFkdM1V4AaABAg.A-nwyU7-UzCA-q0fniYF7V","https://www.youtube.com/watch?v=zkfWhYOCqb8&amp;lc=Ugxlol0uBnGIhFkdM1V4AaABAg.A-nwyU7-UzCA-q0fniYF7V")</f>
        <v>https://www.youtube.com/watch?v=zkfWhYOCqb8&amp;lc=Ugxlol0uBnGIhFkdM1V4AaABAg.A-nwyU7-UzCA-q0fniYF7V</v>
      </c>
      <c r="O1692">
        <v>0</v>
      </c>
      <c r="P1692">
        <v>0</v>
      </c>
      <c r="Q1692">
        <v>0</v>
      </c>
      <c r="S1692">
        <v>0</v>
      </c>
      <c r="T1692">
        <v>0</v>
      </c>
      <c r="U1692">
        <v>0</v>
      </c>
      <c r="W1692" t="s">
        <v>52</v>
      </c>
    </row>
    <row r="1693" spans="1:23" x14ac:dyDescent="0.35">
      <c r="A1693" t="s">
        <v>45</v>
      </c>
      <c r="B1693" t="s">
        <v>3520</v>
      </c>
      <c r="C1693" t="s">
        <v>60</v>
      </c>
      <c r="D1693" t="s">
        <v>64</v>
      </c>
      <c r="E1693" t="s">
        <v>64</v>
      </c>
      <c r="F1693" t="s">
        <v>49</v>
      </c>
      <c r="G1693" t="s">
        <v>3552</v>
      </c>
      <c r="H1693" t="s">
        <v>3553</v>
      </c>
      <c r="J1693" t="str">
        <f>HYPERLINK("https://www.facebook.com/634639855377280/posts/791306126377318?comment_id=710243647918350&amp;reply_comment_id=941266050967600","https://www.facebook.com/634639855377280/posts/791306126377318?comment_id=710243647918350&amp;reply_comment_id=941266050967600")</f>
        <v>https://www.facebook.com/634639855377280/posts/791306126377318?comment_id=710243647918350&amp;reply_comment_id=941266050967600</v>
      </c>
      <c r="K1693" t="s">
        <v>67</v>
      </c>
      <c r="O1693">
        <v>0</v>
      </c>
      <c r="P1693">
        <v>0</v>
      </c>
      <c r="Q1693">
        <v>0</v>
      </c>
      <c r="S1693">
        <v>0</v>
      </c>
      <c r="T1693">
        <v>0</v>
      </c>
      <c r="U1693">
        <v>0</v>
      </c>
      <c r="W1693" t="s">
        <v>52</v>
      </c>
    </row>
    <row r="1694" spans="1:23" x14ac:dyDescent="0.35">
      <c r="A1694" t="s">
        <v>45</v>
      </c>
      <c r="B1694" t="s">
        <v>3520</v>
      </c>
      <c r="C1694" t="s">
        <v>93</v>
      </c>
      <c r="D1694" t="s">
        <v>3523</v>
      </c>
      <c r="E1694" t="s">
        <v>3524</v>
      </c>
      <c r="F1694" t="s">
        <v>49</v>
      </c>
      <c r="G1694" t="s">
        <v>3554</v>
      </c>
      <c r="H1694" t="s">
        <v>3555</v>
      </c>
      <c r="J1694" t="str">
        <f>HYPERLINK("https://twitter.com/IMRANDHANLA/status/1758089381360087347","https://twitter.com/IMRANDHANLA/status/1758089381360087347")</f>
        <v>https://twitter.com/IMRANDHANLA/status/1758089381360087347</v>
      </c>
      <c r="K1694" t="s">
        <v>67</v>
      </c>
      <c r="O1694">
        <v>0</v>
      </c>
      <c r="P1694">
        <v>0</v>
      </c>
      <c r="Q1694">
        <v>101</v>
      </c>
      <c r="R1694" t="s">
        <v>3527</v>
      </c>
      <c r="S1694">
        <v>0</v>
      </c>
      <c r="T1694">
        <v>0</v>
      </c>
      <c r="U1694">
        <v>0</v>
      </c>
      <c r="W1694" t="s">
        <v>99</v>
      </c>
    </row>
    <row r="1695" spans="1:23" x14ac:dyDescent="0.35">
      <c r="A1695" t="s">
        <v>45</v>
      </c>
      <c r="B1695" t="s">
        <v>3520</v>
      </c>
      <c r="C1695" t="s">
        <v>60</v>
      </c>
      <c r="D1695" t="s">
        <v>61</v>
      </c>
      <c r="E1695" t="s">
        <v>61</v>
      </c>
      <c r="F1695" t="s">
        <v>49</v>
      </c>
      <c r="G1695" t="s">
        <v>3556</v>
      </c>
      <c r="H1695" t="s">
        <v>3557</v>
      </c>
      <c r="J1695" t="str">
        <f>HYPERLINK("https://www.facebook.com/634639855377280/posts/790576553116942?comment_id=1640103130139561","https://www.facebook.com/634639855377280/posts/790576553116942?comment_id=1640103130139561")</f>
        <v>https://www.facebook.com/634639855377280/posts/790576553116942?comment_id=1640103130139561</v>
      </c>
      <c r="O1695">
        <v>0</v>
      </c>
      <c r="P1695">
        <v>0</v>
      </c>
      <c r="Q1695">
        <v>0</v>
      </c>
      <c r="S1695">
        <v>0</v>
      </c>
      <c r="T1695">
        <v>0</v>
      </c>
      <c r="U1695">
        <v>0</v>
      </c>
      <c r="W1695" t="s">
        <v>52</v>
      </c>
    </row>
    <row r="1696" spans="1:23" x14ac:dyDescent="0.35">
      <c r="A1696" t="s">
        <v>45</v>
      </c>
      <c r="B1696" t="s">
        <v>3520</v>
      </c>
      <c r="C1696" t="s">
        <v>93</v>
      </c>
      <c r="D1696" t="s">
        <v>3416</v>
      </c>
      <c r="E1696" t="s">
        <v>3417</v>
      </c>
      <c r="F1696" t="s">
        <v>49</v>
      </c>
      <c r="G1696" t="s">
        <v>3558</v>
      </c>
      <c r="H1696" t="s">
        <v>3559</v>
      </c>
      <c r="J1696" t="str">
        <f>HYPERLINK("https://twitter.com/rinkuk538/status/1758078186741727504","https://twitter.com/rinkuk538/status/1758078186741727504")</f>
        <v>https://twitter.com/rinkuk538/status/1758078186741727504</v>
      </c>
      <c r="K1696" t="s">
        <v>67</v>
      </c>
      <c r="O1696">
        <v>0</v>
      </c>
      <c r="P1696">
        <v>0</v>
      </c>
      <c r="Q1696">
        <v>518</v>
      </c>
      <c r="S1696">
        <v>0</v>
      </c>
      <c r="T1696">
        <v>0</v>
      </c>
      <c r="U1696">
        <v>0</v>
      </c>
      <c r="W1696" t="s">
        <v>99</v>
      </c>
    </row>
    <row r="1697" spans="1:23" x14ac:dyDescent="0.35">
      <c r="A1697" t="s">
        <v>45</v>
      </c>
      <c r="B1697" t="s">
        <v>3520</v>
      </c>
      <c r="C1697" t="s">
        <v>60</v>
      </c>
      <c r="D1697" t="s">
        <v>61</v>
      </c>
      <c r="E1697" t="s">
        <v>61</v>
      </c>
      <c r="F1697" t="s">
        <v>49</v>
      </c>
      <c r="G1697" t="s">
        <v>3560</v>
      </c>
      <c r="H1697" t="s">
        <v>3561</v>
      </c>
      <c r="J1697" t="str">
        <f>HYPERLINK("https://www.facebook.com/634639855377280/posts/788604969980767?comment_id=1556897591812085","https://www.facebook.com/634639855377280/posts/788604969980767?comment_id=1556897591812085")</f>
        <v>https://www.facebook.com/634639855377280/posts/788604969980767?comment_id=1556897591812085</v>
      </c>
      <c r="O1697">
        <v>0</v>
      </c>
      <c r="P1697">
        <v>0</v>
      </c>
      <c r="Q1697">
        <v>0</v>
      </c>
      <c r="S1697">
        <v>0</v>
      </c>
      <c r="T1697">
        <v>0</v>
      </c>
      <c r="U1697">
        <v>0</v>
      </c>
      <c r="W1697" t="s">
        <v>52</v>
      </c>
    </row>
    <row r="1698" spans="1:23" x14ac:dyDescent="0.35">
      <c r="A1698" t="s">
        <v>45</v>
      </c>
      <c r="B1698" t="s">
        <v>3520</v>
      </c>
      <c r="C1698" t="s">
        <v>93</v>
      </c>
      <c r="D1698" t="s">
        <v>3416</v>
      </c>
      <c r="E1698" t="s">
        <v>3417</v>
      </c>
      <c r="F1698" t="s">
        <v>49</v>
      </c>
      <c r="G1698" t="s">
        <v>3562</v>
      </c>
      <c r="H1698" t="s">
        <v>3563</v>
      </c>
      <c r="J1698" t="str">
        <f>HYPERLINK("https://twitter.com/rinkuk538/status/1758077427878912056","https://twitter.com/rinkuk538/status/1758077427878912056")</f>
        <v>https://twitter.com/rinkuk538/status/1758077427878912056</v>
      </c>
      <c r="K1698" t="s">
        <v>67</v>
      </c>
      <c r="O1698">
        <v>0</v>
      </c>
      <c r="P1698">
        <v>0</v>
      </c>
      <c r="Q1698">
        <v>517</v>
      </c>
      <c r="S1698">
        <v>0</v>
      </c>
      <c r="T1698">
        <v>0</v>
      </c>
      <c r="U1698">
        <v>0</v>
      </c>
      <c r="W1698" t="s">
        <v>99</v>
      </c>
    </row>
    <row r="1699" spans="1:23" x14ac:dyDescent="0.35">
      <c r="A1699" t="s">
        <v>45</v>
      </c>
      <c r="B1699" t="s">
        <v>3520</v>
      </c>
      <c r="C1699" t="s">
        <v>60</v>
      </c>
      <c r="D1699" t="s">
        <v>61</v>
      </c>
      <c r="E1699" t="s">
        <v>61</v>
      </c>
      <c r="F1699" t="s">
        <v>49</v>
      </c>
      <c r="G1699">
        <v>9887819012</v>
      </c>
      <c r="H1699" t="s">
        <v>3564</v>
      </c>
      <c r="J1699" t="str">
        <f>HYPERLINK("https://www.facebook.com/634639855377280/posts/791769542997643?comment_id=310278852032821","https://www.facebook.com/634639855377280/posts/791769542997643?comment_id=310278852032821")</f>
        <v>https://www.facebook.com/634639855377280/posts/791769542997643?comment_id=310278852032821</v>
      </c>
      <c r="O1699">
        <v>0</v>
      </c>
      <c r="P1699">
        <v>0</v>
      </c>
      <c r="Q1699">
        <v>0</v>
      </c>
      <c r="S1699">
        <v>0</v>
      </c>
      <c r="T1699">
        <v>0</v>
      </c>
      <c r="U1699">
        <v>0</v>
      </c>
      <c r="W1699" t="s">
        <v>52</v>
      </c>
    </row>
    <row r="1700" spans="1:23" x14ac:dyDescent="0.35">
      <c r="A1700" t="s">
        <v>45</v>
      </c>
      <c r="B1700" t="s">
        <v>3520</v>
      </c>
      <c r="C1700" t="s">
        <v>60</v>
      </c>
      <c r="D1700" t="s">
        <v>61</v>
      </c>
      <c r="E1700" t="s">
        <v>61</v>
      </c>
      <c r="F1700" t="s">
        <v>49</v>
      </c>
      <c r="G1700" t="s">
        <v>3565</v>
      </c>
      <c r="H1700" t="s">
        <v>3566</v>
      </c>
      <c r="J1700" t="str">
        <f>HYPERLINK("https://www.facebook.com/634639855377280/posts/791769542997643?comment_id=797564515581038","https://www.facebook.com/634639855377280/posts/791769542997643?comment_id=797564515581038")</f>
        <v>https://www.facebook.com/634639855377280/posts/791769542997643?comment_id=797564515581038</v>
      </c>
      <c r="O1700">
        <v>0</v>
      </c>
      <c r="P1700">
        <v>0</v>
      </c>
      <c r="Q1700">
        <v>0</v>
      </c>
      <c r="S1700">
        <v>0</v>
      </c>
      <c r="T1700">
        <v>0</v>
      </c>
      <c r="U1700">
        <v>0</v>
      </c>
      <c r="W1700" t="s">
        <v>52</v>
      </c>
    </row>
    <row r="1701" spans="1:23" x14ac:dyDescent="0.35">
      <c r="A1701" t="s">
        <v>45</v>
      </c>
      <c r="B1701" t="s">
        <v>3520</v>
      </c>
      <c r="C1701" t="s">
        <v>93</v>
      </c>
      <c r="D1701" t="s">
        <v>94</v>
      </c>
      <c r="E1701" t="s">
        <v>45</v>
      </c>
      <c r="F1701" t="s">
        <v>49</v>
      </c>
      <c r="G1701" t="s">
        <v>3567</v>
      </c>
      <c r="H1701" t="s">
        <v>3568</v>
      </c>
      <c r="J1701" t="str">
        <f>HYPERLINK("https://twitter.com/SpiceMoneyIndia/status/1758073583157318099","https://twitter.com/SpiceMoneyIndia/status/1758073583157318099")</f>
        <v>https://twitter.com/SpiceMoneyIndia/status/1758073583157318099</v>
      </c>
      <c r="K1701" t="s">
        <v>67</v>
      </c>
      <c r="O1701">
        <v>0</v>
      </c>
      <c r="P1701">
        <v>0</v>
      </c>
      <c r="Q1701">
        <v>6027</v>
      </c>
      <c r="R1701" t="s">
        <v>97</v>
      </c>
      <c r="S1701">
        <v>0</v>
      </c>
      <c r="T1701">
        <v>0</v>
      </c>
      <c r="U1701">
        <v>0</v>
      </c>
      <c r="V1701" t="s">
        <v>98</v>
      </c>
      <c r="W1701" t="s">
        <v>99</v>
      </c>
    </row>
    <row r="1702" spans="1:23" x14ac:dyDescent="0.35">
      <c r="A1702" t="s">
        <v>45</v>
      </c>
      <c r="B1702" t="s">
        <v>3520</v>
      </c>
      <c r="C1702" t="s">
        <v>60</v>
      </c>
      <c r="D1702" t="s">
        <v>64</v>
      </c>
      <c r="E1702" t="s">
        <v>64</v>
      </c>
      <c r="F1702" t="s">
        <v>49</v>
      </c>
      <c r="G1702" t="s">
        <v>266</v>
      </c>
      <c r="H1702" t="s">
        <v>3569</v>
      </c>
      <c r="J1702" t="str">
        <f>HYPERLINK("https://www.facebook.com/634639855377280/posts/791769542997643?comment_id=1111410086947141&amp;reply_comment_id=377472401695771","https://www.facebook.com/634639855377280/posts/791769542997643?comment_id=1111410086947141&amp;reply_comment_id=377472401695771")</f>
        <v>https://www.facebook.com/634639855377280/posts/791769542997643?comment_id=1111410086947141&amp;reply_comment_id=377472401695771</v>
      </c>
      <c r="K1702" t="s">
        <v>67</v>
      </c>
      <c r="O1702">
        <v>0</v>
      </c>
      <c r="P1702">
        <v>0</v>
      </c>
      <c r="Q1702">
        <v>0</v>
      </c>
      <c r="S1702">
        <v>0</v>
      </c>
      <c r="T1702">
        <v>0</v>
      </c>
      <c r="U1702">
        <v>0</v>
      </c>
      <c r="W1702" t="s">
        <v>52</v>
      </c>
    </row>
    <row r="1703" spans="1:23" x14ac:dyDescent="0.35">
      <c r="A1703" t="s">
        <v>45</v>
      </c>
      <c r="B1703" t="s">
        <v>3520</v>
      </c>
      <c r="C1703" t="s">
        <v>47</v>
      </c>
      <c r="D1703" t="s">
        <v>68</v>
      </c>
      <c r="E1703" t="s">
        <v>68</v>
      </c>
      <c r="F1703" t="s">
        <v>49</v>
      </c>
      <c r="G1703" t="s">
        <v>1595</v>
      </c>
      <c r="H1703" t="s">
        <v>3570</v>
      </c>
      <c r="J1703" t="str">
        <f>HYPERLINK("https://www.youtube.com/watch?v=zkfWhYOCqb8&amp;lc=UgxPHswcC0CyIcl6qYB4AaABAg.A-na9HFlJTdA-ppe71b4Gv","https://www.youtube.com/watch?v=zkfWhYOCqb8&amp;lc=UgxPHswcC0CyIcl6qYB4AaABAg.A-na9HFlJTdA-ppe71b4Gv")</f>
        <v>https://www.youtube.com/watch?v=zkfWhYOCqb8&amp;lc=UgxPHswcC0CyIcl6qYB4AaABAg.A-na9HFlJTdA-ppe71b4Gv</v>
      </c>
      <c r="O1703">
        <v>0</v>
      </c>
      <c r="P1703">
        <v>0</v>
      </c>
      <c r="Q1703">
        <v>0</v>
      </c>
      <c r="S1703">
        <v>0</v>
      </c>
      <c r="T1703">
        <v>0</v>
      </c>
      <c r="U1703">
        <v>0</v>
      </c>
      <c r="W1703" t="s">
        <v>52</v>
      </c>
    </row>
    <row r="1704" spans="1:23" x14ac:dyDescent="0.35">
      <c r="A1704" t="s">
        <v>45</v>
      </c>
      <c r="B1704" t="s">
        <v>3520</v>
      </c>
      <c r="C1704" t="s">
        <v>47</v>
      </c>
      <c r="D1704" t="s">
        <v>68</v>
      </c>
      <c r="E1704" t="s">
        <v>68</v>
      </c>
      <c r="F1704" t="s">
        <v>49</v>
      </c>
      <c r="G1704" t="s">
        <v>3571</v>
      </c>
      <c r="H1704" t="s">
        <v>3572</v>
      </c>
      <c r="J1704" t="str">
        <f>HYPERLINK("https://www.youtube.com/watch?v=zkfWhYOCqb8&amp;lc=UgzTdDaocn8asYSLkwJ4AaABAg.A-nj3BPp1qkA-ppYFIcaJn","https://www.youtube.com/watch?v=zkfWhYOCqb8&amp;lc=UgzTdDaocn8asYSLkwJ4AaABAg.A-nj3BPp1qkA-ppYFIcaJn")</f>
        <v>https://www.youtube.com/watch?v=zkfWhYOCqb8&amp;lc=UgzTdDaocn8asYSLkwJ4AaABAg.A-nj3BPp1qkA-ppYFIcaJn</v>
      </c>
      <c r="O1704">
        <v>0</v>
      </c>
      <c r="P1704">
        <v>0</v>
      </c>
      <c r="Q1704">
        <v>0</v>
      </c>
      <c r="S1704">
        <v>0</v>
      </c>
      <c r="T1704">
        <v>0</v>
      </c>
      <c r="U1704">
        <v>0</v>
      </c>
      <c r="W1704" t="s">
        <v>52</v>
      </c>
    </row>
    <row r="1705" spans="1:23" x14ac:dyDescent="0.35">
      <c r="A1705" t="s">
        <v>45</v>
      </c>
      <c r="B1705" t="s">
        <v>3520</v>
      </c>
      <c r="C1705" t="s">
        <v>47</v>
      </c>
      <c r="D1705" t="s">
        <v>68</v>
      </c>
      <c r="E1705" t="s">
        <v>68</v>
      </c>
      <c r="F1705" t="s">
        <v>49</v>
      </c>
      <c r="G1705" t="s">
        <v>3573</v>
      </c>
      <c r="H1705" t="s">
        <v>3574</v>
      </c>
      <c r="J1705" t="str">
        <f>HYPERLINK("https://www.youtube.com/watch?v=zkfWhYOCqb8&amp;lc=UgyyUW1aBHQkOIHNxcV4AaABAg.A-na8_Z_zNvA-ppKsGSSv7","https://www.youtube.com/watch?v=zkfWhYOCqb8&amp;lc=UgyyUW1aBHQkOIHNxcV4AaABAg.A-na8_Z_zNvA-ppKsGSSv7")</f>
        <v>https://www.youtube.com/watch?v=zkfWhYOCqb8&amp;lc=UgyyUW1aBHQkOIHNxcV4AaABAg.A-na8_Z_zNvA-ppKsGSSv7</v>
      </c>
      <c r="O1705">
        <v>0</v>
      </c>
      <c r="P1705">
        <v>0</v>
      </c>
      <c r="Q1705">
        <v>0</v>
      </c>
      <c r="S1705">
        <v>0</v>
      </c>
      <c r="T1705">
        <v>0</v>
      </c>
      <c r="U1705">
        <v>0</v>
      </c>
      <c r="W1705" t="s">
        <v>52</v>
      </c>
    </row>
    <row r="1706" spans="1:23" x14ac:dyDescent="0.35">
      <c r="A1706" t="s">
        <v>45</v>
      </c>
      <c r="B1706" t="s">
        <v>3520</v>
      </c>
      <c r="C1706" t="s">
        <v>47</v>
      </c>
      <c r="D1706" t="s">
        <v>68</v>
      </c>
      <c r="E1706" t="s">
        <v>68</v>
      </c>
      <c r="F1706" t="s">
        <v>49</v>
      </c>
      <c r="G1706" t="s">
        <v>102</v>
      </c>
      <c r="H1706" t="s">
        <v>3575</v>
      </c>
      <c r="J1706" t="str">
        <f>HYPERLINK("https://www.youtube.com/watch?v=zkfWhYOCqb8&amp;lc=UgxmuV01ZcHVt6x-6sh4AaABAg.A-pINEPIH7IA-ppGP9zkTU","https://www.youtube.com/watch?v=zkfWhYOCqb8&amp;lc=UgxmuV01ZcHVt6x-6sh4AaABAg.A-pINEPIH7IA-ppGP9zkTU")</f>
        <v>https://www.youtube.com/watch?v=zkfWhYOCqb8&amp;lc=UgxmuV01ZcHVt6x-6sh4AaABAg.A-pINEPIH7IA-ppGP9zkTU</v>
      </c>
      <c r="O1706">
        <v>0</v>
      </c>
      <c r="P1706">
        <v>0</v>
      </c>
      <c r="Q1706">
        <v>0</v>
      </c>
      <c r="S1706">
        <v>0</v>
      </c>
      <c r="T1706">
        <v>0</v>
      </c>
      <c r="U1706">
        <v>0</v>
      </c>
      <c r="W1706" t="s">
        <v>52</v>
      </c>
    </row>
    <row r="1707" spans="1:23" x14ac:dyDescent="0.35">
      <c r="A1707" t="s">
        <v>45</v>
      </c>
      <c r="B1707" t="s">
        <v>3520</v>
      </c>
      <c r="C1707" t="s">
        <v>60</v>
      </c>
      <c r="D1707" t="s">
        <v>61</v>
      </c>
      <c r="E1707" t="s">
        <v>61</v>
      </c>
      <c r="F1707" t="s">
        <v>49</v>
      </c>
      <c r="G1707" t="s">
        <v>3576</v>
      </c>
      <c r="H1707" t="s">
        <v>3577</v>
      </c>
      <c r="J1707" t="str">
        <f>HYPERLINK("https://www.facebook.com/634639855377280/posts/791306126377318?comment_id=710243647918350","https://www.facebook.com/634639855377280/posts/791306126377318?comment_id=710243647918350")</f>
        <v>https://www.facebook.com/634639855377280/posts/791306126377318?comment_id=710243647918350</v>
      </c>
      <c r="O1707">
        <v>0</v>
      </c>
      <c r="P1707">
        <v>0</v>
      </c>
      <c r="Q1707">
        <v>0</v>
      </c>
      <c r="S1707">
        <v>0</v>
      </c>
      <c r="T1707">
        <v>0</v>
      </c>
      <c r="U1707">
        <v>0</v>
      </c>
      <c r="W1707" t="s">
        <v>52</v>
      </c>
    </row>
    <row r="1708" spans="1:23" x14ac:dyDescent="0.35">
      <c r="A1708" t="s">
        <v>45</v>
      </c>
      <c r="B1708" t="s">
        <v>3520</v>
      </c>
      <c r="C1708" t="s">
        <v>93</v>
      </c>
      <c r="D1708" t="s">
        <v>94</v>
      </c>
      <c r="E1708" t="s">
        <v>45</v>
      </c>
      <c r="F1708" t="s">
        <v>49</v>
      </c>
      <c r="G1708" t="s">
        <v>3578</v>
      </c>
      <c r="H1708" t="s">
        <v>3579</v>
      </c>
      <c r="J1708" t="str">
        <f>HYPERLINK("https://twitter.com/SpiceMoneyIndia/status/1758058395171463466","https://twitter.com/SpiceMoneyIndia/status/1758058395171463466")</f>
        <v>https://twitter.com/SpiceMoneyIndia/status/1758058395171463466</v>
      </c>
      <c r="K1708" t="s">
        <v>67</v>
      </c>
      <c r="O1708">
        <v>0</v>
      </c>
      <c r="P1708">
        <v>0</v>
      </c>
      <c r="Q1708">
        <v>6027</v>
      </c>
      <c r="R1708" t="s">
        <v>97</v>
      </c>
      <c r="S1708">
        <v>0</v>
      </c>
      <c r="T1708">
        <v>0</v>
      </c>
      <c r="U1708">
        <v>0</v>
      </c>
      <c r="V1708" t="s">
        <v>98</v>
      </c>
      <c r="W1708" t="s">
        <v>99</v>
      </c>
    </row>
    <row r="1709" spans="1:23" x14ac:dyDescent="0.35">
      <c r="A1709" t="s">
        <v>45</v>
      </c>
      <c r="B1709" t="s">
        <v>3520</v>
      </c>
      <c r="C1709" t="s">
        <v>47</v>
      </c>
      <c r="D1709" t="s">
        <v>3580</v>
      </c>
      <c r="E1709" t="s">
        <v>3580</v>
      </c>
      <c r="F1709" t="s">
        <v>49</v>
      </c>
      <c r="G1709" t="s">
        <v>3581</v>
      </c>
      <c r="H1709" t="s">
        <v>3582</v>
      </c>
      <c r="J1709" t="str">
        <f>HYPERLINK("https://www.youtube.com/watch?v=Rt7UUqkb-J0&amp;lc=UgzKRp05Yediy5yz_bt4AaABAg","https://www.youtube.com/watch?v=Rt7UUqkb-J0&amp;lc=UgzKRp05Yediy5yz_bt4AaABAg")</f>
        <v>https://www.youtube.com/watch?v=Rt7UUqkb-J0&amp;lc=UgzKRp05Yediy5yz_bt4AaABAg</v>
      </c>
      <c r="O1709">
        <v>0</v>
      </c>
      <c r="P1709">
        <v>0</v>
      </c>
      <c r="Q1709">
        <v>0</v>
      </c>
      <c r="S1709">
        <v>0</v>
      </c>
      <c r="T1709">
        <v>0</v>
      </c>
      <c r="U1709">
        <v>0</v>
      </c>
      <c r="W1709" t="s">
        <v>52</v>
      </c>
    </row>
    <row r="1710" spans="1:23" x14ac:dyDescent="0.35">
      <c r="A1710" t="s">
        <v>45</v>
      </c>
      <c r="B1710" t="s">
        <v>3520</v>
      </c>
      <c r="C1710" t="s">
        <v>60</v>
      </c>
      <c r="D1710" t="s">
        <v>61</v>
      </c>
      <c r="E1710" t="s">
        <v>61</v>
      </c>
      <c r="F1710" t="s">
        <v>49</v>
      </c>
      <c r="G1710" t="s">
        <v>3583</v>
      </c>
      <c r="H1710" t="s">
        <v>3584</v>
      </c>
      <c r="J1710" t="str">
        <f>HYPERLINK("https://www.facebook.com/634639855377280/posts/791769542997643?comment_id=1111410086947141","https://www.facebook.com/634639855377280/posts/791769542997643?comment_id=1111410086947141")</f>
        <v>https://www.facebook.com/634639855377280/posts/791769542997643?comment_id=1111410086947141</v>
      </c>
      <c r="O1710">
        <v>0</v>
      </c>
      <c r="P1710">
        <v>0</v>
      </c>
      <c r="Q1710">
        <v>0</v>
      </c>
      <c r="S1710">
        <v>0</v>
      </c>
      <c r="T1710">
        <v>0</v>
      </c>
      <c r="U1710">
        <v>0</v>
      </c>
      <c r="W1710" t="s">
        <v>52</v>
      </c>
    </row>
    <row r="1711" spans="1:23" x14ac:dyDescent="0.35">
      <c r="A1711" t="s">
        <v>45</v>
      </c>
      <c r="B1711" t="s">
        <v>3520</v>
      </c>
      <c r="C1711" t="s">
        <v>93</v>
      </c>
      <c r="D1711" t="s">
        <v>3585</v>
      </c>
      <c r="E1711" t="s">
        <v>3586</v>
      </c>
      <c r="F1711" t="s">
        <v>49</v>
      </c>
      <c r="G1711" t="s">
        <v>3587</v>
      </c>
      <c r="H1711" t="s">
        <v>3588</v>
      </c>
      <c r="J1711" t="str">
        <f>HYPERLINK("https://twitter.com/Attareth124063/status/1758024050473890148","https://twitter.com/Attareth124063/status/1758024050473890148")</f>
        <v>https://twitter.com/Attareth124063/status/1758024050473890148</v>
      </c>
      <c r="O1711">
        <v>0</v>
      </c>
      <c r="P1711">
        <v>0</v>
      </c>
      <c r="Q1711">
        <v>0</v>
      </c>
      <c r="R1711" t="s">
        <v>3589</v>
      </c>
      <c r="S1711">
        <v>0</v>
      </c>
      <c r="T1711">
        <v>0</v>
      </c>
      <c r="U1711">
        <v>0</v>
      </c>
      <c r="W1711" t="s">
        <v>99</v>
      </c>
    </row>
    <row r="1712" spans="1:23" x14ac:dyDescent="0.35">
      <c r="A1712" t="s">
        <v>45</v>
      </c>
      <c r="B1712" t="s">
        <v>3520</v>
      </c>
      <c r="C1712" t="s">
        <v>93</v>
      </c>
      <c r="D1712" t="s">
        <v>94</v>
      </c>
      <c r="E1712" t="s">
        <v>45</v>
      </c>
      <c r="F1712" t="s">
        <v>49</v>
      </c>
      <c r="G1712" t="s">
        <v>3590</v>
      </c>
      <c r="H1712" t="s">
        <v>3591</v>
      </c>
      <c r="J1712" t="str">
        <f>HYPERLINK("https://twitter.com/SpiceMoneyIndia/status/1758024032694280295","https://twitter.com/SpiceMoneyIndia/status/1758024032694280295")</f>
        <v>https://twitter.com/SpiceMoneyIndia/status/1758024032694280295</v>
      </c>
      <c r="K1712" t="s">
        <v>67</v>
      </c>
      <c r="O1712">
        <v>0</v>
      </c>
      <c r="P1712">
        <v>0</v>
      </c>
      <c r="Q1712">
        <v>6028</v>
      </c>
      <c r="R1712" t="s">
        <v>97</v>
      </c>
      <c r="S1712">
        <v>0</v>
      </c>
      <c r="T1712">
        <v>0</v>
      </c>
      <c r="U1712">
        <v>0</v>
      </c>
      <c r="V1712" t="s">
        <v>98</v>
      </c>
      <c r="W1712" t="s">
        <v>99</v>
      </c>
    </row>
    <row r="1713" spans="1:23" x14ac:dyDescent="0.35">
      <c r="A1713" t="s">
        <v>45</v>
      </c>
      <c r="B1713" t="s">
        <v>3520</v>
      </c>
      <c r="C1713" t="s">
        <v>60</v>
      </c>
      <c r="D1713" t="s">
        <v>64</v>
      </c>
      <c r="E1713" t="s">
        <v>64</v>
      </c>
      <c r="F1713" t="s">
        <v>49</v>
      </c>
      <c r="G1713" t="s">
        <v>3592</v>
      </c>
      <c r="H1713" t="s">
        <v>3593</v>
      </c>
      <c r="J1713" t="str">
        <f>HYPERLINK("https://www.facebook.com/634639855377280/posts/791769542997643","https://www.facebook.com/634639855377280/posts/791769542997643")</f>
        <v>https://www.facebook.com/634639855377280/posts/791769542997643</v>
      </c>
      <c r="O1713">
        <v>0</v>
      </c>
      <c r="P1713">
        <v>0</v>
      </c>
      <c r="Q1713">
        <v>0</v>
      </c>
      <c r="S1713">
        <v>6</v>
      </c>
      <c r="T1713">
        <v>70</v>
      </c>
      <c r="U1713">
        <v>7</v>
      </c>
      <c r="W1713" t="s">
        <v>346</v>
      </c>
    </row>
    <row r="1714" spans="1:23" x14ac:dyDescent="0.35">
      <c r="A1714" t="s">
        <v>45</v>
      </c>
      <c r="B1714" t="s">
        <v>3520</v>
      </c>
      <c r="C1714" t="s">
        <v>93</v>
      </c>
      <c r="D1714" t="s">
        <v>3262</v>
      </c>
      <c r="E1714" t="s">
        <v>3263</v>
      </c>
      <c r="F1714" t="s">
        <v>49</v>
      </c>
      <c r="G1714" t="s">
        <v>3594</v>
      </c>
      <c r="H1714" t="s">
        <v>3595</v>
      </c>
      <c r="J1714" t="str">
        <f>HYPERLINK("https://twitter.com/ShoaibAkhtertsk/status/1758022177205760086","https://twitter.com/ShoaibAkhtertsk/status/1758022177205760086")</f>
        <v>https://twitter.com/ShoaibAkhtertsk/status/1758022177205760086</v>
      </c>
      <c r="K1714" t="s">
        <v>67</v>
      </c>
      <c r="O1714">
        <v>0</v>
      </c>
      <c r="P1714">
        <v>0</v>
      </c>
      <c r="Q1714">
        <v>50</v>
      </c>
      <c r="R1714" t="s">
        <v>3266</v>
      </c>
      <c r="S1714">
        <v>0</v>
      </c>
      <c r="T1714">
        <v>0</v>
      </c>
      <c r="U1714">
        <v>0</v>
      </c>
      <c r="W1714" t="s">
        <v>99</v>
      </c>
    </row>
    <row r="1715" spans="1:23" x14ac:dyDescent="0.35">
      <c r="A1715" t="s">
        <v>45</v>
      </c>
      <c r="B1715" t="s">
        <v>3520</v>
      </c>
      <c r="C1715" t="s">
        <v>47</v>
      </c>
      <c r="D1715" t="s">
        <v>3596</v>
      </c>
      <c r="E1715" t="s">
        <v>3596</v>
      </c>
      <c r="F1715" t="s">
        <v>49</v>
      </c>
      <c r="G1715" t="s">
        <v>3597</v>
      </c>
      <c r="H1715" t="s">
        <v>3598</v>
      </c>
      <c r="J1715" t="str">
        <f>HYPERLINK("https://www.youtube.com/watch?v=zkfWhYOCqb8&amp;lc=UgyyUW1aBHQkOIHNxcV4AaABAg.A-na8_Z_zNvA-pJnXlVZgy","https://www.youtube.com/watch?v=zkfWhYOCqb8&amp;lc=UgyyUW1aBHQkOIHNxcV4AaABAg.A-na8_Z_zNvA-pJnXlVZgy")</f>
        <v>https://www.youtube.com/watch?v=zkfWhYOCqb8&amp;lc=UgyyUW1aBHQkOIHNxcV4AaABAg.A-na8_Z_zNvA-pJnXlVZgy</v>
      </c>
      <c r="O1715">
        <v>0</v>
      </c>
      <c r="P1715">
        <v>0</v>
      </c>
      <c r="Q1715">
        <v>0</v>
      </c>
      <c r="S1715">
        <v>0</v>
      </c>
      <c r="T1715">
        <v>0</v>
      </c>
      <c r="U1715">
        <v>0</v>
      </c>
      <c r="W1715" t="s">
        <v>52</v>
      </c>
    </row>
    <row r="1716" spans="1:23" x14ac:dyDescent="0.35">
      <c r="A1716" t="s">
        <v>45</v>
      </c>
      <c r="B1716" t="s">
        <v>3520</v>
      </c>
      <c r="C1716" t="s">
        <v>47</v>
      </c>
      <c r="D1716" t="s">
        <v>3599</v>
      </c>
      <c r="E1716" t="s">
        <v>3599</v>
      </c>
      <c r="F1716" t="s">
        <v>49</v>
      </c>
      <c r="G1716" t="s">
        <v>3600</v>
      </c>
      <c r="H1716" t="s">
        <v>3601</v>
      </c>
      <c r="J1716" t="str">
        <f>HYPERLINK("https://www.youtube.com/watch?v=zkfWhYOCqb8&amp;lc=UgzOzYxJ49TIW2mI72Z4AaABAg","https://www.youtube.com/watch?v=zkfWhYOCqb8&amp;lc=UgzOzYxJ49TIW2mI72Z4AaABAg")</f>
        <v>https://www.youtube.com/watch?v=zkfWhYOCqb8&amp;lc=UgzOzYxJ49TIW2mI72Z4AaABAg</v>
      </c>
      <c r="O1716">
        <v>0</v>
      </c>
      <c r="P1716">
        <v>0</v>
      </c>
      <c r="Q1716">
        <v>0</v>
      </c>
      <c r="S1716">
        <v>0</v>
      </c>
      <c r="T1716">
        <v>0</v>
      </c>
      <c r="U1716">
        <v>0</v>
      </c>
      <c r="W1716" t="s">
        <v>52</v>
      </c>
    </row>
    <row r="1717" spans="1:23" x14ac:dyDescent="0.35">
      <c r="A1717" t="s">
        <v>45</v>
      </c>
      <c r="B1717" t="s">
        <v>3520</v>
      </c>
      <c r="C1717" t="s">
        <v>47</v>
      </c>
      <c r="D1717" t="s">
        <v>3599</v>
      </c>
      <c r="E1717" t="s">
        <v>3599</v>
      </c>
      <c r="F1717" t="s">
        <v>49</v>
      </c>
      <c r="G1717" t="s">
        <v>3602</v>
      </c>
      <c r="H1717" t="s">
        <v>3603</v>
      </c>
      <c r="J1717" t="str">
        <f>HYPERLINK("https://www.youtube.com/watch?v=zkfWhYOCqb8&amp;lc=Ugx59Ax06nVuSnHrOK94AaABAg","https://www.youtube.com/watch?v=zkfWhYOCqb8&amp;lc=Ugx59Ax06nVuSnHrOK94AaABAg")</f>
        <v>https://www.youtube.com/watch?v=zkfWhYOCqb8&amp;lc=Ugx59Ax06nVuSnHrOK94AaABAg</v>
      </c>
      <c r="O1717">
        <v>0</v>
      </c>
      <c r="P1717">
        <v>0</v>
      </c>
      <c r="Q1717">
        <v>0</v>
      </c>
      <c r="S1717">
        <v>0</v>
      </c>
      <c r="T1717">
        <v>0</v>
      </c>
      <c r="U1717">
        <v>0</v>
      </c>
      <c r="W1717" t="s">
        <v>52</v>
      </c>
    </row>
    <row r="1718" spans="1:23" x14ac:dyDescent="0.35">
      <c r="A1718" t="s">
        <v>45</v>
      </c>
      <c r="B1718" t="s">
        <v>3520</v>
      </c>
      <c r="C1718" t="s">
        <v>47</v>
      </c>
      <c r="D1718" t="s">
        <v>3604</v>
      </c>
      <c r="E1718" t="s">
        <v>3604</v>
      </c>
      <c r="F1718" t="s">
        <v>49</v>
      </c>
      <c r="G1718" t="s">
        <v>3605</v>
      </c>
      <c r="H1718" t="s">
        <v>3606</v>
      </c>
      <c r="J1718" t="str">
        <f>HYPERLINK("https://www.youtube.com/watch?v=zkfWhYOCqb8&amp;lc=UgxmuV01ZcHVt6x-6sh4AaABAg","https://www.youtube.com/watch?v=zkfWhYOCqb8&amp;lc=UgxmuV01ZcHVt6x-6sh4AaABAg")</f>
        <v>https://www.youtube.com/watch?v=zkfWhYOCqb8&amp;lc=UgxmuV01ZcHVt6x-6sh4AaABAg</v>
      </c>
      <c r="O1718">
        <v>0</v>
      </c>
      <c r="P1718">
        <v>0</v>
      </c>
      <c r="Q1718">
        <v>0</v>
      </c>
      <c r="S1718">
        <v>0</v>
      </c>
      <c r="T1718">
        <v>0</v>
      </c>
      <c r="U1718">
        <v>0</v>
      </c>
      <c r="W1718" t="s">
        <v>52</v>
      </c>
    </row>
    <row r="1719" spans="1:23" x14ac:dyDescent="0.35">
      <c r="A1719" t="s">
        <v>45</v>
      </c>
      <c r="B1719" t="s">
        <v>3520</v>
      </c>
      <c r="C1719" t="s">
        <v>47</v>
      </c>
      <c r="D1719" t="s">
        <v>3604</v>
      </c>
      <c r="E1719" t="s">
        <v>3604</v>
      </c>
      <c r="F1719" t="s">
        <v>49</v>
      </c>
      <c r="G1719" t="s">
        <v>3607</v>
      </c>
      <c r="H1719" t="s">
        <v>3608</v>
      </c>
      <c r="J1719" t="str">
        <f>HYPERLINK("https://www.youtube.com/watch?v=L7PeKVwMvu8&amp;lc=UgzrD2HsqPzwKXTY5_h4AaABAg","https://www.youtube.com/watch?v=L7PeKVwMvu8&amp;lc=UgzrD2HsqPzwKXTY5_h4AaABAg")</f>
        <v>https://www.youtube.com/watch?v=L7PeKVwMvu8&amp;lc=UgzrD2HsqPzwKXTY5_h4AaABAg</v>
      </c>
      <c r="O1719">
        <v>0</v>
      </c>
      <c r="P1719">
        <v>0</v>
      </c>
      <c r="Q1719">
        <v>0</v>
      </c>
      <c r="S1719">
        <v>0</v>
      </c>
      <c r="T1719">
        <v>0</v>
      </c>
      <c r="U1719">
        <v>0</v>
      </c>
      <c r="W1719" t="s">
        <v>52</v>
      </c>
    </row>
    <row r="1720" spans="1:23" x14ac:dyDescent="0.35">
      <c r="A1720" t="s">
        <v>45</v>
      </c>
      <c r="B1720" t="s">
        <v>3520</v>
      </c>
      <c r="C1720" t="s">
        <v>47</v>
      </c>
      <c r="D1720" t="s">
        <v>843</v>
      </c>
      <c r="E1720" t="s">
        <v>843</v>
      </c>
      <c r="F1720" t="s">
        <v>49</v>
      </c>
      <c r="G1720" t="s">
        <v>3609</v>
      </c>
      <c r="H1720" t="s">
        <v>3610</v>
      </c>
      <c r="J1720" t="str">
        <f>HYPERLINK("https://www.youtube.com/watch?v=zkfWhYOCqb8&amp;lc=UgzTdDaocn8asYSLkwJ4AaABAg.A-nj3BPp1qkA-pHl_nDxtt","https://www.youtube.com/watch?v=zkfWhYOCqb8&amp;lc=UgzTdDaocn8asYSLkwJ4AaABAg.A-nj3BPp1qkA-pHl_nDxtt")</f>
        <v>https://www.youtube.com/watch?v=zkfWhYOCqb8&amp;lc=UgzTdDaocn8asYSLkwJ4AaABAg.A-nj3BPp1qkA-pHl_nDxtt</v>
      </c>
      <c r="O1720">
        <v>0</v>
      </c>
      <c r="P1720">
        <v>0</v>
      </c>
      <c r="Q1720">
        <v>0</v>
      </c>
      <c r="S1720">
        <v>0</v>
      </c>
      <c r="T1720">
        <v>0</v>
      </c>
      <c r="U1720">
        <v>0</v>
      </c>
      <c r="W1720" t="s">
        <v>52</v>
      </c>
    </row>
    <row r="1721" spans="1:23" x14ac:dyDescent="0.35">
      <c r="A1721" t="s">
        <v>45</v>
      </c>
      <c r="B1721" t="s">
        <v>3520</v>
      </c>
      <c r="C1721" t="s">
        <v>47</v>
      </c>
      <c r="D1721" t="s">
        <v>68</v>
      </c>
      <c r="E1721" t="s">
        <v>68</v>
      </c>
      <c r="F1721" t="s">
        <v>49</v>
      </c>
      <c r="G1721" t="s">
        <v>162</v>
      </c>
      <c r="H1721" t="s">
        <v>3611</v>
      </c>
      <c r="J1721" t="str">
        <f>HYPERLINK("https://www.youtube.com/watch?v=zkfWhYOCqb8&amp;lc=Ugy8Vlo4pVF0J-XlSGF4AaABAg.A-ncjmqaiUOA-pCxOooaRK","https://www.youtube.com/watch?v=zkfWhYOCqb8&amp;lc=Ugy8Vlo4pVF0J-XlSGF4AaABAg.A-ncjmqaiUOA-pCxOooaRK")</f>
        <v>https://www.youtube.com/watch?v=zkfWhYOCqb8&amp;lc=Ugy8Vlo4pVF0J-XlSGF4AaABAg.A-ncjmqaiUOA-pCxOooaRK</v>
      </c>
      <c r="O1721">
        <v>0</v>
      </c>
      <c r="P1721">
        <v>0</v>
      </c>
      <c r="Q1721">
        <v>0</v>
      </c>
      <c r="S1721">
        <v>0</v>
      </c>
      <c r="T1721">
        <v>0</v>
      </c>
      <c r="U1721">
        <v>0</v>
      </c>
      <c r="W1721" t="s">
        <v>52</v>
      </c>
    </row>
    <row r="1722" spans="1:23" x14ac:dyDescent="0.35">
      <c r="A1722" t="s">
        <v>45</v>
      </c>
      <c r="B1722" t="s">
        <v>3520</v>
      </c>
      <c r="C1722" t="s">
        <v>47</v>
      </c>
      <c r="D1722" t="s">
        <v>68</v>
      </c>
      <c r="E1722" t="s">
        <v>68</v>
      </c>
      <c r="F1722" t="s">
        <v>49</v>
      </c>
      <c r="G1722" t="s">
        <v>293</v>
      </c>
      <c r="H1722" t="s">
        <v>3612</v>
      </c>
      <c r="J1722" t="str">
        <f>HYPERLINK("https://www.youtube.com/watch?v=zkfWhYOCqb8&amp;lc=UgwtlEs0DSQjLtceXpp4AaABAg.A-nbsBTyXKGA-pCvEBZGha","https://www.youtube.com/watch?v=zkfWhYOCqb8&amp;lc=UgwtlEs0DSQjLtceXpp4AaABAg.A-nbsBTyXKGA-pCvEBZGha")</f>
        <v>https://www.youtube.com/watch?v=zkfWhYOCqb8&amp;lc=UgwtlEs0DSQjLtceXpp4AaABAg.A-nbsBTyXKGA-pCvEBZGha</v>
      </c>
      <c r="O1722">
        <v>0</v>
      </c>
      <c r="P1722">
        <v>0</v>
      </c>
      <c r="Q1722">
        <v>0</v>
      </c>
      <c r="S1722">
        <v>0</v>
      </c>
      <c r="T1722">
        <v>0</v>
      </c>
      <c r="U1722">
        <v>0</v>
      </c>
      <c r="W1722" t="s">
        <v>52</v>
      </c>
    </row>
    <row r="1723" spans="1:23" x14ac:dyDescent="0.35">
      <c r="A1723" t="s">
        <v>45</v>
      </c>
      <c r="B1723" t="s">
        <v>3520</v>
      </c>
      <c r="C1723" t="s">
        <v>47</v>
      </c>
      <c r="D1723" t="s">
        <v>68</v>
      </c>
      <c r="E1723" t="s">
        <v>68</v>
      </c>
      <c r="F1723" t="s">
        <v>49</v>
      </c>
      <c r="G1723" t="s">
        <v>293</v>
      </c>
      <c r="H1723" t="s">
        <v>3613</v>
      </c>
      <c r="J1723" t="str">
        <f>HYPERLINK("https://www.youtube.com/watch?v=zkfWhYOCqb8&amp;lc=UgzTdDaocn8asYSLkwJ4AaABAg.A-nj3BPp1qkA-pCaCMsY6J","https://www.youtube.com/watch?v=zkfWhYOCqb8&amp;lc=UgzTdDaocn8asYSLkwJ4AaABAg.A-nj3BPp1qkA-pCaCMsY6J")</f>
        <v>https://www.youtube.com/watch?v=zkfWhYOCqb8&amp;lc=UgzTdDaocn8asYSLkwJ4AaABAg.A-nj3BPp1qkA-pCaCMsY6J</v>
      </c>
      <c r="O1723">
        <v>0</v>
      </c>
      <c r="P1723">
        <v>0</v>
      </c>
      <c r="Q1723">
        <v>0</v>
      </c>
      <c r="S1723">
        <v>0</v>
      </c>
      <c r="T1723">
        <v>0</v>
      </c>
      <c r="U1723">
        <v>0</v>
      </c>
      <c r="W1723" t="s">
        <v>52</v>
      </c>
    </row>
    <row r="1724" spans="1:23" x14ac:dyDescent="0.35">
      <c r="A1724" t="s">
        <v>45</v>
      </c>
      <c r="B1724" t="s">
        <v>3520</v>
      </c>
      <c r="C1724" t="s">
        <v>47</v>
      </c>
      <c r="D1724" t="s">
        <v>68</v>
      </c>
      <c r="E1724" t="s">
        <v>68</v>
      </c>
      <c r="F1724" t="s">
        <v>49</v>
      </c>
      <c r="G1724" t="s">
        <v>2766</v>
      </c>
      <c r="H1724" t="s">
        <v>3614</v>
      </c>
      <c r="J1724" t="str">
        <f>HYPERLINK("https://www.youtube.com/watch?v=zkfWhYOCqb8&amp;lc=UgyWhTanlN_WMcmIVH14AaABAg.A-o-p_ERiR1A-pBN9NInlX","https://www.youtube.com/watch?v=zkfWhYOCqb8&amp;lc=UgyWhTanlN_WMcmIVH14AaABAg.A-o-p_ERiR1A-pBN9NInlX")</f>
        <v>https://www.youtube.com/watch?v=zkfWhYOCqb8&amp;lc=UgyWhTanlN_WMcmIVH14AaABAg.A-o-p_ERiR1A-pBN9NInlX</v>
      </c>
      <c r="O1724">
        <v>0</v>
      </c>
      <c r="P1724">
        <v>0</v>
      </c>
      <c r="Q1724">
        <v>0</v>
      </c>
      <c r="S1724">
        <v>0</v>
      </c>
      <c r="T1724">
        <v>0</v>
      </c>
      <c r="U1724">
        <v>0</v>
      </c>
      <c r="W1724" t="s">
        <v>52</v>
      </c>
    </row>
    <row r="1725" spans="1:23" x14ac:dyDescent="0.35">
      <c r="A1725" t="s">
        <v>45</v>
      </c>
      <c r="B1725" t="s">
        <v>3520</v>
      </c>
      <c r="C1725" t="s">
        <v>47</v>
      </c>
      <c r="D1725" t="s">
        <v>68</v>
      </c>
      <c r="E1725" t="s">
        <v>68</v>
      </c>
      <c r="F1725" t="s">
        <v>49</v>
      </c>
      <c r="G1725" t="s">
        <v>102</v>
      </c>
      <c r="H1725" t="s">
        <v>3615</v>
      </c>
      <c r="J1725" t="str">
        <f>HYPERLINK("https://www.youtube.com/watch?v=zkfWhYOCqb8&amp;lc=UgyapU4X8MkTIJo5tkF4AaABAg.A-na9Lv3xBjA-pB8lR-YAO","https://www.youtube.com/watch?v=zkfWhYOCqb8&amp;lc=UgyapU4X8MkTIJo5tkF4AaABAg.A-na9Lv3xBjA-pB8lR-YAO")</f>
        <v>https://www.youtube.com/watch?v=zkfWhYOCqb8&amp;lc=UgyapU4X8MkTIJo5tkF4AaABAg.A-na9Lv3xBjA-pB8lR-YAO</v>
      </c>
      <c r="O1725">
        <v>0</v>
      </c>
      <c r="P1725">
        <v>0</v>
      </c>
      <c r="Q1725">
        <v>0</v>
      </c>
      <c r="S1725">
        <v>0</v>
      </c>
      <c r="T1725">
        <v>0</v>
      </c>
      <c r="U1725">
        <v>0</v>
      </c>
      <c r="W1725" t="s">
        <v>52</v>
      </c>
    </row>
    <row r="1726" spans="1:23" x14ac:dyDescent="0.35">
      <c r="A1726" t="s">
        <v>45</v>
      </c>
      <c r="B1726" t="s">
        <v>3520</v>
      </c>
      <c r="C1726" t="s">
        <v>47</v>
      </c>
      <c r="D1726" t="s">
        <v>68</v>
      </c>
      <c r="E1726" t="s">
        <v>68</v>
      </c>
      <c r="F1726" t="s">
        <v>49</v>
      </c>
      <c r="G1726" t="s">
        <v>2766</v>
      </c>
      <c r="H1726" t="s">
        <v>3616</v>
      </c>
      <c r="J1726" t="str">
        <f>HYPERLINK("https://www.youtube.com/watch?v=zkfWhYOCqb8&amp;lc=UgyE9DhlYxwRvhVxqoN4AaABAg.A-nv_dVqebQA-pB2qwMmkN","https://www.youtube.com/watch?v=zkfWhYOCqb8&amp;lc=UgyE9DhlYxwRvhVxqoN4AaABAg.A-nv_dVqebQA-pB2qwMmkN")</f>
        <v>https://www.youtube.com/watch?v=zkfWhYOCqb8&amp;lc=UgyE9DhlYxwRvhVxqoN4AaABAg.A-nv_dVqebQA-pB2qwMmkN</v>
      </c>
      <c r="O1726">
        <v>0</v>
      </c>
      <c r="P1726">
        <v>0</v>
      </c>
      <c r="Q1726">
        <v>0</v>
      </c>
      <c r="S1726">
        <v>0</v>
      </c>
      <c r="T1726">
        <v>0</v>
      </c>
      <c r="U1726">
        <v>0</v>
      </c>
      <c r="W1726" t="s">
        <v>52</v>
      </c>
    </row>
    <row r="1727" spans="1:23" x14ac:dyDescent="0.35">
      <c r="A1727" t="s">
        <v>45</v>
      </c>
      <c r="B1727" t="s">
        <v>3520</v>
      </c>
      <c r="C1727" t="s">
        <v>47</v>
      </c>
      <c r="D1727" t="s">
        <v>68</v>
      </c>
      <c r="E1727" t="s">
        <v>68</v>
      </c>
      <c r="F1727" t="s">
        <v>49</v>
      </c>
      <c r="G1727" t="s">
        <v>3573</v>
      </c>
      <c r="H1727" t="s">
        <v>3617</v>
      </c>
      <c r="J1727" t="str">
        <f>HYPERLINK("https://www.youtube.com/watch?v=wDVpKG8jfSo&amp;lc=UgzIUHxSEDK3uTYMqbx4AaABAg.A-ne4bE0d90A-pAdyEmh3D","https://www.youtube.com/watch?v=wDVpKG8jfSo&amp;lc=UgzIUHxSEDK3uTYMqbx4AaABAg.A-ne4bE0d90A-pAdyEmh3D")</f>
        <v>https://www.youtube.com/watch?v=wDVpKG8jfSo&amp;lc=UgzIUHxSEDK3uTYMqbx4AaABAg.A-ne4bE0d90A-pAdyEmh3D</v>
      </c>
      <c r="O1727">
        <v>0</v>
      </c>
      <c r="P1727">
        <v>0</v>
      </c>
      <c r="Q1727">
        <v>0</v>
      </c>
      <c r="S1727">
        <v>0</v>
      </c>
      <c r="T1727">
        <v>0</v>
      </c>
      <c r="U1727">
        <v>0</v>
      </c>
      <c r="W1727" t="s">
        <v>52</v>
      </c>
    </row>
    <row r="1728" spans="1:23" x14ac:dyDescent="0.35">
      <c r="A1728" t="s">
        <v>45</v>
      </c>
      <c r="B1728" t="s">
        <v>3520</v>
      </c>
      <c r="C1728" t="s">
        <v>47</v>
      </c>
      <c r="D1728" t="s">
        <v>68</v>
      </c>
      <c r="E1728" t="s">
        <v>68</v>
      </c>
      <c r="F1728" t="s">
        <v>49</v>
      </c>
      <c r="G1728" t="s">
        <v>3573</v>
      </c>
      <c r="H1728" t="s">
        <v>3618</v>
      </c>
      <c r="J1728" t="str">
        <f>HYPERLINK("https://www.youtube.com/watch?v=zkfWhYOCqb8&amp;lc=UgyyUW1aBHQkOIHNxcV4AaABAg.A-na8_Z_zNvA-pAbbyYgew","https://www.youtube.com/watch?v=zkfWhYOCqb8&amp;lc=UgyyUW1aBHQkOIHNxcV4AaABAg.A-na8_Z_zNvA-pAbbyYgew")</f>
        <v>https://www.youtube.com/watch?v=zkfWhYOCqb8&amp;lc=UgyyUW1aBHQkOIHNxcV4AaABAg.A-na8_Z_zNvA-pAbbyYgew</v>
      </c>
      <c r="O1728">
        <v>0</v>
      </c>
      <c r="P1728">
        <v>0</v>
      </c>
      <c r="Q1728">
        <v>0</v>
      </c>
      <c r="S1728">
        <v>0</v>
      </c>
      <c r="T1728">
        <v>0</v>
      </c>
      <c r="U1728">
        <v>0</v>
      </c>
      <c r="W1728" t="s">
        <v>52</v>
      </c>
    </row>
    <row r="1729" spans="1:23" x14ac:dyDescent="0.35">
      <c r="A1729" t="s">
        <v>45</v>
      </c>
      <c r="B1729" t="s">
        <v>3520</v>
      </c>
      <c r="C1729" t="s">
        <v>47</v>
      </c>
      <c r="D1729" t="s">
        <v>68</v>
      </c>
      <c r="E1729" t="s">
        <v>68</v>
      </c>
      <c r="F1729" t="s">
        <v>49</v>
      </c>
      <c r="G1729" t="s">
        <v>162</v>
      </c>
      <c r="H1729" t="s">
        <v>3619</v>
      </c>
      <c r="J1729" t="str">
        <f>HYPERLINK("https://www.youtube.com/watch?v=zkfWhYOCqb8&amp;lc=UgzFxJMm6uiwiPqmsDR4AaABAg.A-n_ob91SfgA-p81MXCLG5","https://www.youtube.com/watch?v=zkfWhYOCqb8&amp;lc=UgzFxJMm6uiwiPqmsDR4AaABAg.A-n_ob91SfgA-p81MXCLG5")</f>
        <v>https://www.youtube.com/watch?v=zkfWhYOCqb8&amp;lc=UgzFxJMm6uiwiPqmsDR4AaABAg.A-n_ob91SfgA-p81MXCLG5</v>
      </c>
      <c r="O1729">
        <v>0</v>
      </c>
      <c r="P1729">
        <v>0</v>
      </c>
      <c r="Q1729">
        <v>0</v>
      </c>
      <c r="S1729">
        <v>0</v>
      </c>
      <c r="T1729">
        <v>0</v>
      </c>
      <c r="U1729">
        <v>0</v>
      </c>
      <c r="W1729" t="s">
        <v>52</v>
      </c>
    </row>
    <row r="1730" spans="1:23" x14ac:dyDescent="0.35">
      <c r="A1730" t="s">
        <v>45</v>
      </c>
      <c r="B1730" t="s">
        <v>3520</v>
      </c>
      <c r="C1730" t="s">
        <v>47</v>
      </c>
      <c r="D1730" t="s">
        <v>68</v>
      </c>
      <c r="E1730" t="s">
        <v>68</v>
      </c>
      <c r="F1730" t="s">
        <v>49</v>
      </c>
      <c r="G1730" t="s">
        <v>162</v>
      </c>
      <c r="H1730" t="s">
        <v>3620</v>
      </c>
      <c r="J1730" t="str">
        <f>HYPERLINK("https://www.youtube.com/watch?v=zkfWhYOCqb8&amp;lc=UgwRwtRLQG_4paVEX594AaABAg.A-oveCyNw8IA-p7skKTNaN","https://www.youtube.com/watch?v=zkfWhYOCqb8&amp;lc=UgwRwtRLQG_4paVEX594AaABAg.A-oveCyNw8IA-p7skKTNaN")</f>
        <v>https://www.youtube.com/watch?v=zkfWhYOCqb8&amp;lc=UgwRwtRLQG_4paVEX594AaABAg.A-oveCyNw8IA-p7skKTNaN</v>
      </c>
      <c r="O1730">
        <v>0</v>
      </c>
      <c r="P1730">
        <v>0</v>
      </c>
      <c r="Q1730">
        <v>0</v>
      </c>
      <c r="S1730">
        <v>0</v>
      </c>
      <c r="T1730">
        <v>0</v>
      </c>
      <c r="U1730">
        <v>0</v>
      </c>
      <c r="W1730" t="s">
        <v>52</v>
      </c>
    </row>
    <row r="1731" spans="1:23" x14ac:dyDescent="0.35">
      <c r="A1731" t="s">
        <v>45</v>
      </c>
      <c r="B1731" t="s">
        <v>3520</v>
      </c>
      <c r="C1731" t="s">
        <v>47</v>
      </c>
      <c r="D1731" t="s">
        <v>846</v>
      </c>
      <c r="E1731" t="s">
        <v>846</v>
      </c>
      <c r="F1731" t="s">
        <v>54</v>
      </c>
      <c r="G1731" t="s">
        <v>3621</v>
      </c>
      <c r="H1731" t="s">
        <v>3622</v>
      </c>
      <c r="J1731" t="str">
        <f>HYPERLINK("https://www.youtube.com/watch?v=zkfWhYOCqb8&amp;lc=UgwRwtRLQG_4paVEX594AaABAg","https://www.youtube.com/watch?v=zkfWhYOCqb8&amp;lc=UgwRwtRLQG_4paVEX594AaABAg")</f>
        <v>https://www.youtube.com/watch?v=zkfWhYOCqb8&amp;lc=UgwRwtRLQG_4paVEX594AaABAg</v>
      </c>
      <c r="O1731">
        <v>0</v>
      </c>
      <c r="P1731">
        <v>0</v>
      </c>
      <c r="Q1731">
        <v>0</v>
      </c>
      <c r="S1731">
        <v>0</v>
      </c>
      <c r="T1731">
        <v>0</v>
      </c>
      <c r="U1731">
        <v>0</v>
      </c>
      <c r="W1731" t="s">
        <v>52</v>
      </c>
    </row>
    <row r="1732" spans="1:23" x14ac:dyDescent="0.35">
      <c r="A1732" t="s">
        <v>45</v>
      </c>
      <c r="B1732" t="s">
        <v>3520</v>
      </c>
      <c r="C1732" t="s">
        <v>93</v>
      </c>
      <c r="D1732" t="s">
        <v>3623</v>
      </c>
      <c r="E1732" t="s">
        <v>3624</v>
      </c>
      <c r="F1732" t="s">
        <v>49</v>
      </c>
      <c r="G1732" t="s">
        <v>3625</v>
      </c>
      <c r="H1732" t="s">
        <v>3626</v>
      </c>
      <c r="J1732" t="str">
        <f>HYPERLINK("https://twitter.com/KishoreLalji/status/1757936255088635914","https://twitter.com/KishoreLalji/status/1757936255088635914")</f>
        <v>https://twitter.com/KishoreLalji/status/1757936255088635914</v>
      </c>
      <c r="K1732" t="s">
        <v>67</v>
      </c>
      <c r="O1732">
        <v>0</v>
      </c>
      <c r="P1732">
        <v>0</v>
      </c>
      <c r="Q1732">
        <v>2</v>
      </c>
      <c r="S1732">
        <v>0</v>
      </c>
      <c r="T1732">
        <v>0</v>
      </c>
      <c r="U1732">
        <v>0</v>
      </c>
      <c r="W1732" t="s">
        <v>99</v>
      </c>
    </row>
    <row r="1733" spans="1:23" x14ac:dyDescent="0.35">
      <c r="A1733" t="s">
        <v>45</v>
      </c>
      <c r="B1733" t="s">
        <v>3627</v>
      </c>
      <c r="C1733" t="s">
        <v>93</v>
      </c>
      <c r="D1733" t="s">
        <v>3262</v>
      </c>
      <c r="E1733" t="s">
        <v>3263</v>
      </c>
      <c r="F1733" t="s">
        <v>54</v>
      </c>
      <c r="G1733" t="s">
        <v>3628</v>
      </c>
      <c r="H1733" t="s">
        <v>3629</v>
      </c>
      <c r="J1733" t="str">
        <f>HYPERLINK("https://twitter.com/ShoaibAkhtertsk/status/1757832093508473235","https://twitter.com/ShoaibAkhtertsk/status/1757832093508473235")</f>
        <v>https://twitter.com/ShoaibAkhtertsk/status/1757832093508473235</v>
      </c>
      <c r="K1733" t="s">
        <v>67</v>
      </c>
      <c r="O1733">
        <v>0</v>
      </c>
      <c r="P1733">
        <v>0</v>
      </c>
      <c r="Q1733">
        <v>50</v>
      </c>
      <c r="R1733" t="s">
        <v>3266</v>
      </c>
      <c r="S1733">
        <v>0</v>
      </c>
      <c r="T1733">
        <v>0</v>
      </c>
      <c r="U1733">
        <v>0</v>
      </c>
      <c r="W1733" t="s">
        <v>99</v>
      </c>
    </row>
    <row r="1734" spans="1:23" x14ac:dyDescent="0.35">
      <c r="A1734" t="s">
        <v>45</v>
      </c>
      <c r="B1734" t="s">
        <v>3627</v>
      </c>
      <c r="C1734" t="s">
        <v>93</v>
      </c>
      <c r="D1734" t="s">
        <v>3262</v>
      </c>
      <c r="E1734" t="s">
        <v>3263</v>
      </c>
      <c r="F1734" t="s">
        <v>49</v>
      </c>
      <c r="G1734" t="s">
        <v>3630</v>
      </c>
      <c r="H1734" t="s">
        <v>3631</v>
      </c>
      <c r="J1734" t="str">
        <f>HYPERLINK("https://twitter.com/ShoaibAkhtertsk/status/1757831610047828040","https://twitter.com/ShoaibAkhtertsk/status/1757831610047828040")</f>
        <v>https://twitter.com/ShoaibAkhtertsk/status/1757831610047828040</v>
      </c>
      <c r="K1734" t="s">
        <v>67</v>
      </c>
      <c r="O1734">
        <v>0</v>
      </c>
      <c r="P1734">
        <v>0</v>
      </c>
      <c r="Q1734">
        <v>50</v>
      </c>
      <c r="R1734" t="s">
        <v>3266</v>
      </c>
      <c r="S1734">
        <v>0</v>
      </c>
      <c r="T1734">
        <v>0</v>
      </c>
      <c r="U1734">
        <v>0</v>
      </c>
      <c r="W1734" t="s">
        <v>99</v>
      </c>
    </row>
    <row r="1735" spans="1:23" x14ac:dyDescent="0.35">
      <c r="A1735" t="s">
        <v>45</v>
      </c>
      <c r="B1735" t="s">
        <v>3627</v>
      </c>
      <c r="C1735" t="s">
        <v>47</v>
      </c>
      <c r="D1735" t="s">
        <v>2021</v>
      </c>
      <c r="E1735" t="s">
        <v>2021</v>
      </c>
      <c r="F1735" t="s">
        <v>49</v>
      </c>
      <c r="G1735" t="s">
        <v>3632</v>
      </c>
      <c r="H1735" t="s">
        <v>3633</v>
      </c>
      <c r="J1735" t="str">
        <f>HYPERLINK("https://www.youtube.com/watch?v=zkfWhYOCqb8&amp;lc=UgyWhTanlN_WMcmIVH14AaABAg","https://www.youtube.com/watch?v=zkfWhYOCqb8&amp;lc=UgyWhTanlN_WMcmIVH14AaABAg")</f>
        <v>https://www.youtube.com/watch?v=zkfWhYOCqb8&amp;lc=UgyWhTanlN_WMcmIVH14AaABAg</v>
      </c>
      <c r="O1735">
        <v>0</v>
      </c>
      <c r="P1735">
        <v>0</v>
      </c>
      <c r="Q1735">
        <v>0</v>
      </c>
      <c r="S1735">
        <v>0</v>
      </c>
      <c r="T1735">
        <v>0</v>
      </c>
      <c r="U1735">
        <v>0</v>
      </c>
      <c r="W1735" t="s">
        <v>52</v>
      </c>
    </row>
    <row r="1736" spans="1:23" x14ac:dyDescent="0.35">
      <c r="A1736" t="s">
        <v>45</v>
      </c>
      <c r="B1736" t="s">
        <v>3627</v>
      </c>
      <c r="C1736" t="s">
        <v>47</v>
      </c>
      <c r="D1736" t="s">
        <v>3634</v>
      </c>
      <c r="E1736" t="s">
        <v>3634</v>
      </c>
      <c r="F1736" t="s">
        <v>54</v>
      </c>
      <c r="G1736" t="s">
        <v>3635</v>
      </c>
      <c r="H1736" t="s">
        <v>3636</v>
      </c>
      <c r="J1736" t="str">
        <f>HYPERLINK("https://www.youtube.com/watch?v=zkfWhYOCqb8&amp;lc=Ugxlol0uBnGIhFkdM1V4AaABAg","https://www.youtube.com/watch?v=zkfWhYOCqb8&amp;lc=Ugxlol0uBnGIhFkdM1V4AaABAg")</f>
        <v>https://www.youtube.com/watch?v=zkfWhYOCqb8&amp;lc=Ugxlol0uBnGIhFkdM1V4AaABAg</v>
      </c>
      <c r="O1736">
        <v>0</v>
      </c>
      <c r="P1736">
        <v>0</v>
      </c>
      <c r="Q1736">
        <v>0</v>
      </c>
      <c r="S1736">
        <v>0</v>
      </c>
      <c r="T1736">
        <v>0</v>
      </c>
      <c r="U1736">
        <v>0</v>
      </c>
      <c r="W1736" t="s">
        <v>52</v>
      </c>
    </row>
    <row r="1737" spans="1:23" x14ac:dyDescent="0.35">
      <c r="A1737" t="s">
        <v>45</v>
      </c>
      <c r="B1737" t="s">
        <v>3627</v>
      </c>
      <c r="C1737" t="s">
        <v>47</v>
      </c>
      <c r="D1737" t="s">
        <v>3637</v>
      </c>
      <c r="E1737" t="s">
        <v>3637</v>
      </c>
      <c r="F1737" t="s">
        <v>49</v>
      </c>
      <c r="G1737" t="s">
        <v>3638</v>
      </c>
      <c r="H1737" t="s">
        <v>3639</v>
      </c>
      <c r="J1737" t="str">
        <f>HYPERLINK("https://www.youtube.com/watch?v=zkfWhYOCqb8&amp;lc=UgyE9DhlYxwRvhVxqoN4AaABAg","https://www.youtube.com/watch?v=zkfWhYOCqb8&amp;lc=UgyE9DhlYxwRvhVxqoN4AaABAg")</f>
        <v>https://www.youtube.com/watch?v=zkfWhYOCqb8&amp;lc=UgyE9DhlYxwRvhVxqoN4AaABAg</v>
      </c>
      <c r="O1737">
        <v>0</v>
      </c>
      <c r="P1737">
        <v>0</v>
      </c>
      <c r="Q1737">
        <v>0</v>
      </c>
      <c r="S1737">
        <v>0</v>
      </c>
      <c r="T1737">
        <v>0</v>
      </c>
      <c r="U1737">
        <v>0</v>
      </c>
      <c r="W1737" t="s">
        <v>52</v>
      </c>
    </row>
    <row r="1738" spans="1:23" x14ac:dyDescent="0.35">
      <c r="A1738" t="s">
        <v>45</v>
      </c>
      <c r="B1738" t="s">
        <v>3627</v>
      </c>
      <c r="C1738" t="s">
        <v>60</v>
      </c>
      <c r="D1738" t="s">
        <v>61</v>
      </c>
      <c r="E1738" t="s">
        <v>61</v>
      </c>
      <c r="F1738" t="s">
        <v>49</v>
      </c>
      <c r="G1738" t="s">
        <v>3640</v>
      </c>
      <c r="H1738" t="s">
        <v>3641</v>
      </c>
      <c r="J1738" t="str">
        <f>HYPERLINK("https://www.facebook.com/634639855377280/posts/791306126377318?comment_id=360909280062233","https://www.facebook.com/634639855377280/posts/791306126377318?comment_id=360909280062233")</f>
        <v>https://www.facebook.com/634639855377280/posts/791306126377318?comment_id=360909280062233</v>
      </c>
      <c r="O1738">
        <v>0</v>
      </c>
      <c r="P1738">
        <v>0</v>
      </c>
      <c r="Q1738">
        <v>0</v>
      </c>
      <c r="S1738">
        <v>0</v>
      </c>
      <c r="T1738">
        <v>0</v>
      </c>
      <c r="U1738">
        <v>0</v>
      </c>
      <c r="W1738" t="s">
        <v>52</v>
      </c>
    </row>
    <row r="1739" spans="1:23" x14ac:dyDescent="0.35">
      <c r="A1739" t="s">
        <v>45</v>
      </c>
      <c r="B1739" t="s">
        <v>3627</v>
      </c>
      <c r="C1739" t="s">
        <v>60</v>
      </c>
      <c r="D1739" t="s">
        <v>61</v>
      </c>
      <c r="E1739" t="s">
        <v>61</v>
      </c>
      <c r="F1739" t="s">
        <v>49</v>
      </c>
      <c r="G1739" t="s">
        <v>3642</v>
      </c>
      <c r="H1739" t="s">
        <v>3643</v>
      </c>
      <c r="J1739" t="str">
        <f>HYPERLINK("https://www.facebook.com/634639855377280/posts/791306126377318?comment_id=383972530915155","https://www.facebook.com/634639855377280/posts/791306126377318?comment_id=383972530915155")</f>
        <v>https://www.facebook.com/634639855377280/posts/791306126377318?comment_id=383972530915155</v>
      </c>
      <c r="O1739">
        <v>0</v>
      </c>
      <c r="P1739">
        <v>0</v>
      </c>
      <c r="Q1739">
        <v>0</v>
      </c>
      <c r="S1739">
        <v>0</v>
      </c>
      <c r="T1739">
        <v>0</v>
      </c>
      <c r="U1739">
        <v>0</v>
      </c>
      <c r="W1739" t="s">
        <v>52</v>
      </c>
    </row>
    <row r="1740" spans="1:23" x14ac:dyDescent="0.35">
      <c r="A1740" t="s">
        <v>45</v>
      </c>
      <c r="B1740" t="s">
        <v>3627</v>
      </c>
      <c r="C1740" t="s">
        <v>60</v>
      </c>
      <c r="D1740" t="s">
        <v>61</v>
      </c>
      <c r="E1740" t="s">
        <v>61</v>
      </c>
      <c r="F1740" t="s">
        <v>49</v>
      </c>
      <c r="G1740" t="s">
        <v>3644</v>
      </c>
      <c r="H1740" t="s">
        <v>3645</v>
      </c>
      <c r="J1740" t="str">
        <f>HYPERLINK("https://www.facebook.com/634639855377280/posts/790576553116942?comment_id=309714498751710","https://www.facebook.com/634639855377280/posts/790576553116942?comment_id=309714498751710")</f>
        <v>https://www.facebook.com/634639855377280/posts/790576553116942?comment_id=309714498751710</v>
      </c>
      <c r="O1740">
        <v>0</v>
      </c>
      <c r="P1740">
        <v>0</v>
      </c>
      <c r="Q1740">
        <v>0</v>
      </c>
      <c r="S1740">
        <v>0</v>
      </c>
      <c r="T1740">
        <v>0</v>
      </c>
      <c r="U1740">
        <v>0</v>
      </c>
      <c r="W1740" t="s">
        <v>52</v>
      </c>
    </row>
    <row r="1741" spans="1:23" x14ac:dyDescent="0.35">
      <c r="A1741" t="s">
        <v>45</v>
      </c>
      <c r="B1741" t="s">
        <v>3627</v>
      </c>
      <c r="C1741" t="s">
        <v>93</v>
      </c>
      <c r="D1741" t="s">
        <v>3646</v>
      </c>
      <c r="E1741" t="s">
        <v>3647</v>
      </c>
      <c r="F1741" t="s">
        <v>49</v>
      </c>
      <c r="G1741" t="s">
        <v>3648</v>
      </c>
      <c r="H1741" t="s">
        <v>3649</v>
      </c>
      <c r="J1741" t="str">
        <f>HYPERLINK("https://twitter.com/vishalmahere123/status/1757779398009209308","https://twitter.com/vishalmahere123/status/1757779398009209308")</f>
        <v>https://twitter.com/vishalmahere123/status/1757779398009209308</v>
      </c>
      <c r="O1741">
        <v>0</v>
      </c>
      <c r="P1741">
        <v>0</v>
      </c>
      <c r="Q1741">
        <v>27</v>
      </c>
      <c r="R1741" t="s">
        <v>3650</v>
      </c>
      <c r="S1741">
        <v>0</v>
      </c>
      <c r="T1741">
        <v>0</v>
      </c>
      <c r="U1741">
        <v>0</v>
      </c>
      <c r="W1741" t="s">
        <v>99</v>
      </c>
    </row>
    <row r="1742" spans="1:23" x14ac:dyDescent="0.35">
      <c r="A1742" t="s">
        <v>45</v>
      </c>
      <c r="B1742" t="s">
        <v>3627</v>
      </c>
      <c r="C1742" t="s">
        <v>60</v>
      </c>
      <c r="D1742" t="s">
        <v>61</v>
      </c>
      <c r="E1742" t="s">
        <v>61</v>
      </c>
      <c r="F1742" t="s">
        <v>49</v>
      </c>
      <c r="G1742" t="s">
        <v>3651</v>
      </c>
      <c r="H1742" t="s">
        <v>3652</v>
      </c>
      <c r="J1742" t="str">
        <f>HYPERLINK("https://www.facebook.com/634639855377280/posts/789196523254945?comment_id=957602655784501","https://www.facebook.com/634639855377280/posts/789196523254945?comment_id=957602655784501")</f>
        <v>https://www.facebook.com/634639855377280/posts/789196523254945?comment_id=957602655784501</v>
      </c>
      <c r="O1742">
        <v>0</v>
      </c>
      <c r="P1742">
        <v>0</v>
      </c>
      <c r="Q1742">
        <v>0</v>
      </c>
      <c r="S1742">
        <v>0</v>
      </c>
      <c r="T1742">
        <v>0</v>
      </c>
      <c r="U1742">
        <v>0</v>
      </c>
      <c r="W1742" t="s">
        <v>52</v>
      </c>
    </row>
    <row r="1743" spans="1:23" x14ac:dyDescent="0.35">
      <c r="A1743" t="s">
        <v>45</v>
      </c>
      <c r="B1743" t="s">
        <v>3627</v>
      </c>
      <c r="C1743" t="s">
        <v>47</v>
      </c>
      <c r="D1743" t="s">
        <v>843</v>
      </c>
      <c r="E1743" t="s">
        <v>843</v>
      </c>
      <c r="F1743" t="s">
        <v>193</v>
      </c>
      <c r="G1743" t="s">
        <v>3653</v>
      </c>
      <c r="H1743" t="s">
        <v>3654</v>
      </c>
      <c r="J1743" t="str">
        <f>HYPERLINK("https://www.youtube.com/watch?v=zkfWhYOCqb8&amp;lc=UgzTdDaocn8asYSLkwJ4AaABAg","https://www.youtube.com/watch?v=zkfWhYOCqb8&amp;lc=UgzTdDaocn8asYSLkwJ4AaABAg")</f>
        <v>https://www.youtube.com/watch?v=zkfWhYOCqb8&amp;lc=UgzTdDaocn8asYSLkwJ4AaABAg</v>
      </c>
      <c r="O1743">
        <v>0</v>
      </c>
      <c r="P1743">
        <v>0</v>
      </c>
      <c r="Q1743">
        <v>0</v>
      </c>
      <c r="S1743">
        <v>0</v>
      </c>
      <c r="T1743">
        <v>0</v>
      </c>
      <c r="U1743">
        <v>0</v>
      </c>
      <c r="W1743" t="s">
        <v>52</v>
      </c>
    </row>
    <row r="1744" spans="1:23" x14ac:dyDescent="0.35">
      <c r="A1744" t="s">
        <v>45</v>
      </c>
      <c r="B1744" t="s">
        <v>3627</v>
      </c>
      <c r="C1744" t="s">
        <v>47</v>
      </c>
      <c r="D1744" t="s">
        <v>851</v>
      </c>
      <c r="E1744" t="s">
        <v>851</v>
      </c>
      <c r="F1744" t="s">
        <v>49</v>
      </c>
      <c r="G1744" t="s">
        <v>3655</v>
      </c>
      <c r="H1744" t="s">
        <v>3656</v>
      </c>
      <c r="J1744" t="str">
        <f>HYPERLINK("https://www.youtube.com/watch?v=zkfWhYOCqb8&amp;lc=UgxPHswcC0CyIcl6qYB4AaABAg.A-na9HFlJTdA-niUfGoCx6","https://www.youtube.com/watch?v=zkfWhYOCqb8&amp;lc=UgxPHswcC0CyIcl6qYB4AaABAg.A-na9HFlJTdA-niUfGoCx6")</f>
        <v>https://www.youtube.com/watch?v=zkfWhYOCqb8&amp;lc=UgxPHswcC0CyIcl6qYB4AaABAg.A-na9HFlJTdA-niUfGoCx6</v>
      </c>
      <c r="O1744">
        <v>0</v>
      </c>
      <c r="P1744">
        <v>0</v>
      </c>
      <c r="Q1744">
        <v>0</v>
      </c>
      <c r="S1744">
        <v>0</v>
      </c>
      <c r="T1744">
        <v>0</v>
      </c>
      <c r="U1744">
        <v>0</v>
      </c>
      <c r="W1744" t="s">
        <v>52</v>
      </c>
    </row>
    <row r="1745" spans="1:23" x14ac:dyDescent="0.35">
      <c r="A1745" t="s">
        <v>45</v>
      </c>
      <c r="B1745" t="s">
        <v>3627</v>
      </c>
      <c r="C1745" t="s">
        <v>93</v>
      </c>
      <c r="D1745" t="s">
        <v>3657</v>
      </c>
      <c r="E1745" t="s">
        <v>3658</v>
      </c>
      <c r="F1745" t="s">
        <v>49</v>
      </c>
      <c r="G1745" t="s">
        <v>3659</v>
      </c>
      <c r="H1745" t="s">
        <v>3660</v>
      </c>
      <c r="J1745" t="str">
        <f>HYPERLINK("https://twitter.com/ANGADSHARMAJI/status/1757767385921331453","https://twitter.com/ANGADSHARMAJI/status/1757767385921331453")</f>
        <v>https://twitter.com/ANGADSHARMAJI/status/1757767385921331453</v>
      </c>
      <c r="O1745">
        <v>0</v>
      </c>
      <c r="P1745">
        <v>0</v>
      </c>
      <c r="Q1745">
        <v>41</v>
      </c>
      <c r="S1745">
        <v>0</v>
      </c>
      <c r="T1745">
        <v>0</v>
      </c>
      <c r="U1745">
        <v>0</v>
      </c>
      <c r="W1745" t="s">
        <v>99</v>
      </c>
    </row>
    <row r="1746" spans="1:23" x14ac:dyDescent="0.35">
      <c r="A1746" t="s">
        <v>45</v>
      </c>
      <c r="B1746" t="s">
        <v>3627</v>
      </c>
      <c r="C1746" t="s">
        <v>60</v>
      </c>
      <c r="D1746" t="s">
        <v>61</v>
      </c>
      <c r="E1746" t="s">
        <v>61</v>
      </c>
      <c r="F1746" t="s">
        <v>193</v>
      </c>
      <c r="G1746" t="s">
        <v>3661</v>
      </c>
      <c r="H1746" t="s">
        <v>3662</v>
      </c>
      <c r="J1746" t="str">
        <f>HYPERLINK("https://www.facebook.com/634639855377280/posts/791004233074174?comment_id=384524907540034","https://www.facebook.com/634639855377280/posts/791004233074174?comment_id=384524907540034")</f>
        <v>https://www.facebook.com/634639855377280/posts/791004233074174?comment_id=384524907540034</v>
      </c>
      <c r="O1746">
        <v>0</v>
      </c>
      <c r="P1746">
        <v>0</v>
      </c>
      <c r="Q1746">
        <v>0</v>
      </c>
      <c r="S1746">
        <v>0</v>
      </c>
      <c r="T1746">
        <v>0</v>
      </c>
      <c r="U1746">
        <v>0</v>
      </c>
      <c r="W1746" t="s">
        <v>52</v>
      </c>
    </row>
    <row r="1747" spans="1:23" x14ac:dyDescent="0.35">
      <c r="A1747" t="s">
        <v>45</v>
      </c>
      <c r="B1747" t="s">
        <v>3627</v>
      </c>
      <c r="C1747" t="s">
        <v>47</v>
      </c>
      <c r="D1747" t="s">
        <v>3596</v>
      </c>
      <c r="E1747" t="s">
        <v>3596</v>
      </c>
      <c r="F1747" t="s">
        <v>49</v>
      </c>
      <c r="G1747" t="s">
        <v>3663</v>
      </c>
      <c r="H1747" t="s">
        <v>3664</v>
      </c>
      <c r="J1747" t="str">
        <f>HYPERLINK("https://www.youtube.com/watch?v=wDVpKG8jfSo&amp;lc=UgzIUHxSEDK3uTYMqbx4AaABAg","https://www.youtube.com/watch?v=wDVpKG8jfSo&amp;lc=UgzIUHxSEDK3uTYMqbx4AaABAg")</f>
        <v>https://www.youtube.com/watch?v=wDVpKG8jfSo&amp;lc=UgzIUHxSEDK3uTYMqbx4AaABAg</v>
      </c>
      <c r="O1747">
        <v>0</v>
      </c>
      <c r="P1747">
        <v>0</v>
      </c>
      <c r="Q1747">
        <v>0</v>
      </c>
      <c r="S1747">
        <v>0</v>
      </c>
      <c r="T1747">
        <v>0</v>
      </c>
      <c r="U1747">
        <v>0</v>
      </c>
      <c r="W1747" t="s">
        <v>52</v>
      </c>
    </row>
    <row r="1748" spans="1:23" x14ac:dyDescent="0.35">
      <c r="A1748" t="s">
        <v>45</v>
      </c>
      <c r="B1748" t="s">
        <v>3627</v>
      </c>
      <c r="C1748" t="s">
        <v>60</v>
      </c>
      <c r="D1748" t="s">
        <v>61</v>
      </c>
      <c r="E1748" t="s">
        <v>61</v>
      </c>
      <c r="F1748" t="s">
        <v>49</v>
      </c>
      <c r="G1748" t="s">
        <v>3665</v>
      </c>
      <c r="H1748" t="s">
        <v>3666</v>
      </c>
      <c r="J1748" t="str">
        <f>HYPERLINK("https://www.facebook.com/634639855377280/posts/791306126377318?comment_id=369337982549236","https://www.facebook.com/634639855377280/posts/791306126377318?comment_id=369337982549236")</f>
        <v>https://www.facebook.com/634639855377280/posts/791306126377318?comment_id=369337982549236</v>
      </c>
      <c r="O1748">
        <v>0</v>
      </c>
      <c r="P1748">
        <v>0</v>
      </c>
      <c r="Q1748">
        <v>0</v>
      </c>
      <c r="S1748">
        <v>0</v>
      </c>
      <c r="T1748">
        <v>0</v>
      </c>
      <c r="U1748">
        <v>0</v>
      </c>
      <c r="W1748" t="s">
        <v>52</v>
      </c>
    </row>
    <row r="1749" spans="1:23" x14ac:dyDescent="0.35">
      <c r="A1749" t="s">
        <v>45</v>
      </c>
      <c r="B1749" t="s">
        <v>3627</v>
      </c>
      <c r="C1749" t="s">
        <v>47</v>
      </c>
      <c r="D1749" t="s">
        <v>238</v>
      </c>
      <c r="E1749" t="s">
        <v>238</v>
      </c>
      <c r="F1749" t="s">
        <v>54</v>
      </c>
      <c r="G1749" t="s">
        <v>3667</v>
      </c>
      <c r="H1749" t="s">
        <v>3668</v>
      </c>
      <c r="J1749" t="str">
        <f>HYPERLINK("https://www.youtube.com/watch?v=zkfWhYOCqb8&amp;lc=Ugy8Vlo4pVF0J-XlSGF4AaABAg","https://www.youtube.com/watch?v=zkfWhYOCqb8&amp;lc=Ugy8Vlo4pVF0J-XlSGF4AaABAg")</f>
        <v>https://www.youtube.com/watch?v=zkfWhYOCqb8&amp;lc=Ugy8Vlo4pVF0J-XlSGF4AaABAg</v>
      </c>
      <c r="O1749">
        <v>0</v>
      </c>
      <c r="P1749">
        <v>0</v>
      </c>
      <c r="Q1749">
        <v>0</v>
      </c>
      <c r="S1749">
        <v>0</v>
      </c>
      <c r="T1749">
        <v>0</v>
      </c>
      <c r="U1749">
        <v>0</v>
      </c>
      <c r="W1749" t="s">
        <v>52</v>
      </c>
    </row>
    <row r="1750" spans="1:23" x14ac:dyDescent="0.35">
      <c r="A1750" t="s">
        <v>45</v>
      </c>
      <c r="B1750" t="s">
        <v>3627</v>
      </c>
      <c r="C1750" t="s">
        <v>60</v>
      </c>
      <c r="D1750" t="s">
        <v>61</v>
      </c>
      <c r="E1750" t="s">
        <v>61</v>
      </c>
      <c r="F1750" t="s">
        <v>49</v>
      </c>
      <c r="G1750" t="s">
        <v>3669</v>
      </c>
      <c r="H1750" t="s">
        <v>3670</v>
      </c>
      <c r="J1750" t="str">
        <f>HYPERLINK("https://www.facebook.com/634639855377280/posts/791306126377318?comment_id=1487705738845269","https://www.facebook.com/634639855377280/posts/791306126377318?comment_id=1487705738845269")</f>
        <v>https://www.facebook.com/634639855377280/posts/791306126377318?comment_id=1487705738845269</v>
      </c>
      <c r="O1750">
        <v>0</v>
      </c>
      <c r="P1750">
        <v>0</v>
      </c>
      <c r="Q1750">
        <v>0</v>
      </c>
      <c r="S1750">
        <v>0</v>
      </c>
      <c r="T1750">
        <v>0</v>
      </c>
      <c r="U1750">
        <v>0</v>
      </c>
      <c r="W1750" t="s">
        <v>52</v>
      </c>
    </row>
    <row r="1751" spans="1:23" x14ac:dyDescent="0.35">
      <c r="A1751" t="s">
        <v>45</v>
      </c>
      <c r="B1751" t="s">
        <v>3627</v>
      </c>
      <c r="C1751" t="s">
        <v>93</v>
      </c>
      <c r="D1751" t="s">
        <v>94</v>
      </c>
      <c r="E1751" t="s">
        <v>45</v>
      </c>
      <c r="F1751" t="s">
        <v>49</v>
      </c>
      <c r="G1751" t="s">
        <v>3671</v>
      </c>
      <c r="H1751" t="s">
        <v>3672</v>
      </c>
      <c r="J1751" t="str">
        <f>HYPERLINK("https://twitter.com/SpiceMoneyIndia/status/1757761983141523579","https://twitter.com/SpiceMoneyIndia/status/1757761983141523579")</f>
        <v>https://twitter.com/SpiceMoneyIndia/status/1757761983141523579</v>
      </c>
      <c r="K1751" t="s">
        <v>67</v>
      </c>
      <c r="O1751">
        <v>0</v>
      </c>
      <c r="P1751">
        <v>0</v>
      </c>
      <c r="Q1751">
        <v>6028</v>
      </c>
      <c r="R1751" t="s">
        <v>97</v>
      </c>
      <c r="S1751">
        <v>0</v>
      </c>
      <c r="T1751">
        <v>0</v>
      </c>
      <c r="U1751">
        <v>0</v>
      </c>
      <c r="V1751" t="s">
        <v>98</v>
      </c>
      <c r="W1751" t="s">
        <v>99</v>
      </c>
    </row>
    <row r="1752" spans="1:23" x14ac:dyDescent="0.35">
      <c r="A1752" t="s">
        <v>45</v>
      </c>
      <c r="B1752" t="s">
        <v>3627</v>
      </c>
      <c r="C1752" t="s">
        <v>60</v>
      </c>
      <c r="D1752" t="s">
        <v>61</v>
      </c>
      <c r="E1752" t="s">
        <v>61</v>
      </c>
      <c r="F1752" t="s">
        <v>49</v>
      </c>
      <c r="G1752" t="s">
        <v>3673</v>
      </c>
      <c r="H1752" t="s">
        <v>3674</v>
      </c>
      <c r="J1752" t="str">
        <f>HYPERLINK("https://www.facebook.com/634639855377280/posts/791306126377318?comment_id=7097226170361444","https://www.facebook.com/634639855377280/posts/791306126377318?comment_id=7097226170361444")</f>
        <v>https://www.facebook.com/634639855377280/posts/791306126377318?comment_id=7097226170361444</v>
      </c>
      <c r="O1752">
        <v>0</v>
      </c>
      <c r="P1752">
        <v>0</v>
      </c>
      <c r="Q1752">
        <v>0</v>
      </c>
      <c r="S1752">
        <v>0</v>
      </c>
      <c r="T1752">
        <v>0</v>
      </c>
      <c r="U1752">
        <v>0</v>
      </c>
      <c r="W1752" t="s">
        <v>52</v>
      </c>
    </row>
    <row r="1753" spans="1:23" x14ac:dyDescent="0.35">
      <c r="A1753" t="s">
        <v>45</v>
      </c>
      <c r="B1753" t="s">
        <v>3627</v>
      </c>
      <c r="C1753" t="s">
        <v>93</v>
      </c>
      <c r="D1753" t="s">
        <v>3675</v>
      </c>
      <c r="E1753" t="s">
        <v>3676</v>
      </c>
      <c r="F1753" t="s">
        <v>54</v>
      </c>
      <c r="G1753" t="s">
        <v>3677</v>
      </c>
      <c r="H1753" t="s">
        <v>3678</v>
      </c>
      <c r="J1753" t="str">
        <f>HYPERLINK("https://twitter.com/AndrewNft37045/status/1757761408039579748","https://twitter.com/AndrewNft37045/status/1757761408039579748")</f>
        <v>https://twitter.com/AndrewNft37045/status/1757761408039579748</v>
      </c>
      <c r="K1753" t="s">
        <v>67</v>
      </c>
      <c r="O1753">
        <v>0</v>
      </c>
      <c r="P1753">
        <v>0</v>
      </c>
      <c r="Q1753">
        <v>0</v>
      </c>
      <c r="R1753" t="s">
        <v>3679</v>
      </c>
      <c r="S1753">
        <v>0</v>
      </c>
      <c r="T1753">
        <v>0</v>
      </c>
      <c r="U1753">
        <v>0</v>
      </c>
      <c r="W1753" t="s">
        <v>99</v>
      </c>
    </row>
    <row r="1754" spans="1:23" x14ac:dyDescent="0.35">
      <c r="A1754" t="s">
        <v>45</v>
      </c>
      <c r="B1754" t="s">
        <v>3627</v>
      </c>
      <c r="C1754" t="s">
        <v>93</v>
      </c>
      <c r="D1754" t="s">
        <v>94</v>
      </c>
      <c r="E1754" t="s">
        <v>45</v>
      </c>
      <c r="F1754" t="s">
        <v>49</v>
      </c>
      <c r="G1754" t="s">
        <v>3680</v>
      </c>
      <c r="H1754" t="s">
        <v>3681</v>
      </c>
      <c r="J1754" t="str">
        <f>HYPERLINK("https://twitter.com/SpiceMoneyIndia/status/1757761378029363675","https://twitter.com/SpiceMoneyIndia/status/1757761378029363675")</f>
        <v>https://twitter.com/SpiceMoneyIndia/status/1757761378029363675</v>
      </c>
      <c r="K1754" t="s">
        <v>67</v>
      </c>
      <c r="O1754">
        <v>0</v>
      </c>
      <c r="P1754">
        <v>0</v>
      </c>
      <c r="Q1754">
        <v>6028</v>
      </c>
      <c r="R1754" t="s">
        <v>97</v>
      </c>
      <c r="S1754">
        <v>0</v>
      </c>
      <c r="T1754">
        <v>0</v>
      </c>
      <c r="U1754">
        <v>0</v>
      </c>
      <c r="V1754" t="s">
        <v>98</v>
      </c>
      <c r="W1754" t="s">
        <v>99</v>
      </c>
    </row>
    <row r="1755" spans="1:23" x14ac:dyDescent="0.35">
      <c r="A1755" t="s">
        <v>45</v>
      </c>
      <c r="B1755" t="s">
        <v>3627</v>
      </c>
      <c r="C1755" t="s">
        <v>47</v>
      </c>
      <c r="D1755" t="s">
        <v>3682</v>
      </c>
      <c r="E1755" t="s">
        <v>3682</v>
      </c>
      <c r="F1755" t="s">
        <v>49</v>
      </c>
      <c r="G1755" t="s">
        <v>3683</v>
      </c>
      <c r="H1755" t="s">
        <v>3684</v>
      </c>
      <c r="J1755" t="str">
        <f>HYPERLINK("https://www.youtube.com/watch?v=zkfWhYOCqb8&amp;lc=UgwtlEs0DSQjLtceXpp4AaABAg","https://www.youtube.com/watch?v=zkfWhYOCqb8&amp;lc=UgwtlEs0DSQjLtceXpp4AaABAg")</f>
        <v>https://www.youtube.com/watch?v=zkfWhYOCqb8&amp;lc=UgwtlEs0DSQjLtceXpp4AaABAg</v>
      </c>
      <c r="O1755">
        <v>0</v>
      </c>
      <c r="P1755">
        <v>0</v>
      </c>
      <c r="Q1755">
        <v>0</v>
      </c>
      <c r="S1755">
        <v>0</v>
      </c>
      <c r="T1755">
        <v>0</v>
      </c>
      <c r="U1755">
        <v>0</v>
      </c>
      <c r="W1755" t="s">
        <v>52</v>
      </c>
    </row>
    <row r="1756" spans="1:23" x14ac:dyDescent="0.35">
      <c r="A1756" t="s">
        <v>45</v>
      </c>
      <c r="B1756" t="s">
        <v>3627</v>
      </c>
      <c r="C1756" t="s">
        <v>60</v>
      </c>
      <c r="D1756" t="s">
        <v>64</v>
      </c>
      <c r="E1756" t="s">
        <v>64</v>
      </c>
      <c r="F1756" t="s">
        <v>49</v>
      </c>
      <c r="G1756" t="s">
        <v>3685</v>
      </c>
      <c r="H1756" t="s">
        <v>3686</v>
      </c>
      <c r="J1756" t="str">
        <f>HYPERLINK("https://www.facebook.com/634639855377280/posts/791306126377318","https://www.facebook.com/634639855377280/posts/791306126377318")</f>
        <v>https://www.facebook.com/634639855377280/posts/791306126377318</v>
      </c>
      <c r="O1756">
        <v>0</v>
      </c>
      <c r="P1756">
        <v>0</v>
      </c>
      <c r="Q1756">
        <v>0</v>
      </c>
      <c r="S1756">
        <v>8</v>
      </c>
      <c r="T1756">
        <v>62</v>
      </c>
      <c r="U1756">
        <v>14</v>
      </c>
      <c r="W1756" t="s">
        <v>346</v>
      </c>
    </row>
    <row r="1757" spans="1:23" x14ac:dyDescent="0.35">
      <c r="A1757" t="s">
        <v>45</v>
      </c>
      <c r="B1757" t="s">
        <v>3627</v>
      </c>
      <c r="C1757" t="s">
        <v>60</v>
      </c>
      <c r="D1757" t="s">
        <v>61</v>
      </c>
      <c r="E1757" t="s">
        <v>61</v>
      </c>
      <c r="F1757" t="s">
        <v>49</v>
      </c>
      <c r="G1757" t="s">
        <v>3687</v>
      </c>
      <c r="H1757" t="s">
        <v>3688</v>
      </c>
      <c r="J1757" t="str">
        <f>HYPERLINK("https://www.facebook.com/634639855377280/posts/790576553116942?comment_id=1334000950641086","https://www.facebook.com/634639855377280/posts/790576553116942?comment_id=1334000950641086")</f>
        <v>https://www.facebook.com/634639855377280/posts/790576553116942?comment_id=1334000950641086</v>
      </c>
      <c r="O1757">
        <v>0</v>
      </c>
      <c r="P1757">
        <v>0</v>
      </c>
      <c r="Q1757">
        <v>0</v>
      </c>
      <c r="S1757">
        <v>0</v>
      </c>
      <c r="T1757">
        <v>0</v>
      </c>
      <c r="U1757">
        <v>0</v>
      </c>
      <c r="W1757" t="s">
        <v>52</v>
      </c>
    </row>
    <row r="1758" spans="1:23" x14ac:dyDescent="0.35">
      <c r="A1758" t="s">
        <v>45</v>
      </c>
      <c r="B1758" t="s">
        <v>3627</v>
      </c>
      <c r="C1758" t="s">
        <v>47</v>
      </c>
      <c r="D1758" t="s">
        <v>3689</v>
      </c>
      <c r="E1758" t="s">
        <v>3689</v>
      </c>
      <c r="F1758" t="s">
        <v>49</v>
      </c>
      <c r="G1758" t="s">
        <v>3690</v>
      </c>
      <c r="H1758" t="s">
        <v>3691</v>
      </c>
      <c r="J1758" t="str">
        <f>HYPERLINK("https://www.youtube.com/watch?v=zkfWhYOCqb8&amp;lc=UgyapU4X8MkTIJo5tkF4AaABAg","https://www.youtube.com/watch?v=zkfWhYOCqb8&amp;lc=UgyapU4X8MkTIJo5tkF4AaABAg")</f>
        <v>https://www.youtube.com/watch?v=zkfWhYOCqb8&amp;lc=UgyapU4X8MkTIJo5tkF4AaABAg</v>
      </c>
      <c r="O1758">
        <v>0</v>
      </c>
      <c r="P1758">
        <v>0</v>
      </c>
      <c r="Q1758">
        <v>0</v>
      </c>
      <c r="S1758">
        <v>0</v>
      </c>
      <c r="T1758">
        <v>0</v>
      </c>
      <c r="U1758">
        <v>0</v>
      </c>
      <c r="W1758" t="s">
        <v>52</v>
      </c>
    </row>
    <row r="1759" spans="1:23" x14ac:dyDescent="0.35">
      <c r="A1759" t="s">
        <v>45</v>
      </c>
      <c r="B1759" t="s">
        <v>3627</v>
      </c>
      <c r="C1759" t="s">
        <v>47</v>
      </c>
      <c r="D1759" t="s">
        <v>1053</v>
      </c>
      <c r="E1759" t="s">
        <v>1053</v>
      </c>
      <c r="F1759" t="s">
        <v>49</v>
      </c>
      <c r="G1759" t="s">
        <v>3692</v>
      </c>
      <c r="H1759" t="s">
        <v>3691</v>
      </c>
      <c r="J1759" t="str">
        <f>HYPERLINK("https://www.youtube.com/watch?v=zkfWhYOCqb8&amp;lc=UgxPHswcC0CyIcl6qYB4AaABAg","https://www.youtube.com/watch?v=zkfWhYOCqb8&amp;lc=UgxPHswcC0CyIcl6qYB4AaABAg")</f>
        <v>https://www.youtube.com/watch?v=zkfWhYOCqb8&amp;lc=UgxPHswcC0CyIcl6qYB4AaABAg</v>
      </c>
      <c r="O1759">
        <v>0</v>
      </c>
      <c r="P1759">
        <v>0</v>
      </c>
      <c r="Q1759">
        <v>0</v>
      </c>
      <c r="S1759">
        <v>0</v>
      </c>
      <c r="T1759">
        <v>0</v>
      </c>
      <c r="U1759">
        <v>0</v>
      </c>
      <c r="W1759" t="s">
        <v>52</v>
      </c>
    </row>
    <row r="1760" spans="1:23" x14ac:dyDescent="0.35">
      <c r="A1760" t="s">
        <v>45</v>
      </c>
      <c r="B1760" t="s">
        <v>3627</v>
      </c>
      <c r="C1760" t="s">
        <v>47</v>
      </c>
      <c r="D1760" t="s">
        <v>3693</v>
      </c>
      <c r="E1760" t="s">
        <v>3693</v>
      </c>
      <c r="F1760" t="s">
        <v>49</v>
      </c>
      <c r="G1760" t="s">
        <v>3694</v>
      </c>
      <c r="H1760" t="s">
        <v>3695</v>
      </c>
      <c r="J1760" t="str">
        <f>HYPERLINK("https://www.youtube.com/watch?v=zkfWhYOCqb8&amp;lc=UgyyUW1aBHQkOIHNxcV4AaABAg","https://www.youtube.com/watch?v=zkfWhYOCqb8&amp;lc=UgyyUW1aBHQkOIHNxcV4AaABAg")</f>
        <v>https://www.youtube.com/watch?v=zkfWhYOCqb8&amp;lc=UgyyUW1aBHQkOIHNxcV4AaABAg</v>
      </c>
      <c r="O1760">
        <v>0</v>
      </c>
      <c r="P1760">
        <v>0</v>
      </c>
      <c r="Q1760">
        <v>0</v>
      </c>
      <c r="S1760">
        <v>0</v>
      </c>
      <c r="T1760">
        <v>0</v>
      </c>
      <c r="U1760">
        <v>0</v>
      </c>
      <c r="W1760" t="s">
        <v>52</v>
      </c>
    </row>
    <row r="1761" spans="1:23" x14ac:dyDescent="0.35">
      <c r="A1761" t="s">
        <v>45</v>
      </c>
      <c r="B1761" t="s">
        <v>3627</v>
      </c>
      <c r="C1761" t="s">
        <v>47</v>
      </c>
      <c r="D1761" t="s">
        <v>3696</v>
      </c>
      <c r="E1761" t="s">
        <v>3696</v>
      </c>
      <c r="F1761" t="s">
        <v>54</v>
      </c>
      <c r="G1761" t="s">
        <v>3697</v>
      </c>
      <c r="H1761" t="s">
        <v>3698</v>
      </c>
      <c r="J1761" t="str">
        <f>HYPERLINK("https://www.youtube.com/watch?v=zkfWhYOCqb8&amp;lc=UgzFxJMm6uiwiPqmsDR4AaABAg","https://www.youtube.com/watch?v=zkfWhYOCqb8&amp;lc=UgzFxJMm6uiwiPqmsDR4AaABAg")</f>
        <v>https://www.youtube.com/watch?v=zkfWhYOCqb8&amp;lc=UgzFxJMm6uiwiPqmsDR4AaABAg</v>
      </c>
      <c r="O1761">
        <v>0</v>
      </c>
      <c r="P1761">
        <v>0</v>
      </c>
      <c r="Q1761">
        <v>0</v>
      </c>
      <c r="S1761">
        <v>0</v>
      </c>
      <c r="T1761">
        <v>0</v>
      </c>
      <c r="U1761">
        <v>0</v>
      </c>
      <c r="W1761" t="s">
        <v>52</v>
      </c>
    </row>
    <row r="1762" spans="1:23" x14ac:dyDescent="0.35">
      <c r="A1762" t="s">
        <v>45</v>
      </c>
      <c r="B1762" t="s">
        <v>3627</v>
      </c>
      <c r="C1762" t="s">
        <v>47</v>
      </c>
      <c r="D1762" t="s">
        <v>45</v>
      </c>
      <c r="E1762" t="s">
        <v>45</v>
      </c>
      <c r="F1762" t="s">
        <v>49</v>
      </c>
      <c r="G1762" t="s">
        <v>3699</v>
      </c>
      <c r="H1762" t="s">
        <v>3700</v>
      </c>
      <c r="J1762" t="str">
        <f>HYPERLINK("https://www.youtube.com/watch?v=zkfWhYOCqb8","https://www.youtube.com/watch?v=zkfWhYOCqb8")</f>
        <v>https://www.youtube.com/watch?v=zkfWhYOCqb8</v>
      </c>
      <c r="O1762">
        <v>0</v>
      </c>
      <c r="P1762">
        <v>0</v>
      </c>
      <c r="Q1762">
        <v>0</v>
      </c>
      <c r="S1762">
        <v>0</v>
      </c>
      <c r="T1762">
        <v>0</v>
      </c>
      <c r="U1762">
        <v>0</v>
      </c>
      <c r="W1762" t="s">
        <v>346</v>
      </c>
    </row>
    <row r="1763" spans="1:23" x14ac:dyDescent="0.35">
      <c r="A1763" t="s">
        <v>45</v>
      </c>
      <c r="B1763" t="s">
        <v>3627</v>
      </c>
      <c r="C1763" t="s">
        <v>60</v>
      </c>
      <c r="D1763" t="s">
        <v>61</v>
      </c>
      <c r="E1763" t="s">
        <v>61</v>
      </c>
      <c r="F1763" t="s">
        <v>49</v>
      </c>
      <c r="G1763" t="s">
        <v>3701</v>
      </c>
      <c r="H1763" t="s">
        <v>3702</v>
      </c>
      <c r="J1763" t="str">
        <f>HYPERLINK("https://www.facebook.com/634639855377280/posts/790576553116942?comment_id=913503720159925","https://www.facebook.com/634639855377280/posts/790576553116942?comment_id=913503720159925")</f>
        <v>https://www.facebook.com/634639855377280/posts/790576553116942?comment_id=913503720159925</v>
      </c>
      <c r="O1763">
        <v>0</v>
      </c>
      <c r="P1763">
        <v>0</v>
      </c>
      <c r="Q1763">
        <v>0</v>
      </c>
      <c r="S1763">
        <v>0</v>
      </c>
      <c r="T1763">
        <v>0</v>
      </c>
      <c r="U1763">
        <v>0</v>
      </c>
      <c r="W1763" t="s">
        <v>52</v>
      </c>
    </row>
    <row r="1764" spans="1:23" x14ac:dyDescent="0.35">
      <c r="A1764" t="s">
        <v>45</v>
      </c>
      <c r="B1764" t="s">
        <v>3627</v>
      </c>
      <c r="C1764" t="s">
        <v>47</v>
      </c>
      <c r="D1764" t="s">
        <v>45</v>
      </c>
      <c r="E1764" t="s">
        <v>45</v>
      </c>
      <c r="F1764" t="s">
        <v>49</v>
      </c>
      <c r="G1764" t="s">
        <v>3699</v>
      </c>
      <c r="H1764" t="s">
        <v>3703</v>
      </c>
      <c r="J1764" t="str">
        <f>HYPERLINK("https://www.youtube.com/watch?v=zkfWhYOCqb8","https://www.youtube.com/watch?v=zkfWhYOCqb8")</f>
        <v>https://www.youtube.com/watch?v=zkfWhYOCqb8</v>
      </c>
      <c r="O1764">
        <v>0</v>
      </c>
      <c r="P1764">
        <v>0</v>
      </c>
      <c r="Q1764">
        <v>0</v>
      </c>
      <c r="S1764">
        <v>0</v>
      </c>
      <c r="T1764">
        <v>0</v>
      </c>
      <c r="U1764">
        <v>0</v>
      </c>
      <c r="W1764" t="s">
        <v>346</v>
      </c>
    </row>
    <row r="1765" spans="1:23" x14ac:dyDescent="0.35">
      <c r="A1765" t="s">
        <v>45</v>
      </c>
      <c r="B1765" t="s">
        <v>3627</v>
      </c>
      <c r="C1765" t="s">
        <v>60</v>
      </c>
      <c r="D1765" t="s">
        <v>61</v>
      </c>
      <c r="E1765" t="s">
        <v>61</v>
      </c>
      <c r="F1765" t="s">
        <v>49</v>
      </c>
      <c r="G1765" t="s">
        <v>3704</v>
      </c>
      <c r="H1765" t="s">
        <v>3705</v>
      </c>
      <c r="J1765" t="str">
        <f>HYPERLINK("https://www.facebook.com/634639855377280/posts/790576553116942?comment_id=766066881660311","https://www.facebook.com/634639855377280/posts/790576553116942?comment_id=766066881660311")</f>
        <v>https://www.facebook.com/634639855377280/posts/790576553116942?comment_id=766066881660311</v>
      </c>
      <c r="O1765">
        <v>0</v>
      </c>
      <c r="P1765">
        <v>0</v>
      </c>
      <c r="Q1765">
        <v>0</v>
      </c>
      <c r="S1765">
        <v>0</v>
      </c>
      <c r="T1765">
        <v>0</v>
      </c>
      <c r="U1765">
        <v>0</v>
      </c>
      <c r="W1765" t="s">
        <v>52</v>
      </c>
    </row>
    <row r="1766" spans="1:23" x14ac:dyDescent="0.35">
      <c r="A1766" t="s">
        <v>45</v>
      </c>
      <c r="B1766" t="s">
        <v>3627</v>
      </c>
      <c r="C1766" t="s">
        <v>93</v>
      </c>
      <c r="D1766" t="s">
        <v>3706</v>
      </c>
      <c r="E1766" t="s">
        <v>3707</v>
      </c>
      <c r="F1766" t="s">
        <v>193</v>
      </c>
      <c r="G1766" t="s">
        <v>3708</v>
      </c>
      <c r="H1766" t="s">
        <v>3709</v>
      </c>
      <c r="J1766" t="str">
        <f>HYPERLINK("https://twitter.com/Benadeemgeelani/status/1757750315317624933","https://twitter.com/Benadeemgeelani/status/1757750315317624933")</f>
        <v>https://twitter.com/Benadeemgeelani/status/1757750315317624933</v>
      </c>
      <c r="O1766">
        <v>0</v>
      </c>
      <c r="P1766">
        <v>0</v>
      </c>
      <c r="Q1766">
        <v>607</v>
      </c>
      <c r="R1766" t="s">
        <v>3710</v>
      </c>
      <c r="S1766">
        <v>0</v>
      </c>
      <c r="T1766">
        <v>0</v>
      </c>
      <c r="U1766">
        <v>0</v>
      </c>
      <c r="W1766" t="s">
        <v>99</v>
      </c>
    </row>
    <row r="1767" spans="1:23" x14ac:dyDescent="0.35">
      <c r="A1767" t="s">
        <v>45</v>
      </c>
      <c r="B1767" t="s">
        <v>3627</v>
      </c>
      <c r="C1767" t="s">
        <v>93</v>
      </c>
      <c r="D1767" t="s">
        <v>3711</v>
      </c>
      <c r="E1767" t="s">
        <v>3712</v>
      </c>
      <c r="F1767" t="s">
        <v>54</v>
      </c>
      <c r="G1767" t="s">
        <v>3713</v>
      </c>
      <c r="H1767" t="s">
        <v>3714</v>
      </c>
      <c r="J1767" t="str">
        <f>HYPERLINK("https://twitter.com/MetasNomad67278/status/1757750083603317102","https://twitter.com/MetasNomad67278/status/1757750083603317102")</f>
        <v>https://twitter.com/MetasNomad67278/status/1757750083603317102</v>
      </c>
      <c r="O1767">
        <v>0</v>
      </c>
      <c r="P1767">
        <v>0</v>
      </c>
      <c r="Q1767">
        <v>0</v>
      </c>
      <c r="R1767" t="s">
        <v>3715</v>
      </c>
      <c r="S1767">
        <v>0</v>
      </c>
      <c r="T1767">
        <v>0</v>
      </c>
      <c r="U1767">
        <v>0</v>
      </c>
      <c r="W1767" t="s">
        <v>99</v>
      </c>
    </row>
    <row r="1768" spans="1:23" x14ac:dyDescent="0.35">
      <c r="A1768" t="s">
        <v>45</v>
      </c>
      <c r="B1768" t="s">
        <v>3627</v>
      </c>
      <c r="C1768" t="s">
        <v>93</v>
      </c>
      <c r="D1768" t="s">
        <v>3706</v>
      </c>
      <c r="E1768" t="s">
        <v>3707</v>
      </c>
      <c r="F1768" t="s">
        <v>193</v>
      </c>
      <c r="G1768" t="s">
        <v>3716</v>
      </c>
      <c r="H1768" t="s">
        <v>3717</v>
      </c>
      <c r="J1768" t="str">
        <f>HYPERLINK("https://twitter.com/Benadeemgeelani/status/1757750061520273783","https://twitter.com/Benadeemgeelani/status/1757750061520273783")</f>
        <v>https://twitter.com/Benadeemgeelani/status/1757750061520273783</v>
      </c>
      <c r="O1768">
        <v>0</v>
      </c>
      <c r="P1768">
        <v>0</v>
      </c>
      <c r="Q1768">
        <v>607</v>
      </c>
      <c r="R1768" t="s">
        <v>3710</v>
      </c>
      <c r="S1768">
        <v>0</v>
      </c>
      <c r="T1768">
        <v>0</v>
      </c>
      <c r="U1768">
        <v>0</v>
      </c>
      <c r="W1768" t="s">
        <v>99</v>
      </c>
    </row>
    <row r="1769" spans="1:23" x14ac:dyDescent="0.35">
      <c r="A1769" t="s">
        <v>45</v>
      </c>
      <c r="B1769" t="s">
        <v>3627</v>
      </c>
      <c r="C1769" t="s">
        <v>60</v>
      </c>
      <c r="D1769" t="s">
        <v>64</v>
      </c>
      <c r="E1769" t="s">
        <v>64</v>
      </c>
      <c r="F1769" t="s">
        <v>49</v>
      </c>
      <c r="G1769" t="s">
        <v>100</v>
      </c>
      <c r="H1769" t="s">
        <v>3718</v>
      </c>
      <c r="J1769" t="str">
        <f>HYPERLINK("https://www.facebook.com/634639855377280/posts/788604969980767?comment_id=2131840170489042&amp;reply_comment_id=358778140301653","https://www.facebook.com/634639855377280/posts/788604969980767?comment_id=2131840170489042&amp;reply_comment_id=358778140301653")</f>
        <v>https://www.facebook.com/634639855377280/posts/788604969980767?comment_id=2131840170489042&amp;reply_comment_id=358778140301653</v>
      </c>
      <c r="K1769" t="s">
        <v>67</v>
      </c>
      <c r="O1769">
        <v>0</v>
      </c>
      <c r="P1769">
        <v>0</v>
      </c>
      <c r="Q1769">
        <v>0</v>
      </c>
      <c r="S1769">
        <v>0</v>
      </c>
      <c r="T1769">
        <v>0</v>
      </c>
      <c r="U1769">
        <v>0</v>
      </c>
      <c r="W1769" t="s">
        <v>52</v>
      </c>
    </row>
    <row r="1770" spans="1:23" x14ac:dyDescent="0.35">
      <c r="A1770" t="s">
        <v>45</v>
      </c>
      <c r="B1770" t="s">
        <v>3627</v>
      </c>
      <c r="C1770" t="s">
        <v>60</v>
      </c>
      <c r="D1770" t="s">
        <v>64</v>
      </c>
      <c r="E1770" t="s">
        <v>64</v>
      </c>
      <c r="F1770" t="s">
        <v>49</v>
      </c>
      <c r="G1770" t="s">
        <v>83</v>
      </c>
      <c r="H1770" t="s">
        <v>3719</v>
      </c>
      <c r="J1770" t="str">
        <f>HYPERLINK("https://www.facebook.com/634639855377280/posts/790576553116942?comment_id=1129893288385558&amp;reply_comment_id=347581014910065","https://www.facebook.com/634639855377280/posts/790576553116942?comment_id=1129893288385558&amp;reply_comment_id=347581014910065")</f>
        <v>https://www.facebook.com/634639855377280/posts/790576553116942?comment_id=1129893288385558&amp;reply_comment_id=347581014910065</v>
      </c>
      <c r="K1770" t="s">
        <v>67</v>
      </c>
      <c r="O1770">
        <v>0</v>
      </c>
      <c r="P1770">
        <v>0</v>
      </c>
      <c r="Q1770">
        <v>0</v>
      </c>
      <c r="S1770">
        <v>0</v>
      </c>
      <c r="T1770">
        <v>0</v>
      </c>
      <c r="U1770">
        <v>0</v>
      </c>
      <c r="W1770" t="s">
        <v>52</v>
      </c>
    </row>
    <row r="1771" spans="1:23" x14ac:dyDescent="0.35">
      <c r="A1771" t="s">
        <v>45</v>
      </c>
      <c r="B1771" t="s">
        <v>3627</v>
      </c>
      <c r="C1771" t="s">
        <v>60</v>
      </c>
      <c r="D1771" t="s">
        <v>61</v>
      </c>
      <c r="E1771" t="s">
        <v>61</v>
      </c>
      <c r="F1771" t="s">
        <v>49</v>
      </c>
      <c r="G1771" t="s">
        <v>3720</v>
      </c>
      <c r="H1771" t="s">
        <v>3721</v>
      </c>
      <c r="J1771" t="str">
        <f>HYPERLINK("https://www.facebook.com/634639855377280/posts/790576553116942?comment_id=1129893288385558","https://www.facebook.com/634639855377280/posts/790576553116942?comment_id=1129893288385558")</f>
        <v>https://www.facebook.com/634639855377280/posts/790576553116942?comment_id=1129893288385558</v>
      </c>
      <c r="O1771">
        <v>0</v>
      </c>
      <c r="P1771">
        <v>0</v>
      </c>
      <c r="Q1771">
        <v>0</v>
      </c>
      <c r="S1771">
        <v>0</v>
      </c>
      <c r="T1771">
        <v>0</v>
      </c>
      <c r="U1771">
        <v>0</v>
      </c>
      <c r="W1771" t="s">
        <v>52</v>
      </c>
    </row>
    <row r="1772" spans="1:23" x14ac:dyDescent="0.35">
      <c r="A1772" t="s">
        <v>45</v>
      </c>
      <c r="B1772" t="s">
        <v>3627</v>
      </c>
      <c r="C1772" t="s">
        <v>60</v>
      </c>
      <c r="D1772" t="s">
        <v>61</v>
      </c>
      <c r="E1772" t="s">
        <v>61</v>
      </c>
      <c r="F1772" t="s">
        <v>49</v>
      </c>
      <c r="G1772" t="s">
        <v>3722</v>
      </c>
      <c r="H1772" t="s">
        <v>3723</v>
      </c>
      <c r="J1772" t="str">
        <f>HYPERLINK("https://www.facebook.com/634639855377280/posts/788604969980767?comment_id=2131840170489042&amp;reply_comment_id=1265881048136380","https://www.facebook.com/634639855377280/posts/788604969980767?comment_id=2131840170489042&amp;reply_comment_id=1265881048136380")</f>
        <v>https://www.facebook.com/634639855377280/posts/788604969980767?comment_id=2131840170489042&amp;reply_comment_id=1265881048136380</v>
      </c>
      <c r="O1772">
        <v>0</v>
      </c>
      <c r="P1772">
        <v>0</v>
      </c>
      <c r="Q1772">
        <v>0</v>
      </c>
      <c r="S1772">
        <v>0</v>
      </c>
      <c r="T1772">
        <v>0</v>
      </c>
      <c r="U1772">
        <v>0</v>
      </c>
      <c r="W1772" t="s">
        <v>52</v>
      </c>
    </row>
    <row r="1773" spans="1:23" x14ac:dyDescent="0.35">
      <c r="A1773" t="s">
        <v>45</v>
      </c>
      <c r="B1773" t="s">
        <v>3627</v>
      </c>
      <c r="C1773" t="s">
        <v>47</v>
      </c>
      <c r="D1773" t="s">
        <v>68</v>
      </c>
      <c r="E1773" t="s">
        <v>68</v>
      </c>
      <c r="F1773" t="s">
        <v>49</v>
      </c>
      <c r="G1773" t="s">
        <v>102</v>
      </c>
      <c r="H1773" t="s">
        <v>3724</v>
      </c>
      <c r="J1773" t="str">
        <f>HYPERLINK("https://www.youtube.com/watch?v=4Zg3zYPaGiw&amp;lc=UgzoIxzsJty3exjDwTh4AaABAg.A-nDYtMwhdRA-nU_V3R3bt","https://www.youtube.com/watch?v=4Zg3zYPaGiw&amp;lc=UgzoIxzsJty3exjDwTh4AaABAg.A-nDYtMwhdRA-nU_V3R3bt")</f>
        <v>https://www.youtube.com/watch?v=4Zg3zYPaGiw&amp;lc=UgzoIxzsJty3exjDwTh4AaABAg.A-nDYtMwhdRA-nU_V3R3bt</v>
      </c>
      <c r="O1773">
        <v>0</v>
      </c>
      <c r="P1773">
        <v>0</v>
      </c>
      <c r="Q1773">
        <v>0</v>
      </c>
      <c r="S1773">
        <v>0</v>
      </c>
      <c r="T1773">
        <v>0</v>
      </c>
      <c r="U1773">
        <v>0</v>
      </c>
      <c r="W1773" t="s">
        <v>52</v>
      </c>
    </row>
    <row r="1774" spans="1:23" x14ac:dyDescent="0.35">
      <c r="A1774" t="s">
        <v>45</v>
      </c>
      <c r="B1774" t="s">
        <v>3627</v>
      </c>
      <c r="C1774" t="s">
        <v>60</v>
      </c>
      <c r="D1774" t="s">
        <v>64</v>
      </c>
      <c r="E1774" t="s">
        <v>64</v>
      </c>
      <c r="F1774" t="s">
        <v>49</v>
      </c>
      <c r="G1774" t="s">
        <v>162</v>
      </c>
      <c r="H1774" t="s">
        <v>3725</v>
      </c>
      <c r="J1774" t="str">
        <f>HYPERLINK("https://www.facebook.com/634639855377280/posts/790576553116942?comment_id=356555573882903&amp;reply_comment_id=799136012050709","https://www.facebook.com/634639855377280/posts/790576553116942?comment_id=356555573882903&amp;reply_comment_id=799136012050709")</f>
        <v>https://www.facebook.com/634639855377280/posts/790576553116942?comment_id=356555573882903&amp;reply_comment_id=799136012050709</v>
      </c>
      <c r="K1774" t="s">
        <v>67</v>
      </c>
      <c r="O1774">
        <v>0</v>
      </c>
      <c r="P1774">
        <v>0</v>
      </c>
      <c r="Q1774">
        <v>0</v>
      </c>
      <c r="S1774">
        <v>0</v>
      </c>
      <c r="T1774">
        <v>0</v>
      </c>
      <c r="U1774">
        <v>0</v>
      </c>
      <c r="W1774" t="s">
        <v>52</v>
      </c>
    </row>
    <row r="1775" spans="1:23" x14ac:dyDescent="0.35">
      <c r="A1775" t="s">
        <v>45</v>
      </c>
      <c r="B1775" t="s">
        <v>3627</v>
      </c>
      <c r="C1775" t="s">
        <v>60</v>
      </c>
      <c r="D1775" t="s">
        <v>64</v>
      </c>
      <c r="E1775" t="s">
        <v>64</v>
      </c>
      <c r="F1775" t="s">
        <v>49</v>
      </c>
      <c r="G1775" t="s">
        <v>83</v>
      </c>
      <c r="H1775" t="s">
        <v>3726</v>
      </c>
      <c r="J1775" t="str">
        <f>HYPERLINK("https://www.facebook.com/634639855377280/posts/788604969980767?comment_id=2131840170489042&amp;reply_comment_id=1465923754304135","https://www.facebook.com/634639855377280/posts/788604969980767?comment_id=2131840170489042&amp;reply_comment_id=1465923754304135")</f>
        <v>https://www.facebook.com/634639855377280/posts/788604969980767?comment_id=2131840170489042&amp;reply_comment_id=1465923754304135</v>
      </c>
      <c r="K1775" t="s">
        <v>67</v>
      </c>
      <c r="O1775">
        <v>0</v>
      </c>
      <c r="P1775">
        <v>0</v>
      </c>
      <c r="Q1775">
        <v>0</v>
      </c>
      <c r="S1775">
        <v>0</v>
      </c>
      <c r="T1775">
        <v>0</v>
      </c>
      <c r="U1775">
        <v>0</v>
      </c>
      <c r="W1775" t="s">
        <v>52</v>
      </c>
    </row>
    <row r="1776" spans="1:23" x14ac:dyDescent="0.35">
      <c r="A1776" t="s">
        <v>45</v>
      </c>
      <c r="B1776" t="s">
        <v>3627</v>
      </c>
      <c r="C1776" t="s">
        <v>60</v>
      </c>
      <c r="D1776" t="s">
        <v>61</v>
      </c>
      <c r="E1776" t="s">
        <v>61</v>
      </c>
      <c r="F1776" t="s">
        <v>49</v>
      </c>
      <c r="G1776" t="s">
        <v>3727</v>
      </c>
      <c r="H1776" t="s">
        <v>3728</v>
      </c>
      <c r="J1776" t="str">
        <f>HYPERLINK("https://www.facebook.com/634639855377280/posts/788604969980767?comment_id=2131840170489042","https://www.facebook.com/634639855377280/posts/788604969980767?comment_id=2131840170489042")</f>
        <v>https://www.facebook.com/634639855377280/posts/788604969980767?comment_id=2131840170489042</v>
      </c>
      <c r="O1776">
        <v>0</v>
      </c>
      <c r="P1776">
        <v>0</v>
      </c>
      <c r="Q1776">
        <v>0</v>
      </c>
      <c r="S1776">
        <v>0</v>
      </c>
      <c r="T1776">
        <v>0</v>
      </c>
      <c r="U1776">
        <v>0</v>
      </c>
      <c r="W1776" t="s">
        <v>52</v>
      </c>
    </row>
    <row r="1777" spans="1:23" x14ac:dyDescent="0.35">
      <c r="A1777" t="s">
        <v>45</v>
      </c>
      <c r="B1777" t="s">
        <v>3627</v>
      </c>
      <c r="C1777" t="s">
        <v>60</v>
      </c>
      <c r="D1777" t="s">
        <v>61</v>
      </c>
      <c r="E1777" t="s">
        <v>61</v>
      </c>
      <c r="F1777" t="s">
        <v>49</v>
      </c>
      <c r="G1777" t="s">
        <v>3729</v>
      </c>
      <c r="H1777" t="s">
        <v>3730</v>
      </c>
      <c r="J1777" t="str">
        <f>HYPERLINK("https://www.facebook.com/634639855377280/posts/790576553116942?comment_id=356555573882903","https://www.facebook.com/634639855377280/posts/790576553116942?comment_id=356555573882903")</f>
        <v>https://www.facebook.com/634639855377280/posts/790576553116942?comment_id=356555573882903</v>
      </c>
      <c r="O1777">
        <v>0</v>
      </c>
      <c r="P1777">
        <v>0</v>
      </c>
      <c r="Q1777">
        <v>0</v>
      </c>
      <c r="S1777">
        <v>0</v>
      </c>
      <c r="T1777">
        <v>0</v>
      </c>
      <c r="U1777">
        <v>0</v>
      </c>
      <c r="W1777" t="s">
        <v>52</v>
      </c>
    </row>
    <row r="1778" spans="1:23" x14ac:dyDescent="0.35">
      <c r="A1778" t="s">
        <v>45</v>
      </c>
      <c r="B1778" t="s">
        <v>3627</v>
      </c>
      <c r="C1778" t="s">
        <v>47</v>
      </c>
      <c r="D1778" t="s">
        <v>3731</v>
      </c>
      <c r="E1778" t="s">
        <v>3731</v>
      </c>
      <c r="F1778" t="s">
        <v>54</v>
      </c>
      <c r="G1778" t="s">
        <v>3732</v>
      </c>
      <c r="H1778" t="s">
        <v>3733</v>
      </c>
      <c r="J1778" t="str">
        <f>HYPERLINK("https://www.youtube.com/watch?v=PdofQ0N7kzE&amp;lc=UgzFyol_ln9g4IyOJA14AaABAg","https://www.youtube.com/watch?v=PdofQ0N7kzE&amp;lc=UgzFyol_ln9g4IyOJA14AaABAg")</f>
        <v>https://www.youtube.com/watch?v=PdofQ0N7kzE&amp;lc=UgzFyol_ln9g4IyOJA14AaABAg</v>
      </c>
      <c r="O1778">
        <v>0</v>
      </c>
      <c r="P1778">
        <v>0</v>
      </c>
      <c r="Q1778">
        <v>0</v>
      </c>
      <c r="S1778">
        <v>0</v>
      </c>
      <c r="T1778">
        <v>0</v>
      </c>
      <c r="U1778">
        <v>0</v>
      </c>
      <c r="W1778" t="s">
        <v>52</v>
      </c>
    </row>
    <row r="1779" spans="1:23" x14ac:dyDescent="0.35">
      <c r="A1779" t="s">
        <v>45</v>
      </c>
      <c r="B1779" t="s">
        <v>3627</v>
      </c>
      <c r="C1779" t="s">
        <v>47</v>
      </c>
      <c r="D1779" t="s">
        <v>45</v>
      </c>
      <c r="E1779" t="s">
        <v>45</v>
      </c>
      <c r="F1779" t="s">
        <v>49</v>
      </c>
      <c r="G1779" t="s">
        <v>3734</v>
      </c>
      <c r="H1779" t="s">
        <v>3735</v>
      </c>
      <c r="J1779" t="str">
        <f>HYPERLINK("https://www.youtube.com/watch?v=jpcE0WXg-ws","https://www.youtube.com/watch?v=jpcE0WXg-ws")</f>
        <v>https://www.youtube.com/watch?v=jpcE0WXg-ws</v>
      </c>
      <c r="O1779">
        <v>0</v>
      </c>
      <c r="P1779">
        <v>0</v>
      </c>
      <c r="Q1779">
        <v>0</v>
      </c>
      <c r="S1779">
        <v>0</v>
      </c>
      <c r="T1779">
        <v>0</v>
      </c>
      <c r="U1779">
        <v>0</v>
      </c>
      <c r="W1779" t="s">
        <v>346</v>
      </c>
    </row>
    <row r="1780" spans="1:23" x14ac:dyDescent="0.35">
      <c r="A1780" t="s">
        <v>45</v>
      </c>
      <c r="B1780" t="s">
        <v>3627</v>
      </c>
      <c r="C1780" t="s">
        <v>47</v>
      </c>
      <c r="D1780" t="s">
        <v>68</v>
      </c>
      <c r="E1780" t="s">
        <v>68</v>
      </c>
      <c r="F1780" t="s">
        <v>49</v>
      </c>
      <c r="G1780" t="s">
        <v>3736</v>
      </c>
      <c r="H1780" t="s">
        <v>3737</v>
      </c>
      <c r="J1780" t="str">
        <f>HYPERLINK("https://www.youtube.com/watch?v=Rt7UUqkb-J0&amp;lc=UgykkZ42dxir-psbwON4AaABAg.A-hQ85Y8qacA-nIkFJpCh7","https://www.youtube.com/watch?v=Rt7UUqkb-J0&amp;lc=UgykkZ42dxir-psbwON4AaABAg.A-hQ85Y8qacA-nIkFJpCh7")</f>
        <v>https://www.youtube.com/watch?v=Rt7UUqkb-J0&amp;lc=UgykkZ42dxir-psbwON4AaABAg.A-hQ85Y8qacA-nIkFJpCh7</v>
      </c>
      <c r="O1780">
        <v>0</v>
      </c>
      <c r="P1780">
        <v>0</v>
      </c>
      <c r="Q1780">
        <v>0</v>
      </c>
      <c r="S1780">
        <v>0</v>
      </c>
      <c r="T1780">
        <v>0</v>
      </c>
      <c r="U1780">
        <v>0</v>
      </c>
      <c r="W1780" t="s">
        <v>52</v>
      </c>
    </row>
    <row r="1781" spans="1:23" x14ac:dyDescent="0.35">
      <c r="A1781" t="s">
        <v>45</v>
      </c>
      <c r="B1781" t="s">
        <v>3627</v>
      </c>
      <c r="C1781" t="s">
        <v>47</v>
      </c>
      <c r="D1781" t="s">
        <v>68</v>
      </c>
      <c r="E1781" t="s">
        <v>68</v>
      </c>
      <c r="F1781" t="s">
        <v>49</v>
      </c>
      <c r="G1781" t="s">
        <v>3738</v>
      </c>
      <c r="H1781" t="s">
        <v>3739</v>
      </c>
      <c r="J1781" t="str">
        <f>HYPERLINK("https://www.youtube.com/watch?v=Vk9kehZJdww&amp;lc=UgzzcFtnfWABpeoqB2p4AaABAg.A-joDFbFls5A-nG0bZI7St","https://www.youtube.com/watch?v=Vk9kehZJdww&amp;lc=UgzzcFtnfWABpeoqB2p4AaABAg.A-joDFbFls5A-nG0bZI7St")</f>
        <v>https://www.youtube.com/watch?v=Vk9kehZJdww&amp;lc=UgzzcFtnfWABpeoqB2p4AaABAg.A-joDFbFls5A-nG0bZI7St</v>
      </c>
      <c r="O1781">
        <v>0</v>
      </c>
      <c r="P1781">
        <v>0</v>
      </c>
      <c r="Q1781">
        <v>0</v>
      </c>
      <c r="S1781">
        <v>0</v>
      </c>
      <c r="T1781">
        <v>0</v>
      </c>
      <c r="U1781">
        <v>0</v>
      </c>
      <c r="W1781" t="s">
        <v>52</v>
      </c>
    </row>
    <row r="1782" spans="1:23" x14ac:dyDescent="0.35">
      <c r="A1782" t="s">
        <v>45</v>
      </c>
      <c r="B1782" t="s">
        <v>3627</v>
      </c>
      <c r="C1782" t="s">
        <v>47</v>
      </c>
      <c r="D1782" t="s">
        <v>68</v>
      </c>
      <c r="E1782" t="s">
        <v>68</v>
      </c>
      <c r="F1782" t="s">
        <v>49</v>
      </c>
      <c r="G1782" t="s">
        <v>270</v>
      </c>
      <c r="H1782" t="s">
        <v>3740</v>
      </c>
      <c r="J1782" t="str">
        <f>HYPERLINK("https://www.youtube.com/watch?v=Vk9kehZJdww&amp;lc=UgwPGpOSqlDrUhiize94AaABAg.A-g2mc01sSXA-nDu513mNm","https://www.youtube.com/watch?v=Vk9kehZJdww&amp;lc=UgwPGpOSqlDrUhiize94AaABAg.A-g2mc01sSXA-nDu513mNm")</f>
        <v>https://www.youtube.com/watch?v=Vk9kehZJdww&amp;lc=UgwPGpOSqlDrUhiize94AaABAg.A-g2mc01sSXA-nDu513mNm</v>
      </c>
      <c r="O1782">
        <v>0</v>
      </c>
      <c r="P1782">
        <v>0</v>
      </c>
      <c r="Q1782">
        <v>0</v>
      </c>
      <c r="S1782">
        <v>0</v>
      </c>
      <c r="T1782">
        <v>0</v>
      </c>
      <c r="U1782">
        <v>0</v>
      </c>
      <c r="W1782" t="s">
        <v>52</v>
      </c>
    </row>
    <row r="1783" spans="1:23" x14ac:dyDescent="0.35">
      <c r="A1783" t="s">
        <v>45</v>
      </c>
      <c r="B1783" t="s">
        <v>3627</v>
      </c>
      <c r="C1783" t="s">
        <v>47</v>
      </c>
      <c r="D1783" t="s">
        <v>68</v>
      </c>
      <c r="E1783" t="s">
        <v>68</v>
      </c>
      <c r="F1783" t="s">
        <v>49</v>
      </c>
      <c r="G1783" t="s">
        <v>280</v>
      </c>
      <c r="H1783" t="s">
        <v>3741</v>
      </c>
      <c r="J1783" t="str">
        <f>HYPERLINK("https://www.youtube.com/watch?v=PdofQ0N7kzE&amp;lc=UgwU8HyWOEcnTF_0_DN4AaABAg.A-mOHdopF6qA-nDgLTU7wC","https://www.youtube.com/watch?v=PdofQ0N7kzE&amp;lc=UgwU8HyWOEcnTF_0_DN4AaABAg.A-mOHdopF6qA-nDgLTU7wC")</f>
        <v>https://www.youtube.com/watch?v=PdofQ0N7kzE&amp;lc=UgwU8HyWOEcnTF_0_DN4AaABAg.A-mOHdopF6qA-nDgLTU7wC</v>
      </c>
      <c r="O1783">
        <v>0</v>
      </c>
      <c r="P1783">
        <v>0</v>
      </c>
      <c r="Q1783">
        <v>0</v>
      </c>
      <c r="S1783">
        <v>0</v>
      </c>
      <c r="T1783">
        <v>0</v>
      </c>
      <c r="U1783">
        <v>0</v>
      </c>
      <c r="W1783" t="s">
        <v>52</v>
      </c>
    </row>
    <row r="1784" spans="1:23" x14ac:dyDescent="0.35">
      <c r="A1784" t="s">
        <v>45</v>
      </c>
      <c r="B1784" t="s">
        <v>3627</v>
      </c>
      <c r="C1784" t="s">
        <v>47</v>
      </c>
      <c r="D1784" t="s">
        <v>3742</v>
      </c>
      <c r="E1784" t="s">
        <v>3742</v>
      </c>
      <c r="F1784" t="s">
        <v>49</v>
      </c>
      <c r="G1784" t="s">
        <v>3743</v>
      </c>
      <c r="H1784" t="s">
        <v>3744</v>
      </c>
      <c r="J1784" t="str">
        <f>HYPERLINK("https://www.youtube.com/watch?v=4Zg3zYPaGiw&amp;lc=UgzoIxzsJty3exjDwTh4AaABAg","https://www.youtube.com/watch?v=4Zg3zYPaGiw&amp;lc=UgzoIxzsJty3exjDwTh4AaABAg")</f>
        <v>https://www.youtube.com/watch?v=4Zg3zYPaGiw&amp;lc=UgzoIxzsJty3exjDwTh4AaABAg</v>
      </c>
      <c r="O1784">
        <v>0</v>
      </c>
      <c r="P1784">
        <v>0</v>
      </c>
      <c r="Q1784">
        <v>0</v>
      </c>
      <c r="S1784">
        <v>0</v>
      </c>
      <c r="T1784">
        <v>0</v>
      </c>
      <c r="U1784">
        <v>0</v>
      </c>
      <c r="W1784" t="s">
        <v>52</v>
      </c>
    </row>
    <row r="1785" spans="1:23" x14ac:dyDescent="0.35">
      <c r="A1785" t="s">
        <v>45</v>
      </c>
      <c r="B1785" t="s">
        <v>3627</v>
      </c>
      <c r="C1785" t="s">
        <v>47</v>
      </c>
      <c r="D1785" t="s">
        <v>1038</v>
      </c>
      <c r="E1785" t="s">
        <v>1038</v>
      </c>
      <c r="F1785" t="s">
        <v>54</v>
      </c>
      <c r="G1785" t="s">
        <v>3745</v>
      </c>
      <c r="H1785" t="s">
        <v>3746</v>
      </c>
      <c r="J1785" t="str">
        <f>HYPERLINK("https://www.youtube.com/watch?v=PdofQ0N7kzE&amp;lc=Ugwjr-KE96RA5HsRrER4AaABAg","https://www.youtube.com/watch?v=PdofQ0N7kzE&amp;lc=Ugwjr-KE96RA5HsRrER4AaABAg")</f>
        <v>https://www.youtube.com/watch?v=PdofQ0N7kzE&amp;lc=Ugwjr-KE96RA5HsRrER4AaABAg</v>
      </c>
      <c r="O1785">
        <v>0</v>
      </c>
      <c r="P1785">
        <v>0</v>
      </c>
      <c r="Q1785">
        <v>0</v>
      </c>
      <c r="S1785">
        <v>0</v>
      </c>
      <c r="T1785">
        <v>0</v>
      </c>
      <c r="U1785">
        <v>0</v>
      </c>
      <c r="W1785" t="s">
        <v>52</v>
      </c>
    </row>
    <row r="1786" spans="1:23" x14ac:dyDescent="0.35">
      <c r="A1786" t="s">
        <v>45</v>
      </c>
      <c r="B1786" t="s">
        <v>3627</v>
      </c>
      <c r="C1786" t="s">
        <v>60</v>
      </c>
      <c r="D1786" t="s">
        <v>61</v>
      </c>
      <c r="E1786" t="s">
        <v>61</v>
      </c>
      <c r="F1786" t="s">
        <v>49</v>
      </c>
      <c r="G1786" t="s">
        <v>3747</v>
      </c>
      <c r="H1786" t="s">
        <v>3748</v>
      </c>
      <c r="J1786" t="str">
        <f>HYPERLINK("https://www.facebook.com/634639855377280/posts/791004233074174?comment_id=7060563600687564","https://www.facebook.com/634639855377280/posts/791004233074174?comment_id=7060563600687564")</f>
        <v>https://www.facebook.com/634639855377280/posts/791004233074174?comment_id=7060563600687564</v>
      </c>
      <c r="O1786">
        <v>0</v>
      </c>
      <c r="P1786">
        <v>0</v>
      </c>
      <c r="Q1786">
        <v>0</v>
      </c>
      <c r="S1786">
        <v>0</v>
      </c>
      <c r="T1786">
        <v>0</v>
      </c>
      <c r="U1786">
        <v>0</v>
      </c>
      <c r="W1786" t="s">
        <v>52</v>
      </c>
    </row>
    <row r="1787" spans="1:23" x14ac:dyDescent="0.35">
      <c r="A1787" t="s">
        <v>45</v>
      </c>
      <c r="B1787" t="s">
        <v>3627</v>
      </c>
      <c r="C1787" t="s">
        <v>60</v>
      </c>
      <c r="D1787" t="s">
        <v>61</v>
      </c>
      <c r="E1787" t="s">
        <v>61</v>
      </c>
      <c r="F1787" t="s">
        <v>49</v>
      </c>
      <c r="G1787" t="s">
        <v>3749</v>
      </c>
      <c r="H1787" t="s">
        <v>3750</v>
      </c>
      <c r="J1787" t="str">
        <f>HYPERLINK("https://www.facebook.com/634639855377280/posts/787942146713716?comment_id=1816681808802583","https://www.facebook.com/634639855377280/posts/787942146713716?comment_id=1816681808802583")</f>
        <v>https://www.facebook.com/634639855377280/posts/787942146713716?comment_id=1816681808802583</v>
      </c>
      <c r="O1787">
        <v>0</v>
      </c>
      <c r="P1787">
        <v>0</v>
      </c>
      <c r="Q1787">
        <v>0</v>
      </c>
      <c r="S1787">
        <v>0</v>
      </c>
      <c r="T1787">
        <v>0</v>
      </c>
      <c r="U1787">
        <v>0</v>
      </c>
      <c r="W1787" t="s">
        <v>52</v>
      </c>
    </row>
    <row r="1788" spans="1:23" x14ac:dyDescent="0.35">
      <c r="A1788" t="s">
        <v>45</v>
      </c>
      <c r="B1788" t="s">
        <v>3627</v>
      </c>
      <c r="C1788" t="s">
        <v>60</v>
      </c>
      <c r="D1788" t="s">
        <v>61</v>
      </c>
      <c r="E1788" t="s">
        <v>61</v>
      </c>
      <c r="F1788" t="s">
        <v>49</v>
      </c>
      <c r="G1788" t="s">
        <v>1156</v>
      </c>
      <c r="H1788" t="s">
        <v>3751</v>
      </c>
      <c r="J1788" t="str">
        <f>HYPERLINK("https://www.facebook.com/634639855377280/posts/791004233074174?comment_id=3699535223625529","https://www.facebook.com/634639855377280/posts/791004233074174?comment_id=3699535223625529")</f>
        <v>https://www.facebook.com/634639855377280/posts/791004233074174?comment_id=3699535223625529</v>
      </c>
      <c r="O1788">
        <v>0</v>
      </c>
      <c r="P1788">
        <v>0</v>
      </c>
      <c r="Q1788">
        <v>0</v>
      </c>
      <c r="S1788">
        <v>0</v>
      </c>
      <c r="T1788">
        <v>0</v>
      </c>
      <c r="U1788">
        <v>0</v>
      </c>
      <c r="W1788" t="s">
        <v>52</v>
      </c>
    </row>
    <row r="1789" spans="1:23" x14ac:dyDescent="0.35">
      <c r="A1789" t="s">
        <v>45</v>
      </c>
      <c r="B1789" t="s">
        <v>3627</v>
      </c>
      <c r="C1789" t="s">
        <v>60</v>
      </c>
      <c r="D1789" t="s">
        <v>61</v>
      </c>
      <c r="E1789" t="s">
        <v>61</v>
      </c>
      <c r="F1789" t="s">
        <v>49</v>
      </c>
      <c r="G1789" t="s">
        <v>3752</v>
      </c>
      <c r="H1789" t="s">
        <v>3753</v>
      </c>
      <c r="J1789" t="str">
        <f>HYPERLINK("https://www.facebook.com/634639855377280/posts/791004233074174?comment_id=1633724154039130","https://www.facebook.com/634639855377280/posts/791004233074174?comment_id=1633724154039130")</f>
        <v>https://www.facebook.com/634639855377280/posts/791004233074174?comment_id=1633724154039130</v>
      </c>
      <c r="O1789">
        <v>0</v>
      </c>
      <c r="P1789">
        <v>0</v>
      </c>
      <c r="Q1789">
        <v>0</v>
      </c>
      <c r="S1789">
        <v>0</v>
      </c>
      <c r="T1789">
        <v>0</v>
      </c>
      <c r="U1789">
        <v>0</v>
      </c>
      <c r="W1789" t="s">
        <v>52</v>
      </c>
    </row>
    <row r="1790" spans="1:23" x14ac:dyDescent="0.35">
      <c r="A1790" t="s">
        <v>45</v>
      </c>
      <c r="B1790" t="s">
        <v>3627</v>
      </c>
      <c r="C1790" t="s">
        <v>47</v>
      </c>
      <c r="D1790" t="s">
        <v>2063</v>
      </c>
      <c r="E1790" t="s">
        <v>2063</v>
      </c>
      <c r="F1790" t="s">
        <v>193</v>
      </c>
      <c r="G1790" t="s">
        <v>3754</v>
      </c>
      <c r="H1790" t="s">
        <v>3755</v>
      </c>
      <c r="J1790" t="str">
        <f>HYPERLINK("https://www.youtube.com/watch?v=Vk9kehZJdww&amp;lc=UgwPGpOSqlDrUhiize94AaABAg.A-g2mc01sSXA-mcDFFPFtZ","https://www.youtube.com/watch?v=Vk9kehZJdww&amp;lc=UgwPGpOSqlDrUhiize94AaABAg.A-g2mc01sSXA-mcDFFPFtZ")</f>
        <v>https://www.youtube.com/watch?v=Vk9kehZJdww&amp;lc=UgwPGpOSqlDrUhiize94AaABAg.A-g2mc01sSXA-mcDFFPFtZ</v>
      </c>
      <c r="O1790">
        <v>0</v>
      </c>
      <c r="P1790">
        <v>0</v>
      </c>
      <c r="Q1790">
        <v>0</v>
      </c>
      <c r="S1790">
        <v>0</v>
      </c>
      <c r="T1790">
        <v>0</v>
      </c>
      <c r="U1790">
        <v>0</v>
      </c>
      <c r="W1790" t="s">
        <v>52</v>
      </c>
    </row>
    <row r="1791" spans="1:23" x14ac:dyDescent="0.35">
      <c r="A1791" t="s">
        <v>45</v>
      </c>
      <c r="B1791" t="s">
        <v>3627</v>
      </c>
      <c r="C1791" t="s">
        <v>60</v>
      </c>
      <c r="D1791" t="s">
        <v>64</v>
      </c>
      <c r="E1791" t="s">
        <v>64</v>
      </c>
      <c r="F1791" t="s">
        <v>49</v>
      </c>
      <c r="G1791" t="s">
        <v>100</v>
      </c>
      <c r="H1791" t="s">
        <v>3756</v>
      </c>
      <c r="J1791" t="str">
        <f>HYPERLINK("https://www.facebook.com/634639855377280/posts/791004233074174?comment_id=1436861583609303&amp;reply_comment_id=906486174539226","https://www.facebook.com/634639855377280/posts/791004233074174?comment_id=1436861583609303&amp;reply_comment_id=906486174539226")</f>
        <v>https://www.facebook.com/634639855377280/posts/791004233074174?comment_id=1436861583609303&amp;reply_comment_id=906486174539226</v>
      </c>
      <c r="K1791" t="s">
        <v>67</v>
      </c>
      <c r="O1791">
        <v>0</v>
      </c>
      <c r="P1791">
        <v>0</v>
      </c>
      <c r="Q1791">
        <v>0</v>
      </c>
      <c r="S1791">
        <v>0</v>
      </c>
      <c r="T1791">
        <v>0</v>
      </c>
      <c r="U1791">
        <v>0</v>
      </c>
      <c r="W1791" t="s">
        <v>52</v>
      </c>
    </row>
    <row r="1792" spans="1:23" x14ac:dyDescent="0.35">
      <c r="A1792" t="s">
        <v>45</v>
      </c>
      <c r="B1792" t="s">
        <v>3627</v>
      </c>
      <c r="C1792" t="s">
        <v>60</v>
      </c>
      <c r="D1792" t="s">
        <v>61</v>
      </c>
      <c r="E1792" t="s">
        <v>61</v>
      </c>
      <c r="F1792" t="s">
        <v>49</v>
      </c>
      <c r="G1792" t="s">
        <v>2360</v>
      </c>
      <c r="H1792" t="s">
        <v>3757</v>
      </c>
      <c r="J1792" t="str">
        <f>HYPERLINK("https://www.facebook.com/634639855377280/posts/787942146713716?comment_id=1059585472016523&amp;reply_comment_id=924362866024138","https://www.facebook.com/634639855377280/posts/787942146713716?comment_id=1059585472016523&amp;reply_comment_id=924362866024138")</f>
        <v>https://www.facebook.com/634639855377280/posts/787942146713716?comment_id=1059585472016523&amp;reply_comment_id=924362866024138</v>
      </c>
      <c r="O1792">
        <v>0</v>
      </c>
      <c r="P1792">
        <v>0</v>
      </c>
      <c r="Q1792">
        <v>0</v>
      </c>
      <c r="S1792">
        <v>0</v>
      </c>
      <c r="T1792">
        <v>0</v>
      </c>
      <c r="U1792">
        <v>0</v>
      </c>
      <c r="W1792" t="s">
        <v>52</v>
      </c>
    </row>
    <row r="1793" spans="1:23" x14ac:dyDescent="0.35">
      <c r="A1793" t="s">
        <v>45</v>
      </c>
      <c r="B1793" t="s">
        <v>3627</v>
      </c>
      <c r="C1793" t="s">
        <v>47</v>
      </c>
      <c r="D1793" t="s">
        <v>846</v>
      </c>
      <c r="E1793" t="s">
        <v>846</v>
      </c>
      <c r="F1793" t="s">
        <v>54</v>
      </c>
      <c r="G1793" t="s">
        <v>3758</v>
      </c>
      <c r="H1793" t="s">
        <v>3759</v>
      </c>
      <c r="J1793" t="str">
        <f>HYPERLINK("https://www.youtube.com/watch?v=zI1M46HPG-Y&amp;lc=UgyQJU4bfTKtsIpqlUd4AaABAg","https://www.youtube.com/watch?v=zI1M46HPG-Y&amp;lc=UgyQJU4bfTKtsIpqlUd4AaABAg")</f>
        <v>https://www.youtube.com/watch?v=zI1M46HPG-Y&amp;lc=UgyQJU4bfTKtsIpqlUd4AaABAg</v>
      </c>
      <c r="O1793">
        <v>0</v>
      </c>
      <c r="P1793">
        <v>0</v>
      </c>
      <c r="Q1793">
        <v>0</v>
      </c>
      <c r="S1793">
        <v>0</v>
      </c>
      <c r="T1793">
        <v>0</v>
      </c>
      <c r="U1793">
        <v>0</v>
      </c>
      <c r="W1793" t="s">
        <v>52</v>
      </c>
    </row>
    <row r="1794" spans="1:23" x14ac:dyDescent="0.35">
      <c r="A1794" t="s">
        <v>45</v>
      </c>
      <c r="B1794" t="s">
        <v>3627</v>
      </c>
      <c r="C1794" t="s">
        <v>47</v>
      </c>
      <c r="D1794" t="s">
        <v>846</v>
      </c>
      <c r="E1794" t="s">
        <v>846</v>
      </c>
      <c r="F1794" t="s">
        <v>54</v>
      </c>
      <c r="G1794" t="s">
        <v>3760</v>
      </c>
      <c r="H1794" t="s">
        <v>3761</v>
      </c>
      <c r="J1794" t="str">
        <f>HYPERLINK("https://www.youtube.com/watch?v=PdofQ0N7kzE&amp;lc=UgxNfNlNla-tR11bbEN4AaABAg","https://www.youtube.com/watch?v=PdofQ0N7kzE&amp;lc=UgxNfNlNla-tR11bbEN4AaABAg")</f>
        <v>https://www.youtube.com/watch?v=PdofQ0N7kzE&amp;lc=UgxNfNlNla-tR11bbEN4AaABAg</v>
      </c>
      <c r="O1794">
        <v>0</v>
      </c>
      <c r="P1794">
        <v>0</v>
      </c>
      <c r="Q1794">
        <v>0</v>
      </c>
      <c r="S1794">
        <v>0</v>
      </c>
      <c r="T1794">
        <v>0</v>
      </c>
      <c r="U1794">
        <v>0</v>
      </c>
      <c r="W1794" t="s">
        <v>52</v>
      </c>
    </row>
    <row r="1795" spans="1:23" x14ac:dyDescent="0.35">
      <c r="A1795" t="s">
        <v>45</v>
      </c>
      <c r="B1795" t="s">
        <v>3627</v>
      </c>
      <c r="C1795" t="s">
        <v>93</v>
      </c>
      <c r="D1795" t="s">
        <v>3762</v>
      </c>
      <c r="E1795" t="s">
        <v>3763</v>
      </c>
      <c r="F1795" t="s">
        <v>49</v>
      </c>
      <c r="G1795" t="s">
        <v>3764</v>
      </c>
      <c r="H1795" t="s">
        <v>3765</v>
      </c>
      <c r="J1795" t="str">
        <f>HYPERLINK("https://twitter.com/MSDS_india/status/1757599936911183905","https://twitter.com/MSDS_india/status/1757599936911183905")</f>
        <v>https://twitter.com/MSDS_india/status/1757599936911183905</v>
      </c>
      <c r="K1795" t="s">
        <v>67</v>
      </c>
      <c r="O1795">
        <v>0</v>
      </c>
      <c r="P1795">
        <v>0</v>
      </c>
      <c r="Q1795">
        <v>68</v>
      </c>
      <c r="R1795" t="s">
        <v>3766</v>
      </c>
      <c r="S1795">
        <v>0</v>
      </c>
      <c r="T1795">
        <v>0</v>
      </c>
      <c r="U1795">
        <v>0</v>
      </c>
      <c r="W1795" t="s">
        <v>433</v>
      </c>
    </row>
    <row r="1796" spans="1:23" x14ac:dyDescent="0.35">
      <c r="A1796" t="s">
        <v>45</v>
      </c>
      <c r="B1796" t="s">
        <v>3627</v>
      </c>
      <c r="C1796" t="s">
        <v>60</v>
      </c>
      <c r="D1796" t="s">
        <v>61</v>
      </c>
      <c r="E1796" t="s">
        <v>61</v>
      </c>
      <c r="F1796" t="s">
        <v>49</v>
      </c>
      <c r="G1796" t="s">
        <v>3767</v>
      </c>
      <c r="H1796" t="s">
        <v>3768</v>
      </c>
      <c r="J1796" t="str">
        <f>HYPERLINK("https://www.facebook.com/634639855377280/posts/791004233074174?comment_id=1436861583609303&amp;reply_comment_id=709070991376613","https://www.facebook.com/634639855377280/posts/791004233074174?comment_id=1436861583609303&amp;reply_comment_id=709070991376613")</f>
        <v>https://www.facebook.com/634639855377280/posts/791004233074174?comment_id=1436861583609303&amp;reply_comment_id=709070991376613</v>
      </c>
      <c r="O1796">
        <v>0</v>
      </c>
      <c r="P1796">
        <v>0</v>
      </c>
      <c r="Q1796">
        <v>0</v>
      </c>
      <c r="S1796">
        <v>0</v>
      </c>
      <c r="T1796">
        <v>0</v>
      </c>
      <c r="U1796">
        <v>0</v>
      </c>
      <c r="W1796" t="s">
        <v>52</v>
      </c>
    </row>
    <row r="1797" spans="1:23" x14ac:dyDescent="0.35">
      <c r="A1797" t="s">
        <v>45</v>
      </c>
      <c r="B1797" t="s">
        <v>3627</v>
      </c>
      <c r="C1797" t="s">
        <v>60</v>
      </c>
      <c r="D1797" t="s">
        <v>61</v>
      </c>
      <c r="E1797" t="s">
        <v>61</v>
      </c>
      <c r="F1797" t="s">
        <v>49</v>
      </c>
      <c r="G1797" t="s">
        <v>3769</v>
      </c>
      <c r="H1797" t="s">
        <v>3770</v>
      </c>
      <c r="J1797" t="str">
        <f>HYPERLINK("https://www.facebook.com/634639855377280/posts/791004233074174?comment_id=1436861583609303&amp;reply_comment_id=1055855912153679","https://www.facebook.com/634639855377280/posts/791004233074174?comment_id=1436861583609303&amp;reply_comment_id=1055855912153679")</f>
        <v>https://www.facebook.com/634639855377280/posts/791004233074174?comment_id=1436861583609303&amp;reply_comment_id=1055855912153679</v>
      </c>
      <c r="O1797">
        <v>0</v>
      </c>
      <c r="P1797">
        <v>0</v>
      </c>
      <c r="Q1797">
        <v>0</v>
      </c>
      <c r="S1797">
        <v>0</v>
      </c>
      <c r="T1797">
        <v>0</v>
      </c>
      <c r="U1797">
        <v>0</v>
      </c>
      <c r="W1797" t="s">
        <v>52</v>
      </c>
    </row>
    <row r="1798" spans="1:23" x14ac:dyDescent="0.35">
      <c r="A1798" t="s">
        <v>45</v>
      </c>
      <c r="B1798" t="s">
        <v>3627</v>
      </c>
      <c r="C1798" t="s">
        <v>60</v>
      </c>
      <c r="D1798" t="s">
        <v>61</v>
      </c>
      <c r="E1798" t="s">
        <v>61</v>
      </c>
      <c r="F1798" t="s">
        <v>49</v>
      </c>
      <c r="G1798" t="s">
        <v>3771</v>
      </c>
      <c r="H1798" t="s">
        <v>3772</v>
      </c>
      <c r="J1798" t="str">
        <f>HYPERLINK("https://www.facebook.com/634639855377280/posts/790576553116942?comment_id=704245491755203&amp;reply_comment_id=917213773044196","https://www.facebook.com/634639855377280/posts/790576553116942?comment_id=704245491755203&amp;reply_comment_id=917213773044196")</f>
        <v>https://www.facebook.com/634639855377280/posts/790576553116942?comment_id=704245491755203&amp;reply_comment_id=917213773044196</v>
      </c>
      <c r="O1798">
        <v>0</v>
      </c>
      <c r="P1798">
        <v>0</v>
      </c>
      <c r="Q1798">
        <v>0</v>
      </c>
      <c r="S1798">
        <v>0</v>
      </c>
      <c r="T1798">
        <v>0</v>
      </c>
      <c r="U1798">
        <v>0</v>
      </c>
      <c r="W1798" t="s">
        <v>52</v>
      </c>
    </row>
    <row r="1799" spans="1:23" x14ac:dyDescent="0.35">
      <c r="A1799" t="s">
        <v>45</v>
      </c>
      <c r="B1799" t="s">
        <v>3627</v>
      </c>
      <c r="C1799" t="s">
        <v>60</v>
      </c>
      <c r="D1799" t="s">
        <v>64</v>
      </c>
      <c r="E1799" t="s">
        <v>64</v>
      </c>
      <c r="F1799" t="s">
        <v>49</v>
      </c>
      <c r="G1799" t="s">
        <v>3773</v>
      </c>
      <c r="H1799" t="s">
        <v>3774</v>
      </c>
      <c r="J1799" t="str">
        <f>HYPERLINK("https://www.facebook.com/634639855377280/posts/787942146713716?comment_id=1059585472016523&amp;reply_comment_id=2738124876351999","https://www.facebook.com/634639855377280/posts/787942146713716?comment_id=1059585472016523&amp;reply_comment_id=2738124876351999")</f>
        <v>https://www.facebook.com/634639855377280/posts/787942146713716?comment_id=1059585472016523&amp;reply_comment_id=2738124876351999</v>
      </c>
      <c r="K1799" t="s">
        <v>67</v>
      </c>
      <c r="O1799">
        <v>0</v>
      </c>
      <c r="P1799">
        <v>0</v>
      </c>
      <c r="Q1799">
        <v>0</v>
      </c>
      <c r="S1799">
        <v>0</v>
      </c>
      <c r="T1799">
        <v>0</v>
      </c>
      <c r="U1799">
        <v>0</v>
      </c>
      <c r="W1799" t="s">
        <v>52</v>
      </c>
    </row>
    <row r="1800" spans="1:23" x14ac:dyDescent="0.35">
      <c r="A1800" t="s">
        <v>45</v>
      </c>
      <c r="B1800" t="s">
        <v>3627</v>
      </c>
      <c r="C1800" t="s">
        <v>60</v>
      </c>
      <c r="D1800" t="s">
        <v>64</v>
      </c>
      <c r="E1800" t="s">
        <v>64</v>
      </c>
      <c r="F1800" t="s">
        <v>49</v>
      </c>
      <c r="G1800" t="s">
        <v>162</v>
      </c>
      <c r="H1800" t="s">
        <v>3775</v>
      </c>
      <c r="J1800" t="str">
        <f>HYPERLINK("https://www.facebook.com/634639855377280/posts/790576553116942?comment_id=1092196032034297&amp;reply_comment_id=6981277898662183","https://www.facebook.com/634639855377280/posts/790576553116942?comment_id=1092196032034297&amp;reply_comment_id=6981277898662183")</f>
        <v>https://www.facebook.com/634639855377280/posts/790576553116942?comment_id=1092196032034297&amp;reply_comment_id=6981277898662183</v>
      </c>
      <c r="K1800" t="s">
        <v>67</v>
      </c>
      <c r="O1800">
        <v>0</v>
      </c>
      <c r="P1800">
        <v>0</v>
      </c>
      <c r="Q1800">
        <v>0</v>
      </c>
      <c r="S1800">
        <v>0</v>
      </c>
      <c r="T1800">
        <v>0</v>
      </c>
      <c r="U1800">
        <v>0</v>
      </c>
      <c r="W1800" t="s">
        <v>52</v>
      </c>
    </row>
    <row r="1801" spans="1:23" x14ac:dyDescent="0.35">
      <c r="A1801" t="s">
        <v>45</v>
      </c>
      <c r="B1801" t="s">
        <v>3627</v>
      </c>
      <c r="C1801" t="s">
        <v>60</v>
      </c>
      <c r="D1801" t="s">
        <v>64</v>
      </c>
      <c r="E1801" t="s">
        <v>64</v>
      </c>
      <c r="F1801" t="s">
        <v>49</v>
      </c>
      <c r="G1801" t="s">
        <v>164</v>
      </c>
      <c r="H1801" t="s">
        <v>3776</v>
      </c>
      <c r="J1801" t="str">
        <f>HYPERLINK("https://www.facebook.com/634639855377280/posts/790576553116942?comment_id=704245491755203&amp;reply_comment_id=1338381117556258","https://www.facebook.com/634639855377280/posts/790576553116942?comment_id=704245491755203&amp;reply_comment_id=1338381117556258")</f>
        <v>https://www.facebook.com/634639855377280/posts/790576553116942?comment_id=704245491755203&amp;reply_comment_id=1338381117556258</v>
      </c>
      <c r="K1801" t="s">
        <v>67</v>
      </c>
      <c r="O1801">
        <v>0</v>
      </c>
      <c r="P1801">
        <v>0</v>
      </c>
      <c r="Q1801">
        <v>0</v>
      </c>
      <c r="S1801">
        <v>0</v>
      </c>
      <c r="T1801">
        <v>0</v>
      </c>
      <c r="U1801">
        <v>0</v>
      </c>
      <c r="W1801" t="s">
        <v>52</v>
      </c>
    </row>
    <row r="1802" spans="1:23" x14ac:dyDescent="0.35">
      <c r="A1802" t="s">
        <v>45</v>
      </c>
      <c r="B1802" t="s">
        <v>3627</v>
      </c>
      <c r="C1802" t="s">
        <v>93</v>
      </c>
      <c r="D1802" t="s">
        <v>94</v>
      </c>
      <c r="E1802" t="s">
        <v>45</v>
      </c>
      <c r="F1802" t="s">
        <v>49</v>
      </c>
      <c r="G1802" t="s">
        <v>3777</v>
      </c>
      <c r="H1802" t="s">
        <v>3778</v>
      </c>
      <c r="J1802" t="str">
        <f>HYPERLINK("https://twitter.com/SpiceMoneyIndia/status/1757598050720055336","https://twitter.com/SpiceMoneyIndia/status/1757598050720055336")</f>
        <v>https://twitter.com/SpiceMoneyIndia/status/1757598050720055336</v>
      </c>
      <c r="K1802" t="s">
        <v>67</v>
      </c>
      <c r="O1802">
        <v>0</v>
      </c>
      <c r="P1802">
        <v>0</v>
      </c>
      <c r="Q1802">
        <v>6028</v>
      </c>
      <c r="R1802" t="s">
        <v>97</v>
      </c>
      <c r="S1802">
        <v>0</v>
      </c>
      <c r="T1802">
        <v>0</v>
      </c>
      <c r="U1802">
        <v>0</v>
      </c>
      <c r="V1802" t="s">
        <v>98</v>
      </c>
      <c r="W1802" t="s">
        <v>99</v>
      </c>
    </row>
    <row r="1803" spans="1:23" x14ac:dyDescent="0.35">
      <c r="A1803" t="s">
        <v>45</v>
      </c>
      <c r="B1803" t="s">
        <v>3627</v>
      </c>
      <c r="C1803" t="s">
        <v>47</v>
      </c>
      <c r="D1803" t="s">
        <v>68</v>
      </c>
      <c r="E1803" t="s">
        <v>68</v>
      </c>
      <c r="F1803" t="s">
        <v>49</v>
      </c>
      <c r="G1803" t="s">
        <v>3779</v>
      </c>
      <c r="H1803" t="s">
        <v>3780</v>
      </c>
      <c r="J1803" t="str">
        <f>HYPERLINK("https://www.youtube.com/watch?v=7N6n0nCAmV8&amp;lc=UgyZ_FbF3MG6QbpG2qx4AaABAg.A-mJ2fpQNHhA-mSiz-QtRp","https://www.youtube.com/watch?v=7N6n0nCAmV8&amp;lc=UgyZ_FbF3MG6QbpG2qx4AaABAg.A-mJ2fpQNHhA-mSiz-QtRp")</f>
        <v>https://www.youtube.com/watch?v=7N6n0nCAmV8&amp;lc=UgyZ_FbF3MG6QbpG2qx4AaABAg.A-mJ2fpQNHhA-mSiz-QtRp</v>
      </c>
      <c r="O1803">
        <v>0</v>
      </c>
      <c r="P1803">
        <v>0</v>
      </c>
      <c r="Q1803">
        <v>0</v>
      </c>
      <c r="S1803">
        <v>0</v>
      </c>
      <c r="T1803">
        <v>0</v>
      </c>
      <c r="U1803">
        <v>0</v>
      </c>
      <c r="W1803" t="s">
        <v>52</v>
      </c>
    </row>
    <row r="1804" spans="1:23" x14ac:dyDescent="0.35">
      <c r="A1804" t="s">
        <v>45</v>
      </c>
      <c r="B1804" t="s">
        <v>3627</v>
      </c>
      <c r="C1804" t="s">
        <v>93</v>
      </c>
      <c r="D1804" t="s">
        <v>94</v>
      </c>
      <c r="E1804" t="s">
        <v>45</v>
      </c>
      <c r="F1804" t="s">
        <v>49</v>
      </c>
      <c r="G1804" t="s">
        <v>3781</v>
      </c>
      <c r="H1804" t="s">
        <v>3782</v>
      </c>
      <c r="J1804" t="str">
        <f>HYPERLINK("https://twitter.com/SpiceMoneyIndia/status/1757597230062584271","https://twitter.com/SpiceMoneyIndia/status/1757597230062584271")</f>
        <v>https://twitter.com/SpiceMoneyIndia/status/1757597230062584271</v>
      </c>
      <c r="K1804" t="s">
        <v>67</v>
      </c>
      <c r="O1804">
        <v>0</v>
      </c>
      <c r="P1804">
        <v>0</v>
      </c>
      <c r="Q1804">
        <v>6028</v>
      </c>
      <c r="R1804" t="s">
        <v>97</v>
      </c>
      <c r="S1804">
        <v>0</v>
      </c>
      <c r="T1804">
        <v>0</v>
      </c>
      <c r="U1804">
        <v>0</v>
      </c>
      <c r="V1804" t="s">
        <v>98</v>
      </c>
      <c r="W1804" t="s">
        <v>99</v>
      </c>
    </row>
    <row r="1805" spans="1:23" x14ac:dyDescent="0.35">
      <c r="A1805" t="s">
        <v>45</v>
      </c>
      <c r="B1805" t="s">
        <v>3627</v>
      </c>
      <c r="C1805" t="s">
        <v>60</v>
      </c>
      <c r="D1805" t="s">
        <v>64</v>
      </c>
      <c r="E1805" t="s">
        <v>64</v>
      </c>
      <c r="F1805" t="s">
        <v>49</v>
      </c>
      <c r="G1805" t="s">
        <v>83</v>
      </c>
      <c r="H1805" t="s">
        <v>3783</v>
      </c>
      <c r="J1805" t="str">
        <f>HYPERLINK("https://www.facebook.com/634639855377280/posts/791004233074174?comment_id=1436861583609303&amp;reply_comment_id=867610781772451","https://www.facebook.com/634639855377280/posts/791004233074174?comment_id=1436861583609303&amp;reply_comment_id=867610781772451")</f>
        <v>https://www.facebook.com/634639855377280/posts/791004233074174?comment_id=1436861583609303&amp;reply_comment_id=867610781772451</v>
      </c>
      <c r="K1805" t="s">
        <v>67</v>
      </c>
      <c r="O1805">
        <v>0</v>
      </c>
      <c r="P1805">
        <v>0</v>
      </c>
      <c r="Q1805">
        <v>0</v>
      </c>
      <c r="S1805">
        <v>0</v>
      </c>
      <c r="T1805">
        <v>0</v>
      </c>
      <c r="U1805">
        <v>0</v>
      </c>
      <c r="W1805" t="s">
        <v>52</v>
      </c>
    </row>
    <row r="1806" spans="1:23" x14ac:dyDescent="0.35">
      <c r="A1806" t="s">
        <v>45</v>
      </c>
      <c r="B1806" t="s">
        <v>3627</v>
      </c>
      <c r="C1806" t="s">
        <v>47</v>
      </c>
      <c r="D1806" t="s">
        <v>68</v>
      </c>
      <c r="E1806" t="s">
        <v>68</v>
      </c>
      <c r="F1806" t="s">
        <v>49</v>
      </c>
      <c r="G1806" t="s">
        <v>293</v>
      </c>
      <c r="H1806" t="s">
        <v>3784</v>
      </c>
      <c r="J1806" t="str">
        <f>HYPERLINK("https://www.youtube.com/watch?v=PXJLS73XiVw&amp;lc=UgxJ1dirNz9eVuYLy914AaABAg.A-l-Y735EBvA-mRzRzMtlM","https://www.youtube.com/watch?v=PXJLS73XiVw&amp;lc=UgxJ1dirNz9eVuYLy914AaABAg.A-l-Y735EBvA-mRzRzMtlM")</f>
        <v>https://www.youtube.com/watch?v=PXJLS73XiVw&amp;lc=UgxJ1dirNz9eVuYLy914AaABAg.A-l-Y735EBvA-mRzRzMtlM</v>
      </c>
      <c r="O1806">
        <v>0</v>
      </c>
      <c r="P1806">
        <v>0</v>
      </c>
      <c r="Q1806">
        <v>0</v>
      </c>
      <c r="S1806">
        <v>0</v>
      </c>
      <c r="T1806">
        <v>0</v>
      </c>
      <c r="U1806">
        <v>0</v>
      </c>
      <c r="W1806" t="s">
        <v>52</v>
      </c>
    </row>
    <row r="1807" spans="1:23" x14ac:dyDescent="0.35">
      <c r="A1807" t="s">
        <v>45</v>
      </c>
      <c r="B1807" t="s">
        <v>3627</v>
      </c>
      <c r="C1807" t="s">
        <v>47</v>
      </c>
      <c r="D1807" t="s">
        <v>3785</v>
      </c>
      <c r="E1807" t="s">
        <v>3785</v>
      </c>
      <c r="F1807" t="s">
        <v>49</v>
      </c>
      <c r="G1807" t="s">
        <v>3786</v>
      </c>
      <c r="H1807" t="s">
        <v>3787</v>
      </c>
      <c r="J1807" t="str">
        <f>HYPERLINK("https://www.youtube.com/watch?v=PdofQ0N7kzE&amp;lc=UgwU8HyWOEcnTF_0_DN4AaABAg","https://www.youtube.com/watch?v=PdofQ0N7kzE&amp;lc=UgwU8HyWOEcnTF_0_DN4AaABAg")</f>
        <v>https://www.youtube.com/watch?v=PdofQ0N7kzE&amp;lc=UgwU8HyWOEcnTF_0_DN4AaABAg</v>
      </c>
      <c r="O1807">
        <v>0</v>
      </c>
      <c r="P1807">
        <v>0</v>
      </c>
      <c r="Q1807">
        <v>0</v>
      </c>
      <c r="S1807">
        <v>0</v>
      </c>
      <c r="T1807">
        <v>0</v>
      </c>
      <c r="U1807">
        <v>0</v>
      </c>
      <c r="W1807" t="s">
        <v>52</v>
      </c>
    </row>
    <row r="1808" spans="1:23" x14ac:dyDescent="0.35">
      <c r="A1808" t="s">
        <v>45</v>
      </c>
      <c r="B1808" t="s">
        <v>3627</v>
      </c>
      <c r="C1808" t="s">
        <v>93</v>
      </c>
      <c r="D1808" t="s">
        <v>3788</v>
      </c>
      <c r="E1808" t="s">
        <v>3789</v>
      </c>
      <c r="F1808" t="s">
        <v>49</v>
      </c>
      <c r="G1808" t="s">
        <v>3790</v>
      </c>
      <c r="H1808" t="s">
        <v>3791</v>
      </c>
      <c r="J1808" t="str">
        <f>HYPERLINK("https://twitter.com/BadlapurGst/status/1757586455030124770","https://twitter.com/BadlapurGst/status/1757586455030124770")</f>
        <v>https://twitter.com/BadlapurGst/status/1757586455030124770</v>
      </c>
      <c r="K1808" t="s">
        <v>67</v>
      </c>
      <c r="O1808">
        <v>0</v>
      </c>
      <c r="P1808">
        <v>0</v>
      </c>
      <c r="Q1808">
        <v>5</v>
      </c>
      <c r="S1808">
        <v>0</v>
      </c>
      <c r="T1808">
        <v>0</v>
      </c>
      <c r="U1808">
        <v>0</v>
      </c>
      <c r="W1808" t="s">
        <v>99</v>
      </c>
    </row>
    <row r="1809" spans="1:23" x14ac:dyDescent="0.35">
      <c r="A1809" t="s">
        <v>45</v>
      </c>
      <c r="B1809" t="s">
        <v>3627</v>
      </c>
      <c r="C1809" t="s">
        <v>93</v>
      </c>
      <c r="D1809" t="s">
        <v>3788</v>
      </c>
      <c r="E1809" t="s">
        <v>3789</v>
      </c>
      <c r="F1809" t="s">
        <v>193</v>
      </c>
      <c r="G1809" t="s">
        <v>3792</v>
      </c>
      <c r="H1809" t="s">
        <v>3793</v>
      </c>
      <c r="J1809" t="str">
        <f>HYPERLINK("https://twitter.com/BadlapurGst/status/1757585941735289251","https://twitter.com/BadlapurGst/status/1757585941735289251")</f>
        <v>https://twitter.com/BadlapurGst/status/1757585941735289251</v>
      </c>
      <c r="K1809" t="s">
        <v>67</v>
      </c>
      <c r="O1809">
        <v>0</v>
      </c>
      <c r="P1809">
        <v>0</v>
      </c>
      <c r="Q1809">
        <v>5</v>
      </c>
      <c r="S1809">
        <v>0</v>
      </c>
      <c r="T1809">
        <v>0</v>
      </c>
      <c r="U1809">
        <v>0</v>
      </c>
      <c r="W1809" t="s">
        <v>99</v>
      </c>
    </row>
    <row r="1810" spans="1:23" x14ac:dyDescent="0.35">
      <c r="A1810" t="s">
        <v>45</v>
      </c>
      <c r="B1810" t="s">
        <v>3627</v>
      </c>
      <c r="C1810" t="s">
        <v>60</v>
      </c>
      <c r="D1810" t="s">
        <v>61</v>
      </c>
      <c r="E1810" t="s">
        <v>61</v>
      </c>
      <c r="F1810" t="s">
        <v>49</v>
      </c>
      <c r="G1810" t="s">
        <v>3794</v>
      </c>
      <c r="H1810" t="s">
        <v>3795</v>
      </c>
      <c r="J1810" t="str">
        <f>HYPERLINK("https://www.facebook.com/634639855377280/posts/791004233074174?comment_id=1133336824466111","https://www.facebook.com/634639855377280/posts/791004233074174?comment_id=1133336824466111")</f>
        <v>https://www.facebook.com/634639855377280/posts/791004233074174?comment_id=1133336824466111</v>
      </c>
      <c r="O1810">
        <v>0</v>
      </c>
      <c r="P1810">
        <v>0</v>
      </c>
      <c r="Q1810">
        <v>0</v>
      </c>
      <c r="S1810">
        <v>0</v>
      </c>
      <c r="T1810">
        <v>0</v>
      </c>
      <c r="U1810">
        <v>0</v>
      </c>
      <c r="W1810" t="s">
        <v>52</v>
      </c>
    </row>
    <row r="1811" spans="1:23" x14ac:dyDescent="0.35">
      <c r="A1811" t="s">
        <v>45</v>
      </c>
      <c r="B1811" t="s">
        <v>3627</v>
      </c>
      <c r="C1811" t="s">
        <v>93</v>
      </c>
      <c r="D1811" t="s">
        <v>3788</v>
      </c>
      <c r="E1811" t="s">
        <v>3789</v>
      </c>
      <c r="F1811" t="s">
        <v>49</v>
      </c>
      <c r="G1811" t="s">
        <v>3796</v>
      </c>
      <c r="H1811" t="s">
        <v>3797</v>
      </c>
      <c r="J1811" t="str">
        <f>HYPERLINK("https://twitter.com/BadlapurGst/status/1757583068154769871","https://twitter.com/BadlapurGst/status/1757583068154769871")</f>
        <v>https://twitter.com/BadlapurGst/status/1757583068154769871</v>
      </c>
      <c r="K1811" t="s">
        <v>67</v>
      </c>
      <c r="O1811">
        <v>0</v>
      </c>
      <c r="P1811">
        <v>0</v>
      </c>
      <c r="Q1811">
        <v>5</v>
      </c>
      <c r="S1811">
        <v>0</v>
      </c>
      <c r="T1811">
        <v>0</v>
      </c>
      <c r="U1811">
        <v>0</v>
      </c>
      <c r="W1811" t="s">
        <v>99</v>
      </c>
    </row>
    <row r="1812" spans="1:23" x14ac:dyDescent="0.35">
      <c r="A1812" t="s">
        <v>45</v>
      </c>
      <c r="B1812" t="s">
        <v>3627</v>
      </c>
      <c r="C1812" t="s">
        <v>60</v>
      </c>
      <c r="D1812" t="s">
        <v>61</v>
      </c>
      <c r="E1812" t="s">
        <v>61</v>
      </c>
      <c r="F1812" t="s">
        <v>49</v>
      </c>
      <c r="G1812" t="s">
        <v>3798</v>
      </c>
      <c r="H1812" t="s">
        <v>3799</v>
      </c>
      <c r="J1812" t="str">
        <f>HYPERLINK("https://www.facebook.com/634639855377280/posts/791004233074174?comment_id=1436861583609303","https://www.facebook.com/634639855377280/posts/791004233074174?comment_id=1436861583609303")</f>
        <v>https://www.facebook.com/634639855377280/posts/791004233074174?comment_id=1436861583609303</v>
      </c>
      <c r="O1812">
        <v>0</v>
      </c>
      <c r="P1812">
        <v>0</v>
      </c>
      <c r="Q1812">
        <v>0</v>
      </c>
      <c r="S1812">
        <v>0</v>
      </c>
      <c r="T1812">
        <v>0</v>
      </c>
      <c r="U1812">
        <v>0</v>
      </c>
      <c r="W1812" t="s">
        <v>52</v>
      </c>
    </row>
    <row r="1813" spans="1:23" x14ac:dyDescent="0.35">
      <c r="A1813" t="s">
        <v>45</v>
      </c>
      <c r="B1813" t="s">
        <v>3627</v>
      </c>
      <c r="C1813" t="s">
        <v>93</v>
      </c>
      <c r="D1813" t="s">
        <v>94</v>
      </c>
      <c r="E1813" t="s">
        <v>45</v>
      </c>
      <c r="F1813" t="s">
        <v>49</v>
      </c>
      <c r="G1813" t="s">
        <v>3764</v>
      </c>
      <c r="H1813" t="s">
        <v>3800</v>
      </c>
      <c r="J1813" t="str">
        <f>HYPERLINK("https://twitter.com/SpiceMoneyIndia/status/1757582113216274943","https://twitter.com/SpiceMoneyIndia/status/1757582113216274943")</f>
        <v>https://twitter.com/SpiceMoneyIndia/status/1757582113216274943</v>
      </c>
      <c r="K1813" t="s">
        <v>67</v>
      </c>
      <c r="O1813">
        <v>0</v>
      </c>
      <c r="P1813">
        <v>0</v>
      </c>
      <c r="Q1813">
        <v>6028</v>
      </c>
      <c r="R1813" t="s">
        <v>97</v>
      </c>
      <c r="S1813">
        <v>0</v>
      </c>
      <c r="T1813">
        <v>0</v>
      </c>
      <c r="U1813">
        <v>0</v>
      </c>
      <c r="V1813" t="s">
        <v>98</v>
      </c>
      <c r="W1813" t="s">
        <v>99</v>
      </c>
    </row>
    <row r="1814" spans="1:23" x14ac:dyDescent="0.35">
      <c r="A1814" t="s">
        <v>45</v>
      </c>
      <c r="B1814" t="s">
        <v>3627</v>
      </c>
      <c r="C1814" t="s">
        <v>60</v>
      </c>
      <c r="D1814" t="s">
        <v>64</v>
      </c>
      <c r="E1814" t="s">
        <v>64</v>
      </c>
      <c r="F1814" t="s">
        <v>49</v>
      </c>
      <c r="G1814" t="s">
        <v>3801</v>
      </c>
      <c r="H1814" t="s">
        <v>3802</v>
      </c>
      <c r="J1814" t="str">
        <f>HYPERLINK("https://www.facebook.com/634639855377280/posts/791004233074174","https://www.facebook.com/634639855377280/posts/791004233074174")</f>
        <v>https://www.facebook.com/634639855377280/posts/791004233074174</v>
      </c>
      <c r="O1814">
        <v>0</v>
      </c>
      <c r="P1814">
        <v>0</v>
      </c>
      <c r="Q1814">
        <v>0</v>
      </c>
      <c r="S1814">
        <v>6</v>
      </c>
      <c r="T1814">
        <v>102</v>
      </c>
      <c r="U1814">
        <v>8</v>
      </c>
      <c r="W1814" t="s">
        <v>346</v>
      </c>
    </row>
    <row r="1815" spans="1:23" x14ac:dyDescent="0.35">
      <c r="A1815" t="s">
        <v>45</v>
      </c>
      <c r="B1815" t="s">
        <v>3627</v>
      </c>
      <c r="C1815" t="s">
        <v>47</v>
      </c>
      <c r="D1815" t="s">
        <v>3803</v>
      </c>
      <c r="E1815" t="s">
        <v>3803</v>
      </c>
      <c r="F1815" t="s">
        <v>49</v>
      </c>
      <c r="G1815" t="s">
        <v>3804</v>
      </c>
      <c r="H1815" t="s">
        <v>3805</v>
      </c>
      <c r="J1815" t="str">
        <f>HYPERLINK("https://www.youtube.com/watch?v=7N6n0nCAmV8&amp;lc=UgyZ_FbF3MG6QbpG2qx4AaABAg","https://www.youtube.com/watch?v=7N6n0nCAmV8&amp;lc=UgyZ_FbF3MG6QbpG2qx4AaABAg")</f>
        <v>https://www.youtube.com/watch?v=7N6n0nCAmV8&amp;lc=UgyZ_FbF3MG6QbpG2qx4AaABAg</v>
      </c>
      <c r="O1815">
        <v>0</v>
      </c>
      <c r="P1815">
        <v>0</v>
      </c>
      <c r="Q1815">
        <v>0</v>
      </c>
      <c r="S1815">
        <v>0</v>
      </c>
      <c r="T1815">
        <v>0</v>
      </c>
      <c r="U1815">
        <v>0</v>
      </c>
      <c r="W1815" t="s">
        <v>52</v>
      </c>
    </row>
    <row r="1816" spans="1:23" x14ac:dyDescent="0.35">
      <c r="A1816" t="s">
        <v>45</v>
      </c>
      <c r="B1816" t="s">
        <v>3806</v>
      </c>
      <c r="C1816" t="s">
        <v>60</v>
      </c>
      <c r="D1816" t="s">
        <v>61</v>
      </c>
      <c r="E1816" t="s">
        <v>61</v>
      </c>
      <c r="F1816" t="s">
        <v>49</v>
      </c>
      <c r="G1816" t="s">
        <v>3807</v>
      </c>
      <c r="H1816" t="s">
        <v>3808</v>
      </c>
      <c r="J1816" t="str">
        <f>HYPERLINK("https://www.facebook.com/634639855377280/posts/790576553116942?comment_id=704245491755203","https://www.facebook.com/634639855377280/posts/790576553116942?comment_id=704245491755203")</f>
        <v>https://www.facebook.com/634639855377280/posts/790576553116942?comment_id=704245491755203</v>
      </c>
      <c r="O1816">
        <v>0</v>
      </c>
      <c r="P1816">
        <v>0</v>
      </c>
      <c r="Q1816">
        <v>0</v>
      </c>
      <c r="S1816">
        <v>0</v>
      </c>
      <c r="T1816">
        <v>0</v>
      </c>
      <c r="U1816">
        <v>0</v>
      </c>
      <c r="W1816" t="s">
        <v>52</v>
      </c>
    </row>
    <row r="1817" spans="1:23" x14ac:dyDescent="0.35">
      <c r="A1817" t="s">
        <v>45</v>
      </c>
      <c r="B1817" t="s">
        <v>3806</v>
      </c>
      <c r="C1817" t="s">
        <v>93</v>
      </c>
      <c r="D1817" t="s">
        <v>3809</v>
      </c>
      <c r="E1817" t="s">
        <v>3810</v>
      </c>
      <c r="F1817" t="s">
        <v>49</v>
      </c>
      <c r="G1817" t="s">
        <v>3811</v>
      </c>
      <c r="H1817" t="s">
        <v>3812</v>
      </c>
      <c r="J1817" t="str">
        <f>HYPERLINK("https://twitter.com/kunalgaurav23/status/1757453845242785836","https://twitter.com/kunalgaurav23/status/1757453845242785836")</f>
        <v>https://twitter.com/kunalgaurav23/status/1757453845242785836</v>
      </c>
      <c r="K1817" t="s">
        <v>67</v>
      </c>
      <c r="O1817">
        <v>0</v>
      </c>
      <c r="P1817">
        <v>0</v>
      </c>
      <c r="Q1817">
        <v>364</v>
      </c>
      <c r="R1817" t="s">
        <v>3813</v>
      </c>
      <c r="S1817">
        <v>0</v>
      </c>
      <c r="T1817">
        <v>0</v>
      </c>
      <c r="U1817">
        <v>0</v>
      </c>
      <c r="W1817" t="s">
        <v>99</v>
      </c>
    </row>
    <row r="1818" spans="1:23" x14ac:dyDescent="0.35">
      <c r="A1818" t="s">
        <v>45</v>
      </c>
      <c r="B1818" t="s">
        <v>3806</v>
      </c>
      <c r="C1818" t="s">
        <v>60</v>
      </c>
      <c r="D1818" t="s">
        <v>61</v>
      </c>
      <c r="E1818" t="s">
        <v>61</v>
      </c>
      <c r="F1818" t="s">
        <v>54</v>
      </c>
      <c r="G1818" t="s">
        <v>3814</v>
      </c>
      <c r="H1818" t="s">
        <v>3815</v>
      </c>
      <c r="J1818" t="str">
        <f>HYPERLINK("https://www.facebook.com/634639855377280/posts/790576553116942?comment_id=1092196032034297","https://www.facebook.com/634639855377280/posts/790576553116942?comment_id=1092196032034297")</f>
        <v>https://www.facebook.com/634639855377280/posts/790576553116942?comment_id=1092196032034297</v>
      </c>
      <c r="O1818">
        <v>0</v>
      </c>
      <c r="P1818">
        <v>0</v>
      </c>
      <c r="Q1818">
        <v>0</v>
      </c>
      <c r="S1818">
        <v>0</v>
      </c>
      <c r="T1818">
        <v>0</v>
      </c>
      <c r="U1818">
        <v>0</v>
      </c>
      <c r="W1818" t="s">
        <v>52</v>
      </c>
    </row>
    <row r="1819" spans="1:23" x14ac:dyDescent="0.35">
      <c r="A1819" t="s">
        <v>45</v>
      </c>
      <c r="B1819" t="s">
        <v>3806</v>
      </c>
      <c r="C1819" t="s">
        <v>60</v>
      </c>
      <c r="D1819" t="s">
        <v>61</v>
      </c>
      <c r="E1819" t="s">
        <v>61</v>
      </c>
      <c r="F1819" t="s">
        <v>49</v>
      </c>
      <c r="G1819" t="s">
        <v>3816</v>
      </c>
      <c r="H1819" t="s">
        <v>3817</v>
      </c>
      <c r="J1819" t="str">
        <f>HYPERLINK("https://www.facebook.com/634639855377280/posts/787942146713716?comment_id=1059585472016523","https://www.facebook.com/634639855377280/posts/787942146713716?comment_id=1059585472016523")</f>
        <v>https://www.facebook.com/634639855377280/posts/787942146713716?comment_id=1059585472016523</v>
      </c>
      <c r="O1819">
        <v>0</v>
      </c>
      <c r="P1819">
        <v>0</v>
      </c>
      <c r="Q1819">
        <v>0</v>
      </c>
      <c r="S1819">
        <v>0</v>
      </c>
      <c r="T1819">
        <v>0</v>
      </c>
      <c r="U1819">
        <v>0</v>
      </c>
      <c r="W1819" t="s">
        <v>52</v>
      </c>
    </row>
    <row r="1820" spans="1:23" x14ac:dyDescent="0.35">
      <c r="A1820" t="s">
        <v>45</v>
      </c>
      <c r="B1820" t="s">
        <v>3806</v>
      </c>
      <c r="C1820" t="s">
        <v>47</v>
      </c>
      <c r="D1820" t="s">
        <v>3818</v>
      </c>
      <c r="E1820" t="s">
        <v>3818</v>
      </c>
      <c r="F1820" t="s">
        <v>193</v>
      </c>
      <c r="G1820" t="s">
        <v>3819</v>
      </c>
      <c r="H1820" t="s">
        <v>3820</v>
      </c>
      <c r="J1820" t="str">
        <f>HYPERLINK("https://www.youtube.com/watch?v=PXJLS73XiVw&amp;lc=UgxJ1dirNz9eVuYLy914AaABAg","https://www.youtube.com/watch?v=PXJLS73XiVw&amp;lc=UgxJ1dirNz9eVuYLy914AaABAg")</f>
        <v>https://www.youtube.com/watch?v=PXJLS73XiVw&amp;lc=UgxJ1dirNz9eVuYLy914AaABAg</v>
      </c>
      <c r="O1820">
        <v>0</v>
      </c>
      <c r="P1820">
        <v>0</v>
      </c>
      <c r="Q1820">
        <v>0</v>
      </c>
      <c r="S1820">
        <v>0</v>
      </c>
      <c r="T1820">
        <v>0</v>
      </c>
      <c r="U1820">
        <v>0</v>
      </c>
      <c r="W1820" t="s">
        <v>52</v>
      </c>
    </row>
    <row r="1821" spans="1:23" x14ac:dyDescent="0.35">
      <c r="A1821" t="s">
        <v>45</v>
      </c>
      <c r="B1821" t="s">
        <v>3806</v>
      </c>
      <c r="C1821" t="s">
        <v>47</v>
      </c>
      <c r="D1821" t="s">
        <v>68</v>
      </c>
      <c r="E1821" t="s">
        <v>68</v>
      </c>
      <c r="F1821" t="s">
        <v>49</v>
      </c>
      <c r="G1821" t="s">
        <v>102</v>
      </c>
      <c r="H1821" t="s">
        <v>3821</v>
      </c>
      <c r="J1821" t="str">
        <f>HYPERLINK("https://www.youtube.com/watch?v=PdofQ0N7kzE&amp;lc=Ugy-IbM5jALZgj41hgl4AaABAg.A-klHpL7R_cA-kpGlRJ2WE","https://www.youtube.com/watch?v=PdofQ0N7kzE&amp;lc=Ugy-IbM5jALZgj41hgl4AaABAg.A-klHpL7R_cA-kpGlRJ2WE")</f>
        <v>https://www.youtube.com/watch?v=PdofQ0N7kzE&amp;lc=Ugy-IbM5jALZgj41hgl4AaABAg.A-klHpL7R_cA-kpGlRJ2WE</v>
      </c>
      <c r="O1821">
        <v>0</v>
      </c>
      <c r="P1821">
        <v>0</v>
      </c>
      <c r="Q1821">
        <v>0</v>
      </c>
      <c r="S1821">
        <v>0</v>
      </c>
      <c r="T1821">
        <v>0</v>
      </c>
      <c r="U1821">
        <v>0</v>
      </c>
      <c r="W1821" t="s">
        <v>52</v>
      </c>
    </row>
    <row r="1822" spans="1:23" x14ac:dyDescent="0.35">
      <c r="A1822" t="s">
        <v>45</v>
      </c>
      <c r="B1822" t="s">
        <v>3806</v>
      </c>
      <c r="C1822" t="s">
        <v>93</v>
      </c>
      <c r="D1822" t="s">
        <v>3822</v>
      </c>
      <c r="E1822" t="s">
        <v>3823</v>
      </c>
      <c r="F1822" t="s">
        <v>49</v>
      </c>
      <c r="G1822" t="s">
        <v>3824</v>
      </c>
      <c r="H1822" t="s">
        <v>3825</v>
      </c>
      <c r="J1822" t="str">
        <f>HYPERLINK("https://twitter.com/shibam_jai39657/status/1757359805122162971","https://twitter.com/shibam_jai39657/status/1757359805122162971")</f>
        <v>https://twitter.com/shibam_jai39657/status/1757359805122162971</v>
      </c>
      <c r="K1822" t="s">
        <v>67</v>
      </c>
      <c r="O1822">
        <v>0</v>
      </c>
      <c r="P1822">
        <v>0</v>
      </c>
      <c r="Q1822">
        <v>0</v>
      </c>
      <c r="S1822">
        <v>0</v>
      </c>
      <c r="T1822">
        <v>0</v>
      </c>
      <c r="U1822">
        <v>0</v>
      </c>
      <c r="W1822" t="s">
        <v>99</v>
      </c>
    </row>
    <row r="1823" spans="1:23" x14ac:dyDescent="0.35">
      <c r="A1823" t="s">
        <v>45</v>
      </c>
      <c r="B1823" t="s">
        <v>3806</v>
      </c>
      <c r="C1823" t="s">
        <v>47</v>
      </c>
      <c r="D1823" t="s">
        <v>3826</v>
      </c>
      <c r="E1823" t="s">
        <v>3826</v>
      </c>
      <c r="F1823" t="s">
        <v>193</v>
      </c>
      <c r="G1823" t="s">
        <v>3827</v>
      </c>
      <c r="H1823" t="s">
        <v>3828</v>
      </c>
      <c r="J1823" t="str">
        <f>HYPERLINK("https://www.youtube.com/watch?v=PdofQ0N7kzE&amp;lc=Ugy-IbM5jALZgj41hgl4AaABAg","https://www.youtube.com/watch?v=PdofQ0N7kzE&amp;lc=Ugy-IbM5jALZgj41hgl4AaABAg")</f>
        <v>https://www.youtube.com/watch?v=PdofQ0N7kzE&amp;lc=Ugy-IbM5jALZgj41hgl4AaABAg</v>
      </c>
      <c r="O1823">
        <v>0</v>
      </c>
      <c r="P1823">
        <v>0</v>
      </c>
      <c r="Q1823">
        <v>0</v>
      </c>
      <c r="S1823">
        <v>0</v>
      </c>
      <c r="T1823">
        <v>0</v>
      </c>
      <c r="U1823">
        <v>0</v>
      </c>
      <c r="W1823" t="s">
        <v>52</v>
      </c>
    </row>
    <row r="1824" spans="1:23" x14ac:dyDescent="0.35">
      <c r="A1824" t="s">
        <v>45</v>
      </c>
      <c r="B1824" t="s">
        <v>3806</v>
      </c>
      <c r="C1824" t="s">
        <v>60</v>
      </c>
      <c r="D1824" t="s">
        <v>61</v>
      </c>
      <c r="E1824" t="s">
        <v>61</v>
      </c>
      <c r="F1824" t="s">
        <v>193</v>
      </c>
      <c r="G1824" t="s">
        <v>3829</v>
      </c>
      <c r="H1824" t="s">
        <v>3830</v>
      </c>
      <c r="J1824" t="str">
        <f>HYPERLINK("https://www.facebook.com/634639855377280/posts/788604969980767?comment_id=690489079912781","https://www.facebook.com/634639855377280/posts/788604969980767?comment_id=690489079912781")</f>
        <v>https://www.facebook.com/634639855377280/posts/788604969980767?comment_id=690489079912781</v>
      </c>
      <c r="O1824">
        <v>0</v>
      </c>
      <c r="P1824">
        <v>0</v>
      </c>
      <c r="Q1824">
        <v>0</v>
      </c>
      <c r="S1824">
        <v>0</v>
      </c>
      <c r="T1824">
        <v>0</v>
      </c>
      <c r="U1824">
        <v>0</v>
      </c>
      <c r="W1824" t="s">
        <v>52</v>
      </c>
    </row>
    <row r="1825" spans="1:23" x14ac:dyDescent="0.35">
      <c r="A1825" t="s">
        <v>45</v>
      </c>
      <c r="B1825" t="s">
        <v>3806</v>
      </c>
      <c r="C1825" t="s">
        <v>60</v>
      </c>
      <c r="D1825" t="s">
        <v>61</v>
      </c>
      <c r="E1825" t="s">
        <v>61</v>
      </c>
      <c r="F1825" t="s">
        <v>49</v>
      </c>
      <c r="G1825" t="s">
        <v>3831</v>
      </c>
      <c r="H1825" t="s">
        <v>3832</v>
      </c>
      <c r="J1825" t="str">
        <f>HYPERLINK("https://www.facebook.com/634639855377280/posts/788604969980767?comment_id=1823837608076056","https://www.facebook.com/634639855377280/posts/788604969980767?comment_id=1823837608076056")</f>
        <v>https://www.facebook.com/634639855377280/posts/788604969980767?comment_id=1823837608076056</v>
      </c>
      <c r="O1825">
        <v>0</v>
      </c>
      <c r="P1825">
        <v>0</v>
      </c>
      <c r="Q1825">
        <v>0</v>
      </c>
      <c r="S1825">
        <v>0</v>
      </c>
      <c r="T1825">
        <v>0</v>
      </c>
      <c r="U1825">
        <v>0</v>
      </c>
      <c r="W1825" t="s">
        <v>52</v>
      </c>
    </row>
    <row r="1826" spans="1:23" x14ac:dyDescent="0.35">
      <c r="A1826" t="s">
        <v>45</v>
      </c>
      <c r="B1826" t="s">
        <v>3806</v>
      </c>
      <c r="C1826" t="s">
        <v>93</v>
      </c>
      <c r="D1826" t="s">
        <v>94</v>
      </c>
      <c r="E1826" t="s">
        <v>45</v>
      </c>
      <c r="F1826" t="s">
        <v>49</v>
      </c>
      <c r="G1826" t="s">
        <v>3833</v>
      </c>
      <c r="H1826" t="s">
        <v>3834</v>
      </c>
      <c r="J1826" t="str">
        <f>HYPERLINK("https://twitter.com/SpiceMoneyIndia/status/1757341039034020337","https://twitter.com/SpiceMoneyIndia/status/1757341039034020337")</f>
        <v>https://twitter.com/SpiceMoneyIndia/status/1757341039034020337</v>
      </c>
      <c r="K1826" t="s">
        <v>67</v>
      </c>
      <c r="O1826">
        <v>0</v>
      </c>
      <c r="P1826">
        <v>0</v>
      </c>
      <c r="Q1826">
        <v>6027</v>
      </c>
      <c r="R1826" t="s">
        <v>97</v>
      </c>
      <c r="S1826">
        <v>0</v>
      </c>
      <c r="T1826">
        <v>0</v>
      </c>
      <c r="U1826">
        <v>0</v>
      </c>
      <c r="V1826" t="s">
        <v>98</v>
      </c>
      <c r="W1826" t="s">
        <v>99</v>
      </c>
    </row>
    <row r="1827" spans="1:23" x14ac:dyDescent="0.35">
      <c r="A1827" t="s">
        <v>45</v>
      </c>
      <c r="B1827" t="s">
        <v>3806</v>
      </c>
      <c r="C1827" t="s">
        <v>60</v>
      </c>
      <c r="D1827" t="s">
        <v>64</v>
      </c>
      <c r="E1827" t="s">
        <v>64</v>
      </c>
      <c r="F1827" t="s">
        <v>49</v>
      </c>
      <c r="G1827" t="s">
        <v>266</v>
      </c>
      <c r="H1827" t="s">
        <v>3835</v>
      </c>
      <c r="J1827" t="str">
        <f>HYPERLINK("https://www.facebook.com/634639855377280/posts/787942146713716?comment_id=1823315818450853&amp;reply_comment_id=1568256333960416","https://www.facebook.com/634639855377280/posts/787942146713716?comment_id=1823315818450853&amp;reply_comment_id=1568256333960416")</f>
        <v>https://www.facebook.com/634639855377280/posts/787942146713716?comment_id=1823315818450853&amp;reply_comment_id=1568256333960416</v>
      </c>
      <c r="K1827" t="s">
        <v>67</v>
      </c>
      <c r="O1827">
        <v>0</v>
      </c>
      <c r="P1827">
        <v>0</v>
      </c>
      <c r="Q1827">
        <v>0</v>
      </c>
      <c r="S1827">
        <v>0</v>
      </c>
      <c r="T1827">
        <v>0</v>
      </c>
      <c r="U1827">
        <v>0</v>
      </c>
      <c r="W1827" t="s">
        <v>52</v>
      </c>
    </row>
    <row r="1828" spans="1:23" x14ac:dyDescent="0.35">
      <c r="A1828" t="s">
        <v>45</v>
      </c>
      <c r="B1828" t="s">
        <v>3806</v>
      </c>
      <c r="C1828" t="s">
        <v>47</v>
      </c>
      <c r="D1828" t="s">
        <v>68</v>
      </c>
      <c r="E1828" t="s">
        <v>68</v>
      </c>
      <c r="F1828" t="s">
        <v>49</v>
      </c>
      <c r="G1828" t="s">
        <v>102</v>
      </c>
      <c r="H1828" t="s">
        <v>3836</v>
      </c>
      <c r="J1828" t="str">
        <f>HYPERLINK("https://www.youtube.com/watch?v=Vk9kehZJdww&amp;lc=Ugy4dyIVxo9olf6VJ7J4AaABAg.A-kPUxaA3bJA-kc9Twjr_6","https://www.youtube.com/watch?v=Vk9kehZJdww&amp;lc=Ugy4dyIVxo9olf6VJ7J4AaABAg.A-kPUxaA3bJA-kc9Twjr_6")</f>
        <v>https://www.youtube.com/watch?v=Vk9kehZJdww&amp;lc=Ugy4dyIVxo9olf6VJ7J4AaABAg.A-kPUxaA3bJA-kc9Twjr_6</v>
      </c>
      <c r="O1828">
        <v>0</v>
      </c>
      <c r="P1828">
        <v>0</v>
      </c>
      <c r="Q1828">
        <v>0</v>
      </c>
      <c r="S1828">
        <v>0</v>
      </c>
      <c r="T1828">
        <v>0</v>
      </c>
      <c r="U1828">
        <v>0</v>
      </c>
      <c r="W1828" t="s">
        <v>52</v>
      </c>
    </row>
    <row r="1829" spans="1:23" x14ac:dyDescent="0.35">
      <c r="A1829" t="s">
        <v>45</v>
      </c>
      <c r="B1829" t="s">
        <v>3806</v>
      </c>
      <c r="C1829" t="s">
        <v>47</v>
      </c>
      <c r="D1829" t="s">
        <v>68</v>
      </c>
      <c r="E1829" t="s">
        <v>68</v>
      </c>
      <c r="F1829" t="s">
        <v>49</v>
      </c>
      <c r="G1829" t="s">
        <v>69</v>
      </c>
      <c r="H1829" t="s">
        <v>3837</v>
      </c>
      <c r="J1829" t="str">
        <f>HYPERLINK("https://www.youtube.com/watch?v=Vk9kehZJdww&amp;lc=Ugx2SY5xE7yu45w0u5J4AaABAg.A-k-F7XOlayA-kc10D5ons","https://www.youtube.com/watch?v=Vk9kehZJdww&amp;lc=Ugx2SY5xE7yu45w0u5J4AaABAg.A-k-F7XOlayA-kc10D5ons")</f>
        <v>https://www.youtube.com/watch?v=Vk9kehZJdww&amp;lc=Ugx2SY5xE7yu45w0u5J4AaABAg.A-k-F7XOlayA-kc10D5ons</v>
      </c>
      <c r="O1829">
        <v>0</v>
      </c>
      <c r="P1829">
        <v>0</v>
      </c>
      <c r="Q1829">
        <v>0</v>
      </c>
      <c r="S1829">
        <v>0</v>
      </c>
      <c r="T1829">
        <v>0</v>
      </c>
      <c r="U1829">
        <v>0</v>
      </c>
      <c r="W1829" t="s">
        <v>52</v>
      </c>
    </row>
    <row r="1830" spans="1:23" x14ac:dyDescent="0.35">
      <c r="A1830" t="s">
        <v>45</v>
      </c>
      <c r="B1830" t="s">
        <v>3806</v>
      </c>
      <c r="C1830" t="s">
        <v>47</v>
      </c>
      <c r="D1830" t="s">
        <v>3838</v>
      </c>
      <c r="E1830" t="s">
        <v>3838</v>
      </c>
      <c r="F1830" t="s">
        <v>49</v>
      </c>
      <c r="G1830" t="s">
        <v>3839</v>
      </c>
      <c r="H1830" t="s">
        <v>3840</v>
      </c>
      <c r="J1830" t="str">
        <f>HYPERLINK("https://www.youtube.com/watch?v=DMlpygM0MQM&amp;lc=UgxUHjgLaxd4qUu78BR4AaABAg","https://www.youtube.com/watch?v=DMlpygM0MQM&amp;lc=UgxUHjgLaxd4qUu78BR4AaABAg")</f>
        <v>https://www.youtube.com/watch?v=DMlpygM0MQM&amp;lc=UgxUHjgLaxd4qUu78BR4AaABAg</v>
      </c>
      <c r="O1830">
        <v>0</v>
      </c>
      <c r="P1830">
        <v>0</v>
      </c>
      <c r="Q1830">
        <v>0</v>
      </c>
      <c r="S1830">
        <v>0</v>
      </c>
      <c r="T1830">
        <v>0</v>
      </c>
      <c r="U1830">
        <v>0</v>
      </c>
      <c r="W1830" t="s">
        <v>52</v>
      </c>
    </row>
    <row r="1831" spans="1:23" x14ac:dyDescent="0.35">
      <c r="A1831" t="s">
        <v>45</v>
      </c>
      <c r="B1831" t="s">
        <v>3806</v>
      </c>
      <c r="C1831" t="s">
        <v>47</v>
      </c>
      <c r="D1831" t="s">
        <v>3838</v>
      </c>
      <c r="E1831" t="s">
        <v>3838</v>
      </c>
      <c r="F1831" t="s">
        <v>49</v>
      </c>
      <c r="G1831" t="s">
        <v>3841</v>
      </c>
      <c r="H1831" t="s">
        <v>3842</v>
      </c>
      <c r="J1831" t="str">
        <f>HYPERLINK("https://www.youtube.com/watch?v=DMlpygM0MQM&amp;lc=Ugwo9JUMmu-mhvrkcm14AaABAg","https://www.youtube.com/watch?v=DMlpygM0MQM&amp;lc=Ugwo9JUMmu-mhvrkcm14AaABAg")</f>
        <v>https://www.youtube.com/watch?v=DMlpygM0MQM&amp;lc=Ugwo9JUMmu-mhvrkcm14AaABAg</v>
      </c>
      <c r="O1831">
        <v>0</v>
      </c>
      <c r="P1831">
        <v>0</v>
      </c>
      <c r="Q1831">
        <v>0</v>
      </c>
      <c r="S1831">
        <v>0</v>
      </c>
      <c r="T1831">
        <v>0</v>
      </c>
      <c r="U1831">
        <v>0</v>
      </c>
      <c r="W1831" t="s">
        <v>52</v>
      </c>
    </row>
    <row r="1832" spans="1:23" x14ac:dyDescent="0.35">
      <c r="A1832" t="s">
        <v>45</v>
      </c>
      <c r="B1832" t="s">
        <v>3806</v>
      </c>
      <c r="C1832" t="s">
        <v>47</v>
      </c>
      <c r="D1832" t="s">
        <v>3838</v>
      </c>
      <c r="E1832" t="s">
        <v>3838</v>
      </c>
      <c r="F1832" t="s">
        <v>49</v>
      </c>
      <c r="G1832" t="s">
        <v>3843</v>
      </c>
      <c r="H1832" t="s">
        <v>3844</v>
      </c>
      <c r="J1832" t="str">
        <f>HYPERLINK("https://www.youtube.com/watch?v=mfHtMEJS28Y&amp;lc=UgylbKZNc-yoaNDN37l4AaABAg","https://www.youtube.com/watch?v=mfHtMEJS28Y&amp;lc=UgylbKZNc-yoaNDN37l4AaABAg")</f>
        <v>https://www.youtube.com/watch?v=mfHtMEJS28Y&amp;lc=UgylbKZNc-yoaNDN37l4AaABAg</v>
      </c>
      <c r="O1832">
        <v>0</v>
      </c>
      <c r="P1832">
        <v>0</v>
      </c>
      <c r="Q1832">
        <v>0</v>
      </c>
      <c r="S1832">
        <v>0</v>
      </c>
      <c r="T1832">
        <v>0</v>
      </c>
      <c r="U1832">
        <v>0</v>
      </c>
      <c r="W1832" t="s">
        <v>52</v>
      </c>
    </row>
    <row r="1833" spans="1:23" x14ac:dyDescent="0.35">
      <c r="A1833" t="s">
        <v>45</v>
      </c>
      <c r="B1833" t="s">
        <v>3806</v>
      </c>
      <c r="C1833" t="s">
        <v>60</v>
      </c>
      <c r="D1833" t="s">
        <v>64</v>
      </c>
      <c r="E1833" t="s">
        <v>64</v>
      </c>
      <c r="F1833" t="s">
        <v>49</v>
      </c>
      <c r="G1833" t="s">
        <v>3845</v>
      </c>
      <c r="H1833" t="s">
        <v>3846</v>
      </c>
      <c r="J1833" t="str">
        <f>HYPERLINK("https://www.facebook.com/634639855377280/posts/790576553116942","https://www.facebook.com/634639855377280/posts/790576553116942")</f>
        <v>https://www.facebook.com/634639855377280/posts/790576553116942</v>
      </c>
      <c r="O1833">
        <v>0</v>
      </c>
      <c r="P1833">
        <v>0</v>
      </c>
      <c r="Q1833">
        <v>0</v>
      </c>
      <c r="S1833">
        <v>9</v>
      </c>
      <c r="T1833">
        <v>94</v>
      </c>
      <c r="U1833">
        <v>8</v>
      </c>
      <c r="W1833" t="s">
        <v>346</v>
      </c>
    </row>
    <row r="1834" spans="1:23" x14ac:dyDescent="0.35">
      <c r="A1834" t="s">
        <v>45</v>
      </c>
      <c r="B1834" t="s">
        <v>3806</v>
      </c>
      <c r="C1834" t="s">
        <v>47</v>
      </c>
      <c r="D1834" t="s">
        <v>45</v>
      </c>
      <c r="E1834" t="s">
        <v>45</v>
      </c>
      <c r="F1834" t="s">
        <v>49</v>
      </c>
      <c r="G1834" t="s">
        <v>3847</v>
      </c>
      <c r="H1834" t="s">
        <v>3848</v>
      </c>
      <c r="J1834" t="str">
        <f>HYPERLINK("https://www.youtube.com/watch?v=PdofQ0N7kzE","https://www.youtube.com/watch?v=PdofQ0N7kzE")</f>
        <v>https://www.youtube.com/watch?v=PdofQ0N7kzE</v>
      </c>
      <c r="O1834">
        <v>0</v>
      </c>
      <c r="P1834">
        <v>0</v>
      </c>
      <c r="Q1834">
        <v>0</v>
      </c>
      <c r="S1834">
        <v>0</v>
      </c>
      <c r="T1834">
        <v>0</v>
      </c>
      <c r="U1834">
        <v>0</v>
      </c>
      <c r="W1834" t="s">
        <v>346</v>
      </c>
    </row>
    <row r="1835" spans="1:23" x14ac:dyDescent="0.35">
      <c r="A1835" t="s">
        <v>45</v>
      </c>
      <c r="B1835" t="s">
        <v>3806</v>
      </c>
      <c r="C1835" t="s">
        <v>47</v>
      </c>
      <c r="D1835" t="s">
        <v>45</v>
      </c>
      <c r="E1835" t="s">
        <v>45</v>
      </c>
      <c r="F1835" t="s">
        <v>49</v>
      </c>
      <c r="G1835" t="s">
        <v>3847</v>
      </c>
      <c r="H1835" t="s">
        <v>3849</v>
      </c>
      <c r="J1835" t="str">
        <f>HYPERLINK("https://www.youtube.com/watch?v=PdofQ0N7kzE","https://www.youtube.com/watch?v=PdofQ0N7kzE")</f>
        <v>https://www.youtube.com/watch?v=PdofQ0N7kzE</v>
      </c>
      <c r="O1835">
        <v>0</v>
      </c>
      <c r="P1835">
        <v>0</v>
      </c>
      <c r="Q1835">
        <v>0</v>
      </c>
      <c r="S1835">
        <v>0</v>
      </c>
      <c r="T1835">
        <v>0</v>
      </c>
      <c r="U1835">
        <v>0</v>
      </c>
      <c r="W1835" t="s">
        <v>346</v>
      </c>
    </row>
    <row r="1836" spans="1:23" x14ac:dyDescent="0.35">
      <c r="A1836" t="s">
        <v>45</v>
      </c>
      <c r="B1836" t="s">
        <v>3806</v>
      </c>
      <c r="C1836" t="s">
        <v>60</v>
      </c>
      <c r="D1836" t="s">
        <v>61</v>
      </c>
      <c r="E1836" t="s">
        <v>61</v>
      </c>
      <c r="F1836" t="s">
        <v>49</v>
      </c>
      <c r="G1836" t="s">
        <v>3850</v>
      </c>
      <c r="H1836" t="s">
        <v>3851</v>
      </c>
      <c r="J1836" t="str">
        <f>HYPERLINK("https://www.facebook.com/634639855377280/posts/787942146713716?comment_id=1823315818450853","https://www.facebook.com/634639855377280/posts/787942146713716?comment_id=1823315818450853")</f>
        <v>https://www.facebook.com/634639855377280/posts/787942146713716?comment_id=1823315818450853</v>
      </c>
      <c r="O1836">
        <v>0</v>
      </c>
      <c r="P1836">
        <v>0</v>
      </c>
      <c r="Q1836">
        <v>0</v>
      </c>
      <c r="S1836">
        <v>0</v>
      </c>
      <c r="T1836">
        <v>0</v>
      </c>
      <c r="U1836">
        <v>0</v>
      </c>
      <c r="W1836" t="s">
        <v>52</v>
      </c>
    </row>
    <row r="1837" spans="1:23" x14ac:dyDescent="0.35">
      <c r="A1837" t="s">
        <v>45</v>
      </c>
      <c r="B1837" t="s">
        <v>3806</v>
      </c>
      <c r="C1837" t="s">
        <v>47</v>
      </c>
      <c r="D1837" t="s">
        <v>3682</v>
      </c>
      <c r="E1837" t="s">
        <v>3682</v>
      </c>
      <c r="F1837" t="s">
        <v>49</v>
      </c>
      <c r="G1837" t="s">
        <v>3852</v>
      </c>
      <c r="H1837" t="s">
        <v>3853</v>
      </c>
      <c r="J1837" t="str">
        <f>HYPERLINK("https://www.youtube.com/watch?v=Vk9kehZJdww&amp;lc=Ugy4dyIVxo9olf6VJ7J4AaABAg","https://www.youtube.com/watch?v=Vk9kehZJdww&amp;lc=Ugy4dyIVxo9olf6VJ7J4AaABAg")</f>
        <v>https://www.youtube.com/watch?v=Vk9kehZJdww&amp;lc=Ugy4dyIVxo9olf6VJ7J4AaABAg</v>
      </c>
      <c r="O1837">
        <v>0</v>
      </c>
      <c r="P1837">
        <v>0</v>
      </c>
      <c r="Q1837">
        <v>0</v>
      </c>
      <c r="S1837">
        <v>0</v>
      </c>
      <c r="T1837">
        <v>0</v>
      </c>
      <c r="U1837">
        <v>0</v>
      </c>
      <c r="W1837" t="s">
        <v>52</v>
      </c>
    </row>
    <row r="1838" spans="1:23" x14ac:dyDescent="0.35">
      <c r="A1838" t="s">
        <v>45</v>
      </c>
      <c r="B1838" t="s">
        <v>3806</v>
      </c>
      <c r="C1838" t="s">
        <v>93</v>
      </c>
      <c r="D1838" t="s">
        <v>752</v>
      </c>
      <c r="E1838" t="s">
        <v>753</v>
      </c>
      <c r="F1838" t="s">
        <v>49</v>
      </c>
      <c r="G1838" t="s">
        <v>3854</v>
      </c>
      <c r="H1838" t="s">
        <v>3855</v>
      </c>
      <c r="J1838" t="str">
        <f>HYPERLINK("https://twitter.com/PayNearby/status/1757271181927854435","https://twitter.com/PayNearby/status/1757271181927854435")</f>
        <v>https://twitter.com/PayNearby/status/1757271181927854435</v>
      </c>
      <c r="O1838">
        <v>0</v>
      </c>
      <c r="P1838">
        <v>0</v>
      </c>
      <c r="Q1838">
        <v>5991</v>
      </c>
      <c r="R1838" t="s">
        <v>756</v>
      </c>
      <c r="S1838">
        <v>0</v>
      </c>
      <c r="T1838">
        <v>0</v>
      </c>
      <c r="U1838">
        <v>0</v>
      </c>
      <c r="W1838" t="s">
        <v>99</v>
      </c>
    </row>
    <row r="1839" spans="1:23" x14ac:dyDescent="0.35">
      <c r="A1839" t="s">
        <v>45</v>
      </c>
      <c r="B1839" t="s">
        <v>3806</v>
      </c>
      <c r="C1839" t="s">
        <v>60</v>
      </c>
      <c r="D1839" t="s">
        <v>64</v>
      </c>
      <c r="E1839" t="s">
        <v>64</v>
      </c>
      <c r="F1839" t="s">
        <v>49</v>
      </c>
      <c r="G1839" t="s">
        <v>3773</v>
      </c>
      <c r="H1839" t="s">
        <v>3856</v>
      </c>
      <c r="J1839" t="str">
        <f>HYPERLINK("https://www.facebook.com/634639855377280/posts/787942146713716?comment_id=1828168577650370&amp;reply_comment_id=1620179488794139","https://www.facebook.com/634639855377280/posts/787942146713716?comment_id=1828168577650370&amp;reply_comment_id=1620179488794139")</f>
        <v>https://www.facebook.com/634639855377280/posts/787942146713716?comment_id=1828168577650370&amp;reply_comment_id=1620179488794139</v>
      </c>
      <c r="K1839" t="s">
        <v>67</v>
      </c>
      <c r="O1839">
        <v>0</v>
      </c>
      <c r="P1839">
        <v>0</v>
      </c>
      <c r="Q1839">
        <v>0</v>
      </c>
      <c r="S1839">
        <v>0</v>
      </c>
      <c r="T1839">
        <v>0</v>
      </c>
      <c r="U1839">
        <v>0</v>
      </c>
      <c r="W1839" t="s">
        <v>52</v>
      </c>
    </row>
    <row r="1840" spans="1:23" x14ac:dyDescent="0.35">
      <c r="A1840" t="s">
        <v>45</v>
      </c>
      <c r="B1840" t="s">
        <v>3806</v>
      </c>
      <c r="C1840" t="s">
        <v>60</v>
      </c>
      <c r="D1840" t="s">
        <v>61</v>
      </c>
      <c r="E1840" t="s">
        <v>61</v>
      </c>
      <c r="F1840" t="s">
        <v>49</v>
      </c>
      <c r="G1840" t="s">
        <v>2360</v>
      </c>
      <c r="H1840" t="s">
        <v>3857</v>
      </c>
      <c r="J1840" t="str">
        <f>HYPERLINK("https://www.facebook.com/634639855377280/posts/787942146713716?comment_id=1057848928768637&amp;reply_comment_id=2596124947235947","https://www.facebook.com/634639855377280/posts/787942146713716?comment_id=1057848928768637&amp;reply_comment_id=2596124947235947")</f>
        <v>https://www.facebook.com/634639855377280/posts/787942146713716?comment_id=1057848928768637&amp;reply_comment_id=2596124947235947</v>
      </c>
      <c r="O1840">
        <v>0</v>
      </c>
      <c r="P1840">
        <v>0</v>
      </c>
      <c r="Q1840">
        <v>0</v>
      </c>
      <c r="S1840">
        <v>0</v>
      </c>
      <c r="T1840">
        <v>0</v>
      </c>
      <c r="U1840">
        <v>0</v>
      </c>
      <c r="W1840" t="s">
        <v>52</v>
      </c>
    </row>
    <row r="1841" spans="1:23" x14ac:dyDescent="0.35">
      <c r="A1841" t="s">
        <v>45</v>
      </c>
      <c r="B1841" t="s">
        <v>3806</v>
      </c>
      <c r="C1841" t="s">
        <v>60</v>
      </c>
      <c r="D1841" t="s">
        <v>64</v>
      </c>
      <c r="E1841" t="s">
        <v>64</v>
      </c>
      <c r="F1841" t="s">
        <v>49</v>
      </c>
      <c r="G1841" t="s">
        <v>100</v>
      </c>
      <c r="H1841" t="s">
        <v>3858</v>
      </c>
      <c r="J1841" t="str">
        <f>HYPERLINK("https://www.facebook.com/634639855377280/posts/787942146713716?comment_id=401140042454594&amp;reply_comment_id=7112926962157637","https://www.facebook.com/634639855377280/posts/787942146713716?comment_id=401140042454594&amp;reply_comment_id=7112926962157637")</f>
        <v>https://www.facebook.com/634639855377280/posts/787942146713716?comment_id=401140042454594&amp;reply_comment_id=7112926962157637</v>
      </c>
      <c r="K1841" t="s">
        <v>67</v>
      </c>
      <c r="O1841">
        <v>0</v>
      </c>
      <c r="P1841">
        <v>0</v>
      </c>
      <c r="Q1841">
        <v>0</v>
      </c>
      <c r="S1841">
        <v>0</v>
      </c>
      <c r="T1841">
        <v>0</v>
      </c>
      <c r="U1841">
        <v>0</v>
      </c>
      <c r="W1841" t="s">
        <v>52</v>
      </c>
    </row>
    <row r="1842" spans="1:23" x14ac:dyDescent="0.35">
      <c r="A1842" t="s">
        <v>45</v>
      </c>
      <c r="B1842" t="s">
        <v>3806</v>
      </c>
      <c r="C1842" t="s">
        <v>60</v>
      </c>
      <c r="D1842" t="s">
        <v>64</v>
      </c>
      <c r="E1842" t="s">
        <v>64</v>
      </c>
      <c r="F1842" t="s">
        <v>49</v>
      </c>
      <c r="G1842" t="s">
        <v>3773</v>
      </c>
      <c r="H1842" t="s">
        <v>3859</v>
      </c>
      <c r="J1842" t="str">
        <f>HYPERLINK("https://www.facebook.com/634639855377280/posts/787942146713716?comment_id=1057848928768637&amp;reply_comment_id=1034646800956092","https://www.facebook.com/634639855377280/posts/787942146713716?comment_id=1057848928768637&amp;reply_comment_id=1034646800956092")</f>
        <v>https://www.facebook.com/634639855377280/posts/787942146713716?comment_id=1057848928768637&amp;reply_comment_id=1034646800956092</v>
      </c>
      <c r="K1842" t="s">
        <v>67</v>
      </c>
      <c r="O1842">
        <v>0</v>
      </c>
      <c r="P1842">
        <v>0</v>
      </c>
      <c r="Q1842">
        <v>0</v>
      </c>
      <c r="S1842">
        <v>0</v>
      </c>
      <c r="T1842">
        <v>0</v>
      </c>
      <c r="U1842">
        <v>0</v>
      </c>
      <c r="W1842" t="s">
        <v>52</v>
      </c>
    </row>
    <row r="1843" spans="1:23" x14ac:dyDescent="0.35">
      <c r="A1843" t="s">
        <v>45</v>
      </c>
      <c r="B1843" t="s">
        <v>3806</v>
      </c>
      <c r="C1843" t="s">
        <v>47</v>
      </c>
      <c r="D1843" t="s">
        <v>68</v>
      </c>
      <c r="E1843" t="s">
        <v>68</v>
      </c>
      <c r="F1843" t="s">
        <v>49</v>
      </c>
      <c r="G1843" t="s">
        <v>293</v>
      </c>
      <c r="H1843" t="s">
        <v>3860</v>
      </c>
      <c r="J1843" t="str">
        <f>HYPERLINK("https://www.youtube.com/watch?v=--SsTSqIa-4&amp;lc=UgxP-o-tO-NVNJxHb-h4AaABAg.A-iS1-DqjGRA-k2soyvqnR","https://www.youtube.com/watch?v=--SsTSqIa-4&amp;lc=UgxP-o-tO-NVNJxHb-h4AaABAg.A-iS1-DqjGRA-k2soyvqnR")</f>
        <v>https://www.youtube.com/watch?v=--SsTSqIa-4&amp;lc=UgxP-o-tO-NVNJxHb-h4AaABAg.A-iS1-DqjGRA-k2soyvqnR</v>
      </c>
      <c r="O1843">
        <v>0</v>
      </c>
      <c r="P1843">
        <v>0</v>
      </c>
      <c r="Q1843">
        <v>0</v>
      </c>
      <c r="S1843">
        <v>0</v>
      </c>
      <c r="T1843">
        <v>0</v>
      </c>
      <c r="U1843">
        <v>0</v>
      </c>
      <c r="W1843" t="s">
        <v>52</v>
      </c>
    </row>
    <row r="1844" spans="1:23" x14ac:dyDescent="0.35">
      <c r="A1844" t="s">
        <v>45</v>
      </c>
      <c r="B1844" t="s">
        <v>3806</v>
      </c>
      <c r="C1844" t="s">
        <v>93</v>
      </c>
      <c r="D1844" t="s">
        <v>3809</v>
      </c>
      <c r="E1844" t="s">
        <v>3810</v>
      </c>
      <c r="F1844" t="s">
        <v>49</v>
      </c>
      <c r="G1844" t="s">
        <v>3861</v>
      </c>
      <c r="H1844" t="s">
        <v>3862</v>
      </c>
      <c r="J1844" t="str">
        <f>HYPERLINK("https://twitter.com/kunalgaurav23/status/1757257400883814683","https://twitter.com/kunalgaurav23/status/1757257400883814683")</f>
        <v>https://twitter.com/kunalgaurav23/status/1757257400883814683</v>
      </c>
      <c r="K1844" t="s">
        <v>67</v>
      </c>
      <c r="O1844">
        <v>0</v>
      </c>
      <c r="P1844">
        <v>0</v>
      </c>
      <c r="Q1844">
        <v>364</v>
      </c>
      <c r="R1844" t="s">
        <v>3813</v>
      </c>
      <c r="S1844">
        <v>0</v>
      </c>
      <c r="T1844">
        <v>0</v>
      </c>
      <c r="U1844">
        <v>0</v>
      </c>
      <c r="W1844" t="s">
        <v>99</v>
      </c>
    </row>
    <row r="1845" spans="1:23" x14ac:dyDescent="0.35">
      <c r="A1845" t="s">
        <v>45</v>
      </c>
      <c r="B1845" t="s">
        <v>3806</v>
      </c>
      <c r="C1845" t="s">
        <v>47</v>
      </c>
      <c r="D1845" t="s">
        <v>68</v>
      </c>
      <c r="E1845" t="s">
        <v>68</v>
      </c>
      <c r="F1845" t="s">
        <v>49</v>
      </c>
      <c r="G1845" t="s">
        <v>102</v>
      </c>
      <c r="H1845" t="s">
        <v>3863</v>
      </c>
      <c r="J1845" t="str">
        <f>HYPERLINK("https://www.youtube.com/watch?v=Vk9kehZJdww&amp;lc=Ugx3ipQMMb4ap0gc3G14AaABAg.A-iZadQ5izfA-k1r9O_ul_","https://www.youtube.com/watch?v=Vk9kehZJdww&amp;lc=Ugx3ipQMMb4ap0gc3G14AaABAg.A-iZadQ5izfA-k1r9O_ul_")</f>
        <v>https://www.youtube.com/watch?v=Vk9kehZJdww&amp;lc=Ugx3ipQMMb4ap0gc3G14AaABAg.A-iZadQ5izfA-k1r9O_ul_</v>
      </c>
      <c r="O1845">
        <v>0</v>
      </c>
      <c r="P1845">
        <v>0</v>
      </c>
      <c r="Q1845">
        <v>0</v>
      </c>
      <c r="S1845">
        <v>0</v>
      </c>
      <c r="T1845">
        <v>0</v>
      </c>
      <c r="U1845">
        <v>0</v>
      </c>
      <c r="W1845" t="s">
        <v>52</v>
      </c>
    </row>
    <row r="1846" spans="1:23" x14ac:dyDescent="0.35">
      <c r="A1846" t="s">
        <v>45</v>
      </c>
      <c r="B1846" t="s">
        <v>3806</v>
      </c>
      <c r="C1846" t="s">
        <v>93</v>
      </c>
      <c r="D1846" t="s">
        <v>3809</v>
      </c>
      <c r="E1846" t="s">
        <v>3810</v>
      </c>
      <c r="F1846" t="s">
        <v>49</v>
      </c>
      <c r="G1846" t="s">
        <v>3864</v>
      </c>
      <c r="H1846" t="s">
        <v>3865</v>
      </c>
      <c r="J1846" t="str">
        <f>HYPERLINK("https://twitter.com/kunalgaurav23/status/1757256945998901279","https://twitter.com/kunalgaurav23/status/1757256945998901279")</f>
        <v>https://twitter.com/kunalgaurav23/status/1757256945998901279</v>
      </c>
      <c r="K1846" t="s">
        <v>67</v>
      </c>
      <c r="O1846">
        <v>0</v>
      </c>
      <c r="P1846">
        <v>0</v>
      </c>
      <c r="Q1846">
        <v>364</v>
      </c>
      <c r="R1846" t="s">
        <v>3813</v>
      </c>
      <c r="S1846">
        <v>0</v>
      </c>
      <c r="T1846">
        <v>0</v>
      </c>
      <c r="U1846">
        <v>0</v>
      </c>
      <c r="W1846" t="s">
        <v>99</v>
      </c>
    </row>
    <row r="1847" spans="1:23" x14ac:dyDescent="0.35">
      <c r="A1847" t="s">
        <v>45</v>
      </c>
      <c r="B1847" t="s">
        <v>3806</v>
      </c>
      <c r="C1847" t="s">
        <v>47</v>
      </c>
      <c r="D1847" t="s">
        <v>3866</v>
      </c>
      <c r="E1847" t="s">
        <v>3866</v>
      </c>
      <c r="F1847" t="s">
        <v>49</v>
      </c>
      <c r="G1847" t="s">
        <v>3867</v>
      </c>
      <c r="H1847" t="s">
        <v>3868</v>
      </c>
      <c r="J1847" t="str">
        <f>HYPERLINK("https://www.youtube.com/watch?v=Vk9kehZJdww&amp;lc=Ugx2SY5xE7yu45w0u5J4AaABAg","https://www.youtube.com/watch?v=Vk9kehZJdww&amp;lc=Ugx2SY5xE7yu45w0u5J4AaABAg")</f>
        <v>https://www.youtube.com/watch?v=Vk9kehZJdww&amp;lc=Ugx2SY5xE7yu45w0u5J4AaABAg</v>
      </c>
      <c r="O1847">
        <v>0</v>
      </c>
      <c r="P1847">
        <v>0</v>
      </c>
      <c r="Q1847">
        <v>0</v>
      </c>
      <c r="S1847">
        <v>0</v>
      </c>
      <c r="T1847">
        <v>0</v>
      </c>
      <c r="U1847">
        <v>0</v>
      </c>
      <c r="W1847" t="s">
        <v>52</v>
      </c>
    </row>
    <row r="1848" spans="1:23" x14ac:dyDescent="0.35">
      <c r="A1848" t="s">
        <v>45</v>
      </c>
      <c r="B1848" t="s">
        <v>3806</v>
      </c>
      <c r="C1848" t="s">
        <v>47</v>
      </c>
      <c r="D1848" t="s">
        <v>3866</v>
      </c>
      <c r="E1848" t="s">
        <v>3866</v>
      </c>
      <c r="F1848" t="s">
        <v>49</v>
      </c>
      <c r="G1848" t="s">
        <v>3869</v>
      </c>
      <c r="H1848" t="s">
        <v>3870</v>
      </c>
      <c r="J1848" t="str">
        <f>HYPERLINK("https://www.youtube.com/watch?v=Vk9kehZJdww&amp;lc=UgwVRXB5xT8fqP0IleF4AaABAg","https://www.youtube.com/watch?v=Vk9kehZJdww&amp;lc=UgwVRXB5xT8fqP0IleF4AaABAg")</f>
        <v>https://www.youtube.com/watch?v=Vk9kehZJdww&amp;lc=UgwVRXB5xT8fqP0IleF4AaABAg</v>
      </c>
      <c r="O1848">
        <v>0</v>
      </c>
      <c r="P1848">
        <v>0</v>
      </c>
      <c r="Q1848">
        <v>0</v>
      </c>
      <c r="S1848">
        <v>0</v>
      </c>
      <c r="T1848">
        <v>0</v>
      </c>
      <c r="U1848">
        <v>0</v>
      </c>
      <c r="W1848" t="s">
        <v>52</v>
      </c>
    </row>
    <row r="1849" spans="1:23" x14ac:dyDescent="0.35">
      <c r="A1849" t="s">
        <v>45</v>
      </c>
      <c r="B1849" t="s">
        <v>3806</v>
      </c>
      <c r="C1849" t="s">
        <v>47</v>
      </c>
      <c r="D1849" t="s">
        <v>3871</v>
      </c>
      <c r="E1849" t="s">
        <v>3871</v>
      </c>
      <c r="F1849" t="s">
        <v>49</v>
      </c>
      <c r="G1849" t="s">
        <v>3872</v>
      </c>
      <c r="H1849" t="s">
        <v>3873</v>
      </c>
      <c r="J1849" t="str">
        <f>HYPERLINK("https://www.youtube.com/watch?v=Vk9kehZJdww&amp;lc=UgzzcFtnfWABpeoqB2p4AaABAg","https://www.youtube.com/watch?v=Vk9kehZJdww&amp;lc=UgzzcFtnfWABpeoqB2p4AaABAg")</f>
        <v>https://www.youtube.com/watch?v=Vk9kehZJdww&amp;lc=UgzzcFtnfWABpeoqB2p4AaABAg</v>
      </c>
      <c r="O1849">
        <v>0</v>
      </c>
      <c r="P1849">
        <v>0</v>
      </c>
      <c r="Q1849">
        <v>0</v>
      </c>
      <c r="S1849">
        <v>0</v>
      </c>
      <c r="T1849">
        <v>0</v>
      </c>
      <c r="U1849">
        <v>0</v>
      </c>
      <c r="W1849" t="s">
        <v>52</v>
      </c>
    </row>
    <row r="1850" spans="1:23" x14ac:dyDescent="0.35">
      <c r="A1850" t="s">
        <v>45</v>
      </c>
      <c r="B1850" t="s">
        <v>3874</v>
      </c>
      <c r="C1850" t="s">
        <v>47</v>
      </c>
      <c r="D1850" t="s">
        <v>351</v>
      </c>
      <c r="E1850" t="s">
        <v>351</v>
      </c>
      <c r="F1850" t="s">
        <v>49</v>
      </c>
      <c r="G1850" t="s">
        <v>3875</v>
      </c>
      <c r="H1850" t="s">
        <v>3876</v>
      </c>
      <c r="J1850" t="str">
        <f>HYPERLINK("https://www.youtube.com/watch?v=Vk9kehZJdww&amp;lc=UgymYYihoabvEEBVOLZ4AaABAg.A-d_GN1jI4LA-i_WS1LMaR","https://www.youtube.com/watch?v=Vk9kehZJdww&amp;lc=UgymYYihoabvEEBVOLZ4AaABAg.A-d_GN1jI4LA-i_WS1LMaR")</f>
        <v>https://www.youtube.com/watch?v=Vk9kehZJdww&amp;lc=UgymYYihoabvEEBVOLZ4AaABAg.A-d_GN1jI4LA-i_WS1LMaR</v>
      </c>
      <c r="O1850">
        <v>0</v>
      </c>
      <c r="P1850">
        <v>0</v>
      </c>
      <c r="Q1850">
        <v>0</v>
      </c>
      <c r="S1850">
        <v>0</v>
      </c>
      <c r="T1850">
        <v>0</v>
      </c>
      <c r="U1850">
        <v>0</v>
      </c>
      <c r="W1850" t="s">
        <v>52</v>
      </c>
    </row>
    <row r="1851" spans="1:23" x14ac:dyDescent="0.35">
      <c r="A1851" t="s">
        <v>45</v>
      </c>
      <c r="B1851" t="s">
        <v>3874</v>
      </c>
      <c r="C1851" t="s">
        <v>47</v>
      </c>
      <c r="D1851" t="s">
        <v>3877</v>
      </c>
      <c r="E1851" t="s">
        <v>3877</v>
      </c>
      <c r="F1851" t="s">
        <v>49</v>
      </c>
      <c r="G1851" t="s">
        <v>3878</v>
      </c>
      <c r="H1851" t="s">
        <v>3879</v>
      </c>
      <c r="J1851" t="str">
        <f>HYPERLINK("https://www.youtube.com/watch?v=Vk9kehZJdww&amp;lc=Ugx3ipQMMb4ap0gc3G14AaABAg","https://www.youtube.com/watch?v=Vk9kehZJdww&amp;lc=Ugx3ipQMMb4ap0gc3G14AaABAg")</f>
        <v>https://www.youtube.com/watch?v=Vk9kehZJdww&amp;lc=Ugx3ipQMMb4ap0gc3G14AaABAg</v>
      </c>
      <c r="O1851">
        <v>0</v>
      </c>
      <c r="P1851">
        <v>0</v>
      </c>
      <c r="Q1851">
        <v>0</v>
      </c>
      <c r="S1851">
        <v>0</v>
      </c>
      <c r="T1851">
        <v>0</v>
      </c>
      <c r="U1851">
        <v>0</v>
      </c>
      <c r="W1851" t="s">
        <v>52</v>
      </c>
    </row>
    <row r="1852" spans="1:23" x14ac:dyDescent="0.35">
      <c r="A1852" t="s">
        <v>45</v>
      </c>
      <c r="B1852" t="s">
        <v>3874</v>
      </c>
      <c r="C1852" t="s">
        <v>47</v>
      </c>
      <c r="D1852" t="s">
        <v>3877</v>
      </c>
      <c r="E1852" t="s">
        <v>3877</v>
      </c>
      <c r="F1852" t="s">
        <v>49</v>
      </c>
      <c r="G1852" t="s">
        <v>3880</v>
      </c>
      <c r="H1852" t="s">
        <v>3881</v>
      </c>
      <c r="J1852" t="str">
        <f>HYPERLINK("https://www.youtube.com/watch?v=Vk9kehZJdww&amp;lc=Ugxm-4FNhW18AbPXROt4AaABAg.A-c_GP-52owA-iZW-86N4m","https://www.youtube.com/watch?v=Vk9kehZJdww&amp;lc=Ugxm-4FNhW18AbPXROt4AaABAg.A-c_GP-52owA-iZW-86N4m")</f>
        <v>https://www.youtube.com/watch?v=Vk9kehZJdww&amp;lc=Ugxm-4FNhW18AbPXROt4AaABAg.A-c_GP-52owA-iZW-86N4m</v>
      </c>
      <c r="O1852">
        <v>0</v>
      </c>
      <c r="P1852">
        <v>0</v>
      </c>
      <c r="Q1852">
        <v>0</v>
      </c>
      <c r="S1852">
        <v>0</v>
      </c>
      <c r="T1852">
        <v>0</v>
      </c>
      <c r="U1852">
        <v>0</v>
      </c>
      <c r="W1852" t="s">
        <v>52</v>
      </c>
    </row>
    <row r="1853" spans="1:23" x14ac:dyDescent="0.35">
      <c r="A1853" t="s">
        <v>45</v>
      </c>
      <c r="B1853" t="s">
        <v>3874</v>
      </c>
      <c r="C1853" t="s">
        <v>47</v>
      </c>
      <c r="D1853" t="s">
        <v>3882</v>
      </c>
      <c r="E1853" t="s">
        <v>3882</v>
      </c>
      <c r="F1853" t="s">
        <v>49</v>
      </c>
      <c r="G1853" t="s">
        <v>3883</v>
      </c>
      <c r="H1853" t="s">
        <v>3884</v>
      </c>
      <c r="J1853" t="str">
        <f>HYPERLINK("https://www.youtube.com/watch?v=--SsTSqIa-4&amp;lc=UgxP-o-tO-NVNJxHb-h4AaABAg","https://www.youtube.com/watch?v=--SsTSqIa-4&amp;lc=UgxP-o-tO-NVNJxHb-h4AaABAg")</f>
        <v>https://www.youtube.com/watch?v=--SsTSqIa-4&amp;lc=UgxP-o-tO-NVNJxHb-h4AaABAg</v>
      </c>
      <c r="O1853">
        <v>0</v>
      </c>
      <c r="P1853">
        <v>0</v>
      </c>
      <c r="Q1853">
        <v>0</v>
      </c>
      <c r="S1853">
        <v>0</v>
      </c>
      <c r="T1853">
        <v>0</v>
      </c>
      <c r="U1853">
        <v>0</v>
      </c>
      <c r="W1853" t="s">
        <v>52</v>
      </c>
    </row>
    <row r="1854" spans="1:23" x14ac:dyDescent="0.35">
      <c r="A1854" t="s">
        <v>45</v>
      </c>
      <c r="B1854" t="s">
        <v>3874</v>
      </c>
      <c r="C1854" t="s">
        <v>93</v>
      </c>
      <c r="D1854" t="s">
        <v>94</v>
      </c>
      <c r="E1854" t="s">
        <v>45</v>
      </c>
      <c r="F1854" t="s">
        <v>49</v>
      </c>
      <c r="G1854" t="s">
        <v>3885</v>
      </c>
      <c r="H1854" t="s">
        <v>3886</v>
      </c>
      <c r="J1854" t="str">
        <f>HYPERLINK("https://twitter.com/SpiceMoneyIndia/status/1757020728677843102","https://twitter.com/SpiceMoneyIndia/status/1757020728677843102")</f>
        <v>https://twitter.com/SpiceMoneyIndia/status/1757020728677843102</v>
      </c>
      <c r="K1854" t="s">
        <v>67</v>
      </c>
      <c r="O1854">
        <v>0</v>
      </c>
      <c r="P1854">
        <v>0</v>
      </c>
      <c r="Q1854">
        <v>6027</v>
      </c>
      <c r="R1854" t="s">
        <v>97</v>
      </c>
      <c r="S1854">
        <v>0</v>
      </c>
      <c r="T1854">
        <v>0</v>
      </c>
      <c r="U1854">
        <v>0</v>
      </c>
      <c r="V1854" t="s">
        <v>98</v>
      </c>
      <c r="W1854" t="s">
        <v>99</v>
      </c>
    </row>
    <row r="1855" spans="1:23" x14ac:dyDescent="0.35">
      <c r="A1855" t="s">
        <v>45</v>
      </c>
      <c r="B1855" t="s">
        <v>3874</v>
      </c>
      <c r="C1855" t="s">
        <v>47</v>
      </c>
      <c r="D1855" t="s">
        <v>68</v>
      </c>
      <c r="E1855" t="s">
        <v>68</v>
      </c>
      <c r="F1855" t="s">
        <v>49</v>
      </c>
      <c r="G1855" t="s">
        <v>102</v>
      </c>
      <c r="H1855" t="s">
        <v>3887</v>
      </c>
      <c r="J1855" t="str">
        <f>HYPERLINK("https://www.youtube.com/watch?v=YQSdpP96l0U&amp;lc=Ugw2HLFrJFnL2NY2dL14AaABAg.A-as32-dup3A-iLlerrQjs","https://www.youtube.com/watch?v=YQSdpP96l0U&amp;lc=Ugw2HLFrJFnL2NY2dL14AaABAg.A-as32-dup3A-iLlerrQjs")</f>
        <v>https://www.youtube.com/watch?v=YQSdpP96l0U&amp;lc=Ugw2HLFrJFnL2NY2dL14AaABAg.A-as32-dup3A-iLlerrQjs</v>
      </c>
      <c r="O1855">
        <v>0</v>
      </c>
      <c r="P1855">
        <v>0</v>
      </c>
      <c r="Q1855">
        <v>0</v>
      </c>
      <c r="S1855">
        <v>0</v>
      </c>
      <c r="T1855">
        <v>0</v>
      </c>
      <c r="U1855">
        <v>0</v>
      </c>
      <c r="W1855" t="s">
        <v>52</v>
      </c>
    </row>
    <row r="1856" spans="1:23" x14ac:dyDescent="0.35">
      <c r="A1856" t="s">
        <v>45</v>
      </c>
      <c r="B1856" t="s">
        <v>3874</v>
      </c>
      <c r="C1856" t="s">
        <v>93</v>
      </c>
      <c r="D1856" t="s">
        <v>94</v>
      </c>
      <c r="E1856" t="s">
        <v>45</v>
      </c>
      <c r="F1856" t="s">
        <v>49</v>
      </c>
      <c r="G1856" t="s">
        <v>3888</v>
      </c>
      <c r="H1856" t="s">
        <v>3889</v>
      </c>
      <c r="J1856" t="str">
        <f>HYPERLINK("https://twitter.com/SpiceMoneyIndia/status/1757019274592305343","https://twitter.com/SpiceMoneyIndia/status/1757019274592305343")</f>
        <v>https://twitter.com/SpiceMoneyIndia/status/1757019274592305343</v>
      </c>
      <c r="K1856" t="s">
        <v>67</v>
      </c>
      <c r="O1856">
        <v>0</v>
      </c>
      <c r="P1856">
        <v>0</v>
      </c>
      <c r="Q1856">
        <v>6027</v>
      </c>
      <c r="R1856" t="s">
        <v>97</v>
      </c>
      <c r="S1856">
        <v>0</v>
      </c>
      <c r="T1856">
        <v>0</v>
      </c>
      <c r="U1856">
        <v>0</v>
      </c>
      <c r="V1856" t="s">
        <v>98</v>
      </c>
      <c r="W1856" t="s">
        <v>99</v>
      </c>
    </row>
    <row r="1857" spans="1:23" x14ac:dyDescent="0.35">
      <c r="A1857" t="s">
        <v>45</v>
      </c>
      <c r="B1857" t="s">
        <v>3874</v>
      </c>
      <c r="C1857" t="s">
        <v>60</v>
      </c>
      <c r="D1857" t="s">
        <v>61</v>
      </c>
      <c r="E1857" t="s">
        <v>61</v>
      </c>
      <c r="F1857" t="s">
        <v>49</v>
      </c>
      <c r="G1857" t="s">
        <v>3890</v>
      </c>
      <c r="H1857" t="s">
        <v>3891</v>
      </c>
      <c r="J1857" t="str">
        <f>HYPERLINK("https://www.facebook.com/634639855377280/posts/788604969980767?comment_id=942200566965523&amp;reply_comment_id=1863287337437438","https://www.facebook.com/634639855377280/posts/788604969980767?comment_id=942200566965523&amp;reply_comment_id=1863287337437438")</f>
        <v>https://www.facebook.com/634639855377280/posts/788604969980767?comment_id=942200566965523&amp;reply_comment_id=1863287337437438</v>
      </c>
      <c r="O1857">
        <v>0</v>
      </c>
      <c r="P1857">
        <v>0</v>
      </c>
      <c r="Q1857">
        <v>0</v>
      </c>
      <c r="S1857">
        <v>0</v>
      </c>
      <c r="T1857">
        <v>0</v>
      </c>
      <c r="U1857">
        <v>0</v>
      </c>
      <c r="W1857" t="s">
        <v>52</v>
      </c>
    </row>
    <row r="1858" spans="1:23" x14ac:dyDescent="0.35">
      <c r="A1858" t="s">
        <v>45</v>
      </c>
      <c r="B1858" t="s">
        <v>3874</v>
      </c>
      <c r="C1858" t="s">
        <v>60</v>
      </c>
      <c r="D1858" t="s">
        <v>61</v>
      </c>
      <c r="E1858" t="s">
        <v>61</v>
      </c>
      <c r="F1858" t="s">
        <v>49</v>
      </c>
      <c r="G1858" t="s">
        <v>3892</v>
      </c>
      <c r="H1858" t="s">
        <v>3893</v>
      </c>
      <c r="J1858" t="str">
        <f>HYPERLINK("https://www.facebook.com/634639855377280/posts/786878883486709?comment_id=844959814107914&amp;reply_comment_id=257043774007507","https://www.facebook.com/634639855377280/posts/786878883486709?comment_id=844959814107914&amp;reply_comment_id=257043774007507")</f>
        <v>https://www.facebook.com/634639855377280/posts/786878883486709?comment_id=844959814107914&amp;reply_comment_id=257043774007507</v>
      </c>
      <c r="O1858">
        <v>0</v>
      </c>
      <c r="P1858">
        <v>0</v>
      </c>
      <c r="Q1858">
        <v>0</v>
      </c>
      <c r="S1858">
        <v>0</v>
      </c>
      <c r="T1858">
        <v>0</v>
      </c>
      <c r="U1858">
        <v>0</v>
      </c>
      <c r="W1858" t="s">
        <v>52</v>
      </c>
    </row>
    <row r="1859" spans="1:23" x14ac:dyDescent="0.35">
      <c r="A1859" t="s">
        <v>45</v>
      </c>
      <c r="B1859" t="s">
        <v>3874</v>
      </c>
      <c r="C1859" t="s">
        <v>60</v>
      </c>
      <c r="D1859" t="s">
        <v>64</v>
      </c>
      <c r="E1859" t="s">
        <v>64</v>
      </c>
      <c r="F1859" t="s">
        <v>49</v>
      </c>
      <c r="G1859" t="s">
        <v>100</v>
      </c>
      <c r="H1859" t="s">
        <v>3894</v>
      </c>
      <c r="J1859" t="str">
        <f>HYPERLINK("https://www.facebook.com/634639855377280/posts/786878883486709?comment_id=844959814107914&amp;reply_comment_id=1973060883214149","https://www.facebook.com/634639855377280/posts/786878883486709?comment_id=844959814107914&amp;reply_comment_id=1973060883214149")</f>
        <v>https://www.facebook.com/634639855377280/posts/786878883486709?comment_id=844959814107914&amp;reply_comment_id=1973060883214149</v>
      </c>
      <c r="K1859" t="s">
        <v>67</v>
      </c>
      <c r="O1859">
        <v>0</v>
      </c>
      <c r="P1859">
        <v>0</v>
      </c>
      <c r="Q1859">
        <v>0</v>
      </c>
      <c r="S1859">
        <v>0</v>
      </c>
      <c r="T1859">
        <v>0</v>
      </c>
      <c r="U1859">
        <v>0</v>
      </c>
      <c r="W1859" t="s">
        <v>52</v>
      </c>
    </row>
    <row r="1860" spans="1:23" x14ac:dyDescent="0.35">
      <c r="A1860" t="s">
        <v>45</v>
      </c>
      <c r="B1860" t="s">
        <v>3874</v>
      </c>
      <c r="C1860" t="s">
        <v>60</v>
      </c>
      <c r="D1860" t="s">
        <v>64</v>
      </c>
      <c r="E1860" t="s">
        <v>64</v>
      </c>
      <c r="F1860" t="s">
        <v>49</v>
      </c>
      <c r="G1860" t="s">
        <v>3357</v>
      </c>
      <c r="H1860" t="s">
        <v>3895</v>
      </c>
      <c r="J1860" t="str">
        <f>HYPERLINK("https://www.facebook.com/634639855377280/posts/789196523254945?comment_id=920771465971752&amp;reply_comment_id=1084701956118110","https://www.facebook.com/634639855377280/posts/789196523254945?comment_id=920771465971752&amp;reply_comment_id=1084701956118110")</f>
        <v>https://www.facebook.com/634639855377280/posts/789196523254945?comment_id=920771465971752&amp;reply_comment_id=1084701956118110</v>
      </c>
      <c r="K1860" t="s">
        <v>67</v>
      </c>
      <c r="O1860">
        <v>0</v>
      </c>
      <c r="P1860">
        <v>0</v>
      </c>
      <c r="Q1860">
        <v>0</v>
      </c>
      <c r="S1860">
        <v>0</v>
      </c>
      <c r="T1860">
        <v>0</v>
      </c>
      <c r="U1860">
        <v>0</v>
      </c>
      <c r="W1860" t="s">
        <v>52</v>
      </c>
    </row>
    <row r="1861" spans="1:23" x14ac:dyDescent="0.35">
      <c r="A1861" t="s">
        <v>45</v>
      </c>
      <c r="B1861" t="s">
        <v>3874</v>
      </c>
      <c r="C1861" t="s">
        <v>60</v>
      </c>
      <c r="D1861" t="s">
        <v>64</v>
      </c>
      <c r="E1861" t="s">
        <v>64</v>
      </c>
      <c r="F1861" t="s">
        <v>49</v>
      </c>
      <c r="G1861" t="s">
        <v>83</v>
      </c>
      <c r="H1861" t="s">
        <v>3896</v>
      </c>
      <c r="J1861" t="str">
        <f>HYPERLINK("https://www.facebook.com/634639855377280/posts/788604969980767?comment_id=942200566965523&amp;reply_comment_id=1413052349307815","https://www.facebook.com/634639855377280/posts/788604969980767?comment_id=942200566965523&amp;reply_comment_id=1413052349307815")</f>
        <v>https://www.facebook.com/634639855377280/posts/788604969980767?comment_id=942200566965523&amp;reply_comment_id=1413052349307815</v>
      </c>
      <c r="K1861" t="s">
        <v>67</v>
      </c>
      <c r="O1861">
        <v>0</v>
      </c>
      <c r="P1861">
        <v>0</v>
      </c>
      <c r="Q1861">
        <v>0</v>
      </c>
      <c r="S1861">
        <v>0</v>
      </c>
      <c r="T1861">
        <v>0</v>
      </c>
      <c r="U1861">
        <v>0</v>
      </c>
      <c r="W1861" t="s">
        <v>52</v>
      </c>
    </row>
    <row r="1862" spans="1:23" x14ac:dyDescent="0.35">
      <c r="A1862" t="s">
        <v>45</v>
      </c>
      <c r="B1862" t="s">
        <v>3874</v>
      </c>
      <c r="C1862" t="s">
        <v>60</v>
      </c>
      <c r="D1862" t="s">
        <v>64</v>
      </c>
      <c r="E1862" t="s">
        <v>64</v>
      </c>
      <c r="F1862" t="s">
        <v>49</v>
      </c>
      <c r="G1862" t="s">
        <v>280</v>
      </c>
      <c r="H1862" t="s">
        <v>3897</v>
      </c>
      <c r="J1862" t="str">
        <f>HYPERLINK("https://www.facebook.com/634639855377280/posts/789196523254945?comment_id=1681628875695457&amp;reply_comment_id=894049082463155","https://www.facebook.com/634639855377280/posts/789196523254945?comment_id=1681628875695457&amp;reply_comment_id=894049082463155")</f>
        <v>https://www.facebook.com/634639855377280/posts/789196523254945?comment_id=1681628875695457&amp;reply_comment_id=894049082463155</v>
      </c>
      <c r="K1862" t="s">
        <v>67</v>
      </c>
      <c r="O1862">
        <v>0</v>
      </c>
      <c r="P1862">
        <v>0</v>
      </c>
      <c r="Q1862">
        <v>0</v>
      </c>
      <c r="S1862">
        <v>0</v>
      </c>
      <c r="T1862">
        <v>0</v>
      </c>
      <c r="U1862">
        <v>0</v>
      </c>
      <c r="W1862" t="s">
        <v>52</v>
      </c>
    </row>
    <row r="1863" spans="1:23" x14ac:dyDescent="0.35">
      <c r="A1863" t="s">
        <v>45</v>
      </c>
      <c r="B1863" t="s">
        <v>3874</v>
      </c>
      <c r="C1863" t="s">
        <v>60</v>
      </c>
      <c r="D1863" t="s">
        <v>64</v>
      </c>
      <c r="E1863" t="s">
        <v>64</v>
      </c>
      <c r="F1863" t="s">
        <v>49</v>
      </c>
      <c r="G1863" t="s">
        <v>3541</v>
      </c>
      <c r="H1863" t="s">
        <v>3898</v>
      </c>
      <c r="J1863" t="str">
        <f>HYPERLINK("https://www.facebook.com/634639855377280/posts/786878883486709?comment_id=353003134230150&amp;reply_comment_id=767071808676118","https://www.facebook.com/634639855377280/posts/786878883486709?comment_id=353003134230150&amp;reply_comment_id=767071808676118")</f>
        <v>https://www.facebook.com/634639855377280/posts/786878883486709?comment_id=353003134230150&amp;reply_comment_id=767071808676118</v>
      </c>
      <c r="K1863" t="s">
        <v>67</v>
      </c>
      <c r="O1863">
        <v>0</v>
      </c>
      <c r="P1863">
        <v>0</v>
      </c>
      <c r="Q1863">
        <v>0</v>
      </c>
      <c r="S1863">
        <v>0</v>
      </c>
      <c r="T1863">
        <v>0</v>
      </c>
      <c r="U1863">
        <v>0</v>
      </c>
      <c r="W1863" t="s">
        <v>52</v>
      </c>
    </row>
    <row r="1864" spans="1:23" x14ac:dyDescent="0.35">
      <c r="A1864" t="s">
        <v>45</v>
      </c>
      <c r="B1864" t="s">
        <v>3874</v>
      </c>
      <c r="C1864" t="s">
        <v>93</v>
      </c>
      <c r="D1864" t="s">
        <v>94</v>
      </c>
      <c r="E1864" t="s">
        <v>45</v>
      </c>
      <c r="F1864" t="s">
        <v>49</v>
      </c>
      <c r="G1864" t="s">
        <v>3899</v>
      </c>
      <c r="H1864" t="s">
        <v>3900</v>
      </c>
      <c r="J1864" t="str">
        <f>HYPERLINK("https://twitter.com/SpiceMoneyIndia/status/1757014035101356298","https://twitter.com/SpiceMoneyIndia/status/1757014035101356298")</f>
        <v>https://twitter.com/SpiceMoneyIndia/status/1757014035101356298</v>
      </c>
      <c r="K1864" t="s">
        <v>67</v>
      </c>
      <c r="O1864">
        <v>0</v>
      </c>
      <c r="P1864">
        <v>0</v>
      </c>
      <c r="Q1864">
        <v>6027</v>
      </c>
      <c r="R1864" t="s">
        <v>97</v>
      </c>
      <c r="S1864">
        <v>0</v>
      </c>
      <c r="T1864">
        <v>0</v>
      </c>
      <c r="U1864">
        <v>0</v>
      </c>
      <c r="V1864" t="s">
        <v>98</v>
      </c>
      <c r="W1864" t="s">
        <v>99</v>
      </c>
    </row>
    <row r="1865" spans="1:23" x14ac:dyDescent="0.35">
      <c r="A1865" t="s">
        <v>45</v>
      </c>
      <c r="B1865" t="s">
        <v>3874</v>
      </c>
      <c r="C1865" t="s">
        <v>60</v>
      </c>
      <c r="D1865" t="s">
        <v>64</v>
      </c>
      <c r="E1865" t="s">
        <v>64</v>
      </c>
      <c r="F1865" t="s">
        <v>49</v>
      </c>
      <c r="G1865" t="s">
        <v>3901</v>
      </c>
      <c r="H1865" t="s">
        <v>3902</v>
      </c>
      <c r="J1865" t="str">
        <f>HYPERLINK("https://www.facebook.com/634639855377280/posts/789196523254945?comment_id=1076501566959907&amp;reply_comment_id=932320691889079","https://www.facebook.com/634639855377280/posts/789196523254945?comment_id=1076501566959907&amp;reply_comment_id=932320691889079")</f>
        <v>https://www.facebook.com/634639855377280/posts/789196523254945?comment_id=1076501566959907&amp;reply_comment_id=932320691889079</v>
      </c>
      <c r="K1865" t="s">
        <v>67</v>
      </c>
      <c r="O1865">
        <v>0</v>
      </c>
      <c r="P1865">
        <v>0</v>
      </c>
      <c r="Q1865">
        <v>0</v>
      </c>
      <c r="S1865">
        <v>0</v>
      </c>
      <c r="T1865">
        <v>0</v>
      </c>
      <c r="U1865">
        <v>0</v>
      </c>
      <c r="W1865" t="s">
        <v>52</v>
      </c>
    </row>
    <row r="1866" spans="1:23" x14ac:dyDescent="0.35">
      <c r="A1866" t="s">
        <v>45</v>
      </c>
      <c r="B1866" t="s">
        <v>3874</v>
      </c>
      <c r="C1866" t="s">
        <v>60</v>
      </c>
      <c r="D1866" t="s">
        <v>64</v>
      </c>
      <c r="E1866" t="s">
        <v>64</v>
      </c>
      <c r="F1866" t="s">
        <v>49</v>
      </c>
      <c r="G1866" t="s">
        <v>83</v>
      </c>
      <c r="H1866" t="s">
        <v>3903</v>
      </c>
      <c r="J1866" t="str">
        <f>HYPERLINK("https://www.facebook.com/634639855377280/posts/787942146713716?comment_id=401140042454594&amp;reply_comment_id=761330542164039","https://www.facebook.com/634639855377280/posts/787942146713716?comment_id=401140042454594&amp;reply_comment_id=761330542164039")</f>
        <v>https://www.facebook.com/634639855377280/posts/787942146713716?comment_id=401140042454594&amp;reply_comment_id=761330542164039</v>
      </c>
      <c r="K1866" t="s">
        <v>67</v>
      </c>
      <c r="O1866">
        <v>0</v>
      </c>
      <c r="P1866">
        <v>0</v>
      </c>
      <c r="Q1866">
        <v>0</v>
      </c>
      <c r="S1866">
        <v>0</v>
      </c>
      <c r="T1866">
        <v>0</v>
      </c>
      <c r="U1866">
        <v>0</v>
      </c>
      <c r="W1866" t="s">
        <v>52</v>
      </c>
    </row>
    <row r="1867" spans="1:23" x14ac:dyDescent="0.35">
      <c r="A1867" t="s">
        <v>45</v>
      </c>
      <c r="B1867" t="s">
        <v>3874</v>
      </c>
      <c r="C1867" t="s">
        <v>47</v>
      </c>
      <c r="D1867" t="s">
        <v>68</v>
      </c>
      <c r="E1867" t="s">
        <v>68</v>
      </c>
      <c r="F1867" t="s">
        <v>49</v>
      </c>
      <c r="G1867" t="s">
        <v>3904</v>
      </c>
      <c r="H1867" t="s">
        <v>3905</v>
      </c>
      <c r="J1867" t="str">
        <f>HYPERLINK("https://www.youtube.com/watch?v=Vk9kehZJdww&amp;lc=UgwPGpOSqlDrUhiize94AaABAg.A-g2mc01sSXA-iHAQS9Puh","https://www.youtube.com/watch?v=Vk9kehZJdww&amp;lc=UgwPGpOSqlDrUhiize94AaABAg.A-g2mc01sSXA-iHAQS9Puh")</f>
        <v>https://www.youtube.com/watch?v=Vk9kehZJdww&amp;lc=UgwPGpOSqlDrUhiize94AaABAg.A-g2mc01sSXA-iHAQS9Puh</v>
      </c>
      <c r="O1867">
        <v>0</v>
      </c>
      <c r="P1867">
        <v>0</v>
      </c>
      <c r="Q1867">
        <v>0</v>
      </c>
      <c r="S1867">
        <v>0</v>
      </c>
      <c r="T1867">
        <v>0</v>
      </c>
      <c r="U1867">
        <v>0</v>
      </c>
      <c r="W1867" t="s">
        <v>52</v>
      </c>
    </row>
    <row r="1868" spans="1:23" x14ac:dyDescent="0.35">
      <c r="A1868" t="s">
        <v>45</v>
      </c>
      <c r="B1868" t="s">
        <v>3874</v>
      </c>
      <c r="C1868" t="s">
        <v>47</v>
      </c>
      <c r="D1868" t="s">
        <v>68</v>
      </c>
      <c r="E1868" t="s">
        <v>68</v>
      </c>
      <c r="F1868" t="s">
        <v>49</v>
      </c>
      <c r="G1868" t="s">
        <v>280</v>
      </c>
      <c r="H1868" t="s">
        <v>3906</v>
      </c>
      <c r="J1868" t="str">
        <f>HYPERLINK("https://www.youtube.com/watch?v=XJpOhRgEj34&amp;lc=UgyK75grdfrwEzNYgqN4AaABAg.A-i50NWlsBMA-iG_M0JDKW","https://www.youtube.com/watch?v=XJpOhRgEj34&amp;lc=UgyK75grdfrwEzNYgqN4AaABAg.A-i50NWlsBMA-iG_M0JDKW")</f>
        <v>https://www.youtube.com/watch?v=XJpOhRgEj34&amp;lc=UgyK75grdfrwEzNYgqN4AaABAg.A-i50NWlsBMA-iG_M0JDKW</v>
      </c>
      <c r="O1868">
        <v>0</v>
      </c>
      <c r="P1868">
        <v>0</v>
      </c>
      <c r="Q1868">
        <v>0</v>
      </c>
      <c r="S1868">
        <v>0</v>
      </c>
      <c r="T1868">
        <v>0</v>
      </c>
      <c r="U1868">
        <v>0</v>
      </c>
      <c r="W1868" t="s">
        <v>52</v>
      </c>
    </row>
    <row r="1869" spans="1:23" x14ac:dyDescent="0.35">
      <c r="A1869" t="s">
        <v>45</v>
      </c>
      <c r="B1869" t="s">
        <v>3874</v>
      </c>
      <c r="C1869" t="s">
        <v>47</v>
      </c>
      <c r="D1869" t="s">
        <v>68</v>
      </c>
      <c r="E1869" t="s">
        <v>68</v>
      </c>
      <c r="F1869" t="s">
        <v>49</v>
      </c>
      <c r="G1869" t="s">
        <v>164</v>
      </c>
      <c r="H1869" t="s">
        <v>3907</v>
      </c>
      <c r="J1869" t="str">
        <f>HYPERLINK("https://www.youtube.com/watch?v=Rt7UUqkb-J0&amp;lc=UgykkZ42dxir-psbwON4AaABAg.A-hQ85Y8qacA-iGU2Gr10D","https://www.youtube.com/watch?v=Rt7UUqkb-J0&amp;lc=UgykkZ42dxir-psbwON4AaABAg.A-hQ85Y8qacA-iGU2Gr10D")</f>
        <v>https://www.youtube.com/watch?v=Rt7UUqkb-J0&amp;lc=UgykkZ42dxir-psbwON4AaABAg.A-hQ85Y8qacA-iGU2Gr10D</v>
      </c>
      <c r="O1869">
        <v>0</v>
      </c>
      <c r="P1869">
        <v>0</v>
      </c>
      <c r="Q1869">
        <v>0</v>
      </c>
      <c r="S1869">
        <v>0</v>
      </c>
      <c r="T1869">
        <v>0</v>
      </c>
      <c r="U1869">
        <v>0</v>
      </c>
      <c r="W1869" t="s">
        <v>52</v>
      </c>
    </row>
    <row r="1870" spans="1:23" x14ac:dyDescent="0.35">
      <c r="A1870" t="s">
        <v>45</v>
      </c>
      <c r="B1870" t="s">
        <v>3874</v>
      </c>
      <c r="C1870" t="s">
        <v>47</v>
      </c>
      <c r="D1870" t="s">
        <v>68</v>
      </c>
      <c r="E1870" t="s">
        <v>68</v>
      </c>
      <c r="F1870" t="s">
        <v>49</v>
      </c>
      <c r="G1870" t="s">
        <v>102</v>
      </c>
      <c r="H1870" t="s">
        <v>3908</v>
      </c>
      <c r="J1870" t="str">
        <f>HYPERLINK("https://www.youtube.com/watch?v=ei_eRFiBcfc&amp;lc=Ugwx1cpTFrOEgQRfQ5d4AaABAg.A-hCiiboOYbA-iGOViVSUF","https://www.youtube.com/watch?v=ei_eRFiBcfc&amp;lc=Ugwx1cpTFrOEgQRfQ5d4AaABAg.A-hCiiboOYbA-iGOViVSUF")</f>
        <v>https://www.youtube.com/watch?v=ei_eRFiBcfc&amp;lc=Ugwx1cpTFrOEgQRfQ5d4AaABAg.A-hCiiboOYbA-iGOViVSUF</v>
      </c>
      <c r="O1870">
        <v>0</v>
      </c>
      <c r="P1870">
        <v>0</v>
      </c>
      <c r="Q1870">
        <v>0</v>
      </c>
      <c r="S1870">
        <v>0</v>
      </c>
      <c r="T1870">
        <v>0</v>
      </c>
      <c r="U1870">
        <v>0</v>
      </c>
      <c r="W1870" t="s">
        <v>52</v>
      </c>
    </row>
    <row r="1871" spans="1:23" x14ac:dyDescent="0.35">
      <c r="A1871" t="s">
        <v>45</v>
      </c>
      <c r="B1871" t="s">
        <v>3874</v>
      </c>
      <c r="C1871" t="s">
        <v>60</v>
      </c>
      <c r="D1871" t="s">
        <v>61</v>
      </c>
      <c r="E1871" t="s">
        <v>61</v>
      </c>
      <c r="F1871" t="s">
        <v>49</v>
      </c>
      <c r="G1871" t="s">
        <v>3909</v>
      </c>
      <c r="H1871" t="s">
        <v>3910</v>
      </c>
      <c r="J1871" t="str">
        <f>HYPERLINK("https://www.facebook.com/634639855377280/posts/787942146713716?comment_id=401140042454594","https://www.facebook.com/634639855377280/posts/787942146713716?comment_id=401140042454594")</f>
        <v>https://www.facebook.com/634639855377280/posts/787942146713716?comment_id=401140042454594</v>
      </c>
      <c r="O1871">
        <v>0</v>
      </c>
      <c r="P1871">
        <v>0</v>
      </c>
      <c r="Q1871">
        <v>0</v>
      </c>
      <c r="S1871">
        <v>0</v>
      </c>
      <c r="T1871">
        <v>0</v>
      </c>
      <c r="U1871">
        <v>0</v>
      </c>
      <c r="W1871" t="s">
        <v>52</v>
      </c>
    </row>
    <row r="1872" spans="1:23" x14ac:dyDescent="0.35">
      <c r="A1872" t="s">
        <v>45</v>
      </c>
      <c r="B1872" t="s">
        <v>3874</v>
      </c>
      <c r="C1872" t="s">
        <v>47</v>
      </c>
      <c r="D1872" t="s">
        <v>3637</v>
      </c>
      <c r="E1872" t="s">
        <v>3637</v>
      </c>
      <c r="F1872" t="s">
        <v>49</v>
      </c>
      <c r="G1872" t="s">
        <v>3911</v>
      </c>
      <c r="H1872" t="s">
        <v>3912</v>
      </c>
      <c r="J1872" t="str">
        <f>HYPERLINK("https://www.youtube.com/watch?v=XJpOhRgEj34&amp;lc=UgyK75grdfrwEzNYgqN4AaABAg","https://www.youtube.com/watch?v=XJpOhRgEj34&amp;lc=UgyK75grdfrwEzNYgqN4AaABAg")</f>
        <v>https://www.youtube.com/watch?v=XJpOhRgEj34&amp;lc=UgyK75grdfrwEzNYgqN4AaABAg</v>
      </c>
      <c r="O1872">
        <v>0</v>
      </c>
      <c r="P1872">
        <v>0</v>
      </c>
      <c r="Q1872">
        <v>0</v>
      </c>
      <c r="S1872">
        <v>0</v>
      </c>
      <c r="T1872">
        <v>0</v>
      </c>
      <c r="U1872">
        <v>0</v>
      </c>
      <c r="W1872" t="s">
        <v>52</v>
      </c>
    </row>
    <row r="1873" spans="1:23" x14ac:dyDescent="0.35">
      <c r="A1873" t="s">
        <v>45</v>
      </c>
      <c r="B1873" t="s">
        <v>3874</v>
      </c>
      <c r="C1873" t="s">
        <v>47</v>
      </c>
      <c r="D1873" t="s">
        <v>2063</v>
      </c>
      <c r="E1873" t="s">
        <v>2063</v>
      </c>
      <c r="F1873" t="s">
        <v>49</v>
      </c>
      <c r="G1873" t="s">
        <v>3913</v>
      </c>
      <c r="H1873" t="s">
        <v>3914</v>
      </c>
      <c r="J1873" t="str">
        <f>HYPERLINK("https://www.youtube.com/watch?v=Vk9kehZJdww&amp;lc=UgwPGpOSqlDrUhiize94AaABAg.A-g2mc01sSXA-i4dYAbWyi","https://www.youtube.com/watch?v=Vk9kehZJdww&amp;lc=UgwPGpOSqlDrUhiize94AaABAg.A-g2mc01sSXA-i4dYAbWyi")</f>
        <v>https://www.youtube.com/watch?v=Vk9kehZJdww&amp;lc=UgwPGpOSqlDrUhiize94AaABAg.A-g2mc01sSXA-i4dYAbWyi</v>
      </c>
      <c r="O1873">
        <v>0</v>
      </c>
      <c r="P1873">
        <v>0</v>
      </c>
      <c r="Q1873">
        <v>0</v>
      </c>
      <c r="S1873">
        <v>0</v>
      </c>
      <c r="T1873">
        <v>0</v>
      </c>
      <c r="U1873">
        <v>0</v>
      </c>
      <c r="W1873" t="s">
        <v>52</v>
      </c>
    </row>
    <row r="1874" spans="1:23" x14ac:dyDescent="0.35">
      <c r="A1874" t="s">
        <v>45</v>
      </c>
      <c r="B1874" t="s">
        <v>3874</v>
      </c>
      <c r="C1874" t="s">
        <v>47</v>
      </c>
      <c r="D1874" t="s">
        <v>351</v>
      </c>
      <c r="E1874" t="s">
        <v>351</v>
      </c>
      <c r="F1874" t="s">
        <v>49</v>
      </c>
      <c r="G1874" t="s">
        <v>3915</v>
      </c>
      <c r="H1874" t="s">
        <v>3916</v>
      </c>
      <c r="J1874" t="str">
        <f>HYPERLINK("https://www.youtube.com/watch?v=Rt7UUqkb-J0&amp;lc=UgykkZ42dxir-psbwON4AaABAg.A-hQ85Y8qacA-i4XMtLKVA","https://www.youtube.com/watch?v=Rt7UUqkb-J0&amp;lc=UgykkZ42dxir-psbwON4AaABAg.A-hQ85Y8qacA-i4XMtLKVA")</f>
        <v>https://www.youtube.com/watch?v=Rt7UUqkb-J0&amp;lc=UgykkZ42dxir-psbwON4AaABAg.A-hQ85Y8qacA-i4XMtLKVA</v>
      </c>
      <c r="O1874">
        <v>0</v>
      </c>
      <c r="P1874">
        <v>0</v>
      </c>
      <c r="Q1874">
        <v>0</v>
      </c>
      <c r="S1874">
        <v>0</v>
      </c>
      <c r="T1874">
        <v>0</v>
      </c>
      <c r="U1874">
        <v>0</v>
      </c>
      <c r="W1874" t="s">
        <v>52</v>
      </c>
    </row>
    <row r="1875" spans="1:23" x14ac:dyDescent="0.35">
      <c r="A1875" t="s">
        <v>45</v>
      </c>
      <c r="B1875" t="s">
        <v>3874</v>
      </c>
      <c r="C1875" t="s">
        <v>47</v>
      </c>
      <c r="D1875" t="s">
        <v>68</v>
      </c>
      <c r="E1875" t="s">
        <v>68</v>
      </c>
      <c r="F1875" t="s">
        <v>49</v>
      </c>
      <c r="G1875" t="s">
        <v>102</v>
      </c>
      <c r="H1875" t="s">
        <v>3917</v>
      </c>
      <c r="J1875" t="str">
        <f>HYPERLINK("https://www.youtube.com/watch?v=Vk9kehZJdww&amp;lc=UgwPGpOSqlDrUhiize94AaABAg.A-g2mc01sSXA-i3_jZuvKt","https://www.youtube.com/watch?v=Vk9kehZJdww&amp;lc=UgwPGpOSqlDrUhiize94AaABAg.A-g2mc01sSXA-i3_jZuvKt")</f>
        <v>https://www.youtube.com/watch?v=Vk9kehZJdww&amp;lc=UgwPGpOSqlDrUhiize94AaABAg.A-g2mc01sSXA-i3_jZuvKt</v>
      </c>
      <c r="O1875">
        <v>0</v>
      </c>
      <c r="P1875">
        <v>0</v>
      </c>
      <c r="Q1875">
        <v>0</v>
      </c>
      <c r="S1875">
        <v>0</v>
      </c>
      <c r="T1875">
        <v>0</v>
      </c>
      <c r="U1875">
        <v>0</v>
      </c>
      <c r="W1875" t="s">
        <v>52</v>
      </c>
    </row>
    <row r="1876" spans="1:23" x14ac:dyDescent="0.35">
      <c r="A1876" t="s">
        <v>45</v>
      </c>
      <c r="B1876" t="s">
        <v>3874</v>
      </c>
      <c r="C1876" t="s">
        <v>47</v>
      </c>
      <c r="D1876" t="s">
        <v>68</v>
      </c>
      <c r="E1876" t="s">
        <v>68</v>
      </c>
      <c r="F1876" t="s">
        <v>49</v>
      </c>
      <c r="G1876" t="s">
        <v>102</v>
      </c>
      <c r="H1876" t="s">
        <v>3918</v>
      </c>
      <c r="J1876" t="str">
        <f>HYPERLINK("https://www.youtube.com/watch?v=wDVpKG8jfSo&amp;lc=UgzyWz3a-WsjcJkpNHl4AaABAg.A-h6MmlMV4CA-i3-9S7eT3","https://www.youtube.com/watch?v=wDVpKG8jfSo&amp;lc=UgzyWz3a-WsjcJkpNHl4AaABAg.A-h6MmlMV4CA-i3-9S7eT3")</f>
        <v>https://www.youtube.com/watch?v=wDVpKG8jfSo&amp;lc=UgzyWz3a-WsjcJkpNHl4AaABAg.A-h6MmlMV4CA-i3-9S7eT3</v>
      </c>
      <c r="O1876">
        <v>0</v>
      </c>
      <c r="P1876">
        <v>0</v>
      </c>
      <c r="Q1876">
        <v>0</v>
      </c>
      <c r="S1876">
        <v>0</v>
      </c>
      <c r="T1876">
        <v>0</v>
      </c>
      <c r="U1876">
        <v>0</v>
      </c>
      <c r="W1876" t="s">
        <v>52</v>
      </c>
    </row>
    <row r="1877" spans="1:23" x14ac:dyDescent="0.35">
      <c r="A1877" t="s">
        <v>45</v>
      </c>
      <c r="B1877" t="s">
        <v>3874</v>
      </c>
      <c r="C1877" t="s">
        <v>60</v>
      </c>
      <c r="D1877" t="s">
        <v>64</v>
      </c>
      <c r="E1877" t="s">
        <v>64</v>
      </c>
      <c r="F1877" t="s">
        <v>49</v>
      </c>
      <c r="G1877" t="s">
        <v>3919</v>
      </c>
      <c r="H1877" t="s">
        <v>3920</v>
      </c>
      <c r="J1877" t="str">
        <f>HYPERLINK("https://www.facebook.com/634639855377280/posts/789974279843836","https://www.facebook.com/634639855377280/posts/789974279843836")</f>
        <v>https://www.facebook.com/634639855377280/posts/789974279843836</v>
      </c>
      <c r="O1877">
        <v>0</v>
      </c>
      <c r="P1877">
        <v>0</v>
      </c>
      <c r="Q1877">
        <v>0</v>
      </c>
      <c r="S1877">
        <v>0</v>
      </c>
      <c r="T1877">
        <v>34</v>
      </c>
      <c r="U1877">
        <v>2</v>
      </c>
      <c r="W1877" t="s">
        <v>346</v>
      </c>
    </row>
    <row r="1878" spans="1:23" x14ac:dyDescent="0.35">
      <c r="A1878" t="s">
        <v>45</v>
      </c>
      <c r="B1878" t="s">
        <v>3874</v>
      </c>
      <c r="C1878" t="s">
        <v>47</v>
      </c>
      <c r="D1878" t="s">
        <v>68</v>
      </c>
      <c r="E1878" t="s">
        <v>68</v>
      </c>
      <c r="F1878" t="s">
        <v>49</v>
      </c>
      <c r="G1878" t="s">
        <v>3233</v>
      </c>
      <c r="H1878" t="s">
        <v>3921</v>
      </c>
      <c r="J1878" t="str">
        <f>HYPERLINK("https://www.youtube.com/watch?v=Rt7UUqkb-J0&amp;lc=UgykkZ42dxir-psbwON4AaABAg.A-hQ85Y8qacA-i2n_Ogw0t","https://www.youtube.com/watch?v=Rt7UUqkb-J0&amp;lc=UgykkZ42dxir-psbwON4AaABAg.A-hQ85Y8qacA-i2n_Ogw0t")</f>
        <v>https://www.youtube.com/watch?v=Rt7UUqkb-J0&amp;lc=UgykkZ42dxir-psbwON4AaABAg.A-hQ85Y8qacA-i2n_Ogw0t</v>
      </c>
      <c r="O1878">
        <v>0</v>
      </c>
      <c r="P1878">
        <v>0</v>
      </c>
      <c r="Q1878">
        <v>0</v>
      </c>
      <c r="S1878">
        <v>0</v>
      </c>
      <c r="T1878">
        <v>0</v>
      </c>
      <c r="U1878">
        <v>0</v>
      </c>
      <c r="W1878" t="s">
        <v>52</v>
      </c>
    </row>
    <row r="1879" spans="1:23" x14ac:dyDescent="0.35">
      <c r="A1879" t="s">
        <v>45</v>
      </c>
      <c r="B1879" t="s">
        <v>3874</v>
      </c>
      <c r="C1879" t="s">
        <v>93</v>
      </c>
      <c r="D1879" t="s">
        <v>3922</v>
      </c>
      <c r="E1879" t="s">
        <v>3923</v>
      </c>
      <c r="F1879" t="s">
        <v>49</v>
      </c>
      <c r="G1879" t="s">
        <v>3924</v>
      </c>
      <c r="H1879" t="s">
        <v>3925</v>
      </c>
      <c r="J1879" t="str">
        <f>HYPERLINK("https://twitter.com/NetMehrab76502/status/1756972627166716319","https://twitter.com/NetMehrab76502/status/1756972627166716319")</f>
        <v>https://twitter.com/NetMehrab76502/status/1756972627166716319</v>
      </c>
      <c r="K1879" t="s">
        <v>67</v>
      </c>
      <c r="O1879">
        <v>0</v>
      </c>
      <c r="P1879">
        <v>0</v>
      </c>
      <c r="Q1879">
        <v>0</v>
      </c>
      <c r="S1879">
        <v>0</v>
      </c>
      <c r="T1879">
        <v>0</v>
      </c>
      <c r="U1879">
        <v>0</v>
      </c>
      <c r="W1879" t="s">
        <v>99</v>
      </c>
    </row>
    <row r="1880" spans="1:23" x14ac:dyDescent="0.35">
      <c r="A1880" t="s">
        <v>45</v>
      </c>
      <c r="B1880" t="s">
        <v>3874</v>
      </c>
      <c r="C1880" t="s">
        <v>93</v>
      </c>
      <c r="D1880" t="s">
        <v>3416</v>
      </c>
      <c r="E1880" t="s">
        <v>3417</v>
      </c>
      <c r="F1880" t="s">
        <v>54</v>
      </c>
      <c r="G1880" t="s">
        <v>3926</v>
      </c>
      <c r="H1880" t="s">
        <v>3927</v>
      </c>
      <c r="J1880" t="str">
        <f>HYPERLINK("https://twitter.com/rinkuk538/status/1756967843130953855","https://twitter.com/rinkuk538/status/1756967843130953855")</f>
        <v>https://twitter.com/rinkuk538/status/1756967843130953855</v>
      </c>
      <c r="K1880" t="s">
        <v>67</v>
      </c>
      <c r="O1880">
        <v>0</v>
      </c>
      <c r="P1880">
        <v>0</v>
      </c>
      <c r="Q1880">
        <v>516</v>
      </c>
      <c r="S1880">
        <v>0</v>
      </c>
      <c r="T1880">
        <v>0</v>
      </c>
      <c r="U1880">
        <v>0</v>
      </c>
      <c r="W1880" t="s">
        <v>99</v>
      </c>
    </row>
    <row r="1881" spans="1:23" x14ac:dyDescent="0.35">
      <c r="A1881" t="s">
        <v>45</v>
      </c>
      <c r="B1881" t="s">
        <v>3874</v>
      </c>
      <c r="C1881" t="s">
        <v>93</v>
      </c>
      <c r="D1881" t="s">
        <v>3809</v>
      </c>
      <c r="E1881" t="s">
        <v>3810</v>
      </c>
      <c r="F1881" t="s">
        <v>49</v>
      </c>
      <c r="G1881" t="s">
        <v>3928</v>
      </c>
      <c r="H1881" t="s">
        <v>3929</v>
      </c>
      <c r="J1881" t="str">
        <f>HYPERLINK("https://twitter.com/kunalgaurav23/status/1756966451108577542","https://twitter.com/kunalgaurav23/status/1756966451108577542")</f>
        <v>https://twitter.com/kunalgaurav23/status/1756966451108577542</v>
      </c>
      <c r="K1881" t="s">
        <v>67</v>
      </c>
      <c r="O1881">
        <v>0</v>
      </c>
      <c r="P1881">
        <v>0</v>
      </c>
      <c r="Q1881">
        <v>364</v>
      </c>
      <c r="R1881" t="s">
        <v>3813</v>
      </c>
      <c r="S1881">
        <v>0</v>
      </c>
      <c r="T1881">
        <v>0</v>
      </c>
      <c r="U1881">
        <v>0</v>
      </c>
      <c r="W1881" t="s">
        <v>99</v>
      </c>
    </row>
    <row r="1882" spans="1:23" x14ac:dyDescent="0.35">
      <c r="A1882" t="s">
        <v>45</v>
      </c>
      <c r="B1882" t="s">
        <v>3874</v>
      </c>
      <c r="C1882" t="s">
        <v>93</v>
      </c>
      <c r="D1882" t="s">
        <v>3809</v>
      </c>
      <c r="E1882" t="s">
        <v>3810</v>
      </c>
      <c r="F1882" t="s">
        <v>49</v>
      </c>
      <c r="G1882" t="s">
        <v>3930</v>
      </c>
      <c r="H1882" t="s">
        <v>3931</v>
      </c>
      <c r="J1882" t="str">
        <f>HYPERLINK("https://twitter.com/kunalgaurav23/status/1756965712520970263","https://twitter.com/kunalgaurav23/status/1756965712520970263")</f>
        <v>https://twitter.com/kunalgaurav23/status/1756965712520970263</v>
      </c>
      <c r="K1882" t="s">
        <v>67</v>
      </c>
      <c r="O1882">
        <v>0</v>
      </c>
      <c r="P1882">
        <v>0</v>
      </c>
      <c r="Q1882">
        <v>364</v>
      </c>
      <c r="R1882" t="s">
        <v>3813</v>
      </c>
      <c r="S1882">
        <v>0</v>
      </c>
      <c r="T1882">
        <v>0</v>
      </c>
      <c r="U1882">
        <v>0</v>
      </c>
      <c r="W1882" t="s">
        <v>99</v>
      </c>
    </row>
    <row r="1883" spans="1:23" x14ac:dyDescent="0.35">
      <c r="A1883" t="s">
        <v>45</v>
      </c>
      <c r="B1883" t="s">
        <v>3874</v>
      </c>
      <c r="C1883" t="s">
        <v>93</v>
      </c>
      <c r="D1883" t="s">
        <v>3809</v>
      </c>
      <c r="E1883" t="s">
        <v>3810</v>
      </c>
      <c r="F1883" t="s">
        <v>49</v>
      </c>
      <c r="G1883" t="s">
        <v>3932</v>
      </c>
      <c r="H1883" t="s">
        <v>3933</v>
      </c>
      <c r="J1883" t="str">
        <f>HYPERLINK("https://twitter.com/kunalgaurav23/status/1756964504418816158","https://twitter.com/kunalgaurav23/status/1756964504418816158")</f>
        <v>https://twitter.com/kunalgaurav23/status/1756964504418816158</v>
      </c>
      <c r="K1883" t="s">
        <v>67</v>
      </c>
      <c r="O1883">
        <v>0</v>
      </c>
      <c r="P1883">
        <v>0</v>
      </c>
      <c r="Q1883">
        <v>364</v>
      </c>
      <c r="R1883" t="s">
        <v>3813</v>
      </c>
      <c r="S1883">
        <v>0</v>
      </c>
      <c r="T1883">
        <v>0</v>
      </c>
      <c r="U1883">
        <v>0</v>
      </c>
      <c r="W1883" t="s">
        <v>99</v>
      </c>
    </row>
    <row r="1884" spans="1:23" x14ac:dyDescent="0.35">
      <c r="A1884" t="s">
        <v>45</v>
      </c>
      <c r="B1884" t="s">
        <v>3874</v>
      </c>
      <c r="C1884" t="s">
        <v>47</v>
      </c>
      <c r="D1884" t="s">
        <v>45</v>
      </c>
      <c r="E1884" t="s">
        <v>45</v>
      </c>
      <c r="F1884" t="s">
        <v>49</v>
      </c>
      <c r="G1884" t="s">
        <v>3934</v>
      </c>
      <c r="H1884" t="s">
        <v>3935</v>
      </c>
      <c r="J1884" t="str">
        <f>HYPERLINK("https://www.youtube.com/watch?v=1FsSi1NrbMM","https://www.youtube.com/watch?v=1FsSi1NrbMM")</f>
        <v>https://www.youtube.com/watch?v=1FsSi1NrbMM</v>
      </c>
      <c r="O1884">
        <v>0</v>
      </c>
      <c r="P1884">
        <v>0</v>
      </c>
      <c r="Q1884">
        <v>0</v>
      </c>
      <c r="S1884">
        <v>0</v>
      </c>
      <c r="T1884">
        <v>0</v>
      </c>
      <c r="U1884">
        <v>0</v>
      </c>
      <c r="W1884" t="s">
        <v>346</v>
      </c>
    </row>
    <row r="1885" spans="1:23" x14ac:dyDescent="0.35">
      <c r="A1885" t="s">
        <v>45</v>
      </c>
      <c r="B1885" t="s">
        <v>3874</v>
      </c>
      <c r="C1885" t="s">
        <v>60</v>
      </c>
      <c r="D1885" t="s">
        <v>61</v>
      </c>
      <c r="E1885" t="s">
        <v>61</v>
      </c>
      <c r="F1885" t="s">
        <v>193</v>
      </c>
      <c r="G1885" t="s">
        <v>3936</v>
      </c>
      <c r="H1885" t="s">
        <v>3937</v>
      </c>
      <c r="J1885" t="str">
        <f>HYPERLINK("https://www.facebook.com/634639855377280/posts/786878883486709?comment_id=353003134230150","https://www.facebook.com/634639855377280/posts/786878883486709?comment_id=353003134230150")</f>
        <v>https://www.facebook.com/634639855377280/posts/786878883486709?comment_id=353003134230150</v>
      </c>
      <c r="O1885">
        <v>0</v>
      </c>
      <c r="P1885">
        <v>0</v>
      </c>
      <c r="Q1885">
        <v>0</v>
      </c>
      <c r="S1885">
        <v>0</v>
      </c>
      <c r="T1885">
        <v>0</v>
      </c>
      <c r="U1885">
        <v>0</v>
      </c>
      <c r="W1885" t="s">
        <v>52</v>
      </c>
    </row>
    <row r="1886" spans="1:23" x14ac:dyDescent="0.35">
      <c r="A1886" t="s">
        <v>45</v>
      </c>
      <c r="B1886" t="s">
        <v>3874</v>
      </c>
      <c r="C1886" t="s">
        <v>93</v>
      </c>
      <c r="D1886" t="s">
        <v>752</v>
      </c>
      <c r="E1886" t="s">
        <v>753</v>
      </c>
      <c r="F1886" t="s">
        <v>49</v>
      </c>
      <c r="G1886" t="s">
        <v>3938</v>
      </c>
      <c r="H1886" t="s">
        <v>3939</v>
      </c>
      <c r="J1886" t="str">
        <f>HYPERLINK("https://twitter.com/PayNearby/status/1756945161156768200","https://twitter.com/PayNearby/status/1756945161156768200")</f>
        <v>https://twitter.com/PayNearby/status/1756945161156768200</v>
      </c>
      <c r="O1886">
        <v>0</v>
      </c>
      <c r="P1886">
        <v>0</v>
      </c>
      <c r="Q1886">
        <v>5993</v>
      </c>
      <c r="R1886" t="s">
        <v>756</v>
      </c>
      <c r="S1886">
        <v>0</v>
      </c>
      <c r="T1886">
        <v>0</v>
      </c>
      <c r="U1886">
        <v>0</v>
      </c>
      <c r="W1886" t="s">
        <v>99</v>
      </c>
    </row>
    <row r="1887" spans="1:23" x14ac:dyDescent="0.35">
      <c r="A1887" t="s">
        <v>45</v>
      </c>
      <c r="B1887" t="s">
        <v>3874</v>
      </c>
      <c r="C1887" t="s">
        <v>93</v>
      </c>
      <c r="D1887" t="s">
        <v>3940</v>
      </c>
      <c r="E1887" t="s">
        <v>3941</v>
      </c>
      <c r="F1887" t="s">
        <v>193</v>
      </c>
      <c r="G1887" t="s">
        <v>3942</v>
      </c>
      <c r="H1887" t="s">
        <v>3943</v>
      </c>
      <c r="J1887" t="str">
        <f>HYPERLINK("https://twitter.com/BikiDas572431/status/1756936733181260203","https://twitter.com/BikiDas572431/status/1756936733181260203")</f>
        <v>https://twitter.com/BikiDas572431/status/1756936733181260203</v>
      </c>
      <c r="K1887" t="s">
        <v>67</v>
      </c>
      <c r="O1887">
        <v>0</v>
      </c>
      <c r="P1887">
        <v>0</v>
      </c>
      <c r="Q1887">
        <v>0</v>
      </c>
      <c r="S1887">
        <v>0</v>
      </c>
      <c r="T1887">
        <v>0</v>
      </c>
      <c r="U1887">
        <v>0</v>
      </c>
      <c r="W1887" t="s">
        <v>99</v>
      </c>
    </row>
    <row r="1888" spans="1:23" x14ac:dyDescent="0.35">
      <c r="A1888" t="s">
        <v>45</v>
      </c>
      <c r="B1888" t="s">
        <v>3874</v>
      </c>
      <c r="C1888" t="s">
        <v>93</v>
      </c>
      <c r="D1888" t="s">
        <v>3940</v>
      </c>
      <c r="E1888" t="s">
        <v>3941</v>
      </c>
      <c r="F1888" t="s">
        <v>193</v>
      </c>
      <c r="G1888" t="s">
        <v>3944</v>
      </c>
      <c r="H1888" t="s">
        <v>3945</v>
      </c>
      <c r="J1888" t="str">
        <f>HYPERLINK("https://twitter.com/BikiDas572431/status/1756933802276909180","https://twitter.com/BikiDas572431/status/1756933802276909180")</f>
        <v>https://twitter.com/BikiDas572431/status/1756933802276909180</v>
      </c>
      <c r="K1888" t="s">
        <v>67</v>
      </c>
      <c r="O1888">
        <v>0</v>
      </c>
      <c r="P1888">
        <v>0</v>
      </c>
      <c r="Q1888">
        <v>0</v>
      </c>
      <c r="S1888">
        <v>0</v>
      </c>
      <c r="T1888">
        <v>0</v>
      </c>
      <c r="U1888">
        <v>0</v>
      </c>
      <c r="W1888" t="s">
        <v>99</v>
      </c>
    </row>
    <row r="1889" spans="1:23" x14ac:dyDescent="0.35">
      <c r="A1889" t="s">
        <v>45</v>
      </c>
      <c r="B1889" t="s">
        <v>3874</v>
      </c>
      <c r="C1889" t="s">
        <v>93</v>
      </c>
      <c r="D1889" t="s">
        <v>3416</v>
      </c>
      <c r="E1889" t="s">
        <v>3417</v>
      </c>
      <c r="F1889" t="s">
        <v>49</v>
      </c>
      <c r="G1889" t="s">
        <v>3946</v>
      </c>
      <c r="H1889" t="s">
        <v>3947</v>
      </c>
      <c r="J1889" t="str">
        <f>HYPERLINK("https://twitter.com/rinkuk538/status/1756926800389902614","https://twitter.com/rinkuk538/status/1756926800389902614")</f>
        <v>https://twitter.com/rinkuk538/status/1756926800389902614</v>
      </c>
      <c r="K1889" t="s">
        <v>67</v>
      </c>
      <c r="O1889">
        <v>0</v>
      </c>
      <c r="P1889">
        <v>0</v>
      </c>
      <c r="Q1889">
        <v>517</v>
      </c>
      <c r="S1889">
        <v>0</v>
      </c>
      <c r="T1889">
        <v>0</v>
      </c>
      <c r="U1889">
        <v>0</v>
      </c>
      <c r="W1889" t="s">
        <v>99</v>
      </c>
    </row>
    <row r="1890" spans="1:23" x14ac:dyDescent="0.35">
      <c r="A1890" t="s">
        <v>45</v>
      </c>
      <c r="B1890" t="s">
        <v>3874</v>
      </c>
      <c r="C1890" t="s">
        <v>60</v>
      </c>
      <c r="D1890" t="s">
        <v>61</v>
      </c>
      <c r="E1890" t="s">
        <v>61</v>
      </c>
      <c r="F1890" t="s">
        <v>54</v>
      </c>
      <c r="G1890" t="s">
        <v>3948</v>
      </c>
      <c r="H1890" t="s">
        <v>3949</v>
      </c>
      <c r="J1890" t="str">
        <f>HYPERLINK("https://www.facebook.com/634639855377280/posts/789196523254945?comment_id=1076501566959907","https://www.facebook.com/634639855377280/posts/789196523254945?comment_id=1076501566959907")</f>
        <v>https://www.facebook.com/634639855377280/posts/789196523254945?comment_id=1076501566959907</v>
      </c>
      <c r="O1890">
        <v>0</v>
      </c>
      <c r="P1890">
        <v>0</v>
      </c>
      <c r="Q1890">
        <v>0</v>
      </c>
      <c r="S1890">
        <v>0</v>
      </c>
      <c r="T1890">
        <v>0</v>
      </c>
      <c r="U1890">
        <v>0</v>
      </c>
      <c r="W1890" t="s">
        <v>52</v>
      </c>
    </row>
    <row r="1891" spans="1:23" x14ac:dyDescent="0.35">
      <c r="A1891" t="s">
        <v>45</v>
      </c>
      <c r="B1891" t="s">
        <v>3874</v>
      </c>
      <c r="C1891" t="s">
        <v>60</v>
      </c>
      <c r="D1891" t="s">
        <v>61</v>
      </c>
      <c r="E1891" t="s">
        <v>61</v>
      </c>
      <c r="F1891" t="s">
        <v>49</v>
      </c>
      <c r="G1891" t="s">
        <v>305</v>
      </c>
      <c r="H1891" t="s">
        <v>3950</v>
      </c>
      <c r="J1891" t="str">
        <f>HYPERLINK("https://www.facebook.com/634639855377280/posts/789196523254945?comment_id=1681628875695457","https://www.facebook.com/634639855377280/posts/789196523254945?comment_id=1681628875695457")</f>
        <v>https://www.facebook.com/634639855377280/posts/789196523254945?comment_id=1681628875695457</v>
      </c>
      <c r="O1891">
        <v>0</v>
      </c>
      <c r="P1891">
        <v>0</v>
      </c>
      <c r="Q1891">
        <v>0</v>
      </c>
      <c r="S1891">
        <v>0</v>
      </c>
      <c r="T1891">
        <v>0</v>
      </c>
      <c r="U1891">
        <v>0</v>
      </c>
      <c r="W1891" t="s">
        <v>52</v>
      </c>
    </row>
    <row r="1892" spans="1:23" x14ac:dyDescent="0.35">
      <c r="A1892" t="s">
        <v>45</v>
      </c>
      <c r="B1892" t="s">
        <v>3874</v>
      </c>
      <c r="C1892" t="s">
        <v>60</v>
      </c>
      <c r="D1892" t="s">
        <v>64</v>
      </c>
      <c r="E1892" t="s">
        <v>64</v>
      </c>
      <c r="F1892" t="s">
        <v>49</v>
      </c>
      <c r="G1892" t="s">
        <v>3951</v>
      </c>
      <c r="H1892" t="s">
        <v>3952</v>
      </c>
      <c r="J1892" t="str">
        <f>HYPERLINK("https://www.facebook.com/634639855377280/posts/787942146713716?comment_id=262290710236152&amp;reply_comment_id=2087340658319680","https://www.facebook.com/634639855377280/posts/787942146713716?comment_id=262290710236152&amp;reply_comment_id=2087340658319680")</f>
        <v>https://www.facebook.com/634639855377280/posts/787942146713716?comment_id=262290710236152&amp;reply_comment_id=2087340658319680</v>
      </c>
      <c r="K1892" t="s">
        <v>67</v>
      </c>
      <c r="O1892">
        <v>0</v>
      </c>
      <c r="P1892">
        <v>0</v>
      </c>
      <c r="Q1892">
        <v>0</v>
      </c>
      <c r="S1892">
        <v>0</v>
      </c>
      <c r="T1892">
        <v>0</v>
      </c>
      <c r="U1892">
        <v>0</v>
      </c>
      <c r="W1892" t="s">
        <v>52</v>
      </c>
    </row>
    <row r="1893" spans="1:23" x14ac:dyDescent="0.35">
      <c r="A1893" t="s">
        <v>45</v>
      </c>
      <c r="B1893" t="s">
        <v>3874</v>
      </c>
      <c r="C1893" t="s">
        <v>93</v>
      </c>
      <c r="D1893" t="s">
        <v>94</v>
      </c>
      <c r="E1893" t="s">
        <v>45</v>
      </c>
      <c r="F1893" t="s">
        <v>49</v>
      </c>
      <c r="G1893" t="s">
        <v>3953</v>
      </c>
      <c r="H1893" t="s">
        <v>3954</v>
      </c>
      <c r="J1893" t="str">
        <f>HYPERLINK("https://twitter.com/SpiceMoneyIndia/status/1756888625822794083","https://twitter.com/SpiceMoneyIndia/status/1756888625822794083")</f>
        <v>https://twitter.com/SpiceMoneyIndia/status/1756888625822794083</v>
      </c>
      <c r="K1893" t="s">
        <v>67</v>
      </c>
      <c r="O1893">
        <v>0</v>
      </c>
      <c r="P1893">
        <v>0</v>
      </c>
      <c r="Q1893">
        <v>6025</v>
      </c>
      <c r="R1893" t="s">
        <v>97</v>
      </c>
      <c r="S1893">
        <v>0</v>
      </c>
      <c r="T1893">
        <v>0</v>
      </c>
      <c r="U1893">
        <v>0</v>
      </c>
      <c r="V1893" t="s">
        <v>98</v>
      </c>
      <c r="W1893" t="s">
        <v>99</v>
      </c>
    </row>
    <row r="1894" spans="1:23" x14ac:dyDescent="0.35">
      <c r="A1894" t="s">
        <v>45</v>
      </c>
      <c r="B1894" t="s">
        <v>3874</v>
      </c>
      <c r="C1894" t="s">
        <v>47</v>
      </c>
      <c r="D1894" t="s">
        <v>351</v>
      </c>
      <c r="E1894" t="s">
        <v>351</v>
      </c>
      <c r="F1894" t="s">
        <v>193</v>
      </c>
      <c r="G1894" t="s">
        <v>3955</v>
      </c>
      <c r="H1894" t="s">
        <v>3956</v>
      </c>
      <c r="J1894" t="str">
        <f>HYPERLINK("https://www.youtube.com/watch?v=Rt7UUqkb-J0&amp;lc=UgykkZ42dxir-psbwON4AaABAg","https://www.youtube.com/watch?v=Rt7UUqkb-J0&amp;lc=UgykkZ42dxir-psbwON4AaABAg")</f>
        <v>https://www.youtube.com/watch?v=Rt7UUqkb-J0&amp;lc=UgykkZ42dxir-psbwON4AaABAg</v>
      </c>
      <c r="O1894">
        <v>0</v>
      </c>
      <c r="P1894">
        <v>0</v>
      </c>
      <c r="Q1894">
        <v>0</v>
      </c>
      <c r="S1894">
        <v>0</v>
      </c>
      <c r="T1894">
        <v>0</v>
      </c>
      <c r="U1894">
        <v>0</v>
      </c>
      <c r="W1894" t="s">
        <v>52</v>
      </c>
    </row>
    <row r="1895" spans="1:23" x14ac:dyDescent="0.35">
      <c r="A1895" t="s">
        <v>45</v>
      </c>
      <c r="B1895" t="s">
        <v>3874</v>
      </c>
      <c r="C1895" t="s">
        <v>93</v>
      </c>
      <c r="D1895" t="s">
        <v>3957</v>
      </c>
      <c r="E1895" t="s">
        <v>3958</v>
      </c>
      <c r="F1895" t="s">
        <v>49</v>
      </c>
      <c r="G1895" t="s">
        <v>3959</v>
      </c>
      <c r="H1895" t="s">
        <v>3960</v>
      </c>
      <c r="J1895" t="str">
        <f>HYPERLINK("https://twitter.com/ParwinderS82656/status/1756877080049205731","https://twitter.com/ParwinderS82656/status/1756877080049205731")</f>
        <v>https://twitter.com/ParwinderS82656/status/1756877080049205731</v>
      </c>
      <c r="K1895" t="s">
        <v>67</v>
      </c>
      <c r="O1895">
        <v>0</v>
      </c>
      <c r="P1895">
        <v>0</v>
      </c>
      <c r="Q1895">
        <v>3</v>
      </c>
      <c r="S1895">
        <v>0</v>
      </c>
      <c r="T1895">
        <v>0</v>
      </c>
      <c r="U1895">
        <v>0</v>
      </c>
      <c r="W1895" t="s">
        <v>99</v>
      </c>
    </row>
    <row r="1896" spans="1:23" x14ac:dyDescent="0.35">
      <c r="A1896" t="s">
        <v>45</v>
      </c>
      <c r="B1896" t="s">
        <v>3874</v>
      </c>
      <c r="C1896" t="s">
        <v>60</v>
      </c>
      <c r="D1896" t="s">
        <v>61</v>
      </c>
      <c r="E1896" t="s">
        <v>61</v>
      </c>
      <c r="F1896" t="s">
        <v>49</v>
      </c>
      <c r="G1896" t="s">
        <v>3961</v>
      </c>
      <c r="H1896" t="s">
        <v>3962</v>
      </c>
      <c r="J1896" t="str">
        <f>HYPERLINK("https://www.facebook.com/634639855377280/posts/788604969980767?comment_id=942200566965523","https://www.facebook.com/634639855377280/posts/788604969980767?comment_id=942200566965523")</f>
        <v>https://www.facebook.com/634639855377280/posts/788604969980767?comment_id=942200566965523</v>
      </c>
      <c r="O1896">
        <v>0</v>
      </c>
      <c r="P1896">
        <v>0</v>
      </c>
      <c r="Q1896">
        <v>0</v>
      </c>
      <c r="S1896">
        <v>0</v>
      </c>
      <c r="T1896">
        <v>0</v>
      </c>
      <c r="U1896">
        <v>0</v>
      </c>
      <c r="W1896" t="s">
        <v>52</v>
      </c>
    </row>
    <row r="1897" spans="1:23" x14ac:dyDescent="0.35">
      <c r="A1897" t="s">
        <v>45</v>
      </c>
      <c r="B1897" t="s">
        <v>3874</v>
      </c>
      <c r="C1897" t="s">
        <v>47</v>
      </c>
      <c r="D1897" t="s">
        <v>3963</v>
      </c>
      <c r="E1897" t="s">
        <v>3963</v>
      </c>
      <c r="F1897" t="s">
        <v>49</v>
      </c>
      <c r="G1897" t="s">
        <v>3964</v>
      </c>
      <c r="H1897" t="s">
        <v>3965</v>
      </c>
      <c r="J1897" t="str">
        <f>HYPERLINK("https://www.youtube.com/watch?v=ei_eRFiBcfc&amp;lc=Ugwx1cpTFrOEgQRfQ5d4AaABAg","https://www.youtube.com/watch?v=ei_eRFiBcfc&amp;lc=Ugwx1cpTFrOEgQRfQ5d4AaABAg")</f>
        <v>https://www.youtube.com/watch?v=ei_eRFiBcfc&amp;lc=Ugwx1cpTFrOEgQRfQ5d4AaABAg</v>
      </c>
      <c r="O1897">
        <v>0</v>
      </c>
      <c r="P1897">
        <v>0</v>
      </c>
      <c r="Q1897">
        <v>0</v>
      </c>
      <c r="S1897">
        <v>0</v>
      </c>
      <c r="T1897">
        <v>0</v>
      </c>
      <c r="U1897">
        <v>0</v>
      </c>
      <c r="W1897" t="s">
        <v>52</v>
      </c>
    </row>
    <row r="1898" spans="1:23" x14ac:dyDescent="0.35">
      <c r="A1898" t="s">
        <v>45</v>
      </c>
      <c r="B1898" t="s">
        <v>3874</v>
      </c>
      <c r="C1898" t="s">
        <v>47</v>
      </c>
      <c r="D1898" t="s">
        <v>3966</v>
      </c>
      <c r="E1898" t="s">
        <v>3966</v>
      </c>
      <c r="F1898" t="s">
        <v>49</v>
      </c>
      <c r="G1898" t="s">
        <v>3967</v>
      </c>
      <c r="H1898" t="s">
        <v>3968</v>
      </c>
      <c r="J1898" t="str">
        <f>HYPERLINK("https://www.youtube.com/watch?v=wDVpKG8jfSo&amp;lc=UgzyWz3a-WsjcJkpNHl4AaABAg","https://www.youtube.com/watch?v=wDVpKG8jfSo&amp;lc=UgzyWz3a-WsjcJkpNHl4AaABAg")</f>
        <v>https://www.youtube.com/watch?v=wDVpKG8jfSo&amp;lc=UgzyWz3a-WsjcJkpNHl4AaABAg</v>
      </c>
      <c r="O1898">
        <v>0</v>
      </c>
      <c r="P1898">
        <v>0</v>
      </c>
      <c r="Q1898">
        <v>0</v>
      </c>
      <c r="S1898">
        <v>0</v>
      </c>
      <c r="T1898">
        <v>0</v>
      </c>
      <c r="U1898">
        <v>0</v>
      </c>
      <c r="W1898" t="s">
        <v>52</v>
      </c>
    </row>
    <row r="1899" spans="1:23" x14ac:dyDescent="0.35">
      <c r="A1899" t="s">
        <v>45</v>
      </c>
      <c r="B1899" t="s">
        <v>3874</v>
      </c>
      <c r="C1899" t="s">
        <v>47</v>
      </c>
      <c r="D1899" t="s">
        <v>3966</v>
      </c>
      <c r="E1899" t="s">
        <v>3966</v>
      </c>
      <c r="F1899" t="s">
        <v>49</v>
      </c>
      <c r="G1899" t="s">
        <v>3969</v>
      </c>
      <c r="H1899" t="s">
        <v>3970</v>
      </c>
      <c r="J1899" t="str">
        <f>HYPERLINK("https://www.youtube.com/watch?v=wDVpKG8jfSo&amp;lc=UgxG9dCpu3j8v9ZbQEh4AaABAg","https://www.youtube.com/watch?v=wDVpKG8jfSo&amp;lc=UgxG9dCpu3j8v9ZbQEh4AaABAg")</f>
        <v>https://www.youtube.com/watch?v=wDVpKG8jfSo&amp;lc=UgxG9dCpu3j8v9ZbQEh4AaABAg</v>
      </c>
      <c r="O1899">
        <v>0</v>
      </c>
      <c r="P1899">
        <v>0</v>
      </c>
      <c r="Q1899">
        <v>0</v>
      </c>
      <c r="S1899">
        <v>0</v>
      </c>
      <c r="T1899">
        <v>0</v>
      </c>
      <c r="U1899">
        <v>0</v>
      </c>
      <c r="W1899" t="s">
        <v>52</v>
      </c>
    </row>
    <row r="1900" spans="1:23" x14ac:dyDescent="0.35">
      <c r="A1900" t="s">
        <v>45</v>
      </c>
      <c r="B1900" t="s">
        <v>3874</v>
      </c>
      <c r="C1900" t="s">
        <v>60</v>
      </c>
      <c r="D1900" t="s">
        <v>61</v>
      </c>
      <c r="E1900" t="s">
        <v>61</v>
      </c>
      <c r="F1900" t="s">
        <v>49</v>
      </c>
      <c r="G1900" t="s">
        <v>3971</v>
      </c>
      <c r="H1900" t="s">
        <v>3972</v>
      </c>
      <c r="J1900" t="str">
        <f>HYPERLINK("https://www.facebook.com/634639855377280/posts/789196523254945?comment_id=950010593132071&amp;reply_comment_id=2055922474779482","https://www.facebook.com/634639855377280/posts/789196523254945?comment_id=950010593132071&amp;reply_comment_id=2055922474779482")</f>
        <v>https://www.facebook.com/634639855377280/posts/789196523254945?comment_id=950010593132071&amp;reply_comment_id=2055922474779482</v>
      </c>
      <c r="O1900">
        <v>0</v>
      </c>
      <c r="P1900">
        <v>0</v>
      </c>
      <c r="Q1900">
        <v>0</v>
      </c>
      <c r="S1900">
        <v>0</v>
      </c>
      <c r="T1900">
        <v>0</v>
      </c>
      <c r="U1900">
        <v>0</v>
      </c>
      <c r="W1900" t="s">
        <v>52</v>
      </c>
    </row>
    <row r="1901" spans="1:23" x14ac:dyDescent="0.35">
      <c r="A1901" t="s">
        <v>45</v>
      </c>
      <c r="B1901" t="s">
        <v>3874</v>
      </c>
      <c r="C1901" t="s">
        <v>60</v>
      </c>
      <c r="D1901" t="s">
        <v>61</v>
      </c>
      <c r="E1901" t="s">
        <v>61</v>
      </c>
      <c r="F1901" t="s">
        <v>49</v>
      </c>
      <c r="G1901" t="s">
        <v>3973</v>
      </c>
      <c r="H1901" t="s">
        <v>3974</v>
      </c>
      <c r="J1901" t="str">
        <f>HYPERLINK("https://www.facebook.com/634639855377280/posts/789196523254945?comment_id=685408990406376&amp;reply_comment_id=1457859311498798","https://www.facebook.com/634639855377280/posts/789196523254945?comment_id=685408990406376&amp;reply_comment_id=1457859311498798")</f>
        <v>https://www.facebook.com/634639855377280/posts/789196523254945?comment_id=685408990406376&amp;reply_comment_id=1457859311498798</v>
      </c>
      <c r="O1901">
        <v>0</v>
      </c>
      <c r="P1901">
        <v>0</v>
      </c>
      <c r="Q1901">
        <v>0</v>
      </c>
      <c r="S1901">
        <v>0</v>
      </c>
      <c r="T1901">
        <v>0</v>
      </c>
      <c r="U1901">
        <v>0</v>
      </c>
      <c r="W1901" t="s">
        <v>52</v>
      </c>
    </row>
    <row r="1902" spans="1:23" x14ac:dyDescent="0.35">
      <c r="A1902" t="s">
        <v>45</v>
      </c>
      <c r="B1902" t="s">
        <v>3874</v>
      </c>
      <c r="C1902" t="s">
        <v>60</v>
      </c>
      <c r="D1902" t="s">
        <v>61</v>
      </c>
      <c r="E1902" t="s">
        <v>61</v>
      </c>
      <c r="F1902" t="s">
        <v>54</v>
      </c>
      <c r="G1902" t="s">
        <v>3975</v>
      </c>
      <c r="H1902" t="s">
        <v>3976</v>
      </c>
      <c r="J1902" t="str">
        <f>HYPERLINK("https://www.facebook.com/634639855377280/posts/789196523254945?comment_id=7064007180302607&amp;reply_comment_id=313250695063361","https://www.facebook.com/634639855377280/posts/789196523254945?comment_id=7064007180302607&amp;reply_comment_id=313250695063361")</f>
        <v>https://www.facebook.com/634639855377280/posts/789196523254945?comment_id=7064007180302607&amp;reply_comment_id=313250695063361</v>
      </c>
      <c r="O1902">
        <v>0</v>
      </c>
      <c r="P1902">
        <v>0</v>
      </c>
      <c r="Q1902">
        <v>0</v>
      </c>
      <c r="S1902">
        <v>0</v>
      </c>
      <c r="T1902">
        <v>0</v>
      </c>
      <c r="U1902">
        <v>0</v>
      </c>
      <c r="W1902" t="s">
        <v>52</v>
      </c>
    </row>
    <row r="1903" spans="1:23" x14ac:dyDescent="0.35">
      <c r="A1903" t="s">
        <v>45</v>
      </c>
      <c r="B1903" t="s">
        <v>3874</v>
      </c>
      <c r="C1903" t="s">
        <v>60</v>
      </c>
      <c r="D1903" t="s">
        <v>61</v>
      </c>
      <c r="E1903" t="s">
        <v>61</v>
      </c>
      <c r="F1903" t="s">
        <v>49</v>
      </c>
      <c r="G1903" t="s">
        <v>3977</v>
      </c>
      <c r="H1903" t="s">
        <v>3978</v>
      </c>
      <c r="J1903" t="str">
        <f>HYPERLINK("https://www.facebook.com/634639855377280/posts/789196523254945?comment_id=950010593132071&amp;reply_comment_id=682498790762986","https://www.facebook.com/634639855377280/posts/789196523254945?comment_id=950010593132071&amp;reply_comment_id=682498790762986")</f>
        <v>https://www.facebook.com/634639855377280/posts/789196523254945?comment_id=950010593132071&amp;reply_comment_id=682498790762986</v>
      </c>
      <c r="O1903">
        <v>0</v>
      </c>
      <c r="P1903">
        <v>0</v>
      </c>
      <c r="Q1903">
        <v>0</v>
      </c>
      <c r="S1903">
        <v>0</v>
      </c>
      <c r="T1903">
        <v>0</v>
      </c>
      <c r="U1903">
        <v>0</v>
      </c>
      <c r="W1903" t="s">
        <v>52</v>
      </c>
    </row>
    <row r="1904" spans="1:23" x14ac:dyDescent="0.35">
      <c r="A1904" t="s">
        <v>45</v>
      </c>
      <c r="B1904" t="s">
        <v>3874</v>
      </c>
      <c r="C1904" t="s">
        <v>60</v>
      </c>
      <c r="D1904" t="s">
        <v>61</v>
      </c>
      <c r="E1904" t="s">
        <v>61</v>
      </c>
      <c r="F1904" t="s">
        <v>49</v>
      </c>
      <c r="G1904" t="s">
        <v>3979</v>
      </c>
      <c r="H1904" t="s">
        <v>3980</v>
      </c>
      <c r="J1904" t="str">
        <f>HYPERLINK("https://www.facebook.com/634639855377280/posts/789196523254945?comment_id=773051387576046&amp;reply_comment_id=271287062524700","https://www.facebook.com/634639855377280/posts/789196523254945?comment_id=773051387576046&amp;reply_comment_id=271287062524700")</f>
        <v>https://www.facebook.com/634639855377280/posts/789196523254945?comment_id=773051387576046&amp;reply_comment_id=271287062524700</v>
      </c>
      <c r="O1904">
        <v>0</v>
      </c>
      <c r="P1904">
        <v>0</v>
      </c>
      <c r="Q1904">
        <v>0</v>
      </c>
      <c r="S1904">
        <v>0</v>
      </c>
      <c r="T1904">
        <v>0</v>
      </c>
      <c r="U1904">
        <v>0</v>
      </c>
      <c r="W1904" t="s">
        <v>52</v>
      </c>
    </row>
    <row r="1905" spans="1:23" x14ac:dyDescent="0.35">
      <c r="A1905" t="s">
        <v>45</v>
      </c>
      <c r="B1905" t="s">
        <v>3874</v>
      </c>
      <c r="C1905" t="s">
        <v>60</v>
      </c>
      <c r="D1905" t="s">
        <v>61</v>
      </c>
      <c r="E1905" t="s">
        <v>61</v>
      </c>
      <c r="F1905" t="s">
        <v>49</v>
      </c>
      <c r="G1905" t="s">
        <v>3981</v>
      </c>
      <c r="H1905" t="s">
        <v>3982</v>
      </c>
      <c r="J1905" t="str">
        <f>HYPERLINK("https://www.facebook.com/634639855377280/posts/789196523254945?comment_id=920771465971752&amp;reply_comment_id=2317212958489346","https://www.facebook.com/634639855377280/posts/789196523254945?comment_id=920771465971752&amp;reply_comment_id=2317212958489346")</f>
        <v>https://www.facebook.com/634639855377280/posts/789196523254945?comment_id=920771465971752&amp;reply_comment_id=2317212958489346</v>
      </c>
      <c r="O1905">
        <v>0</v>
      </c>
      <c r="P1905">
        <v>0</v>
      </c>
      <c r="Q1905">
        <v>0</v>
      </c>
      <c r="S1905">
        <v>0</v>
      </c>
      <c r="T1905">
        <v>0</v>
      </c>
      <c r="U1905">
        <v>0</v>
      </c>
      <c r="W1905" t="s">
        <v>52</v>
      </c>
    </row>
    <row r="1906" spans="1:23" x14ac:dyDescent="0.35">
      <c r="A1906" t="s">
        <v>45</v>
      </c>
      <c r="B1906" t="s">
        <v>3874</v>
      </c>
      <c r="C1906" t="s">
        <v>60</v>
      </c>
      <c r="D1906" t="s">
        <v>61</v>
      </c>
      <c r="E1906" t="s">
        <v>61</v>
      </c>
      <c r="F1906" t="s">
        <v>54</v>
      </c>
      <c r="G1906" t="s">
        <v>3983</v>
      </c>
      <c r="H1906" t="s">
        <v>3984</v>
      </c>
      <c r="J1906" t="str">
        <f>HYPERLINK("https://www.facebook.com/634639855377280/posts/789196523254945?comment_id=910645520705047","https://www.facebook.com/634639855377280/posts/789196523254945?comment_id=910645520705047")</f>
        <v>https://www.facebook.com/634639855377280/posts/789196523254945?comment_id=910645520705047</v>
      </c>
      <c r="O1906">
        <v>0</v>
      </c>
      <c r="P1906">
        <v>0</v>
      </c>
      <c r="Q1906">
        <v>0</v>
      </c>
      <c r="S1906">
        <v>0</v>
      </c>
      <c r="T1906">
        <v>0</v>
      </c>
      <c r="U1906">
        <v>0</v>
      </c>
      <c r="W1906" t="s">
        <v>52</v>
      </c>
    </row>
    <row r="1907" spans="1:23" x14ac:dyDescent="0.35">
      <c r="A1907" t="s">
        <v>45</v>
      </c>
      <c r="B1907" t="s">
        <v>3985</v>
      </c>
      <c r="C1907" t="s">
        <v>60</v>
      </c>
      <c r="D1907" t="s">
        <v>61</v>
      </c>
      <c r="E1907" t="s">
        <v>61</v>
      </c>
      <c r="F1907" t="s">
        <v>54</v>
      </c>
      <c r="G1907" t="s">
        <v>3986</v>
      </c>
      <c r="H1907" t="s">
        <v>3987</v>
      </c>
      <c r="J1907" t="str">
        <f>HYPERLINK("https://www.facebook.com/634639855377280/posts/789196523254945?comment_id=920771465971752","https://www.facebook.com/634639855377280/posts/789196523254945?comment_id=920771465971752")</f>
        <v>https://www.facebook.com/634639855377280/posts/789196523254945?comment_id=920771465971752</v>
      </c>
      <c r="O1907">
        <v>0</v>
      </c>
      <c r="P1907">
        <v>0</v>
      </c>
      <c r="Q1907">
        <v>0</v>
      </c>
      <c r="S1907">
        <v>0</v>
      </c>
      <c r="T1907">
        <v>0</v>
      </c>
      <c r="U1907">
        <v>0</v>
      </c>
      <c r="W1907" t="s">
        <v>52</v>
      </c>
    </row>
    <row r="1908" spans="1:23" x14ac:dyDescent="0.35">
      <c r="A1908" t="s">
        <v>45</v>
      </c>
      <c r="B1908" t="s">
        <v>3985</v>
      </c>
      <c r="C1908" t="s">
        <v>60</v>
      </c>
      <c r="D1908" t="s">
        <v>61</v>
      </c>
      <c r="E1908" t="s">
        <v>61</v>
      </c>
      <c r="F1908" t="s">
        <v>49</v>
      </c>
      <c r="G1908" t="s">
        <v>3988</v>
      </c>
      <c r="H1908" t="s">
        <v>3989</v>
      </c>
      <c r="J1908" t="str">
        <f>HYPERLINK("https://www.facebook.com/634639855377280/posts/789196523254945?comment_id=412066974513270&amp;reply_comment_id=334690435565445","https://www.facebook.com/634639855377280/posts/789196523254945?comment_id=412066974513270&amp;reply_comment_id=334690435565445")</f>
        <v>https://www.facebook.com/634639855377280/posts/789196523254945?comment_id=412066974513270&amp;reply_comment_id=334690435565445</v>
      </c>
      <c r="O1908">
        <v>0</v>
      </c>
      <c r="P1908">
        <v>0</v>
      </c>
      <c r="Q1908">
        <v>0</v>
      </c>
      <c r="S1908">
        <v>0</v>
      </c>
      <c r="T1908">
        <v>0</v>
      </c>
      <c r="U1908">
        <v>0</v>
      </c>
      <c r="W1908" t="s">
        <v>52</v>
      </c>
    </row>
    <row r="1909" spans="1:23" x14ac:dyDescent="0.35">
      <c r="A1909" t="s">
        <v>45</v>
      </c>
      <c r="B1909" t="s">
        <v>3985</v>
      </c>
      <c r="C1909" t="s">
        <v>60</v>
      </c>
      <c r="D1909" t="s">
        <v>61</v>
      </c>
      <c r="E1909" t="s">
        <v>61</v>
      </c>
      <c r="F1909" t="s">
        <v>49</v>
      </c>
      <c r="G1909" t="s">
        <v>3990</v>
      </c>
      <c r="H1909" t="s">
        <v>3991</v>
      </c>
      <c r="J1909" t="str">
        <f>HYPERLINK("https://www.facebook.com/634639855377280/posts/789196523254945?comment_id=412066974513270&amp;reply_comment_id=1433615284029229","https://www.facebook.com/634639855377280/posts/789196523254945?comment_id=412066974513270&amp;reply_comment_id=1433615284029229")</f>
        <v>https://www.facebook.com/634639855377280/posts/789196523254945?comment_id=412066974513270&amp;reply_comment_id=1433615284029229</v>
      </c>
      <c r="O1909">
        <v>0</v>
      </c>
      <c r="P1909">
        <v>0</v>
      </c>
      <c r="Q1909">
        <v>0</v>
      </c>
      <c r="S1909">
        <v>0</v>
      </c>
      <c r="T1909">
        <v>0</v>
      </c>
      <c r="U1909">
        <v>0</v>
      </c>
      <c r="W1909" t="s">
        <v>52</v>
      </c>
    </row>
    <row r="1910" spans="1:23" x14ac:dyDescent="0.35">
      <c r="A1910" t="s">
        <v>45</v>
      </c>
      <c r="B1910" t="s">
        <v>3985</v>
      </c>
      <c r="C1910" t="s">
        <v>60</v>
      </c>
      <c r="D1910" t="s">
        <v>61</v>
      </c>
      <c r="E1910" t="s">
        <v>61</v>
      </c>
      <c r="F1910" t="s">
        <v>193</v>
      </c>
      <c r="G1910" t="s">
        <v>3992</v>
      </c>
      <c r="H1910" t="s">
        <v>3993</v>
      </c>
      <c r="J1910" t="str">
        <f>HYPERLINK("https://www.facebook.com/634639855377280/posts/789196523254945?comment_id=412066974513270","https://www.facebook.com/634639855377280/posts/789196523254945?comment_id=412066974513270")</f>
        <v>https://www.facebook.com/634639855377280/posts/789196523254945?comment_id=412066974513270</v>
      </c>
      <c r="O1910">
        <v>0</v>
      </c>
      <c r="P1910">
        <v>0</v>
      </c>
      <c r="Q1910">
        <v>0</v>
      </c>
      <c r="S1910">
        <v>0</v>
      </c>
      <c r="T1910">
        <v>0</v>
      </c>
      <c r="U1910">
        <v>0</v>
      </c>
      <c r="W1910" t="s">
        <v>52</v>
      </c>
    </row>
    <row r="1911" spans="1:23" x14ac:dyDescent="0.35">
      <c r="A1911" t="s">
        <v>45</v>
      </c>
      <c r="B1911" t="s">
        <v>3985</v>
      </c>
      <c r="C1911" t="s">
        <v>60</v>
      </c>
      <c r="D1911" t="s">
        <v>61</v>
      </c>
      <c r="E1911" t="s">
        <v>61</v>
      </c>
      <c r="F1911" t="s">
        <v>54</v>
      </c>
      <c r="G1911" t="s">
        <v>3994</v>
      </c>
      <c r="H1911" t="s">
        <v>3995</v>
      </c>
      <c r="J1911" t="str">
        <f>HYPERLINK("https://www.facebook.com/634639855377280/posts/789196523254945?comment_id=312380388482933","https://www.facebook.com/634639855377280/posts/789196523254945?comment_id=312380388482933")</f>
        <v>https://www.facebook.com/634639855377280/posts/789196523254945?comment_id=312380388482933</v>
      </c>
      <c r="O1911">
        <v>0</v>
      </c>
      <c r="P1911">
        <v>0</v>
      </c>
      <c r="Q1911">
        <v>0</v>
      </c>
      <c r="S1911">
        <v>0</v>
      </c>
      <c r="T1911">
        <v>0</v>
      </c>
      <c r="U1911">
        <v>0</v>
      </c>
      <c r="W1911" t="s">
        <v>52</v>
      </c>
    </row>
    <row r="1912" spans="1:23" x14ac:dyDescent="0.35">
      <c r="A1912" t="s">
        <v>45</v>
      </c>
      <c r="B1912" t="s">
        <v>3985</v>
      </c>
      <c r="C1912" t="s">
        <v>47</v>
      </c>
      <c r="D1912" t="s">
        <v>2063</v>
      </c>
      <c r="E1912" t="s">
        <v>2063</v>
      </c>
      <c r="F1912" t="s">
        <v>49</v>
      </c>
      <c r="G1912" t="s">
        <v>3996</v>
      </c>
      <c r="H1912" t="s">
        <v>3997</v>
      </c>
      <c r="J1912" t="str">
        <f>HYPERLINK("https://www.youtube.com/watch?v=Vk9kehZJdww&amp;lc=UgwPGpOSqlDrUhiize94AaABAg","https://www.youtube.com/watch?v=Vk9kehZJdww&amp;lc=UgwPGpOSqlDrUhiize94AaABAg")</f>
        <v>https://www.youtube.com/watch?v=Vk9kehZJdww&amp;lc=UgwPGpOSqlDrUhiize94AaABAg</v>
      </c>
      <c r="O1912">
        <v>0</v>
      </c>
      <c r="P1912">
        <v>0</v>
      </c>
      <c r="Q1912">
        <v>0</v>
      </c>
      <c r="S1912">
        <v>0</v>
      </c>
      <c r="T1912">
        <v>0</v>
      </c>
      <c r="U1912">
        <v>0</v>
      </c>
      <c r="W1912" t="s">
        <v>52</v>
      </c>
    </row>
    <row r="1913" spans="1:23" x14ac:dyDescent="0.35">
      <c r="A1913" t="s">
        <v>45</v>
      </c>
      <c r="B1913" t="s">
        <v>3985</v>
      </c>
      <c r="C1913" t="s">
        <v>60</v>
      </c>
      <c r="D1913" t="s">
        <v>61</v>
      </c>
      <c r="E1913" t="s">
        <v>61</v>
      </c>
      <c r="F1913" t="s">
        <v>193</v>
      </c>
      <c r="G1913" t="s">
        <v>3998</v>
      </c>
      <c r="H1913" t="s">
        <v>3999</v>
      </c>
      <c r="J1913" t="str">
        <f>HYPERLINK("https://www.facebook.com/634639855377280/posts/789196523254945?comment_id=1374014546563652","https://www.facebook.com/634639855377280/posts/789196523254945?comment_id=1374014546563652")</f>
        <v>https://www.facebook.com/634639855377280/posts/789196523254945?comment_id=1374014546563652</v>
      </c>
      <c r="O1913">
        <v>0</v>
      </c>
      <c r="P1913">
        <v>0</v>
      </c>
      <c r="Q1913">
        <v>0</v>
      </c>
      <c r="S1913">
        <v>0</v>
      </c>
      <c r="T1913">
        <v>0</v>
      </c>
      <c r="U1913">
        <v>0</v>
      </c>
      <c r="W1913" t="s">
        <v>52</v>
      </c>
    </row>
    <row r="1914" spans="1:23" x14ac:dyDescent="0.35">
      <c r="A1914" t="s">
        <v>45</v>
      </c>
      <c r="B1914" t="s">
        <v>3985</v>
      </c>
      <c r="C1914" t="s">
        <v>60</v>
      </c>
      <c r="D1914" t="s">
        <v>61</v>
      </c>
      <c r="E1914" t="s">
        <v>61</v>
      </c>
      <c r="F1914" t="s">
        <v>49</v>
      </c>
      <c r="G1914" t="s">
        <v>4000</v>
      </c>
      <c r="H1914" t="s">
        <v>4001</v>
      </c>
      <c r="J1914" t="str">
        <f>HYPERLINK("https://www.facebook.com/634639855377280/posts/787476670093597?comment_id=284686414371687&amp;reply_comment_id=1308458913162824","https://www.facebook.com/634639855377280/posts/787476670093597?comment_id=284686414371687&amp;reply_comment_id=1308458913162824")</f>
        <v>https://www.facebook.com/634639855377280/posts/787476670093597?comment_id=284686414371687&amp;reply_comment_id=1308458913162824</v>
      </c>
      <c r="O1914">
        <v>0</v>
      </c>
      <c r="P1914">
        <v>0</v>
      </c>
      <c r="Q1914">
        <v>0</v>
      </c>
      <c r="S1914">
        <v>0</v>
      </c>
      <c r="T1914">
        <v>0</v>
      </c>
      <c r="U1914">
        <v>0</v>
      </c>
      <c r="W1914" t="s">
        <v>52</v>
      </c>
    </row>
    <row r="1915" spans="1:23" x14ac:dyDescent="0.35">
      <c r="A1915" t="s">
        <v>45</v>
      </c>
      <c r="B1915" t="s">
        <v>3985</v>
      </c>
      <c r="C1915" t="s">
        <v>60</v>
      </c>
      <c r="D1915" t="s">
        <v>61</v>
      </c>
      <c r="E1915" t="s">
        <v>61</v>
      </c>
      <c r="F1915" t="s">
        <v>49</v>
      </c>
      <c r="G1915" t="s">
        <v>4002</v>
      </c>
      <c r="H1915" t="s">
        <v>4003</v>
      </c>
      <c r="J1915" t="str">
        <f>HYPERLINK("https://www.facebook.com/634639855377280/posts/787476670093597?comment_id=901666574782679&amp;reply_comment_id=715279074072509","https://www.facebook.com/634639855377280/posts/787476670093597?comment_id=901666574782679&amp;reply_comment_id=715279074072509")</f>
        <v>https://www.facebook.com/634639855377280/posts/787476670093597?comment_id=901666574782679&amp;reply_comment_id=715279074072509</v>
      </c>
      <c r="O1915">
        <v>0</v>
      </c>
      <c r="P1915">
        <v>0</v>
      </c>
      <c r="Q1915">
        <v>0</v>
      </c>
      <c r="S1915">
        <v>0</v>
      </c>
      <c r="T1915">
        <v>0</v>
      </c>
      <c r="U1915">
        <v>0</v>
      </c>
      <c r="W1915" t="s">
        <v>52</v>
      </c>
    </row>
    <row r="1916" spans="1:23" x14ac:dyDescent="0.35">
      <c r="A1916" t="s">
        <v>45</v>
      </c>
      <c r="B1916" t="s">
        <v>3985</v>
      </c>
      <c r="C1916" t="s">
        <v>60</v>
      </c>
      <c r="D1916" t="s">
        <v>61</v>
      </c>
      <c r="E1916" t="s">
        <v>61</v>
      </c>
      <c r="F1916" t="s">
        <v>49</v>
      </c>
      <c r="G1916" t="s">
        <v>4004</v>
      </c>
      <c r="H1916" t="s">
        <v>4005</v>
      </c>
      <c r="J1916" t="str">
        <f>HYPERLINK("https://www.facebook.com/634639855377280/posts/789196523254945?comment_id=1149434352887973&amp;reply_comment_id=1635478123655276","https://www.facebook.com/634639855377280/posts/789196523254945?comment_id=1149434352887973&amp;reply_comment_id=1635478123655276")</f>
        <v>https://www.facebook.com/634639855377280/posts/789196523254945?comment_id=1149434352887973&amp;reply_comment_id=1635478123655276</v>
      </c>
      <c r="O1916">
        <v>0</v>
      </c>
      <c r="P1916">
        <v>0</v>
      </c>
      <c r="Q1916">
        <v>0</v>
      </c>
      <c r="S1916">
        <v>0</v>
      </c>
      <c r="T1916">
        <v>0</v>
      </c>
      <c r="U1916">
        <v>0</v>
      </c>
      <c r="W1916" t="s">
        <v>52</v>
      </c>
    </row>
    <row r="1917" spans="1:23" x14ac:dyDescent="0.35">
      <c r="A1917" t="s">
        <v>45</v>
      </c>
      <c r="B1917" t="s">
        <v>3985</v>
      </c>
      <c r="C1917" t="s">
        <v>60</v>
      </c>
      <c r="D1917" t="s">
        <v>61</v>
      </c>
      <c r="E1917" t="s">
        <v>61</v>
      </c>
      <c r="F1917" t="s">
        <v>49</v>
      </c>
      <c r="G1917" t="s">
        <v>4006</v>
      </c>
      <c r="H1917" t="s">
        <v>4007</v>
      </c>
      <c r="J1917" t="str">
        <f>HYPERLINK("https://www.facebook.com/634639855377280/posts/786878883486709?comment_id=844959814107914&amp;reply_comment_id=1574294933356419","https://www.facebook.com/634639855377280/posts/786878883486709?comment_id=844959814107914&amp;reply_comment_id=1574294933356419")</f>
        <v>https://www.facebook.com/634639855377280/posts/786878883486709?comment_id=844959814107914&amp;reply_comment_id=1574294933356419</v>
      </c>
      <c r="O1917">
        <v>0</v>
      </c>
      <c r="P1917">
        <v>0</v>
      </c>
      <c r="Q1917">
        <v>0</v>
      </c>
      <c r="S1917">
        <v>0</v>
      </c>
      <c r="T1917">
        <v>0</v>
      </c>
      <c r="U1917">
        <v>0</v>
      </c>
      <c r="W1917" t="s">
        <v>52</v>
      </c>
    </row>
    <row r="1918" spans="1:23" x14ac:dyDescent="0.35">
      <c r="A1918" t="s">
        <v>45</v>
      </c>
      <c r="B1918" t="s">
        <v>3985</v>
      </c>
      <c r="C1918" t="s">
        <v>60</v>
      </c>
      <c r="D1918" t="s">
        <v>64</v>
      </c>
      <c r="E1918" t="s">
        <v>64</v>
      </c>
      <c r="F1918" t="s">
        <v>49</v>
      </c>
      <c r="G1918" t="s">
        <v>100</v>
      </c>
      <c r="H1918" t="s">
        <v>4008</v>
      </c>
      <c r="J1918" t="str">
        <f>HYPERLINK("https://www.facebook.com/634639855377280/posts/787476670093597?comment_id=761606965471714&amp;reply_comment_id=429390126096979","https://www.facebook.com/634639855377280/posts/787476670093597?comment_id=761606965471714&amp;reply_comment_id=429390126096979")</f>
        <v>https://www.facebook.com/634639855377280/posts/787476670093597?comment_id=761606965471714&amp;reply_comment_id=429390126096979</v>
      </c>
      <c r="K1918" t="s">
        <v>67</v>
      </c>
      <c r="O1918">
        <v>0</v>
      </c>
      <c r="P1918">
        <v>0</v>
      </c>
      <c r="Q1918">
        <v>0</v>
      </c>
      <c r="S1918">
        <v>0</v>
      </c>
      <c r="T1918">
        <v>0</v>
      </c>
      <c r="U1918">
        <v>0</v>
      </c>
      <c r="W1918" t="s">
        <v>52</v>
      </c>
    </row>
    <row r="1919" spans="1:23" x14ac:dyDescent="0.35">
      <c r="A1919" t="s">
        <v>45</v>
      </c>
      <c r="B1919" t="s">
        <v>3985</v>
      </c>
      <c r="C1919" t="s">
        <v>47</v>
      </c>
      <c r="D1919" t="s">
        <v>68</v>
      </c>
      <c r="E1919" t="s">
        <v>68</v>
      </c>
      <c r="F1919" t="s">
        <v>49</v>
      </c>
      <c r="G1919" t="s">
        <v>102</v>
      </c>
      <c r="H1919" t="s">
        <v>4009</v>
      </c>
      <c r="J1919" t="str">
        <f>HYPERLINK("https://www.youtube.com/watch?v=wDVpKG8jfSo&amp;lc=UgxXRbuIF8hi7TSs2BJ4AaABAg.A-faUbh9EdHA-fkny30v_Z","https://www.youtube.com/watch?v=wDVpKG8jfSo&amp;lc=UgxXRbuIF8hi7TSs2BJ4AaABAg.A-faUbh9EdHA-fkny30v_Z")</f>
        <v>https://www.youtube.com/watch?v=wDVpKG8jfSo&amp;lc=UgxXRbuIF8hi7TSs2BJ4AaABAg.A-faUbh9EdHA-fkny30v_Z</v>
      </c>
      <c r="O1919">
        <v>0</v>
      </c>
      <c r="P1919">
        <v>0</v>
      </c>
      <c r="Q1919">
        <v>0</v>
      </c>
      <c r="S1919">
        <v>0</v>
      </c>
      <c r="T1919">
        <v>0</v>
      </c>
      <c r="U1919">
        <v>0</v>
      </c>
      <c r="W1919" t="s">
        <v>52</v>
      </c>
    </row>
    <row r="1920" spans="1:23" x14ac:dyDescent="0.35">
      <c r="A1920" t="s">
        <v>45</v>
      </c>
      <c r="B1920" t="s">
        <v>3985</v>
      </c>
      <c r="C1920" t="s">
        <v>47</v>
      </c>
      <c r="D1920" t="s">
        <v>68</v>
      </c>
      <c r="E1920" t="s">
        <v>68</v>
      </c>
      <c r="F1920" t="s">
        <v>49</v>
      </c>
      <c r="G1920" t="s">
        <v>83</v>
      </c>
      <c r="H1920" t="s">
        <v>4010</v>
      </c>
      <c r="J1920" t="str">
        <f>HYPERLINK("https://www.youtube.com/watch?v=Rt7UUqkb-J0&amp;lc=UgxUDkJoN4_IrxYezn94AaABAg.A-fe8ZGQiIsA-fklJdCtYr","https://www.youtube.com/watch?v=Rt7UUqkb-J0&amp;lc=UgxUDkJoN4_IrxYezn94AaABAg.A-fe8ZGQiIsA-fklJdCtYr")</f>
        <v>https://www.youtube.com/watch?v=Rt7UUqkb-J0&amp;lc=UgxUDkJoN4_IrxYezn94AaABAg.A-fe8ZGQiIsA-fklJdCtYr</v>
      </c>
      <c r="O1920">
        <v>0</v>
      </c>
      <c r="P1920">
        <v>0</v>
      </c>
      <c r="Q1920">
        <v>0</v>
      </c>
      <c r="S1920">
        <v>0</v>
      </c>
      <c r="T1920">
        <v>0</v>
      </c>
      <c r="U1920">
        <v>0</v>
      </c>
      <c r="W1920" t="s">
        <v>52</v>
      </c>
    </row>
    <row r="1921" spans="1:23" x14ac:dyDescent="0.35">
      <c r="A1921" t="s">
        <v>45</v>
      </c>
      <c r="B1921" t="s">
        <v>3985</v>
      </c>
      <c r="C1921" t="s">
        <v>60</v>
      </c>
      <c r="D1921" t="s">
        <v>64</v>
      </c>
      <c r="E1921" t="s">
        <v>64</v>
      </c>
      <c r="F1921" t="s">
        <v>49</v>
      </c>
      <c r="G1921" t="s">
        <v>83</v>
      </c>
      <c r="H1921" t="s">
        <v>4011</v>
      </c>
      <c r="J1921" t="str">
        <f>HYPERLINK("https://www.facebook.com/634639855377280/posts/789196523254945?comment_id=950010593132071&amp;reply_comment_id=1122245978944538","https://www.facebook.com/634639855377280/posts/789196523254945?comment_id=950010593132071&amp;reply_comment_id=1122245978944538")</f>
        <v>https://www.facebook.com/634639855377280/posts/789196523254945?comment_id=950010593132071&amp;reply_comment_id=1122245978944538</v>
      </c>
      <c r="K1921" t="s">
        <v>67</v>
      </c>
      <c r="O1921">
        <v>0</v>
      </c>
      <c r="P1921">
        <v>0</v>
      </c>
      <c r="Q1921">
        <v>0</v>
      </c>
      <c r="S1921">
        <v>0</v>
      </c>
      <c r="T1921">
        <v>0</v>
      </c>
      <c r="U1921">
        <v>0</v>
      </c>
      <c r="W1921" t="s">
        <v>52</v>
      </c>
    </row>
    <row r="1922" spans="1:23" x14ac:dyDescent="0.35">
      <c r="A1922" t="s">
        <v>45</v>
      </c>
      <c r="B1922" t="s">
        <v>3985</v>
      </c>
      <c r="C1922" t="s">
        <v>60</v>
      </c>
      <c r="D1922" t="s">
        <v>64</v>
      </c>
      <c r="E1922" t="s">
        <v>64</v>
      </c>
      <c r="F1922" t="s">
        <v>49</v>
      </c>
      <c r="G1922" t="s">
        <v>83</v>
      </c>
      <c r="H1922" t="s">
        <v>4012</v>
      </c>
      <c r="J1922" t="str">
        <f>HYPERLINK("https://www.facebook.com/634639855377280/posts/789196523254945?comment_id=1149434352887973&amp;reply_comment_id=1330313900900686","https://www.facebook.com/634639855377280/posts/789196523254945?comment_id=1149434352887973&amp;reply_comment_id=1330313900900686")</f>
        <v>https://www.facebook.com/634639855377280/posts/789196523254945?comment_id=1149434352887973&amp;reply_comment_id=1330313900900686</v>
      </c>
      <c r="K1922" t="s">
        <v>67</v>
      </c>
      <c r="O1922">
        <v>0</v>
      </c>
      <c r="P1922">
        <v>0</v>
      </c>
      <c r="Q1922">
        <v>0</v>
      </c>
      <c r="S1922">
        <v>0</v>
      </c>
      <c r="T1922">
        <v>0</v>
      </c>
      <c r="U1922">
        <v>0</v>
      </c>
      <c r="W1922" t="s">
        <v>52</v>
      </c>
    </row>
    <row r="1923" spans="1:23" x14ac:dyDescent="0.35">
      <c r="A1923" t="s">
        <v>45</v>
      </c>
      <c r="B1923" t="s">
        <v>3985</v>
      </c>
      <c r="C1923" t="s">
        <v>60</v>
      </c>
      <c r="D1923" t="s">
        <v>64</v>
      </c>
      <c r="E1923" t="s">
        <v>64</v>
      </c>
      <c r="F1923" t="s">
        <v>49</v>
      </c>
      <c r="G1923" t="s">
        <v>83</v>
      </c>
      <c r="H1923" t="s">
        <v>4013</v>
      </c>
      <c r="J1923" t="str">
        <f>HYPERLINK("https://www.facebook.com/634639855377280/posts/789196523254945?comment_id=773051387576046&amp;reply_comment_id=410505957990098","https://www.facebook.com/634639855377280/posts/789196523254945?comment_id=773051387576046&amp;reply_comment_id=410505957990098")</f>
        <v>https://www.facebook.com/634639855377280/posts/789196523254945?comment_id=773051387576046&amp;reply_comment_id=410505957990098</v>
      </c>
      <c r="K1923" t="s">
        <v>67</v>
      </c>
      <c r="O1923">
        <v>0</v>
      </c>
      <c r="P1923">
        <v>0</v>
      </c>
      <c r="Q1923">
        <v>0</v>
      </c>
      <c r="S1923">
        <v>0</v>
      </c>
      <c r="T1923">
        <v>0</v>
      </c>
      <c r="U1923">
        <v>0</v>
      </c>
      <c r="W1923" t="s">
        <v>52</v>
      </c>
    </row>
    <row r="1924" spans="1:23" x14ac:dyDescent="0.35">
      <c r="A1924" t="s">
        <v>45</v>
      </c>
      <c r="B1924" t="s">
        <v>3985</v>
      </c>
      <c r="C1924" t="s">
        <v>60</v>
      </c>
      <c r="D1924" t="s">
        <v>61</v>
      </c>
      <c r="E1924" t="s">
        <v>61</v>
      </c>
      <c r="F1924" t="s">
        <v>49</v>
      </c>
      <c r="G1924" t="s">
        <v>4014</v>
      </c>
      <c r="H1924" t="s">
        <v>4015</v>
      </c>
      <c r="J1924" t="str">
        <f>HYPERLINK("https://www.facebook.com/634639855377280/posts/787476670093597?comment_id=761606965471714&amp;reply_comment_id=1470107517276224","https://www.facebook.com/634639855377280/posts/787476670093597?comment_id=761606965471714&amp;reply_comment_id=1470107517276224")</f>
        <v>https://www.facebook.com/634639855377280/posts/787476670093597?comment_id=761606965471714&amp;reply_comment_id=1470107517276224</v>
      </c>
      <c r="O1924">
        <v>0</v>
      </c>
      <c r="P1924">
        <v>0</v>
      </c>
      <c r="Q1924">
        <v>0</v>
      </c>
      <c r="S1924">
        <v>0</v>
      </c>
      <c r="T1924">
        <v>0</v>
      </c>
      <c r="U1924">
        <v>0</v>
      </c>
      <c r="W1924" t="s">
        <v>52</v>
      </c>
    </row>
    <row r="1925" spans="1:23" x14ac:dyDescent="0.35">
      <c r="A1925" t="s">
        <v>45</v>
      </c>
      <c r="B1925" t="s">
        <v>3985</v>
      </c>
      <c r="C1925" t="s">
        <v>60</v>
      </c>
      <c r="D1925" t="s">
        <v>64</v>
      </c>
      <c r="E1925" t="s">
        <v>64</v>
      </c>
      <c r="F1925" t="s">
        <v>49</v>
      </c>
      <c r="G1925" t="s">
        <v>3138</v>
      </c>
      <c r="H1925" t="s">
        <v>4016</v>
      </c>
      <c r="J1925" t="str">
        <f>HYPERLINK("https://www.facebook.com/634639855377280/posts/787476670093597?comment_id=761606965471714&amp;reply_comment_id=1111646616658581","https://www.facebook.com/634639855377280/posts/787476670093597?comment_id=761606965471714&amp;reply_comment_id=1111646616658581")</f>
        <v>https://www.facebook.com/634639855377280/posts/787476670093597?comment_id=761606965471714&amp;reply_comment_id=1111646616658581</v>
      </c>
      <c r="K1925" t="s">
        <v>67</v>
      </c>
      <c r="O1925">
        <v>0</v>
      </c>
      <c r="P1925">
        <v>0</v>
      </c>
      <c r="Q1925">
        <v>0</v>
      </c>
      <c r="S1925">
        <v>0</v>
      </c>
      <c r="T1925">
        <v>0</v>
      </c>
      <c r="U1925">
        <v>0</v>
      </c>
      <c r="W1925" t="s">
        <v>52</v>
      </c>
    </row>
    <row r="1926" spans="1:23" x14ac:dyDescent="0.35">
      <c r="A1926" t="s">
        <v>45</v>
      </c>
      <c r="B1926" t="s">
        <v>3985</v>
      </c>
      <c r="C1926" t="s">
        <v>47</v>
      </c>
      <c r="D1926" t="s">
        <v>68</v>
      </c>
      <c r="E1926" t="s">
        <v>68</v>
      </c>
      <c r="F1926" t="s">
        <v>49</v>
      </c>
      <c r="G1926" t="s">
        <v>102</v>
      </c>
      <c r="H1926" t="s">
        <v>4017</v>
      </c>
      <c r="J1926" t="str">
        <f>HYPERLINK("https://www.youtube.com/watch?v=otifGXuH01E&amp;lc=UgylQ9CRJ9hdXrGmLF54AaABAg.A-fLDdKxt7bA-fjgSy_Bsb","https://www.youtube.com/watch?v=otifGXuH01E&amp;lc=UgylQ9CRJ9hdXrGmLF54AaABAg.A-fLDdKxt7bA-fjgSy_Bsb")</f>
        <v>https://www.youtube.com/watch?v=otifGXuH01E&amp;lc=UgylQ9CRJ9hdXrGmLF54AaABAg.A-fLDdKxt7bA-fjgSy_Bsb</v>
      </c>
      <c r="O1926">
        <v>0</v>
      </c>
      <c r="P1926">
        <v>0</v>
      </c>
      <c r="Q1926">
        <v>0</v>
      </c>
      <c r="S1926">
        <v>0</v>
      </c>
      <c r="T1926">
        <v>0</v>
      </c>
      <c r="U1926">
        <v>0</v>
      </c>
      <c r="W1926" t="s">
        <v>52</v>
      </c>
    </row>
    <row r="1927" spans="1:23" x14ac:dyDescent="0.35">
      <c r="A1927" t="s">
        <v>45</v>
      </c>
      <c r="B1927" t="s">
        <v>3985</v>
      </c>
      <c r="C1927" t="s">
        <v>60</v>
      </c>
      <c r="D1927" t="s">
        <v>61</v>
      </c>
      <c r="E1927" t="s">
        <v>61</v>
      </c>
      <c r="F1927" t="s">
        <v>49</v>
      </c>
      <c r="G1927" t="s">
        <v>4018</v>
      </c>
      <c r="H1927" t="s">
        <v>4019</v>
      </c>
      <c r="J1927" t="str">
        <f>HYPERLINK("https://www.facebook.com/634639855377280/posts/787476670093597?comment_id=761606965471714","https://www.facebook.com/634639855377280/posts/787476670093597?comment_id=761606965471714")</f>
        <v>https://www.facebook.com/634639855377280/posts/787476670093597?comment_id=761606965471714</v>
      </c>
      <c r="O1927">
        <v>0</v>
      </c>
      <c r="P1927">
        <v>0</v>
      </c>
      <c r="Q1927">
        <v>0</v>
      </c>
      <c r="S1927">
        <v>0</v>
      </c>
      <c r="T1927">
        <v>0</v>
      </c>
      <c r="U1927">
        <v>0</v>
      </c>
      <c r="W1927" t="s">
        <v>52</v>
      </c>
    </row>
    <row r="1928" spans="1:23" x14ac:dyDescent="0.35">
      <c r="A1928" t="s">
        <v>45</v>
      </c>
      <c r="B1928" t="s">
        <v>3985</v>
      </c>
      <c r="C1928" t="s">
        <v>60</v>
      </c>
      <c r="D1928" t="s">
        <v>64</v>
      </c>
      <c r="E1928" t="s">
        <v>64</v>
      </c>
      <c r="F1928" t="s">
        <v>49</v>
      </c>
      <c r="G1928" t="s">
        <v>4020</v>
      </c>
      <c r="H1928" t="s">
        <v>4021</v>
      </c>
      <c r="J1928" t="str">
        <f>HYPERLINK("https://www.facebook.com/634639855377280/posts/786878883486709?comment_id=936985114057444&amp;reply_comment_id=1348464659151529","https://www.facebook.com/634639855377280/posts/786878883486709?comment_id=936985114057444&amp;reply_comment_id=1348464659151529")</f>
        <v>https://www.facebook.com/634639855377280/posts/786878883486709?comment_id=936985114057444&amp;reply_comment_id=1348464659151529</v>
      </c>
      <c r="K1928" t="s">
        <v>67</v>
      </c>
      <c r="O1928">
        <v>0</v>
      </c>
      <c r="P1928">
        <v>0</v>
      </c>
      <c r="Q1928">
        <v>0</v>
      </c>
      <c r="S1928">
        <v>0</v>
      </c>
      <c r="T1928">
        <v>0</v>
      </c>
      <c r="U1928">
        <v>0</v>
      </c>
      <c r="W1928" t="s">
        <v>52</v>
      </c>
    </row>
    <row r="1929" spans="1:23" x14ac:dyDescent="0.35">
      <c r="A1929" t="s">
        <v>45</v>
      </c>
      <c r="B1929" t="s">
        <v>3985</v>
      </c>
      <c r="C1929" t="s">
        <v>60</v>
      </c>
      <c r="D1929" t="s">
        <v>64</v>
      </c>
      <c r="E1929" t="s">
        <v>64</v>
      </c>
      <c r="F1929" t="s">
        <v>49</v>
      </c>
      <c r="G1929" t="s">
        <v>4022</v>
      </c>
      <c r="H1929" t="s">
        <v>4023</v>
      </c>
      <c r="J1929" t="str">
        <f>HYPERLINK("https://www.facebook.com/634639855377280/posts/787942146713716?comment_id=1468111927071485&amp;reply_comment_id=1059274042030943","https://www.facebook.com/634639855377280/posts/787942146713716?comment_id=1468111927071485&amp;reply_comment_id=1059274042030943")</f>
        <v>https://www.facebook.com/634639855377280/posts/787942146713716?comment_id=1468111927071485&amp;reply_comment_id=1059274042030943</v>
      </c>
      <c r="K1929" t="s">
        <v>67</v>
      </c>
      <c r="O1929">
        <v>0</v>
      </c>
      <c r="P1929">
        <v>0</v>
      </c>
      <c r="Q1929">
        <v>0</v>
      </c>
      <c r="S1929">
        <v>0</v>
      </c>
      <c r="T1929">
        <v>0</v>
      </c>
      <c r="U1929">
        <v>0</v>
      </c>
      <c r="W1929" t="s">
        <v>52</v>
      </c>
    </row>
    <row r="1930" spans="1:23" x14ac:dyDescent="0.35">
      <c r="A1930" t="s">
        <v>45</v>
      </c>
      <c r="B1930" t="s">
        <v>3985</v>
      </c>
      <c r="C1930" t="s">
        <v>60</v>
      </c>
      <c r="D1930" t="s">
        <v>64</v>
      </c>
      <c r="E1930" t="s">
        <v>64</v>
      </c>
      <c r="F1930" t="s">
        <v>49</v>
      </c>
      <c r="G1930" t="s">
        <v>4024</v>
      </c>
      <c r="H1930" t="s">
        <v>4025</v>
      </c>
      <c r="J1930" t="str">
        <f>HYPERLINK("https://www.facebook.com/634639855377280/posts/787476670093597?comment_id=1115148029678160&amp;reply_comment_id=1114133062920743","https://www.facebook.com/634639855377280/posts/787476670093597?comment_id=1115148029678160&amp;reply_comment_id=1114133062920743")</f>
        <v>https://www.facebook.com/634639855377280/posts/787476670093597?comment_id=1115148029678160&amp;reply_comment_id=1114133062920743</v>
      </c>
      <c r="K1930" t="s">
        <v>67</v>
      </c>
      <c r="O1930">
        <v>0</v>
      </c>
      <c r="P1930">
        <v>0</v>
      </c>
      <c r="Q1930">
        <v>0</v>
      </c>
      <c r="S1930">
        <v>0</v>
      </c>
      <c r="T1930">
        <v>0</v>
      </c>
      <c r="U1930">
        <v>0</v>
      </c>
      <c r="W1930" t="s">
        <v>52</v>
      </c>
    </row>
    <row r="1931" spans="1:23" x14ac:dyDescent="0.35">
      <c r="A1931" t="s">
        <v>45</v>
      </c>
      <c r="B1931" t="s">
        <v>3985</v>
      </c>
      <c r="C1931" t="s">
        <v>47</v>
      </c>
      <c r="D1931" t="s">
        <v>4026</v>
      </c>
      <c r="E1931" t="s">
        <v>4026</v>
      </c>
      <c r="F1931" t="s">
        <v>49</v>
      </c>
      <c r="G1931" t="s">
        <v>4027</v>
      </c>
      <c r="H1931" t="s">
        <v>4028</v>
      </c>
      <c r="J1931" t="str">
        <f>HYPERLINK("https://www.youtube.com/watch?v=Rt7UUqkb-J0&amp;lc=UgxUDkJoN4_IrxYezn94AaABAg","https://www.youtube.com/watch?v=Rt7UUqkb-J0&amp;lc=UgxUDkJoN4_IrxYezn94AaABAg")</f>
        <v>https://www.youtube.com/watch?v=Rt7UUqkb-J0&amp;lc=UgxUDkJoN4_IrxYezn94AaABAg</v>
      </c>
      <c r="O1931">
        <v>0</v>
      </c>
      <c r="P1931">
        <v>0</v>
      </c>
      <c r="Q1931">
        <v>0</v>
      </c>
      <c r="S1931">
        <v>0</v>
      </c>
      <c r="T1931">
        <v>0</v>
      </c>
      <c r="U1931">
        <v>0</v>
      </c>
      <c r="W1931" t="s">
        <v>52</v>
      </c>
    </row>
    <row r="1932" spans="1:23" x14ac:dyDescent="0.35">
      <c r="A1932" t="s">
        <v>45</v>
      </c>
      <c r="B1932" t="s">
        <v>3985</v>
      </c>
      <c r="C1932" t="s">
        <v>93</v>
      </c>
      <c r="D1932" t="s">
        <v>94</v>
      </c>
      <c r="E1932" t="s">
        <v>45</v>
      </c>
      <c r="F1932" t="s">
        <v>49</v>
      </c>
      <c r="G1932" t="s">
        <v>4029</v>
      </c>
      <c r="H1932" t="s">
        <v>4030</v>
      </c>
      <c r="J1932" t="str">
        <f>HYPERLINK("https://twitter.com/SpiceMoneyIndia/status/1756639829918400991","https://twitter.com/SpiceMoneyIndia/status/1756639829918400991")</f>
        <v>https://twitter.com/SpiceMoneyIndia/status/1756639829918400991</v>
      </c>
      <c r="K1932" t="s">
        <v>67</v>
      </c>
      <c r="O1932">
        <v>0</v>
      </c>
      <c r="P1932">
        <v>0</v>
      </c>
      <c r="Q1932">
        <v>6027</v>
      </c>
      <c r="R1932" t="s">
        <v>97</v>
      </c>
      <c r="S1932">
        <v>0</v>
      </c>
      <c r="T1932">
        <v>0</v>
      </c>
      <c r="U1932">
        <v>0</v>
      </c>
      <c r="V1932" t="s">
        <v>98</v>
      </c>
      <c r="W1932" t="s">
        <v>99</v>
      </c>
    </row>
    <row r="1933" spans="1:23" x14ac:dyDescent="0.35">
      <c r="A1933" t="s">
        <v>45</v>
      </c>
      <c r="B1933" t="s">
        <v>3985</v>
      </c>
      <c r="C1933" t="s">
        <v>47</v>
      </c>
      <c r="D1933" t="s">
        <v>4031</v>
      </c>
      <c r="E1933" t="s">
        <v>4031</v>
      </c>
      <c r="F1933" t="s">
        <v>54</v>
      </c>
      <c r="G1933" t="s">
        <v>4032</v>
      </c>
      <c r="H1933" t="s">
        <v>4033</v>
      </c>
      <c r="J1933" t="str">
        <f>HYPERLINK("https://www.youtube.com/watch?v=2mghvDjVJXk&amp;lc=UgyKCWXBE51f1ZCInLN4AaABAg","https://www.youtube.com/watch?v=2mghvDjVJXk&amp;lc=UgyKCWXBE51f1ZCInLN4AaABAg")</f>
        <v>https://www.youtube.com/watch?v=2mghvDjVJXk&amp;lc=UgyKCWXBE51f1ZCInLN4AaABAg</v>
      </c>
      <c r="O1933">
        <v>0</v>
      </c>
      <c r="P1933">
        <v>0</v>
      </c>
      <c r="Q1933">
        <v>0</v>
      </c>
      <c r="S1933">
        <v>0</v>
      </c>
      <c r="T1933">
        <v>0</v>
      </c>
      <c r="U1933">
        <v>0</v>
      </c>
      <c r="W1933" t="s">
        <v>52</v>
      </c>
    </row>
    <row r="1934" spans="1:23" x14ac:dyDescent="0.35">
      <c r="A1934" t="s">
        <v>45</v>
      </c>
      <c r="B1934" t="s">
        <v>3985</v>
      </c>
      <c r="C1934" t="s">
        <v>47</v>
      </c>
      <c r="D1934" t="s">
        <v>4031</v>
      </c>
      <c r="E1934" t="s">
        <v>4031</v>
      </c>
      <c r="F1934" t="s">
        <v>54</v>
      </c>
      <c r="G1934" t="s">
        <v>4034</v>
      </c>
      <c r="H1934" t="s">
        <v>4035</v>
      </c>
      <c r="J1934" t="str">
        <f>HYPERLINK("https://www.youtube.com/watch?v=Rt7UUqkb-J0&amp;lc=UgzDcWGGoDI-eKevN1x4AaABAg","https://www.youtube.com/watch?v=Rt7UUqkb-J0&amp;lc=UgzDcWGGoDI-eKevN1x4AaABAg")</f>
        <v>https://www.youtube.com/watch?v=Rt7UUqkb-J0&amp;lc=UgzDcWGGoDI-eKevN1x4AaABAg</v>
      </c>
      <c r="O1934">
        <v>0</v>
      </c>
      <c r="P1934">
        <v>0</v>
      </c>
      <c r="Q1934">
        <v>0</v>
      </c>
      <c r="S1934">
        <v>0</v>
      </c>
      <c r="T1934">
        <v>0</v>
      </c>
      <c r="U1934">
        <v>0</v>
      </c>
      <c r="W1934" t="s">
        <v>52</v>
      </c>
    </row>
    <row r="1935" spans="1:23" x14ac:dyDescent="0.35">
      <c r="A1935" t="s">
        <v>45</v>
      </c>
      <c r="B1935" t="s">
        <v>3985</v>
      </c>
      <c r="C1935" t="s">
        <v>93</v>
      </c>
      <c r="D1935" t="s">
        <v>94</v>
      </c>
      <c r="E1935" t="s">
        <v>45</v>
      </c>
      <c r="F1935" t="s">
        <v>49</v>
      </c>
      <c r="G1935" t="s">
        <v>4036</v>
      </c>
      <c r="H1935" t="s">
        <v>4037</v>
      </c>
      <c r="J1935" t="str">
        <f>HYPERLINK("https://twitter.com/SpiceMoneyIndia/status/1756639756492943709","https://twitter.com/SpiceMoneyIndia/status/1756639756492943709")</f>
        <v>https://twitter.com/SpiceMoneyIndia/status/1756639756492943709</v>
      </c>
      <c r="K1935" t="s">
        <v>67</v>
      </c>
      <c r="O1935">
        <v>0</v>
      </c>
      <c r="P1935">
        <v>0</v>
      </c>
      <c r="Q1935">
        <v>6027</v>
      </c>
      <c r="R1935" t="s">
        <v>97</v>
      </c>
      <c r="S1935">
        <v>0</v>
      </c>
      <c r="T1935">
        <v>0</v>
      </c>
      <c r="U1935">
        <v>0</v>
      </c>
      <c r="V1935" t="s">
        <v>98</v>
      </c>
      <c r="W1935" t="s">
        <v>99</v>
      </c>
    </row>
    <row r="1936" spans="1:23" x14ac:dyDescent="0.35">
      <c r="A1936" t="s">
        <v>45</v>
      </c>
      <c r="B1936" t="s">
        <v>3985</v>
      </c>
      <c r="C1936" t="s">
        <v>47</v>
      </c>
      <c r="D1936" t="s">
        <v>4026</v>
      </c>
      <c r="E1936" t="s">
        <v>4026</v>
      </c>
      <c r="F1936" t="s">
        <v>193</v>
      </c>
      <c r="G1936" t="s">
        <v>4038</v>
      </c>
      <c r="H1936" t="s">
        <v>4039</v>
      </c>
      <c r="J1936" t="str">
        <f>HYPERLINK("https://www.youtube.com/watch?v=Rt7UUqkb-J0&amp;lc=UgybeT4pwesZn6OzPoB4AaABAg","https://www.youtube.com/watch?v=Rt7UUqkb-J0&amp;lc=UgybeT4pwesZn6OzPoB4AaABAg")</f>
        <v>https://www.youtube.com/watch?v=Rt7UUqkb-J0&amp;lc=UgybeT4pwesZn6OzPoB4AaABAg</v>
      </c>
      <c r="O1936">
        <v>0</v>
      </c>
      <c r="P1936">
        <v>0</v>
      </c>
      <c r="Q1936">
        <v>0</v>
      </c>
      <c r="S1936">
        <v>0</v>
      </c>
      <c r="T1936">
        <v>0</v>
      </c>
      <c r="U1936">
        <v>0</v>
      </c>
      <c r="W1936" t="s">
        <v>52</v>
      </c>
    </row>
    <row r="1937" spans="1:23" x14ac:dyDescent="0.35">
      <c r="A1937" t="s">
        <v>45</v>
      </c>
      <c r="B1937" t="s">
        <v>3985</v>
      </c>
      <c r="C1937" t="s">
        <v>47</v>
      </c>
      <c r="D1937" t="s">
        <v>4040</v>
      </c>
      <c r="E1937" t="s">
        <v>4040</v>
      </c>
      <c r="F1937" t="s">
        <v>49</v>
      </c>
      <c r="G1937" t="s">
        <v>4041</v>
      </c>
      <c r="H1937" t="s">
        <v>4042</v>
      </c>
      <c r="J1937" t="str">
        <f>HYPERLINK("https://www.youtube.com/watch?v=wDVpKG8jfSo&amp;lc=UgxXRbuIF8hi7TSs2BJ4AaABAg","https://www.youtube.com/watch?v=wDVpKG8jfSo&amp;lc=UgxXRbuIF8hi7TSs2BJ4AaABAg")</f>
        <v>https://www.youtube.com/watch?v=wDVpKG8jfSo&amp;lc=UgxXRbuIF8hi7TSs2BJ4AaABAg</v>
      </c>
      <c r="O1937">
        <v>0</v>
      </c>
      <c r="P1937">
        <v>0</v>
      </c>
      <c r="Q1937">
        <v>0</v>
      </c>
      <c r="S1937">
        <v>0</v>
      </c>
      <c r="T1937">
        <v>0</v>
      </c>
      <c r="U1937">
        <v>0</v>
      </c>
      <c r="W1937" t="s">
        <v>52</v>
      </c>
    </row>
    <row r="1938" spans="1:23" x14ac:dyDescent="0.35">
      <c r="A1938" t="s">
        <v>45</v>
      </c>
      <c r="B1938" t="s">
        <v>3985</v>
      </c>
      <c r="C1938" t="s">
        <v>60</v>
      </c>
      <c r="D1938" t="s">
        <v>64</v>
      </c>
      <c r="E1938" t="s">
        <v>64</v>
      </c>
      <c r="F1938" t="s">
        <v>49</v>
      </c>
      <c r="G1938" t="s">
        <v>4043</v>
      </c>
      <c r="H1938" t="s">
        <v>4044</v>
      </c>
      <c r="J1938" t="str">
        <f>HYPERLINK("https://www.facebook.com/634639855377280/posts/786878883486709?comment_id=844959814107914&amp;reply_comment_id=421978107018921","https://www.facebook.com/634639855377280/posts/786878883486709?comment_id=844959814107914&amp;reply_comment_id=421978107018921")</f>
        <v>https://www.facebook.com/634639855377280/posts/786878883486709?comment_id=844959814107914&amp;reply_comment_id=421978107018921</v>
      </c>
      <c r="K1938" t="s">
        <v>67</v>
      </c>
      <c r="O1938">
        <v>0</v>
      </c>
      <c r="P1938">
        <v>0</v>
      </c>
      <c r="Q1938">
        <v>0</v>
      </c>
      <c r="S1938">
        <v>0</v>
      </c>
      <c r="T1938">
        <v>0</v>
      </c>
      <c r="U1938">
        <v>0</v>
      </c>
      <c r="W1938" t="s">
        <v>52</v>
      </c>
    </row>
    <row r="1939" spans="1:23" x14ac:dyDescent="0.35">
      <c r="A1939" t="s">
        <v>45</v>
      </c>
      <c r="B1939" t="s">
        <v>3985</v>
      </c>
      <c r="C1939" t="s">
        <v>60</v>
      </c>
      <c r="D1939" t="s">
        <v>64</v>
      </c>
      <c r="E1939" t="s">
        <v>64</v>
      </c>
      <c r="F1939" t="s">
        <v>49</v>
      </c>
      <c r="G1939" t="s">
        <v>4043</v>
      </c>
      <c r="H1939" t="s">
        <v>4045</v>
      </c>
      <c r="J1939" t="str">
        <f>HYPERLINK("https://www.facebook.com/634639855377280/posts/786878883486709?comment_id=701527198831266&amp;reply_comment_id=25671618639104089","https://www.facebook.com/634639855377280/posts/786878883486709?comment_id=701527198831266&amp;reply_comment_id=25671618639104089")</f>
        <v>https://www.facebook.com/634639855377280/posts/786878883486709?comment_id=701527198831266&amp;reply_comment_id=25671618639104089</v>
      </c>
      <c r="K1939" t="s">
        <v>67</v>
      </c>
      <c r="O1939">
        <v>0</v>
      </c>
      <c r="P1939">
        <v>0</v>
      </c>
      <c r="Q1939">
        <v>0</v>
      </c>
      <c r="S1939">
        <v>0</v>
      </c>
      <c r="T1939">
        <v>0</v>
      </c>
      <c r="U1939">
        <v>0</v>
      </c>
      <c r="W1939" t="s">
        <v>52</v>
      </c>
    </row>
    <row r="1940" spans="1:23" x14ac:dyDescent="0.35">
      <c r="A1940" t="s">
        <v>45</v>
      </c>
      <c r="B1940" t="s">
        <v>3985</v>
      </c>
      <c r="C1940" t="s">
        <v>60</v>
      </c>
      <c r="D1940" t="s">
        <v>64</v>
      </c>
      <c r="E1940" t="s">
        <v>64</v>
      </c>
      <c r="F1940" t="s">
        <v>49</v>
      </c>
      <c r="G1940" t="s">
        <v>4043</v>
      </c>
      <c r="H1940" t="s">
        <v>4046</v>
      </c>
      <c r="J1940" t="str">
        <f>HYPERLINK("https://www.facebook.com/634639855377280/posts/787942146713716?comment_id=1075508300226061&amp;reply_comment_id=399163995996107","https://www.facebook.com/634639855377280/posts/787942146713716?comment_id=1075508300226061&amp;reply_comment_id=399163995996107")</f>
        <v>https://www.facebook.com/634639855377280/posts/787942146713716?comment_id=1075508300226061&amp;reply_comment_id=399163995996107</v>
      </c>
      <c r="K1940" t="s">
        <v>67</v>
      </c>
      <c r="O1940">
        <v>0</v>
      </c>
      <c r="P1940">
        <v>0</v>
      </c>
      <c r="Q1940">
        <v>0</v>
      </c>
      <c r="S1940">
        <v>0</v>
      </c>
      <c r="T1940">
        <v>0</v>
      </c>
      <c r="U1940">
        <v>0</v>
      </c>
      <c r="W1940" t="s">
        <v>52</v>
      </c>
    </row>
    <row r="1941" spans="1:23" x14ac:dyDescent="0.35">
      <c r="A1941" t="s">
        <v>45</v>
      </c>
      <c r="B1941" t="s">
        <v>3985</v>
      </c>
      <c r="C1941" t="s">
        <v>60</v>
      </c>
      <c r="D1941" t="s">
        <v>64</v>
      </c>
      <c r="E1941" t="s">
        <v>64</v>
      </c>
      <c r="F1941" t="s">
        <v>49</v>
      </c>
      <c r="G1941" t="s">
        <v>4047</v>
      </c>
      <c r="H1941" t="s">
        <v>4048</v>
      </c>
      <c r="J1941" t="str">
        <f>HYPERLINK("https://www.facebook.com/634639855377280/posts/786878883486709?comment_id=1090985405388027&amp;reply_comment_id=1072128137240759","https://www.facebook.com/634639855377280/posts/786878883486709?comment_id=1090985405388027&amp;reply_comment_id=1072128137240759")</f>
        <v>https://www.facebook.com/634639855377280/posts/786878883486709?comment_id=1090985405388027&amp;reply_comment_id=1072128137240759</v>
      </c>
      <c r="K1941" t="s">
        <v>67</v>
      </c>
      <c r="O1941">
        <v>0</v>
      </c>
      <c r="P1941">
        <v>0</v>
      </c>
      <c r="Q1941">
        <v>0</v>
      </c>
      <c r="S1941">
        <v>0</v>
      </c>
      <c r="T1941">
        <v>0</v>
      </c>
      <c r="U1941">
        <v>0</v>
      </c>
      <c r="W1941" t="s">
        <v>52</v>
      </c>
    </row>
    <row r="1942" spans="1:23" x14ac:dyDescent="0.35">
      <c r="A1942" t="s">
        <v>45</v>
      </c>
      <c r="B1942" t="s">
        <v>3985</v>
      </c>
      <c r="C1942" t="s">
        <v>60</v>
      </c>
      <c r="D1942" t="s">
        <v>61</v>
      </c>
      <c r="E1942" t="s">
        <v>61</v>
      </c>
      <c r="F1942" t="s">
        <v>193</v>
      </c>
      <c r="G1942" t="s">
        <v>4049</v>
      </c>
      <c r="H1942" t="s">
        <v>4050</v>
      </c>
      <c r="J1942" t="str">
        <f>HYPERLINK("https://www.facebook.com/634639855377280/posts/789196523254945?comment_id=773051387576046","https://www.facebook.com/634639855377280/posts/789196523254945?comment_id=773051387576046")</f>
        <v>https://www.facebook.com/634639855377280/posts/789196523254945?comment_id=773051387576046</v>
      </c>
      <c r="O1942">
        <v>0</v>
      </c>
      <c r="P1942">
        <v>0</v>
      </c>
      <c r="Q1942">
        <v>0</v>
      </c>
      <c r="S1942">
        <v>0</v>
      </c>
      <c r="T1942">
        <v>0</v>
      </c>
      <c r="U1942">
        <v>0</v>
      </c>
      <c r="W1942" t="s">
        <v>52</v>
      </c>
    </row>
    <row r="1943" spans="1:23" x14ac:dyDescent="0.35">
      <c r="A1943" t="s">
        <v>45</v>
      </c>
      <c r="B1943" t="s">
        <v>3985</v>
      </c>
      <c r="C1943" t="s">
        <v>47</v>
      </c>
      <c r="D1943" t="s">
        <v>68</v>
      </c>
      <c r="E1943" t="s">
        <v>68</v>
      </c>
      <c r="F1943" t="s">
        <v>49</v>
      </c>
      <c r="G1943" t="s">
        <v>102</v>
      </c>
      <c r="H1943" t="s">
        <v>4051</v>
      </c>
      <c r="J1943" t="str">
        <f>HYPERLINK("https://www.youtube.com/watch?v=zI1M46HPG-Y&amp;lc=UgwqNreoIlL829Vb4VF4AaABAg.A-exWoTPphgA-fN_xm8lk8","https://www.youtube.com/watch?v=zI1M46HPG-Y&amp;lc=UgwqNreoIlL829Vb4VF4AaABAg.A-exWoTPphgA-fN_xm8lk8")</f>
        <v>https://www.youtube.com/watch?v=zI1M46HPG-Y&amp;lc=UgwqNreoIlL829Vb4VF4AaABAg.A-exWoTPphgA-fN_xm8lk8</v>
      </c>
      <c r="O1943">
        <v>0</v>
      </c>
      <c r="P1943">
        <v>0</v>
      </c>
      <c r="Q1943">
        <v>0</v>
      </c>
      <c r="S1943">
        <v>0</v>
      </c>
      <c r="T1943">
        <v>0</v>
      </c>
      <c r="U1943">
        <v>0</v>
      </c>
      <c r="W1943" t="s">
        <v>52</v>
      </c>
    </row>
    <row r="1944" spans="1:23" x14ac:dyDescent="0.35">
      <c r="A1944" t="s">
        <v>45</v>
      </c>
      <c r="B1944" t="s">
        <v>3985</v>
      </c>
      <c r="C1944" t="s">
        <v>60</v>
      </c>
      <c r="D1944" t="s">
        <v>61</v>
      </c>
      <c r="E1944" t="s">
        <v>61</v>
      </c>
      <c r="F1944" t="s">
        <v>49</v>
      </c>
      <c r="G1944" t="s">
        <v>4052</v>
      </c>
      <c r="H1944" t="s">
        <v>4053</v>
      </c>
      <c r="J1944" t="str">
        <f>HYPERLINK("https://www.facebook.com/634639855377280/posts/789196523254945?comment_id=685408990406376","https://www.facebook.com/634639855377280/posts/789196523254945?comment_id=685408990406376")</f>
        <v>https://www.facebook.com/634639855377280/posts/789196523254945?comment_id=685408990406376</v>
      </c>
      <c r="O1944">
        <v>0</v>
      </c>
      <c r="P1944">
        <v>0</v>
      </c>
      <c r="Q1944">
        <v>0</v>
      </c>
      <c r="S1944">
        <v>0</v>
      </c>
      <c r="T1944">
        <v>0</v>
      </c>
      <c r="U1944">
        <v>0</v>
      </c>
      <c r="W1944" t="s">
        <v>52</v>
      </c>
    </row>
    <row r="1945" spans="1:23" x14ac:dyDescent="0.35">
      <c r="A1945" t="s">
        <v>45</v>
      </c>
      <c r="B1945" t="s">
        <v>3985</v>
      </c>
      <c r="C1945" t="s">
        <v>47</v>
      </c>
      <c r="D1945" t="s">
        <v>68</v>
      </c>
      <c r="E1945" t="s">
        <v>68</v>
      </c>
      <c r="F1945" t="s">
        <v>49</v>
      </c>
      <c r="G1945" t="s">
        <v>492</v>
      </c>
      <c r="H1945" t="s">
        <v>4054</v>
      </c>
      <c r="J1945" t="str">
        <f>HYPERLINK("https://www.youtube.com/watch?v=Rt7UUqkb-J0&amp;lc=UgxCTbpj5wbEycC40Kp4AaABAg.A-f3sPE0Sc7A-fNRQXZkvb","https://www.youtube.com/watch?v=Rt7UUqkb-J0&amp;lc=UgxCTbpj5wbEycC40Kp4AaABAg.A-f3sPE0Sc7A-fNRQXZkvb")</f>
        <v>https://www.youtube.com/watch?v=Rt7UUqkb-J0&amp;lc=UgxCTbpj5wbEycC40Kp4AaABAg.A-f3sPE0Sc7A-fNRQXZkvb</v>
      </c>
      <c r="O1945">
        <v>0</v>
      </c>
      <c r="P1945">
        <v>0</v>
      </c>
      <c r="Q1945">
        <v>0</v>
      </c>
      <c r="S1945">
        <v>0</v>
      </c>
      <c r="T1945">
        <v>0</v>
      </c>
      <c r="U1945">
        <v>0</v>
      </c>
      <c r="W1945" t="s">
        <v>52</v>
      </c>
    </row>
    <row r="1946" spans="1:23" x14ac:dyDescent="0.35">
      <c r="A1946" t="s">
        <v>45</v>
      </c>
      <c r="B1946" t="s">
        <v>3985</v>
      </c>
      <c r="C1946" t="s">
        <v>47</v>
      </c>
      <c r="D1946" t="s">
        <v>843</v>
      </c>
      <c r="E1946" t="s">
        <v>843</v>
      </c>
      <c r="F1946" t="s">
        <v>193</v>
      </c>
      <c r="G1946" t="s">
        <v>4055</v>
      </c>
      <c r="H1946" t="s">
        <v>4056</v>
      </c>
      <c r="J1946" t="str">
        <f>HYPERLINK("https://www.youtube.com/watch?v=YQSdpP96l0U&amp;lc=UgwUiDjk6ZhP2HNXhoJ4AaABAg","https://www.youtube.com/watch?v=YQSdpP96l0U&amp;lc=UgwUiDjk6ZhP2HNXhoJ4AaABAg")</f>
        <v>https://www.youtube.com/watch?v=YQSdpP96l0U&amp;lc=UgwUiDjk6ZhP2HNXhoJ4AaABAg</v>
      </c>
      <c r="O1946">
        <v>0</v>
      </c>
      <c r="P1946">
        <v>0</v>
      </c>
      <c r="Q1946">
        <v>0</v>
      </c>
      <c r="S1946">
        <v>0</v>
      </c>
      <c r="T1946">
        <v>0</v>
      </c>
      <c r="U1946">
        <v>0</v>
      </c>
      <c r="W1946" t="s">
        <v>52</v>
      </c>
    </row>
    <row r="1947" spans="1:23" x14ac:dyDescent="0.35">
      <c r="A1947" t="s">
        <v>45</v>
      </c>
      <c r="B1947" t="s">
        <v>3985</v>
      </c>
      <c r="C1947" t="s">
        <v>47</v>
      </c>
      <c r="D1947" t="s">
        <v>843</v>
      </c>
      <c r="E1947" t="s">
        <v>843</v>
      </c>
      <c r="F1947" t="s">
        <v>193</v>
      </c>
      <c r="G1947" t="s">
        <v>4055</v>
      </c>
      <c r="H1947" t="s">
        <v>4057</v>
      </c>
      <c r="J1947" t="str">
        <f>HYPERLINK("https://www.youtube.com/watch?v=Vk9kehZJdww&amp;lc=Ugzwr59rwcbgOjyd9Mt4AaABAg","https://www.youtube.com/watch?v=Vk9kehZJdww&amp;lc=Ugzwr59rwcbgOjyd9Mt4AaABAg")</f>
        <v>https://www.youtube.com/watch?v=Vk9kehZJdww&amp;lc=Ugzwr59rwcbgOjyd9Mt4AaABAg</v>
      </c>
      <c r="O1947">
        <v>0</v>
      </c>
      <c r="P1947">
        <v>0</v>
      </c>
      <c r="Q1947">
        <v>0</v>
      </c>
      <c r="S1947">
        <v>0</v>
      </c>
      <c r="T1947">
        <v>0</v>
      </c>
      <c r="U1947">
        <v>0</v>
      </c>
      <c r="W1947" t="s">
        <v>52</v>
      </c>
    </row>
    <row r="1948" spans="1:23" x14ac:dyDescent="0.35">
      <c r="A1948" t="s">
        <v>45</v>
      </c>
      <c r="B1948" t="s">
        <v>3985</v>
      </c>
      <c r="C1948" t="s">
        <v>47</v>
      </c>
      <c r="D1948" t="s">
        <v>843</v>
      </c>
      <c r="E1948" t="s">
        <v>843</v>
      </c>
      <c r="F1948" t="s">
        <v>193</v>
      </c>
      <c r="G1948" t="s">
        <v>4055</v>
      </c>
      <c r="H1948" t="s">
        <v>4058</v>
      </c>
      <c r="J1948" t="str">
        <f>HYPERLINK("https://www.youtube.com/watch?v=otifGXuH01E&amp;lc=UgylQ9CRJ9hdXrGmLF54AaABAg","https://www.youtube.com/watch?v=otifGXuH01E&amp;lc=UgylQ9CRJ9hdXrGmLF54AaABAg")</f>
        <v>https://www.youtube.com/watch?v=otifGXuH01E&amp;lc=UgylQ9CRJ9hdXrGmLF54AaABAg</v>
      </c>
      <c r="O1948">
        <v>0</v>
      </c>
      <c r="P1948">
        <v>0</v>
      </c>
      <c r="Q1948">
        <v>0</v>
      </c>
      <c r="S1948">
        <v>0</v>
      </c>
      <c r="T1948">
        <v>0</v>
      </c>
      <c r="U1948">
        <v>0</v>
      </c>
      <c r="W1948" t="s">
        <v>52</v>
      </c>
    </row>
    <row r="1949" spans="1:23" x14ac:dyDescent="0.35">
      <c r="A1949" t="s">
        <v>45</v>
      </c>
      <c r="B1949" t="s">
        <v>3985</v>
      </c>
      <c r="C1949" t="s">
        <v>60</v>
      </c>
      <c r="D1949" t="s">
        <v>61</v>
      </c>
      <c r="E1949" t="s">
        <v>61</v>
      </c>
      <c r="F1949" t="s">
        <v>49</v>
      </c>
      <c r="G1949" t="s">
        <v>4059</v>
      </c>
      <c r="H1949" t="s">
        <v>4060</v>
      </c>
      <c r="J1949" t="str">
        <f>HYPERLINK("https://www.facebook.com/634639855377280/posts/789196523254945?comment_id=1149434352887973","https://www.facebook.com/634639855377280/posts/789196523254945?comment_id=1149434352887973")</f>
        <v>https://www.facebook.com/634639855377280/posts/789196523254945?comment_id=1149434352887973</v>
      </c>
      <c r="O1949">
        <v>0</v>
      </c>
      <c r="P1949">
        <v>0</v>
      </c>
      <c r="Q1949">
        <v>0</v>
      </c>
      <c r="S1949">
        <v>0</v>
      </c>
      <c r="T1949">
        <v>0</v>
      </c>
      <c r="U1949">
        <v>0</v>
      </c>
      <c r="W1949" t="s">
        <v>52</v>
      </c>
    </row>
    <row r="1950" spans="1:23" x14ac:dyDescent="0.35">
      <c r="A1950" t="s">
        <v>45</v>
      </c>
      <c r="B1950" t="s">
        <v>3985</v>
      </c>
      <c r="C1950" t="s">
        <v>93</v>
      </c>
      <c r="D1950" t="s">
        <v>94</v>
      </c>
      <c r="E1950" t="s">
        <v>45</v>
      </c>
      <c r="F1950" t="s">
        <v>49</v>
      </c>
      <c r="G1950" t="s">
        <v>4061</v>
      </c>
      <c r="H1950" t="s">
        <v>4062</v>
      </c>
      <c r="J1950" t="str">
        <f>HYPERLINK("https://twitter.com/SpiceMoneyIndia/status/1756579429088673861","https://twitter.com/SpiceMoneyIndia/status/1756579429088673861")</f>
        <v>https://twitter.com/SpiceMoneyIndia/status/1756579429088673861</v>
      </c>
      <c r="K1950" t="s">
        <v>67</v>
      </c>
      <c r="O1950">
        <v>0</v>
      </c>
      <c r="P1950">
        <v>0</v>
      </c>
      <c r="Q1950">
        <v>6027</v>
      </c>
      <c r="R1950" t="s">
        <v>97</v>
      </c>
      <c r="S1950">
        <v>0</v>
      </c>
      <c r="T1950">
        <v>0</v>
      </c>
      <c r="U1950">
        <v>0</v>
      </c>
      <c r="V1950" t="s">
        <v>98</v>
      </c>
      <c r="W1950" t="s">
        <v>99</v>
      </c>
    </row>
    <row r="1951" spans="1:23" x14ac:dyDescent="0.35">
      <c r="A1951" t="s">
        <v>45</v>
      </c>
      <c r="B1951" t="s">
        <v>3985</v>
      </c>
      <c r="C1951" t="s">
        <v>60</v>
      </c>
      <c r="D1951" t="s">
        <v>61</v>
      </c>
      <c r="E1951" t="s">
        <v>61</v>
      </c>
      <c r="F1951" t="s">
        <v>49</v>
      </c>
      <c r="G1951" t="s">
        <v>4063</v>
      </c>
      <c r="H1951" t="s">
        <v>4064</v>
      </c>
      <c r="J1951" t="str">
        <f>HYPERLINK("https://www.facebook.com/634639855377280/posts/786878883486709?comment_id=758398589164830&amp;reply_comment_id=2177803892570548","https://www.facebook.com/634639855377280/posts/786878883486709?comment_id=758398589164830&amp;reply_comment_id=2177803892570548")</f>
        <v>https://www.facebook.com/634639855377280/posts/786878883486709?comment_id=758398589164830&amp;reply_comment_id=2177803892570548</v>
      </c>
      <c r="O1951">
        <v>0</v>
      </c>
      <c r="P1951">
        <v>0</v>
      </c>
      <c r="Q1951">
        <v>0</v>
      </c>
      <c r="S1951">
        <v>0</v>
      </c>
      <c r="T1951">
        <v>0</v>
      </c>
      <c r="U1951">
        <v>0</v>
      </c>
      <c r="W1951" t="s">
        <v>52</v>
      </c>
    </row>
    <row r="1952" spans="1:23" x14ac:dyDescent="0.35">
      <c r="A1952" t="s">
        <v>45</v>
      </c>
      <c r="B1952" t="s">
        <v>3985</v>
      </c>
      <c r="C1952" t="s">
        <v>60</v>
      </c>
      <c r="D1952" t="s">
        <v>61</v>
      </c>
      <c r="E1952" t="s">
        <v>61</v>
      </c>
      <c r="F1952" t="s">
        <v>49</v>
      </c>
      <c r="G1952" t="s">
        <v>4065</v>
      </c>
      <c r="H1952" t="s">
        <v>4066</v>
      </c>
      <c r="J1952" t="str">
        <f>HYPERLINK("https://www.facebook.com/634639855377280/posts/789196523254945?comment_id=7064007180302607","https://www.facebook.com/634639855377280/posts/789196523254945?comment_id=7064007180302607")</f>
        <v>https://www.facebook.com/634639855377280/posts/789196523254945?comment_id=7064007180302607</v>
      </c>
      <c r="O1952">
        <v>0</v>
      </c>
      <c r="P1952">
        <v>0</v>
      </c>
      <c r="Q1952">
        <v>0</v>
      </c>
      <c r="S1952">
        <v>0</v>
      </c>
      <c r="T1952">
        <v>0</v>
      </c>
      <c r="U1952">
        <v>0</v>
      </c>
      <c r="W1952" t="s">
        <v>52</v>
      </c>
    </row>
    <row r="1953" spans="1:23" x14ac:dyDescent="0.35">
      <c r="A1953" t="s">
        <v>45</v>
      </c>
      <c r="B1953" t="s">
        <v>3985</v>
      </c>
      <c r="C1953" t="s">
        <v>47</v>
      </c>
      <c r="D1953" t="s">
        <v>929</v>
      </c>
      <c r="E1953" t="s">
        <v>929</v>
      </c>
      <c r="F1953" t="s">
        <v>49</v>
      </c>
      <c r="G1953" t="s">
        <v>4067</v>
      </c>
      <c r="H1953" t="s">
        <v>4068</v>
      </c>
      <c r="J1953" t="str">
        <f>HYPERLINK("https://www.youtube.com/watch?v=Rt7UUqkb-J0&amp;lc=UgxCTbpj5wbEycC40Kp4AaABAg","https://www.youtube.com/watch?v=Rt7UUqkb-J0&amp;lc=UgxCTbpj5wbEycC40Kp4AaABAg")</f>
        <v>https://www.youtube.com/watch?v=Rt7UUqkb-J0&amp;lc=UgxCTbpj5wbEycC40Kp4AaABAg</v>
      </c>
      <c r="O1953">
        <v>0</v>
      </c>
      <c r="P1953">
        <v>0</v>
      </c>
      <c r="Q1953">
        <v>0</v>
      </c>
      <c r="S1953">
        <v>0</v>
      </c>
      <c r="T1953">
        <v>0</v>
      </c>
      <c r="U1953">
        <v>0</v>
      </c>
      <c r="W1953" t="s">
        <v>52</v>
      </c>
    </row>
    <row r="1954" spans="1:23" x14ac:dyDescent="0.35">
      <c r="A1954" t="s">
        <v>45</v>
      </c>
      <c r="B1954" t="s">
        <v>3985</v>
      </c>
      <c r="C1954" t="s">
        <v>60</v>
      </c>
      <c r="D1954" t="s">
        <v>61</v>
      </c>
      <c r="E1954" t="s">
        <v>61</v>
      </c>
      <c r="F1954" t="s">
        <v>49</v>
      </c>
      <c r="G1954" t="s">
        <v>4069</v>
      </c>
      <c r="H1954" t="s">
        <v>4070</v>
      </c>
      <c r="J1954" t="str">
        <f>HYPERLINK("https://www.facebook.com/634639855377280/posts/789196523254945?comment_id=950010593132071","https://www.facebook.com/634639855377280/posts/789196523254945?comment_id=950010593132071")</f>
        <v>https://www.facebook.com/634639855377280/posts/789196523254945?comment_id=950010593132071</v>
      </c>
      <c r="O1954">
        <v>0</v>
      </c>
      <c r="P1954">
        <v>0</v>
      </c>
      <c r="Q1954">
        <v>0</v>
      </c>
      <c r="S1954">
        <v>0</v>
      </c>
      <c r="T1954">
        <v>0</v>
      </c>
      <c r="U1954">
        <v>0</v>
      </c>
      <c r="W1954" t="s">
        <v>52</v>
      </c>
    </row>
    <row r="1955" spans="1:23" x14ac:dyDescent="0.35">
      <c r="A1955" t="s">
        <v>45</v>
      </c>
      <c r="B1955" t="s">
        <v>3985</v>
      </c>
      <c r="C1955" t="s">
        <v>60</v>
      </c>
      <c r="D1955" t="s">
        <v>64</v>
      </c>
      <c r="E1955" t="s">
        <v>64</v>
      </c>
      <c r="F1955" t="s">
        <v>49</v>
      </c>
      <c r="G1955" t="s">
        <v>4071</v>
      </c>
      <c r="H1955" t="s">
        <v>4072</v>
      </c>
      <c r="J1955" t="str">
        <f>HYPERLINK("https://www.facebook.com/634639855377280/posts/789196523254945","https://www.facebook.com/634639855377280/posts/789196523254945")</f>
        <v>https://www.facebook.com/634639855377280/posts/789196523254945</v>
      </c>
      <c r="O1955">
        <v>0</v>
      </c>
      <c r="P1955">
        <v>0</v>
      </c>
      <c r="Q1955">
        <v>0</v>
      </c>
      <c r="S1955">
        <v>12</v>
      </c>
      <c r="T1955">
        <v>147</v>
      </c>
      <c r="U1955">
        <v>5</v>
      </c>
      <c r="W1955" t="s">
        <v>346</v>
      </c>
    </row>
    <row r="1956" spans="1:23" x14ac:dyDescent="0.35">
      <c r="A1956" t="s">
        <v>45</v>
      </c>
      <c r="B1956" t="s">
        <v>3985</v>
      </c>
      <c r="C1956" t="s">
        <v>93</v>
      </c>
      <c r="D1956" t="s">
        <v>4073</v>
      </c>
      <c r="E1956" t="s">
        <v>4074</v>
      </c>
      <c r="F1956" t="s">
        <v>49</v>
      </c>
      <c r="G1956" t="s">
        <v>4075</v>
      </c>
      <c r="H1956" t="s">
        <v>4076</v>
      </c>
      <c r="J1956" t="str">
        <f>HYPERLINK("https://twitter.com/KumarRahul9321/status/1756544215037735219","https://twitter.com/KumarRahul9321/status/1756544215037735219")</f>
        <v>https://twitter.com/KumarRahul9321/status/1756544215037735219</v>
      </c>
      <c r="K1956" t="s">
        <v>67</v>
      </c>
      <c r="O1956">
        <v>0</v>
      </c>
      <c r="P1956">
        <v>0</v>
      </c>
      <c r="Q1956">
        <v>0</v>
      </c>
      <c r="S1956">
        <v>0</v>
      </c>
      <c r="T1956">
        <v>0</v>
      </c>
      <c r="U1956">
        <v>0</v>
      </c>
      <c r="W1956" t="s">
        <v>99</v>
      </c>
    </row>
    <row r="1957" spans="1:23" x14ac:dyDescent="0.35">
      <c r="A1957" t="s">
        <v>45</v>
      </c>
      <c r="B1957" t="s">
        <v>3985</v>
      </c>
      <c r="C1957" t="s">
        <v>47</v>
      </c>
      <c r="D1957" t="s">
        <v>4077</v>
      </c>
      <c r="E1957" t="s">
        <v>4077</v>
      </c>
      <c r="F1957" t="s">
        <v>49</v>
      </c>
      <c r="G1957" t="s">
        <v>4078</v>
      </c>
      <c r="H1957" t="s">
        <v>4079</v>
      </c>
      <c r="J1957" t="str">
        <f>HYPERLINK("https://www.youtube.com/watch?v=zI1M46HPG-Y&amp;lc=UgwqNreoIlL829Vb4VF4AaABAg","https://www.youtube.com/watch?v=zI1M46HPG-Y&amp;lc=UgwqNreoIlL829Vb4VF4AaABAg")</f>
        <v>https://www.youtube.com/watch?v=zI1M46HPG-Y&amp;lc=UgwqNreoIlL829Vb4VF4AaABAg</v>
      </c>
      <c r="O1957">
        <v>0</v>
      </c>
      <c r="P1957">
        <v>0</v>
      </c>
      <c r="Q1957">
        <v>0</v>
      </c>
      <c r="S1957">
        <v>0</v>
      </c>
      <c r="T1957">
        <v>0</v>
      </c>
      <c r="U1957">
        <v>0</v>
      </c>
      <c r="W1957" t="s">
        <v>52</v>
      </c>
    </row>
    <row r="1958" spans="1:23" x14ac:dyDescent="0.35">
      <c r="A1958" t="s">
        <v>45</v>
      </c>
      <c r="B1958" t="s">
        <v>3985</v>
      </c>
      <c r="C1958" t="s">
        <v>47</v>
      </c>
      <c r="D1958" t="s">
        <v>4077</v>
      </c>
      <c r="E1958" t="s">
        <v>4077</v>
      </c>
      <c r="F1958" t="s">
        <v>49</v>
      </c>
      <c r="G1958" t="s">
        <v>4080</v>
      </c>
      <c r="H1958" t="s">
        <v>4081</v>
      </c>
      <c r="J1958" t="str">
        <f>HYPERLINK("https://www.youtube.com/watch?v=zI1M46HPG-Y&amp;lc=UgzL0siytLbwI8eltBJ4AaABAg","https://www.youtube.com/watch?v=zI1M46HPG-Y&amp;lc=UgzL0siytLbwI8eltBJ4AaABAg")</f>
        <v>https://www.youtube.com/watch?v=zI1M46HPG-Y&amp;lc=UgzL0siytLbwI8eltBJ4AaABAg</v>
      </c>
      <c r="O1958">
        <v>0</v>
      </c>
      <c r="P1958">
        <v>0</v>
      </c>
      <c r="Q1958">
        <v>0</v>
      </c>
      <c r="S1958">
        <v>0</v>
      </c>
      <c r="T1958">
        <v>0</v>
      </c>
      <c r="U1958">
        <v>0</v>
      </c>
      <c r="W1958" t="s">
        <v>52</v>
      </c>
    </row>
    <row r="1959" spans="1:23" x14ac:dyDescent="0.35">
      <c r="A1959" t="s">
        <v>45</v>
      </c>
      <c r="B1959" t="s">
        <v>3985</v>
      </c>
      <c r="C1959" t="s">
        <v>47</v>
      </c>
      <c r="D1959" t="s">
        <v>4077</v>
      </c>
      <c r="E1959" t="s">
        <v>4077</v>
      </c>
      <c r="F1959" t="s">
        <v>49</v>
      </c>
      <c r="G1959" t="s">
        <v>4082</v>
      </c>
      <c r="H1959" t="s">
        <v>4083</v>
      </c>
      <c r="J1959" t="str">
        <f>HYPERLINK("https://www.youtube.com/watch?v=zI1M46HPG-Y&amp;lc=Ugzdr9lAaF9aC-Dfok14AaABAg","https://www.youtube.com/watch?v=zI1M46HPG-Y&amp;lc=Ugzdr9lAaF9aC-Dfok14AaABAg")</f>
        <v>https://www.youtube.com/watch?v=zI1M46HPG-Y&amp;lc=Ugzdr9lAaF9aC-Dfok14AaABAg</v>
      </c>
      <c r="O1959">
        <v>0</v>
      </c>
      <c r="P1959">
        <v>0</v>
      </c>
      <c r="Q1959">
        <v>0</v>
      </c>
      <c r="S1959">
        <v>0</v>
      </c>
      <c r="T1959">
        <v>0</v>
      </c>
      <c r="U1959">
        <v>0</v>
      </c>
      <c r="W1959" t="s">
        <v>52</v>
      </c>
    </row>
    <row r="1960" spans="1:23" x14ac:dyDescent="0.35">
      <c r="A1960" t="s">
        <v>45</v>
      </c>
      <c r="B1960" t="s">
        <v>3985</v>
      </c>
      <c r="C1960" t="s">
        <v>47</v>
      </c>
      <c r="D1960" t="s">
        <v>45</v>
      </c>
      <c r="E1960" t="s">
        <v>45</v>
      </c>
      <c r="F1960" t="s">
        <v>49</v>
      </c>
      <c r="G1960" t="s">
        <v>4084</v>
      </c>
      <c r="H1960" t="s">
        <v>4085</v>
      </c>
      <c r="J1960" t="str">
        <f>HYPERLINK("https://www.youtube.com/watch?v=Rt7UUqkb-J0","https://www.youtube.com/watch?v=Rt7UUqkb-J0")</f>
        <v>https://www.youtube.com/watch?v=Rt7UUqkb-J0</v>
      </c>
      <c r="O1960">
        <v>0</v>
      </c>
      <c r="P1960">
        <v>0</v>
      </c>
      <c r="Q1960">
        <v>0</v>
      </c>
      <c r="S1960">
        <v>0</v>
      </c>
      <c r="T1960">
        <v>0</v>
      </c>
      <c r="U1960">
        <v>0</v>
      </c>
      <c r="W1960" t="s">
        <v>346</v>
      </c>
    </row>
    <row r="1961" spans="1:23" x14ac:dyDescent="0.35">
      <c r="A1961" t="s">
        <v>45</v>
      </c>
      <c r="B1961" t="s">
        <v>3985</v>
      </c>
      <c r="C1961" t="s">
        <v>60</v>
      </c>
      <c r="D1961" t="s">
        <v>61</v>
      </c>
      <c r="E1961" t="s">
        <v>61</v>
      </c>
      <c r="F1961" t="s">
        <v>49</v>
      </c>
      <c r="G1961" t="s">
        <v>4086</v>
      </c>
      <c r="H1961" t="s">
        <v>4087</v>
      </c>
      <c r="J1961" t="str">
        <f>HYPERLINK("https://www.facebook.com/634639855377280/posts/787942146713716?comment_id=1468111927071485","https://www.facebook.com/634639855377280/posts/787942146713716?comment_id=1468111927071485")</f>
        <v>https://www.facebook.com/634639855377280/posts/787942146713716?comment_id=1468111927071485</v>
      </c>
      <c r="O1961">
        <v>0</v>
      </c>
      <c r="P1961">
        <v>0</v>
      </c>
      <c r="Q1961">
        <v>0</v>
      </c>
      <c r="S1961">
        <v>0</v>
      </c>
      <c r="T1961">
        <v>0</v>
      </c>
      <c r="U1961">
        <v>0</v>
      </c>
      <c r="W1961" t="s">
        <v>52</v>
      </c>
    </row>
    <row r="1962" spans="1:23" x14ac:dyDescent="0.35">
      <c r="A1962" t="s">
        <v>45</v>
      </c>
      <c r="B1962" t="s">
        <v>3985</v>
      </c>
      <c r="C1962" t="s">
        <v>60</v>
      </c>
      <c r="D1962" t="s">
        <v>64</v>
      </c>
      <c r="E1962" t="s">
        <v>64</v>
      </c>
      <c r="F1962" t="s">
        <v>49</v>
      </c>
      <c r="G1962" t="s">
        <v>162</v>
      </c>
      <c r="H1962" t="s">
        <v>4088</v>
      </c>
      <c r="J1962" t="str">
        <f>HYPERLINK("https://www.facebook.com/634639855377280/posts/787942146713716?comment_id=933448961167806&amp;reply_comment_id=284211304434908","https://www.facebook.com/634639855377280/posts/787942146713716?comment_id=933448961167806&amp;reply_comment_id=284211304434908")</f>
        <v>https://www.facebook.com/634639855377280/posts/787942146713716?comment_id=933448961167806&amp;reply_comment_id=284211304434908</v>
      </c>
      <c r="K1962" t="s">
        <v>67</v>
      </c>
      <c r="O1962">
        <v>0</v>
      </c>
      <c r="P1962">
        <v>0</v>
      </c>
      <c r="Q1962">
        <v>0</v>
      </c>
      <c r="S1962">
        <v>0</v>
      </c>
      <c r="T1962">
        <v>0</v>
      </c>
      <c r="U1962">
        <v>0</v>
      </c>
      <c r="W1962" t="s">
        <v>52</v>
      </c>
    </row>
    <row r="1963" spans="1:23" x14ac:dyDescent="0.35">
      <c r="A1963" t="s">
        <v>45</v>
      </c>
      <c r="B1963" t="s">
        <v>3985</v>
      </c>
      <c r="C1963" t="s">
        <v>93</v>
      </c>
      <c r="D1963" t="s">
        <v>94</v>
      </c>
      <c r="E1963" t="s">
        <v>45</v>
      </c>
      <c r="F1963" t="s">
        <v>49</v>
      </c>
      <c r="G1963" t="s">
        <v>4089</v>
      </c>
      <c r="H1963" t="s">
        <v>4090</v>
      </c>
      <c r="J1963" t="str">
        <f>HYPERLINK("https://twitter.com/SpiceMoneyIndia/status/1756523189536960852","https://twitter.com/SpiceMoneyIndia/status/1756523189536960852")</f>
        <v>https://twitter.com/SpiceMoneyIndia/status/1756523189536960852</v>
      </c>
      <c r="K1963" t="s">
        <v>67</v>
      </c>
      <c r="O1963">
        <v>0</v>
      </c>
      <c r="P1963">
        <v>0</v>
      </c>
      <c r="Q1963">
        <v>6025</v>
      </c>
      <c r="R1963" t="s">
        <v>97</v>
      </c>
      <c r="S1963">
        <v>0</v>
      </c>
      <c r="T1963">
        <v>0</v>
      </c>
      <c r="U1963">
        <v>0</v>
      </c>
      <c r="V1963" t="s">
        <v>98</v>
      </c>
      <c r="W1963" t="s">
        <v>99</v>
      </c>
    </row>
    <row r="1964" spans="1:23" x14ac:dyDescent="0.35">
      <c r="A1964" t="s">
        <v>45</v>
      </c>
      <c r="B1964" t="s">
        <v>3985</v>
      </c>
      <c r="C1964" t="s">
        <v>47</v>
      </c>
      <c r="D1964" t="s">
        <v>68</v>
      </c>
      <c r="E1964" t="s">
        <v>68</v>
      </c>
      <c r="F1964" t="s">
        <v>49</v>
      </c>
      <c r="G1964" t="s">
        <v>69</v>
      </c>
      <c r="H1964" t="s">
        <v>4091</v>
      </c>
      <c r="J1964" t="str">
        <f>HYPERLINK("https://www.youtube.com/watch?v=Vk9kehZJdww&amp;lc=UgylItZU80DuV3CoIeB4AaABAg.A-dDM4D6gYjA-eox87NqSY","https://www.youtube.com/watch?v=Vk9kehZJdww&amp;lc=UgylItZU80DuV3CoIeB4AaABAg.A-dDM4D6gYjA-eox87NqSY")</f>
        <v>https://www.youtube.com/watch?v=Vk9kehZJdww&amp;lc=UgylItZU80DuV3CoIeB4AaABAg.A-dDM4D6gYjA-eox87NqSY</v>
      </c>
      <c r="O1964">
        <v>0</v>
      </c>
      <c r="P1964">
        <v>0</v>
      </c>
      <c r="Q1964">
        <v>0</v>
      </c>
      <c r="S1964">
        <v>0</v>
      </c>
      <c r="T1964">
        <v>0</v>
      </c>
      <c r="U1964">
        <v>0</v>
      </c>
      <c r="W1964" t="s">
        <v>52</v>
      </c>
    </row>
    <row r="1965" spans="1:23" x14ac:dyDescent="0.35">
      <c r="A1965" t="s">
        <v>45</v>
      </c>
      <c r="B1965" t="s">
        <v>3985</v>
      </c>
      <c r="C1965" t="s">
        <v>47</v>
      </c>
      <c r="D1965" t="s">
        <v>68</v>
      </c>
      <c r="E1965" t="s">
        <v>68</v>
      </c>
      <c r="F1965" t="s">
        <v>49</v>
      </c>
      <c r="G1965" t="s">
        <v>102</v>
      </c>
      <c r="H1965" t="s">
        <v>4092</v>
      </c>
      <c r="J1965" t="str">
        <f>HYPERLINK("https://www.youtube.com/watch?v=Vk9kehZJdww&amp;lc=UgymYYihoabvEEBVOLZ4AaABAg.A-d_GN1jI4LA-ekRgGNnhV","https://www.youtube.com/watch?v=Vk9kehZJdww&amp;lc=UgymYYihoabvEEBVOLZ4AaABAg.A-d_GN1jI4LA-ekRgGNnhV")</f>
        <v>https://www.youtube.com/watch?v=Vk9kehZJdww&amp;lc=UgymYYihoabvEEBVOLZ4AaABAg.A-d_GN1jI4LA-ekRgGNnhV</v>
      </c>
      <c r="O1965">
        <v>0</v>
      </c>
      <c r="P1965">
        <v>0</v>
      </c>
      <c r="Q1965">
        <v>0</v>
      </c>
      <c r="S1965">
        <v>0</v>
      </c>
      <c r="T1965">
        <v>0</v>
      </c>
      <c r="U1965">
        <v>0</v>
      </c>
      <c r="W1965" t="s">
        <v>52</v>
      </c>
    </row>
    <row r="1966" spans="1:23" x14ac:dyDescent="0.35">
      <c r="A1966" t="s">
        <v>45</v>
      </c>
      <c r="B1966" t="s">
        <v>3985</v>
      </c>
      <c r="C1966" t="s">
        <v>47</v>
      </c>
      <c r="D1966" t="s">
        <v>68</v>
      </c>
      <c r="E1966" t="s">
        <v>68</v>
      </c>
      <c r="F1966" t="s">
        <v>49</v>
      </c>
      <c r="G1966" t="s">
        <v>102</v>
      </c>
      <c r="H1966" t="s">
        <v>4093</v>
      </c>
      <c r="J1966" t="str">
        <f>HYPERLINK("https://www.youtube.com/watch?v=Vk9kehZJdww&amp;lc=UgxisBqAE3GKGFSU0hp4AaABAg.A-dk5AKYiYBA-ekPq4LUPY","https://www.youtube.com/watch?v=Vk9kehZJdww&amp;lc=UgxisBqAE3GKGFSU0hp4AaABAg.A-dk5AKYiYBA-ekPq4LUPY")</f>
        <v>https://www.youtube.com/watch?v=Vk9kehZJdww&amp;lc=UgxisBqAE3GKGFSU0hp4AaABAg.A-dk5AKYiYBA-ekPq4LUPY</v>
      </c>
      <c r="O1966">
        <v>0</v>
      </c>
      <c r="P1966">
        <v>0</v>
      </c>
      <c r="Q1966">
        <v>0</v>
      </c>
      <c r="S1966">
        <v>0</v>
      </c>
      <c r="T1966">
        <v>0</v>
      </c>
      <c r="U1966">
        <v>0</v>
      </c>
      <c r="W1966" t="s">
        <v>52</v>
      </c>
    </row>
    <row r="1967" spans="1:23" x14ac:dyDescent="0.35">
      <c r="A1967" t="s">
        <v>45</v>
      </c>
      <c r="B1967" t="s">
        <v>3985</v>
      </c>
      <c r="C1967" t="s">
        <v>47</v>
      </c>
      <c r="D1967" t="s">
        <v>68</v>
      </c>
      <c r="E1967" t="s">
        <v>68</v>
      </c>
      <c r="F1967" t="s">
        <v>49</v>
      </c>
      <c r="G1967" t="s">
        <v>102</v>
      </c>
      <c r="H1967" t="s">
        <v>4094</v>
      </c>
      <c r="J1967" t="str">
        <f>HYPERLINK("https://www.youtube.com/watch?v=ToTP755JgRY&amp;lc=Ugw6kI5grXucB6ExEzd4AaABAg.A-dlWhwTrzCA-ekN2Iz_Vt","https://www.youtube.com/watch?v=ToTP755JgRY&amp;lc=Ugw6kI5grXucB6ExEzd4AaABAg.A-dlWhwTrzCA-ekN2Iz_Vt")</f>
        <v>https://www.youtube.com/watch?v=ToTP755JgRY&amp;lc=Ugw6kI5grXucB6ExEzd4AaABAg.A-dlWhwTrzCA-ekN2Iz_Vt</v>
      </c>
      <c r="O1967">
        <v>0</v>
      </c>
      <c r="P1967">
        <v>0</v>
      </c>
      <c r="Q1967">
        <v>0</v>
      </c>
      <c r="S1967">
        <v>0</v>
      </c>
      <c r="T1967">
        <v>0</v>
      </c>
      <c r="U1967">
        <v>0</v>
      </c>
      <c r="W1967" t="s">
        <v>52</v>
      </c>
    </row>
    <row r="1968" spans="1:23" x14ac:dyDescent="0.35">
      <c r="A1968" t="s">
        <v>45</v>
      </c>
      <c r="B1968" t="s">
        <v>3985</v>
      </c>
      <c r="C1968" t="s">
        <v>47</v>
      </c>
      <c r="D1968" t="s">
        <v>68</v>
      </c>
      <c r="E1968" t="s">
        <v>68</v>
      </c>
      <c r="F1968" t="s">
        <v>49</v>
      </c>
      <c r="G1968" t="s">
        <v>102</v>
      </c>
      <c r="H1968" t="s">
        <v>4095</v>
      </c>
      <c r="J1968" t="str">
        <f>HYPERLINK("https://www.youtube.com/watch?v=1_UKRN_GOok&amp;lc=Ugw4IzROcDHwP-x47Ih4AaABAg.A-dgYfCWveDA-ek1m_omyh","https://www.youtube.com/watch?v=1_UKRN_GOok&amp;lc=Ugw4IzROcDHwP-x47Ih4AaABAg.A-dgYfCWveDA-ek1m_omyh")</f>
        <v>https://www.youtube.com/watch?v=1_UKRN_GOok&amp;lc=Ugw4IzROcDHwP-x47Ih4AaABAg.A-dgYfCWveDA-ek1m_omyh</v>
      </c>
      <c r="O1968">
        <v>0</v>
      </c>
      <c r="P1968">
        <v>0</v>
      </c>
      <c r="Q1968">
        <v>0</v>
      </c>
      <c r="S1968">
        <v>0</v>
      </c>
      <c r="T1968">
        <v>0</v>
      </c>
      <c r="U1968">
        <v>0</v>
      </c>
      <c r="W1968" t="s">
        <v>52</v>
      </c>
    </row>
    <row r="1969" spans="1:23" x14ac:dyDescent="0.35">
      <c r="A1969" t="s">
        <v>45</v>
      </c>
      <c r="B1969" t="s">
        <v>3985</v>
      </c>
      <c r="C1969" t="s">
        <v>47</v>
      </c>
      <c r="D1969" t="s">
        <v>68</v>
      </c>
      <c r="E1969" t="s">
        <v>68</v>
      </c>
      <c r="F1969" t="s">
        <v>49</v>
      </c>
      <c r="G1969" t="s">
        <v>102</v>
      </c>
      <c r="H1969" t="s">
        <v>4096</v>
      </c>
      <c r="J1969" t="str">
        <f>HYPERLINK("https://www.youtube.com/watch?v=Vk9kehZJdww&amp;lc=UgyZveTP4s48CK1yyc14AaABAg.A-dwfwLr6H7A-ejtbk1rHN","https://www.youtube.com/watch?v=Vk9kehZJdww&amp;lc=UgyZveTP4s48CK1yyc14AaABAg.A-dwfwLr6H7A-ejtbk1rHN")</f>
        <v>https://www.youtube.com/watch?v=Vk9kehZJdww&amp;lc=UgyZveTP4s48CK1yyc14AaABAg.A-dwfwLr6H7A-ejtbk1rHN</v>
      </c>
      <c r="O1969">
        <v>0</v>
      </c>
      <c r="P1969">
        <v>0</v>
      </c>
      <c r="Q1969">
        <v>0</v>
      </c>
      <c r="S1969">
        <v>0</v>
      </c>
      <c r="T1969">
        <v>0</v>
      </c>
      <c r="U1969">
        <v>0</v>
      </c>
      <c r="W1969" t="s">
        <v>52</v>
      </c>
    </row>
    <row r="1970" spans="1:23" x14ac:dyDescent="0.35">
      <c r="A1970" t="s">
        <v>45</v>
      </c>
      <c r="B1970" t="s">
        <v>3985</v>
      </c>
      <c r="C1970" t="s">
        <v>93</v>
      </c>
      <c r="D1970" t="s">
        <v>4097</v>
      </c>
      <c r="E1970" t="s">
        <v>4097</v>
      </c>
      <c r="F1970" t="s">
        <v>193</v>
      </c>
      <c r="G1970" t="s">
        <v>4098</v>
      </c>
      <c r="H1970" t="s">
        <v>4099</v>
      </c>
      <c r="J1970" t="str">
        <f>HYPERLINK("https://twitter.com/TechEducavo/status/1756501709638062387","https://twitter.com/TechEducavo/status/1756501709638062387")</f>
        <v>https://twitter.com/TechEducavo/status/1756501709638062387</v>
      </c>
      <c r="O1970">
        <v>0</v>
      </c>
      <c r="P1970">
        <v>0</v>
      </c>
      <c r="Q1970">
        <v>0</v>
      </c>
      <c r="S1970">
        <v>0</v>
      </c>
      <c r="T1970">
        <v>0</v>
      </c>
      <c r="U1970">
        <v>0</v>
      </c>
      <c r="W1970" t="s">
        <v>99</v>
      </c>
    </row>
    <row r="1971" spans="1:23" x14ac:dyDescent="0.35">
      <c r="A1971" t="s">
        <v>45</v>
      </c>
      <c r="B1971" t="s">
        <v>3985</v>
      </c>
      <c r="C1971" t="s">
        <v>47</v>
      </c>
      <c r="D1971" t="s">
        <v>4100</v>
      </c>
      <c r="E1971" t="s">
        <v>4100</v>
      </c>
      <c r="F1971" t="s">
        <v>49</v>
      </c>
      <c r="G1971" t="s">
        <v>4101</v>
      </c>
      <c r="H1971" t="s">
        <v>4102</v>
      </c>
      <c r="J1971" t="str">
        <f>HYPERLINK("https://www.youtube.com/watch?v=Vk9kehZJdww&amp;lc=UgyZveTP4s48CK1yyc14AaABAg","https://www.youtube.com/watch?v=Vk9kehZJdww&amp;lc=UgyZveTP4s48CK1yyc14AaABAg")</f>
        <v>https://www.youtube.com/watch?v=Vk9kehZJdww&amp;lc=UgyZveTP4s48CK1yyc14AaABAg</v>
      </c>
      <c r="O1971">
        <v>0</v>
      </c>
      <c r="P1971">
        <v>0</v>
      </c>
      <c r="Q1971">
        <v>0</v>
      </c>
      <c r="S1971">
        <v>0</v>
      </c>
      <c r="T1971">
        <v>0</v>
      </c>
      <c r="U1971">
        <v>0</v>
      </c>
      <c r="W1971" t="s">
        <v>52</v>
      </c>
    </row>
    <row r="1972" spans="1:23" x14ac:dyDescent="0.35">
      <c r="A1972" t="s">
        <v>45</v>
      </c>
      <c r="B1972" t="s">
        <v>4103</v>
      </c>
      <c r="C1972" t="s">
        <v>47</v>
      </c>
      <c r="D1972" t="s">
        <v>4104</v>
      </c>
      <c r="E1972" t="s">
        <v>4104</v>
      </c>
      <c r="F1972" t="s">
        <v>49</v>
      </c>
      <c r="G1972" t="s">
        <v>4105</v>
      </c>
      <c r="H1972" t="s">
        <v>4106</v>
      </c>
      <c r="J1972" t="str">
        <f>HYPERLINK("https://www.youtube.com/watch?v=ToTP755JgRY&amp;lc=Ugw6kI5grXucB6ExEzd4AaABAg","https://www.youtube.com/watch?v=ToTP755JgRY&amp;lc=Ugw6kI5grXucB6ExEzd4AaABAg")</f>
        <v>https://www.youtube.com/watch?v=ToTP755JgRY&amp;lc=Ugw6kI5grXucB6ExEzd4AaABAg</v>
      </c>
      <c r="O1972">
        <v>0</v>
      </c>
      <c r="P1972">
        <v>0</v>
      </c>
      <c r="Q1972">
        <v>0</v>
      </c>
      <c r="S1972">
        <v>0</v>
      </c>
      <c r="T1972">
        <v>0</v>
      </c>
      <c r="U1972">
        <v>0</v>
      </c>
      <c r="W1972" t="s">
        <v>52</v>
      </c>
    </row>
    <row r="1973" spans="1:23" x14ac:dyDescent="0.35">
      <c r="A1973" t="s">
        <v>45</v>
      </c>
      <c r="B1973" t="s">
        <v>4103</v>
      </c>
      <c r="C1973" t="s">
        <v>47</v>
      </c>
      <c r="D1973" t="s">
        <v>2003</v>
      </c>
      <c r="E1973" t="s">
        <v>2003</v>
      </c>
      <c r="F1973" t="s">
        <v>49</v>
      </c>
      <c r="G1973" t="s">
        <v>4107</v>
      </c>
      <c r="H1973" t="s">
        <v>4108</v>
      </c>
      <c r="J1973" t="str">
        <f>HYPERLINK("https://www.youtube.com/watch?v=Vk9kehZJdww&amp;lc=UgxisBqAE3GKGFSU0hp4AaABAg","https://www.youtube.com/watch?v=Vk9kehZJdww&amp;lc=UgxisBqAE3GKGFSU0hp4AaABAg")</f>
        <v>https://www.youtube.com/watch?v=Vk9kehZJdww&amp;lc=UgxisBqAE3GKGFSU0hp4AaABAg</v>
      </c>
      <c r="O1973">
        <v>0</v>
      </c>
      <c r="P1973">
        <v>0</v>
      </c>
      <c r="Q1973">
        <v>0</v>
      </c>
      <c r="S1973">
        <v>0</v>
      </c>
      <c r="T1973">
        <v>0</v>
      </c>
      <c r="U1973">
        <v>0</v>
      </c>
      <c r="W1973" t="s">
        <v>52</v>
      </c>
    </row>
    <row r="1974" spans="1:23" x14ac:dyDescent="0.35">
      <c r="A1974" t="s">
        <v>45</v>
      </c>
      <c r="B1974" t="s">
        <v>4103</v>
      </c>
      <c r="C1974" t="s">
        <v>60</v>
      </c>
      <c r="D1974" t="s">
        <v>61</v>
      </c>
      <c r="E1974" t="s">
        <v>61</v>
      </c>
      <c r="F1974" t="s">
        <v>49</v>
      </c>
      <c r="G1974" t="s">
        <v>4109</v>
      </c>
      <c r="H1974" t="s">
        <v>4110</v>
      </c>
      <c r="J1974" t="str">
        <f>HYPERLINK("https://www.facebook.com/634639855377280/posts/788023660038898?comment_id=375225605230335&amp;reply_comment_id=402282725512686","https://www.facebook.com/634639855377280/posts/788023660038898?comment_id=375225605230335&amp;reply_comment_id=402282725512686")</f>
        <v>https://www.facebook.com/634639855377280/posts/788023660038898?comment_id=375225605230335&amp;reply_comment_id=402282725512686</v>
      </c>
      <c r="O1974">
        <v>0</v>
      </c>
      <c r="P1974">
        <v>0</v>
      </c>
      <c r="Q1974">
        <v>0</v>
      </c>
      <c r="S1974">
        <v>0</v>
      </c>
      <c r="T1974">
        <v>0</v>
      </c>
      <c r="U1974">
        <v>0</v>
      </c>
      <c r="W1974" t="s">
        <v>52</v>
      </c>
    </row>
    <row r="1975" spans="1:23" x14ac:dyDescent="0.35">
      <c r="A1975" t="s">
        <v>45</v>
      </c>
      <c r="B1975" t="s">
        <v>4103</v>
      </c>
      <c r="C1975" t="s">
        <v>47</v>
      </c>
      <c r="D1975" t="s">
        <v>4111</v>
      </c>
      <c r="E1975" t="s">
        <v>4111</v>
      </c>
      <c r="F1975" t="s">
        <v>193</v>
      </c>
      <c r="G1975" t="s">
        <v>4112</v>
      </c>
      <c r="H1975" t="s">
        <v>4113</v>
      </c>
      <c r="J1975" t="str">
        <f>HYPERLINK("https://www.youtube.com/watch?v=1_UKRN_GOok&amp;lc=Ugw4IzROcDHwP-x47Ih4AaABAg","https://www.youtube.com/watch?v=1_UKRN_GOok&amp;lc=Ugw4IzROcDHwP-x47Ih4AaABAg")</f>
        <v>https://www.youtube.com/watch?v=1_UKRN_GOok&amp;lc=Ugw4IzROcDHwP-x47Ih4AaABAg</v>
      </c>
      <c r="O1975">
        <v>0</v>
      </c>
      <c r="P1975">
        <v>0</v>
      </c>
      <c r="Q1975">
        <v>0</v>
      </c>
      <c r="S1975">
        <v>0</v>
      </c>
      <c r="T1975">
        <v>0</v>
      </c>
      <c r="U1975">
        <v>0</v>
      </c>
      <c r="W1975" t="s">
        <v>52</v>
      </c>
    </row>
    <row r="1976" spans="1:23" x14ac:dyDescent="0.35">
      <c r="A1976" t="s">
        <v>45</v>
      </c>
      <c r="B1976" t="s">
        <v>4103</v>
      </c>
      <c r="C1976" t="s">
        <v>60</v>
      </c>
      <c r="D1976" t="s">
        <v>61</v>
      </c>
      <c r="E1976" t="s">
        <v>61</v>
      </c>
      <c r="F1976" t="s">
        <v>49</v>
      </c>
      <c r="G1976" t="s">
        <v>4114</v>
      </c>
      <c r="H1976" t="s">
        <v>4115</v>
      </c>
      <c r="J1976" t="str">
        <f>HYPERLINK("https://www.facebook.com/634639855377280/posts/787942146713716?comment_id=910575090856711","https://www.facebook.com/634639855377280/posts/787942146713716?comment_id=910575090856711")</f>
        <v>https://www.facebook.com/634639855377280/posts/787942146713716?comment_id=910575090856711</v>
      </c>
      <c r="O1976">
        <v>0</v>
      </c>
      <c r="P1976">
        <v>0</v>
      </c>
      <c r="Q1976">
        <v>0</v>
      </c>
      <c r="S1976">
        <v>0</v>
      </c>
      <c r="T1976">
        <v>0</v>
      </c>
      <c r="U1976">
        <v>0</v>
      </c>
      <c r="W1976" t="s">
        <v>52</v>
      </c>
    </row>
    <row r="1977" spans="1:23" x14ac:dyDescent="0.35">
      <c r="A1977" t="s">
        <v>45</v>
      </c>
      <c r="B1977" t="s">
        <v>4103</v>
      </c>
      <c r="C1977" t="s">
        <v>47</v>
      </c>
      <c r="D1977" t="s">
        <v>4116</v>
      </c>
      <c r="E1977" t="s">
        <v>4116</v>
      </c>
      <c r="F1977" t="s">
        <v>49</v>
      </c>
      <c r="G1977" t="s">
        <v>4117</v>
      </c>
      <c r="H1977" t="s">
        <v>4118</v>
      </c>
      <c r="J1977" t="str">
        <f>HYPERLINK("https://www.youtube.com/watch?v=Vk9kehZJdww&amp;lc=UgymYYihoabvEEBVOLZ4AaABAg","https://www.youtube.com/watch?v=Vk9kehZJdww&amp;lc=UgymYYihoabvEEBVOLZ4AaABAg")</f>
        <v>https://www.youtube.com/watch?v=Vk9kehZJdww&amp;lc=UgymYYihoabvEEBVOLZ4AaABAg</v>
      </c>
      <c r="O1977">
        <v>0</v>
      </c>
      <c r="P1977">
        <v>0</v>
      </c>
      <c r="Q1977">
        <v>0</v>
      </c>
      <c r="S1977">
        <v>0</v>
      </c>
      <c r="T1977">
        <v>0</v>
      </c>
      <c r="U1977">
        <v>0</v>
      </c>
      <c r="W1977" t="s">
        <v>52</v>
      </c>
    </row>
    <row r="1978" spans="1:23" x14ac:dyDescent="0.35">
      <c r="A1978" t="s">
        <v>45</v>
      </c>
      <c r="B1978" t="s">
        <v>4103</v>
      </c>
      <c r="C1978" t="s">
        <v>60</v>
      </c>
      <c r="D1978" t="s">
        <v>61</v>
      </c>
      <c r="E1978" t="s">
        <v>61</v>
      </c>
      <c r="F1978" t="s">
        <v>49</v>
      </c>
      <c r="G1978" t="s">
        <v>4119</v>
      </c>
      <c r="H1978" t="s">
        <v>4120</v>
      </c>
      <c r="J1978" t="str">
        <f>HYPERLINK("https://www.facebook.com/634639855377280/posts/787942146713716?comment_id=933448961167806","https://www.facebook.com/634639855377280/posts/787942146713716?comment_id=933448961167806")</f>
        <v>https://www.facebook.com/634639855377280/posts/787942146713716?comment_id=933448961167806</v>
      </c>
      <c r="O1978">
        <v>0</v>
      </c>
      <c r="P1978">
        <v>0</v>
      </c>
      <c r="Q1978">
        <v>0</v>
      </c>
      <c r="S1978">
        <v>0</v>
      </c>
      <c r="T1978">
        <v>0</v>
      </c>
      <c r="U1978">
        <v>0</v>
      </c>
      <c r="W1978" t="s">
        <v>52</v>
      </c>
    </row>
    <row r="1979" spans="1:23" x14ac:dyDescent="0.35">
      <c r="A1979" t="s">
        <v>45</v>
      </c>
      <c r="B1979" t="s">
        <v>4103</v>
      </c>
      <c r="C1979" t="s">
        <v>60</v>
      </c>
      <c r="D1979" t="s">
        <v>61</v>
      </c>
      <c r="E1979" t="s">
        <v>61</v>
      </c>
      <c r="F1979" t="s">
        <v>49</v>
      </c>
      <c r="G1979" t="s">
        <v>4121</v>
      </c>
      <c r="H1979" t="s">
        <v>4122</v>
      </c>
      <c r="J1979" t="str">
        <f>HYPERLINK("https://www.facebook.com/634639855377280/posts/787942146713716?comment_id=435356092148518","https://www.facebook.com/634639855377280/posts/787942146713716?comment_id=435356092148518")</f>
        <v>https://www.facebook.com/634639855377280/posts/787942146713716?comment_id=435356092148518</v>
      </c>
      <c r="O1979">
        <v>0</v>
      </c>
      <c r="P1979">
        <v>0</v>
      </c>
      <c r="Q1979">
        <v>0</v>
      </c>
      <c r="S1979">
        <v>0</v>
      </c>
      <c r="T1979">
        <v>0</v>
      </c>
      <c r="U1979">
        <v>0</v>
      </c>
      <c r="W1979" t="s">
        <v>52</v>
      </c>
    </row>
    <row r="1980" spans="1:23" x14ac:dyDescent="0.35">
      <c r="A1980" t="s">
        <v>45</v>
      </c>
      <c r="B1980" t="s">
        <v>4103</v>
      </c>
      <c r="C1980" t="s">
        <v>47</v>
      </c>
      <c r="D1980" t="s">
        <v>351</v>
      </c>
      <c r="E1980" t="s">
        <v>351</v>
      </c>
      <c r="F1980" t="s">
        <v>49</v>
      </c>
      <c r="G1980" t="s">
        <v>4123</v>
      </c>
      <c r="H1980" t="s">
        <v>4124</v>
      </c>
      <c r="J1980" t="str">
        <f>HYPERLINK("https://www.youtube.com/watch?v=YQSdpP96l0U&amp;lc=UgwYErUdRHWfiKVHiBt4AaABAg.A-aNWze0KpkA-dOhbiOjuR","https://www.youtube.com/watch?v=YQSdpP96l0U&amp;lc=UgwYErUdRHWfiKVHiBt4AaABAg.A-aNWze0KpkA-dOhbiOjuR")</f>
        <v>https://www.youtube.com/watch?v=YQSdpP96l0U&amp;lc=UgwYErUdRHWfiKVHiBt4AaABAg.A-aNWze0KpkA-dOhbiOjuR</v>
      </c>
      <c r="O1980">
        <v>0</v>
      </c>
      <c r="P1980">
        <v>0</v>
      </c>
      <c r="Q1980">
        <v>0</v>
      </c>
      <c r="S1980">
        <v>0</v>
      </c>
      <c r="T1980">
        <v>0</v>
      </c>
      <c r="U1980">
        <v>0</v>
      </c>
      <c r="W1980" t="s">
        <v>52</v>
      </c>
    </row>
    <row r="1981" spans="1:23" x14ac:dyDescent="0.35">
      <c r="A1981" t="s">
        <v>45</v>
      </c>
      <c r="B1981" t="s">
        <v>4103</v>
      </c>
      <c r="C1981" t="s">
        <v>60</v>
      </c>
      <c r="D1981" t="s">
        <v>61</v>
      </c>
      <c r="E1981" t="s">
        <v>61</v>
      </c>
      <c r="F1981" t="s">
        <v>49</v>
      </c>
      <c r="G1981" t="s">
        <v>4125</v>
      </c>
      <c r="H1981" t="s">
        <v>4126</v>
      </c>
      <c r="J1981" t="str">
        <f>HYPERLINK("https://www.facebook.com/634639855377280/posts/788604969980767?comment_id=404315785296973","https://www.facebook.com/634639855377280/posts/788604969980767?comment_id=404315785296973")</f>
        <v>https://www.facebook.com/634639855377280/posts/788604969980767?comment_id=404315785296973</v>
      </c>
      <c r="O1981">
        <v>0</v>
      </c>
      <c r="P1981">
        <v>0</v>
      </c>
      <c r="Q1981">
        <v>0</v>
      </c>
      <c r="S1981">
        <v>0</v>
      </c>
      <c r="T1981">
        <v>0</v>
      </c>
      <c r="U1981">
        <v>0</v>
      </c>
      <c r="W1981" t="s">
        <v>52</v>
      </c>
    </row>
    <row r="1982" spans="1:23" x14ac:dyDescent="0.35">
      <c r="A1982" t="s">
        <v>45</v>
      </c>
      <c r="B1982" t="s">
        <v>4103</v>
      </c>
      <c r="C1982" t="s">
        <v>60</v>
      </c>
      <c r="D1982" t="s">
        <v>61</v>
      </c>
      <c r="E1982" t="s">
        <v>61</v>
      </c>
      <c r="F1982" t="s">
        <v>49</v>
      </c>
      <c r="G1982" t="s">
        <v>4127</v>
      </c>
      <c r="H1982" t="s">
        <v>4128</v>
      </c>
      <c r="J1982" t="str">
        <f>HYPERLINK("https://www.facebook.com/634639855377280/posts/787942146713716?comment_id=774056661419506&amp;reply_comment_id=417842977390142","https://www.facebook.com/634639855377280/posts/787942146713716?comment_id=774056661419506&amp;reply_comment_id=417842977390142")</f>
        <v>https://www.facebook.com/634639855377280/posts/787942146713716?comment_id=774056661419506&amp;reply_comment_id=417842977390142</v>
      </c>
      <c r="O1982">
        <v>0</v>
      </c>
      <c r="P1982">
        <v>0</v>
      </c>
      <c r="Q1982">
        <v>0</v>
      </c>
      <c r="S1982">
        <v>0</v>
      </c>
      <c r="T1982">
        <v>0</v>
      </c>
      <c r="U1982">
        <v>0</v>
      </c>
      <c r="W1982" t="s">
        <v>52</v>
      </c>
    </row>
    <row r="1983" spans="1:23" x14ac:dyDescent="0.35">
      <c r="A1983" t="s">
        <v>45</v>
      </c>
      <c r="B1983" t="s">
        <v>4103</v>
      </c>
      <c r="C1983" t="s">
        <v>47</v>
      </c>
      <c r="D1983" t="s">
        <v>4129</v>
      </c>
      <c r="E1983" t="s">
        <v>4129</v>
      </c>
      <c r="F1983" t="s">
        <v>49</v>
      </c>
      <c r="G1983" t="s">
        <v>4130</v>
      </c>
      <c r="H1983" t="s">
        <v>4131</v>
      </c>
      <c r="J1983" t="str">
        <f>HYPERLINK("https://www.youtube.com/watch?v=Vk9kehZJdww&amp;lc=UgylItZU80DuV3CoIeB4AaABAg.A-dDM4D6gYjA-dDUbfH4gq","https://www.youtube.com/watch?v=Vk9kehZJdww&amp;lc=UgylItZU80DuV3CoIeB4AaABAg.A-dDM4D6gYjA-dDUbfH4gq")</f>
        <v>https://www.youtube.com/watch?v=Vk9kehZJdww&amp;lc=UgylItZU80DuV3CoIeB4AaABAg.A-dDM4D6gYjA-dDUbfH4gq</v>
      </c>
      <c r="O1983">
        <v>0</v>
      </c>
      <c r="P1983">
        <v>0</v>
      </c>
      <c r="Q1983">
        <v>0</v>
      </c>
      <c r="S1983">
        <v>0</v>
      </c>
      <c r="T1983">
        <v>0</v>
      </c>
      <c r="U1983">
        <v>0</v>
      </c>
      <c r="W1983" t="s">
        <v>52</v>
      </c>
    </row>
    <row r="1984" spans="1:23" x14ac:dyDescent="0.35">
      <c r="A1984" t="s">
        <v>45</v>
      </c>
      <c r="B1984" t="s">
        <v>4103</v>
      </c>
      <c r="C1984" t="s">
        <v>47</v>
      </c>
      <c r="D1984" t="s">
        <v>4129</v>
      </c>
      <c r="E1984" t="s">
        <v>4129</v>
      </c>
      <c r="F1984" t="s">
        <v>49</v>
      </c>
      <c r="G1984" t="s">
        <v>4132</v>
      </c>
      <c r="H1984" t="s">
        <v>4133</v>
      </c>
      <c r="J1984" t="str">
        <f>HYPERLINK("https://www.youtube.com/watch?v=Vk9kehZJdww&amp;lc=UgylItZU80DuV3CoIeB4AaABAg","https://www.youtube.com/watch?v=Vk9kehZJdww&amp;lc=UgylItZU80DuV3CoIeB4AaABAg")</f>
        <v>https://www.youtube.com/watch?v=Vk9kehZJdww&amp;lc=UgylItZU80DuV3CoIeB4AaABAg</v>
      </c>
      <c r="O1984">
        <v>0</v>
      </c>
      <c r="P1984">
        <v>0</v>
      </c>
      <c r="Q1984">
        <v>0</v>
      </c>
      <c r="S1984">
        <v>0</v>
      </c>
      <c r="T1984">
        <v>0</v>
      </c>
      <c r="U1984">
        <v>0</v>
      </c>
      <c r="W1984" t="s">
        <v>52</v>
      </c>
    </row>
    <row r="1985" spans="1:23" x14ac:dyDescent="0.35">
      <c r="A1985" t="s">
        <v>45</v>
      </c>
      <c r="B1985" t="s">
        <v>4103</v>
      </c>
      <c r="C1985" t="s">
        <v>60</v>
      </c>
      <c r="D1985" t="s">
        <v>64</v>
      </c>
      <c r="E1985" t="s">
        <v>64</v>
      </c>
      <c r="F1985" t="s">
        <v>49</v>
      </c>
      <c r="G1985" t="s">
        <v>100</v>
      </c>
      <c r="H1985" t="s">
        <v>4134</v>
      </c>
      <c r="J1985" t="str">
        <f>HYPERLINK("https://www.facebook.com/634639855377280/posts/786878883486709?comment_id=1310014149668840&amp;reply_comment_id=396593649686078","https://www.facebook.com/634639855377280/posts/786878883486709?comment_id=1310014149668840&amp;reply_comment_id=396593649686078")</f>
        <v>https://www.facebook.com/634639855377280/posts/786878883486709?comment_id=1310014149668840&amp;reply_comment_id=396593649686078</v>
      </c>
      <c r="K1985" t="s">
        <v>67</v>
      </c>
      <c r="O1985">
        <v>0</v>
      </c>
      <c r="P1985">
        <v>0</v>
      </c>
      <c r="Q1985">
        <v>0</v>
      </c>
      <c r="S1985">
        <v>0</v>
      </c>
      <c r="T1985">
        <v>0</v>
      </c>
      <c r="U1985">
        <v>0</v>
      </c>
      <c r="W1985" t="s">
        <v>52</v>
      </c>
    </row>
    <row r="1986" spans="1:23" x14ac:dyDescent="0.35">
      <c r="A1986" t="s">
        <v>45</v>
      </c>
      <c r="B1986" t="s">
        <v>4103</v>
      </c>
      <c r="C1986" t="s">
        <v>93</v>
      </c>
      <c r="D1986" t="s">
        <v>94</v>
      </c>
      <c r="E1986" t="s">
        <v>45</v>
      </c>
      <c r="F1986" t="s">
        <v>49</v>
      </c>
      <c r="G1986" t="s">
        <v>4135</v>
      </c>
      <c r="H1986" t="s">
        <v>4136</v>
      </c>
      <c r="J1986" t="str">
        <f>HYPERLINK("https://twitter.com/SpiceMoneyIndia/status/1756296357759901792","https://twitter.com/SpiceMoneyIndia/status/1756296357759901792")</f>
        <v>https://twitter.com/SpiceMoneyIndia/status/1756296357759901792</v>
      </c>
      <c r="K1986" t="s">
        <v>67</v>
      </c>
      <c r="O1986">
        <v>0</v>
      </c>
      <c r="P1986">
        <v>0</v>
      </c>
      <c r="Q1986">
        <v>6025</v>
      </c>
      <c r="R1986" t="s">
        <v>97</v>
      </c>
      <c r="S1986">
        <v>0</v>
      </c>
      <c r="T1986">
        <v>0</v>
      </c>
      <c r="U1986">
        <v>0</v>
      </c>
      <c r="V1986" t="s">
        <v>98</v>
      </c>
      <c r="W1986" t="s">
        <v>99</v>
      </c>
    </row>
    <row r="1987" spans="1:23" x14ac:dyDescent="0.35">
      <c r="A1987" t="s">
        <v>45</v>
      </c>
      <c r="B1987" t="s">
        <v>4103</v>
      </c>
      <c r="C1987" t="s">
        <v>60</v>
      </c>
      <c r="D1987" t="s">
        <v>64</v>
      </c>
      <c r="E1987" t="s">
        <v>64</v>
      </c>
      <c r="F1987" t="s">
        <v>49</v>
      </c>
      <c r="G1987" t="s">
        <v>1595</v>
      </c>
      <c r="H1987" t="s">
        <v>4137</v>
      </c>
      <c r="J1987" t="str">
        <f>HYPERLINK("https://www.facebook.com/634639855377280/posts/787942146713716?comment_id=774056661419506&amp;reply_comment_id=1388469058335912","https://www.facebook.com/634639855377280/posts/787942146713716?comment_id=774056661419506&amp;reply_comment_id=1388469058335912")</f>
        <v>https://www.facebook.com/634639855377280/posts/787942146713716?comment_id=774056661419506&amp;reply_comment_id=1388469058335912</v>
      </c>
      <c r="K1987" t="s">
        <v>67</v>
      </c>
      <c r="O1987">
        <v>0</v>
      </c>
      <c r="P1987">
        <v>0</v>
      </c>
      <c r="Q1987">
        <v>0</v>
      </c>
      <c r="S1987">
        <v>0</v>
      </c>
      <c r="T1987">
        <v>0</v>
      </c>
      <c r="U1987">
        <v>0</v>
      </c>
      <c r="W1987" t="s">
        <v>52</v>
      </c>
    </row>
    <row r="1988" spans="1:23" x14ac:dyDescent="0.35">
      <c r="A1988" t="s">
        <v>45</v>
      </c>
      <c r="B1988" t="s">
        <v>4103</v>
      </c>
      <c r="C1988" t="s">
        <v>60</v>
      </c>
      <c r="D1988" t="s">
        <v>61</v>
      </c>
      <c r="E1988" t="s">
        <v>61</v>
      </c>
      <c r="F1988" t="s">
        <v>49</v>
      </c>
      <c r="G1988" t="s">
        <v>4138</v>
      </c>
      <c r="H1988" t="s">
        <v>4139</v>
      </c>
      <c r="J1988" t="str">
        <f>HYPERLINK("https://www.facebook.com/634639855377280/posts/786878883486709?comment_id=1310014149668840&amp;reply_comment_id=809974460938344","https://www.facebook.com/634639855377280/posts/786878883486709?comment_id=1310014149668840&amp;reply_comment_id=809974460938344")</f>
        <v>https://www.facebook.com/634639855377280/posts/786878883486709?comment_id=1310014149668840&amp;reply_comment_id=809974460938344</v>
      </c>
      <c r="O1988">
        <v>0</v>
      </c>
      <c r="P1988">
        <v>0</v>
      </c>
      <c r="Q1988">
        <v>0</v>
      </c>
      <c r="S1988">
        <v>0</v>
      </c>
      <c r="T1988">
        <v>0</v>
      </c>
      <c r="U1988">
        <v>0</v>
      </c>
      <c r="W1988" t="s">
        <v>52</v>
      </c>
    </row>
    <row r="1989" spans="1:23" x14ac:dyDescent="0.35">
      <c r="A1989" t="s">
        <v>45</v>
      </c>
      <c r="B1989" t="s">
        <v>4103</v>
      </c>
      <c r="C1989" t="s">
        <v>60</v>
      </c>
      <c r="D1989" t="s">
        <v>64</v>
      </c>
      <c r="E1989" t="s">
        <v>64</v>
      </c>
      <c r="F1989" t="s">
        <v>49</v>
      </c>
      <c r="G1989" t="s">
        <v>83</v>
      </c>
      <c r="H1989" t="s">
        <v>4140</v>
      </c>
      <c r="J1989" t="str">
        <f>HYPERLINK("https://www.facebook.com/634639855377280/posts/786878883486709?comment_id=1310014149668840&amp;reply_comment_id=255195647528934","https://www.facebook.com/634639855377280/posts/786878883486709?comment_id=1310014149668840&amp;reply_comment_id=255195647528934")</f>
        <v>https://www.facebook.com/634639855377280/posts/786878883486709?comment_id=1310014149668840&amp;reply_comment_id=255195647528934</v>
      </c>
      <c r="K1989" t="s">
        <v>67</v>
      </c>
      <c r="O1989">
        <v>0</v>
      </c>
      <c r="P1989">
        <v>0</v>
      </c>
      <c r="Q1989">
        <v>0</v>
      </c>
      <c r="S1989">
        <v>0</v>
      </c>
      <c r="T1989">
        <v>0</v>
      </c>
      <c r="U1989">
        <v>0</v>
      </c>
      <c r="W1989" t="s">
        <v>52</v>
      </c>
    </row>
    <row r="1990" spans="1:23" x14ac:dyDescent="0.35">
      <c r="A1990" t="s">
        <v>45</v>
      </c>
      <c r="B1990" t="s">
        <v>4103</v>
      </c>
      <c r="C1990" t="s">
        <v>60</v>
      </c>
      <c r="D1990" t="s">
        <v>64</v>
      </c>
      <c r="E1990" t="s">
        <v>64</v>
      </c>
      <c r="F1990" t="s">
        <v>49</v>
      </c>
      <c r="G1990" t="s">
        <v>2766</v>
      </c>
      <c r="H1990" t="s">
        <v>4141</v>
      </c>
      <c r="J1990" t="str">
        <f>HYPERLINK("https://www.facebook.com/634639855377280/posts/788023660038898?comment_id=375225605230335&amp;reply_comment_id=917262189774468","https://www.facebook.com/634639855377280/posts/788023660038898?comment_id=375225605230335&amp;reply_comment_id=917262189774468")</f>
        <v>https://www.facebook.com/634639855377280/posts/788023660038898?comment_id=375225605230335&amp;reply_comment_id=917262189774468</v>
      </c>
      <c r="K1990" t="s">
        <v>67</v>
      </c>
      <c r="O1990">
        <v>0</v>
      </c>
      <c r="P1990">
        <v>0</v>
      </c>
      <c r="Q1990">
        <v>0</v>
      </c>
      <c r="S1990">
        <v>0</v>
      </c>
      <c r="T1990">
        <v>0</v>
      </c>
      <c r="U1990">
        <v>0</v>
      </c>
      <c r="W1990" t="s">
        <v>52</v>
      </c>
    </row>
    <row r="1991" spans="1:23" x14ac:dyDescent="0.35">
      <c r="A1991" t="s">
        <v>45</v>
      </c>
      <c r="B1991" t="s">
        <v>4103</v>
      </c>
      <c r="C1991" t="s">
        <v>60</v>
      </c>
      <c r="D1991" t="s">
        <v>64</v>
      </c>
      <c r="E1991" t="s">
        <v>64</v>
      </c>
      <c r="F1991" t="s">
        <v>49</v>
      </c>
      <c r="G1991" t="s">
        <v>83</v>
      </c>
      <c r="H1991" t="s">
        <v>4142</v>
      </c>
      <c r="J1991" t="str">
        <f>HYPERLINK("https://www.facebook.com/634639855377280/posts/787476670093597?comment_id=6518991648202172&amp;reply_comment_id=897137101936834","https://www.facebook.com/634639855377280/posts/787476670093597?comment_id=6518991648202172&amp;reply_comment_id=897137101936834")</f>
        <v>https://www.facebook.com/634639855377280/posts/787476670093597?comment_id=6518991648202172&amp;reply_comment_id=897137101936834</v>
      </c>
      <c r="K1991" t="s">
        <v>67</v>
      </c>
      <c r="O1991">
        <v>0</v>
      </c>
      <c r="P1991">
        <v>0</v>
      </c>
      <c r="Q1991">
        <v>0</v>
      </c>
      <c r="S1991">
        <v>0</v>
      </c>
      <c r="T1991">
        <v>0</v>
      </c>
      <c r="U1991">
        <v>0</v>
      </c>
      <c r="W1991" t="s">
        <v>52</v>
      </c>
    </row>
    <row r="1992" spans="1:23" x14ac:dyDescent="0.35">
      <c r="A1992" t="s">
        <v>45</v>
      </c>
      <c r="B1992" t="s">
        <v>4103</v>
      </c>
      <c r="C1992" t="s">
        <v>93</v>
      </c>
      <c r="D1992" t="s">
        <v>94</v>
      </c>
      <c r="E1992" t="s">
        <v>45</v>
      </c>
      <c r="F1992" t="s">
        <v>49</v>
      </c>
      <c r="G1992" t="s">
        <v>4143</v>
      </c>
      <c r="H1992" t="s">
        <v>4144</v>
      </c>
      <c r="J1992" t="str">
        <f>HYPERLINK("https://twitter.com/SpiceMoneyIndia/status/1756295320185553137","https://twitter.com/SpiceMoneyIndia/status/1756295320185553137")</f>
        <v>https://twitter.com/SpiceMoneyIndia/status/1756295320185553137</v>
      </c>
      <c r="K1992" t="s">
        <v>67</v>
      </c>
      <c r="O1992">
        <v>0</v>
      </c>
      <c r="P1992">
        <v>0</v>
      </c>
      <c r="Q1992">
        <v>6025</v>
      </c>
      <c r="R1992" t="s">
        <v>97</v>
      </c>
      <c r="S1992">
        <v>0</v>
      </c>
      <c r="T1992">
        <v>0</v>
      </c>
      <c r="U1992">
        <v>0</v>
      </c>
      <c r="V1992" t="s">
        <v>98</v>
      </c>
      <c r="W1992" t="s">
        <v>99</v>
      </c>
    </row>
    <row r="1993" spans="1:23" x14ac:dyDescent="0.35">
      <c r="A1993" t="s">
        <v>45</v>
      </c>
      <c r="B1993" t="s">
        <v>4103</v>
      </c>
      <c r="C1993" t="s">
        <v>93</v>
      </c>
      <c r="D1993" t="s">
        <v>94</v>
      </c>
      <c r="E1993" t="s">
        <v>45</v>
      </c>
      <c r="F1993" t="s">
        <v>49</v>
      </c>
      <c r="G1993" t="s">
        <v>4145</v>
      </c>
      <c r="H1993" t="s">
        <v>4146</v>
      </c>
      <c r="J1993" t="str">
        <f>HYPERLINK("https://twitter.com/SpiceMoneyIndia/status/1756294800301568144","https://twitter.com/SpiceMoneyIndia/status/1756294800301568144")</f>
        <v>https://twitter.com/SpiceMoneyIndia/status/1756294800301568144</v>
      </c>
      <c r="K1993" t="s">
        <v>67</v>
      </c>
      <c r="O1993">
        <v>0</v>
      </c>
      <c r="P1993">
        <v>0</v>
      </c>
      <c r="Q1993">
        <v>6025</v>
      </c>
      <c r="R1993" t="s">
        <v>97</v>
      </c>
      <c r="S1993">
        <v>0</v>
      </c>
      <c r="T1993">
        <v>0</v>
      </c>
      <c r="U1993">
        <v>0</v>
      </c>
      <c r="V1993" t="s">
        <v>98</v>
      </c>
      <c r="W1993" t="s">
        <v>99</v>
      </c>
    </row>
    <row r="1994" spans="1:23" x14ac:dyDescent="0.35">
      <c r="A1994" t="s">
        <v>45</v>
      </c>
      <c r="B1994" t="s">
        <v>4103</v>
      </c>
      <c r="C1994" t="s">
        <v>60</v>
      </c>
      <c r="D1994" t="s">
        <v>64</v>
      </c>
      <c r="E1994" t="s">
        <v>64</v>
      </c>
      <c r="F1994" t="s">
        <v>49</v>
      </c>
      <c r="G1994" t="s">
        <v>100</v>
      </c>
      <c r="H1994" t="s">
        <v>4147</v>
      </c>
      <c r="J1994" t="str">
        <f>HYPERLINK("https://www.facebook.com/634639855377280/posts/787942146713716?comment_id=262290710236152&amp;reply_comment_id=407873328279723","https://www.facebook.com/634639855377280/posts/787942146713716?comment_id=262290710236152&amp;reply_comment_id=407873328279723")</f>
        <v>https://www.facebook.com/634639855377280/posts/787942146713716?comment_id=262290710236152&amp;reply_comment_id=407873328279723</v>
      </c>
      <c r="K1994" t="s">
        <v>67</v>
      </c>
      <c r="O1994">
        <v>0</v>
      </c>
      <c r="P1994">
        <v>0</v>
      </c>
      <c r="Q1994">
        <v>0</v>
      </c>
      <c r="S1994">
        <v>0</v>
      </c>
      <c r="T1994">
        <v>0</v>
      </c>
      <c r="U1994">
        <v>0</v>
      </c>
      <c r="W1994" t="s">
        <v>52</v>
      </c>
    </row>
    <row r="1995" spans="1:23" x14ac:dyDescent="0.35">
      <c r="A1995" t="s">
        <v>45</v>
      </c>
      <c r="B1995" t="s">
        <v>4103</v>
      </c>
      <c r="C1995" t="s">
        <v>60</v>
      </c>
      <c r="D1995" t="s">
        <v>64</v>
      </c>
      <c r="E1995" t="s">
        <v>64</v>
      </c>
      <c r="F1995" t="s">
        <v>49</v>
      </c>
      <c r="G1995" t="s">
        <v>100</v>
      </c>
      <c r="H1995" t="s">
        <v>4148</v>
      </c>
      <c r="J1995" t="str">
        <f>HYPERLINK("https://www.facebook.com/634639855377280/posts/787476670093597?comment_id=1115148029678160&amp;reply_comment_id=415146130944155","https://www.facebook.com/634639855377280/posts/787476670093597?comment_id=1115148029678160&amp;reply_comment_id=415146130944155")</f>
        <v>https://www.facebook.com/634639855377280/posts/787476670093597?comment_id=1115148029678160&amp;reply_comment_id=415146130944155</v>
      </c>
      <c r="K1995" t="s">
        <v>67</v>
      </c>
      <c r="O1995">
        <v>0</v>
      </c>
      <c r="P1995">
        <v>0</v>
      </c>
      <c r="Q1995">
        <v>0</v>
      </c>
      <c r="S1995">
        <v>0</v>
      </c>
      <c r="T1995">
        <v>0</v>
      </c>
      <c r="U1995">
        <v>0</v>
      </c>
      <c r="W1995" t="s">
        <v>52</v>
      </c>
    </row>
    <row r="1996" spans="1:23" x14ac:dyDescent="0.35">
      <c r="A1996" t="s">
        <v>45</v>
      </c>
      <c r="B1996" t="s">
        <v>4103</v>
      </c>
      <c r="C1996" t="s">
        <v>93</v>
      </c>
      <c r="D1996" t="s">
        <v>4149</v>
      </c>
      <c r="E1996" t="s">
        <v>4150</v>
      </c>
      <c r="F1996" t="s">
        <v>49</v>
      </c>
      <c r="G1996" t="s">
        <v>4151</v>
      </c>
      <c r="H1996" t="s">
        <v>4152</v>
      </c>
      <c r="J1996" t="str">
        <f>HYPERLINK("https://twitter.com/rehanalam949/status/1756292592738955369","https://twitter.com/rehanalam949/status/1756292592738955369")</f>
        <v>https://twitter.com/rehanalam949/status/1756292592738955369</v>
      </c>
      <c r="K1996" t="s">
        <v>67</v>
      </c>
      <c r="O1996">
        <v>0</v>
      </c>
      <c r="P1996">
        <v>0</v>
      </c>
      <c r="Q1996">
        <v>7</v>
      </c>
      <c r="R1996" t="s">
        <v>4153</v>
      </c>
      <c r="S1996">
        <v>0</v>
      </c>
      <c r="T1996">
        <v>0</v>
      </c>
      <c r="U1996">
        <v>0</v>
      </c>
      <c r="W1996" t="s">
        <v>99</v>
      </c>
    </row>
    <row r="1997" spans="1:23" x14ac:dyDescent="0.35">
      <c r="A1997" t="s">
        <v>45</v>
      </c>
      <c r="B1997" t="s">
        <v>4103</v>
      </c>
      <c r="C1997" t="s">
        <v>93</v>
      </c>
      <c r="D1997" t="s">
        <v>4149</v>
      </c>
      <c r="E1997" t="s">
        <v>4150</v>
      </c>
      <c r="F1997" t="s">
        <v>49</v>
      </c>
      <c r="G1997" t="s">
        <v>4154</v>
      </c>
      <c r="H1997" t="s">
        <v>4155</v>
      </c>
      <c r="J1997" t="str">
        <f>HYPERLINK("https://twitter.com/rehanalam949/status/1756292210562330875","https://twitter.com/rehanalam949/status/1756292210562330875")</f>
        <v>https://twitter.com/rehanalam949/status/1756292210562330875</v>
      </c>
      <c r="K1997" t="s">
        <v>67</v>
      </c>
      <c r="O1997">
        <v>0</v>
      </c>
      <c r="P1997">
        <v>0</v>
      </c>
      <c r="Q1997">
        <v>7</v>
      </c>
      <c r="R1997" t="s">
        <v>4153</v>
      </c>
      <c r="S1997">
        <v>0</v>
      </c>
      <c r="T1997">
        <v>0</v>
      </c>
      <c r="U1997">
        <v>0</v>
      </c>
      <c r="W1997" t="s">
        <v>99</v>
      </c>
    </row>
    <row r="1998" spans="1:23" x14ac:dyDescent="0.35">
      <c r="A1998" t="s">
        <v>45</v>
      </c>
      <c r="B1998" t="s">
        <v>4103</v>
      </c>
      <c r="C1998" t="s">
        <v>47</v>
      </c>
      <c r="D1998" t="s">
        <v>68</v>
      </c>
      <c r="E1998" t="s">
        <v>68</v>
      </c>
      <c r="F1998" t="s">
        <v>49</v>
      </c>
      <c r="G1998" t="s">
        <v>3541</v>
      </c>
      <c r="H1998" t="s">
        <v>4156</v>
      </c>
      <c r="J1998" t="str">
        <f>HYPERLINK("https://www.youtube.com/watch?v=2mghvDjVJXk&amp;lc=UgykwSiwuUR-X7v2rdl4AaABAg.A-b4TjCrQyuA-dAove9R7r","https://www.youtube.com/watch?v=2mghvDjVJXk&amp;lc=UgykwSiwuUR-X7v2rdl4AaABAg.A-b4TjCrQyuA-dAove9R7r")</f>
        <v>https://www.youtube.com/watch?v=2mghvDjVJXk&amp;lc=UgykwSiwuUR-X7v2rdl4AaABAg.A-b4TjCrQyuA-dAove9R7r</v>
      </c>
      <c r="O1998">
        <v>0</v>
      </c>
      <c r="P1998">
        <v>0</v>
      </c>
      <c r="Q1998">
        <v>0</v>
      </c>
      <c r="S1998">
        <v>0</v>
      </c>
      <c r="T1998">
        <v>0</v>
      </c>
      <c r="U1998">
        <v>0</v>
      </c>
      <c r="W1998" t="s">
        <v>52</v>
      </c>
    </row>
    <row r="1999" spans="1:23" x14ac:dyDescent="0.35">
      <c r="A1999" t="s">
        <v>45</v>
      </c>
      <c r="B1999" t="s">
        <v>4103</v>
      </c>
      <c r="C1999" t="s">
        <v>60</v>
      </c>
      <c r="D1999" t="s">
        <v>64</v>
      </c>
      <c r="E1999" t="s">
        <v>64</v>
      </c>
      <c r="F1999" t="s">
        <v>49</v>
      </c>
      <c r="G1999" t="s">
        <v>4157</v>
      </c>
      <c r="H1999" t="s">
        <v>4158</v>
      </c>
      <c r="J1999" t="str">
        <f>HYPERLINK("https://www.facebook.com/634639855377280/posts/786878883486709?comment_id=707580604870776&amp;reply_comment_id=1911368195970891","https://www.facebook.com/634639855377280/posts/786878883486709?comment_id=707580604870776&amp;reply_comment_id=1911368195970891")</f>
        <v>https://www.facebook.com/634639855377280/posts/786878883486709?comment_id=707580604870776&amp;reply_comment_id=1911368195970891</v>
      </c>
      <c r="K1999" t="s">
        <v>67</v>
      </c>
      <c r="O1999">
        <v>0</v>
      </c>
      <c r="P1999">
        <v>0</v>
      </c>
      <c r="Q1999">
        <v>0</v>
      </c>
      <c r="S1999">
        <v>0</v>
      </c>
      <c r="T1999">
        <v>0</v>
      </c>
      <c r="U1999">
        <v>0</v>
      </c>
      <c r="W1999" t="s">
        <v>52</v>
      </c>
    </row>
    <row r="2000" spans="1:23" x14ac:dyDescent="0.35">
      <c r="A2000" t="s">
        <v>45</v>
      </c>
      <c r="B2000" t="s">
        <v>4103</v>
      </c>
      <c r="C2000" t="s">
        <v>93</v>
      </c>
      <c r="D2000" t="s">
        <v>94</v>
      </c>
      <c r="E2000" t="s">
        <v>45</v>
      </c>
      <c r="F2000" t="s">
        <v>49</v>
      </c>
      <c r="G2000" t="s">
        <v>4159</v>
      </c>
      <c r="H2000" t="s">
        <v>4160</v>
      </c>
      <c r="J2000" t="str">
        <f>HYPERLINK("https://twitter.com/SpiceMoneyIndia/status/1756286538114015349","https://twitter.com/SpiceMoneyIndia/status/1756286538114015349")</f>
        <v>https://twitter.com/SpiceMoneyIndia/status/1756286538114015349</v>
      </c>
      <c r="K2000" t="s">
        <v>67</v>
      </c>
      <c r="O2000">
        <v>0</v>
      </c>
      <c r="P2000">
        <v>0</v>
      </c>
      <c r="Q2000">
        <v>6024</v>
      </c>
      <c r="R2000" t="s">
        <v>97</v>
      </c>
      <c r="S2000">
        <v>0</v>
      </c>
      <c r="T2000">
        <v>0</v>
      </c>
      <c r="U2000">
        <v>0</v>
      </c>
      <c r="V2000" t="s">
        <v>98</v>
      </c>
      <c r="W2000" t="s">
        <v>99</v>
      </c>
    </row>
    <row r="2001" spans="1:23" x14ac:dyDescent="0.35">
      <c r="A2001" t="s">
        <v>45</v>
      </c>
      <c r="B2001" t="s">
        <v>4103</v>
      </c>
      <c r="C2001" t="s">
        <v>93</v>
      </c>
      <c r="D2001" t="s">
        <v>94</v>
      </c>
      <c r="E2001" t="s">
        <v>45</v>
      </c>
      <c r="F2001" t="s">
        <v>49</v>
      </c>
      <c r="G2001" t="s">
        <v>4161</v>
      </c>
      <c r="H2001" t="s">
        <v>4162</v>
      </c>
      <c r="J2001" t="str">
        <f>HYPERLINK("https://twitter.com/SpiceMoneyIndia/status/1756280048003498207","https://twitter.com/SpiceMoneyIndia/status/1756280048003498207")</f>
        <v>https://twitter.com/SpiceMoneyIndia/status/1756280048003498207</v>
      </c>
      <c r="K2001" t="s">
        <v>67</v>
      </c>
      <c r="O2001">
        <v>0</v>
      </c>
      <c r="P2001">
        <v>0</v>
      </c>
      <c r="Q2001">
        <v>6024</v>
      </c>
      <c r="R2001" t="s">
        <v>97</v>
      </c>
      <c r="S2001">
        <v>0</v>
      </c>
      <c r="T2001">
        <v>0</v>
      </c>
      <c r="U2001">
        <v>0</v>
      </c>
      <c r="V2001" t="s">
        <v>98</v>
      </c>
      <c r="W2001" t="s">
        <v>99</v>
      </c>
    </row>
    <row r="2002" spans="1:23" x14ac:dyDescent="0.35">
      <c r="A2002" t="s">
        <v>45</v>
      </c>
      <c r="B2002" t="s">
        <v>4103</v>
      </c>
      <c r="C2002" t="s">
        <v>60</v>
      </c>
      <c r="D2002" t="s">
        <v>61</v>
      </c>
      <c r="E2002" t="s">
        <v>61</v>
      </c>
      <c r="F2002" t="s">
        <v>49</v>
      </c>
      <c r="G2002" t="s">
        <v>4163</v>
      </c>
      <c r="H2002" t="s">
        <v>4164</v>
      </c>
      <c r="J2002" t="str">
        <f>HYPERLINK("https://www.facebook.com/634639855377280/posts/787476670093597?comment_id=1115148029678160&amp;reply_comment_id=610380734605624","https://www.facebook.com/634639855377280/posts/787476670093597?comment_id=1115148029678160&amp;reply_comment_id=610380734605624")</f>
        <v>https://www.facebook.com/634639855377280/posts/787476670093597?comment_id=1115148029678160&amp;reply_comment_id=610380734605624</v>
      </c>
      <c r="O2002">
        <v>0</v>
      </c>
      <c r="P2002">
        <v>0</v>
      </c>
      <c r="Q2002">
        <v>0</v>
      </c>
      <c r="S2002">
        <v>0</v>
      </c>
      <c r="T2002">
        <v>0</v>
      </c>
      <c r="U2002">
        <v>0</v>
      </c>
      <c r="W2002" t="s">
        <v>52</v>
      </c>
    </row>
    <row r="2003" spans="1:23" x14ac:dyDescent="0.35">
      <c r="A2003" t="s">
        <v>45</v>
      </c>
      <c r="B2003" t="s">
        <v>4103</v>
      </c>
      <c r="C2003" t="s">
        <v>60</v>
      </c>
      <c r="D2003" t="s">
        <v>61</v>
      </c>
      <c r="E2003" t="s">
        <v>61</v>
      </c>
      <c r="F2003" t="s">
        <v>49</v>
      </c>
      <c r="G2003" t="s">
        <v>4165</v>
      </c>
      <c r="H2003" t="s">
        <v>4166</v>
      </c>
      <c r="J2003" t="str">
        <f>HYPERLINK("https://www.facebook.com/634639855377280/posts/788604969980767?comment_id=412237414555087","https://www.facebook.com/634639855377280/posts/788604969980767?comment_id=412237414555087")</f>
        <v>https://www.facebook.com/634639855377280/posts/788604969980767?comment_id=412237414555087</v>
      </c>
      <c r="O2003">
        <v>0</v>
      </c>
      <c r="P2003">
        <v>0</v>
      </c>
      <c r="Q2003">
        <v>0</v>
      </c>
      <c r="S2003">
        <v>0</v>
      </c>
      <c r="T2003">
        <v>0</v>
      </c>
      <c r="U2003">
        <v>0</v>
      </c>
      <c r="W2003" t="s">
        <v>52</v>
      </c>
    </row>
    <row r="2004" spans="1:23" x14ac:dyDescent="0.35">
      <c r="A2004" t="s">
        <v>45</v>
      </c>
      <c r="B2004" t="s">
        <v>4103</v>
      </c>
      <c r="C2004" t="s">
        <v>60</v>
      </c>
      <c r="D2004" t="s">
        <v>61</v>
      </c>
      <c r="E2004" t="s">
        <v>61</v>
      </c>
      <c r="F2004" t="s">
        <v>49</v>
      </c>
      <c r="G2004" t="s">
        <v>4167</v>
      </c>
      <c r="H2004" t="s">
        <v>4168</v>
      </c>
      <c r="J2004" t="str">
        <f>HYPERLINK("https://www.facebook.com/634639855377280/posts/787942146713716?comment_id=262290710236152","https://www.facebook.com/634639855377280/posts/787942146713716?comment_id=262290710236152")</f>
        <v>https://www.facebook.com/634639855377280/posts/787942146713716?comment_id=262290710236152</v>
      </c>
      <c r="O2004">
        <v>0</v>
      </c>
      <c r="P2004">
        <v>0</v>
      </c>
      <c r="Q2004">
        <v>0</v>
      </c>
      <c r="S2004">
        <v>0</v>
      </c>
      <c r="T2004">
        <v>0</v>
      </c>
      <c r="U2004">
        <v>0</v>
      </c>
      <c r="W2004" t="s">
        <v>52</v>
      </c>
    </row>
    <row r="2005" spans="1:23" x14ac:dyDescent="0.35">
      <c r="A2005" t="s">
        <v>45</v>
      </c>
      <c r="B2005" t="s">
        <v>4103</v>
      </c>
      <c r="C2005" t="s">
        <v>60</v>
      </c>
      <c r="D2005" t="s">
        <v>61</v>
      </c>
      <c r="E2005" t="s">
        <v>61</v>
      </c>
      <c r="F2005" t="s">
        <v>49</v>
      </c>
      <c r="H2005" t="s">
        <v>4169</v>
      </c>
      <c r="J2005" t="str">
        <f>HYPERLINK("https://www.facebook.com/634639855377280/posts/787942146713716?comment_id=777690614226489","https://www.facebook.com/634639855377280/posts/787942146713716?comment_id=777690614226489")</f>
        <v>https://www.facebook.com/634639855377280/posts/787942146713716?comment_id=777690614226489</v>
      </c>
      <c r="O2005">
        <v>0</v>
      </c>
      <c r="P2005">
        <v>0</v>
      </c>
      <c r="Q2005">
        <v>0</v>
      </c>
      <c r="S2005">
        <v>0</v>
      </c>
      <c r="T2005">
        <v>0</v>
      </c>
      <c r="U2005">
        <v>0</v>
      </c>
      <c r="W2005" t="s">
        <v>52</v>
      </c>
    </row>
    <row r="2006" spans="1:23" x14ac:dyDescent="0.35">
      <c r="A2006" t="s">
        <v>45</v>
      </c>
      <c r="B2006" t="s">
        <v>4103</v>
      </c>
      <c r="C2006" t="s">
        <v>60</v>
      </c>
      <c r="D2006" t="s">
        <v>61</v>
      </c>
      <c r="E2006" t="s">
        <v>61</v>
      </c>
      <c r="F2006" t="s">
        <v>49</v>
      </c>
      <c r="G2006" t="s">
        <v>4165</v>
      </c>
      <c r="H2006" t="s">
        <v>4170</v>
      </c>
      <c r="J2006" t="str">
        <f>HYPERLINK("https://www.facebook.com/634639855377280/posts/787942146713716?comment_id=1055777648849192","https://www.facebook.com/634639855377280/posts/787942146713716?comment_id=1055777648849192")</f>
        <v>https://www.facebook.com/634639855377280/posts/787942146713716?comment_id=1055777648849192</v>
      </c>
      <c r="O2006">
        <v>0</v>
      </c>
      <c r="P2006">
        <v>0</v>
      </c>
      <c r="Q2006">
        <v>0</v>
      </c>
      <c r="S2006">
        <v>0</v>
      </c>
      <c r="T2006">
        <v>0</v>
      </c>
      <c r="U2006">
        <v>0</v>
      </c>
      <c r="W2006" t="s">
        <v>52</v>
      </c>
    </row>
    <row r="2007" spans="1:23" x14ac:dyDescent="0.35">
      <c r="A2007" t="s">
        <v>45</v>
      </c>
      <c r="B2007" t="s">
        <v>4103</v>
      </c>
      <c r="C2007" t="s">
        <v>60</v>
      </c>
      <c r="D2007" t="s">
        <v>61</v>
      </c>
      <c r="E2007" t="s">
        <v>61</v>
      </c>
      <c r="F2007" t="s">
        <v>49</v>
      </c>
      <c r="G2007" t="s">
        <v>4171</v>
      </c>
      <c r="H2007" t="s">
        <v>4172</v>
      </c>
      <c r="J2007" t="str">
        <f>HYPERLINK("https://www.facebook.com/634639855377280/posts/788604969980767?comment_id=1352252662148280","https://www.facebook.com/634639855377280/posts/788604969980767?comment_id=1352252662148280")</f>
        <v>https://www.facebook.com/634639855377280/posts/788604969980767?comment_id=1352252662148280</v>
      </c>
      <c r="O2007">
        <v>0</v>
      </c>
      <c r="P2007">
        <v>0</v>
      </c>
      <c r="Q2007">
        <v>0</v>
      </c>
      <c r="S2007">
        <v>0</v>
      </c>
      <c r="T2007">
        <v>0</v>
      </c>
      <c r="U2007">
        <v>0</v>
      </c>
      <c r="W2007" t="s">
        <v>52</v>
      </c>
    </row>
    <row r="2008" spans="1:23" x14ac:dyDescent="0.35">
      <c r="A2008" t="s">
        <v>45</v>
      </c>
      <c r="B2008" t="s">
        <v>4103</v>
      </c>
      <c r="C2008" t="s">
        <v>60</v>
      </c>
      <c r="D2008" t="s">
        <v>61</v>
      </c>
      <c r="E2008" t="s">
        <v>61</v>
      </c>
      <c r="F2008" t="s">
        <v>49</v>
      </c>
      <c r="G2008" t="s">
        <v>4173</v>
      </c>
      <c r="H2008" t="s">
        <v>4174</v>
      </c>
      <c r="J2008" t="str">
        <f>HYPERLINK("https://www.facebook.com/634639855377280/posts/788604969980767?comment_id=276880808756222","https://www.facebook.com/634639855377280/posts/788604969980767?comment_id=276880808756222")</f>
        <v>https://www.facebook.com/634639855377280/posts/788604969980767?comment_id=276880808756222</v>
      </c>
      <c r="O2008">
        <v>0</v>
      </c>
      <c r="P2008">
        <v>0</v>
      </c>
      <c r="Q2008">
        <v>0</v>
      </c>
      <c r="S2008">
        <v>0</v>
      </c>
      <c r="T2008">
        <v>0</v>
      </c>
      <c r="U2008">
        <v>0</v>
      </c>
      <c r="W2008" t="s">
        <v>52</v>
      </c>
    </row>
    <row r="2009" spans="1:23" x14ac:dyDescent="0.35">
      <c r="A2009" t="s">
        <v>45</v>
      </c>
      <c r="B2009" t="s">
        <v>4103</v>
      </c>
      <c r="C2009" t="s">
        <v>60</v>
      </c>
      <c r="D2009" t="s">
        <v>64</v>
      </c>
      <c r="E2009" t="s">
        <v>64</v>
      </c>
      <c r="F2009" t="s">
        <v>49</v>
      </c>
      <c r="G2009" t="s">
        <v>162</v>
      </c>
      <c r="H2009" t="s">
        <v>4175</v>
      </c>
      <c r="J2009" t="str">
        <f>HYPERLINK("https://www.facebook.com/634639855377280/posts/787942146713716?comment_id=704773808506634&amp;reply_comment_id=1358907574995002","https://www.facebook.com/634639855377280/posts/787942146713716?comment_id=704773808506634&amp;reply_comment_id=1358907574995002")</f>
        <v>https://www.facebook.com/634639855377280/posts/787942146713716?comment_id=704773808506634&amp;reply_comment_id=1358907574995002</v>
      </c>
      <c r="K2009" t="s">
        <v>67</v>
      </c>
      <c r="O2009">
        <v>0</v>
      </c>
      <c r="P2009">
        <v>0</v>
      </c>
      <c r="Q2009">
        <v>0</v>
      </c>
      <c r="S2009">
        <v>0</v>
      </c>
      <c r="T2009">
        <v>0</v>
      </c>
      <c r="U2009">
        <v>0</v>
      </c>
      <c r="W2009" t="s">
        <v>52</v>
      </c>
    </row>
    <row r="2010" spans="1:23" x14ac:dyDescent="0.35">
      <c r="A2010" t="s">
        <v>45</v>
      </c>
      <c r="B2010" t="s">
        <v>4103</v>
      </c>
      <c r="C2010" t="s">
        <v>93</v>
      </c>
      <c r="D2010" t="s">
        <v>94</v>
      </c>
      <c r="E2010" t="s">
        <v>45</v>
      </c>
      <c r="F2010" t="s">
        <v>49</v>
      </c>
      <c r="G2010" t="s">
        <v>4176</v>
      </c>
      <c r="H2010" t="s">
        <v>4177</v>
      </c>
      <c r="J2010" t="str">
        <f>HYPERLINK("https://twitter.com/SpiceMoneyIndia/status/1756241518216495576","https://twitter.com/SpiceMoneyIndia/status/1756241518216495576")</f>
        <v>https://twitter.com/SpiceMoneyIndia/status/1756241518216495576</v>
      </c>
      <c r="K2010" t="s">
        <v>67</v>
      </c>
      <c r="O2010">
        <v>0</v>
      </c>
      <c r="P2010">
        <v>0</v>
      </c>
      <c r="Q2010">
        <v>6024</v>
      </c>
      <c r="R2010" t="s">
        <v>97</v>
      </c>
      <c r="S2010">
        <v>0</v>
      </c>
      <c r="T2010">
        <v>0</v>
      </c>
      <c r="U2010">
        <v>0</v>
      </c>
      <c r="V2010" t="s">
        <v>98</v>
      </c>
      <c r="W2010" t="s">
        <v>99</v>
      </c>
    </row>
    <row r="2011" spans="1:23" x14ac:dyDescent="0.35">
      <c r="A2011" t="s">
        <v>45</v>
      </c>
      <c r="B2011" t="s">
        <v>4103</v>
      </c>
      <c r="C2011" t="s">
        <v>60</v>
      </c>
      <c r="D2011" t="s">
        <v>61</v>
      </c>
      <c r="E2011" t="s">
        <v>61</v>
      </c>
      <c r="F2011" t="s">
        <v>49</v>
      </c>
      <c r="G2011" t="s">
        <v>4178</v>
      </c>
      <c r="H2011" t="s">
        <v>4179</v>
      </c>
      <c r="J2011" t="str">
        <f>HYPERLINK("https://www.facebook.com/634639855377280/posts/787476670093597?comment_id=6518991648202172","https://www.facebook.com/634639855377280/posts/787476670093597?comment_id=6518991648202172")</f>
        <v>https://www.facebook.com/634639855377280/posts/787476670093597?comment_id=6518991648202172</v>
      </c>
      <c r="O2011">
        <v>0</v>
      </c>
      <c r="P2011">
        <v>0</v>
      </c>
      <c r="Q2011">
        <v>0</v>
      </c>
      <c r="S2011">
        <v>0</v>
      </c>
      <c r="T2011">
        <v>0</v>
      </c>
      <c r="U2011">
        <v>0</v>
      </c>
      <c r="W2011" t="s">
        <v>52</v>
      </c>
    </row>
    <row r="2012" spans="1:23" x14ac:dyDescent="0.35">
      <c r="A2012" t="s">
        <v>45</v>
      </c>
      <c r="B2012" t="s">
        <v>4103</v>
      </c>
      <c r="C2012" t="s">
        <v>60</v>
      </c>
      <c r="D2012" t="s">
        <v>64</v>
      </c>
      <c r="E2012" t="s">
        <v>64</v>
      </c>
      <c r="F2012" t="s">
        <v>49</v>
      </c>
      <c r="G2012" t="s">
        <v>162</v>
      </c>
      <c r="H2012" t="s">
        <v>4180</v>
      </c>
      <c r="J2012" t="str">
        <f>HYPERLINK("https://www.facebook.com/634639855377280/posts/787942146713716?comment_id=979420136934702&amp;reply_comment_id=1582323899185924","https://www.facebook.com/634639855377280/posts/787942146713716?comment_id=979420136934702&amp;reply_comment_id=1582323899185924")</f>
        <v>https://www.facebook.com/634639855377280/posts/787942146713716?comment_id=979420136934702&amp;reply_comment_id=1582323899185924</v>
      </c>
      <c r="K2012" t="s">
        <v>67</v>
      </c>
      <c r="O2012">
        <v>0</v>
      </c>
      <c r="P2012">
        <v>0</v>
      </c>
      <c r="Q2012">
        <v>0</v>
      </c>
      <c r="S2012">
        <v>0</v>
      </c>
      <c r="T2012">
        <v>0</v>
      </c>
      <c r="U2012">
        <v>0</v>
      </c>
      <c r="W2012" t="s">
        <v>52</v>
      </c>
    </row>
    <row r="2013" spans="1:23" x14ac:dyDescent="0.35">
      <c r="A2013" t="s">
        <v>45</v>
      </c>
      <c r="B2013" t="s">
        <v>4103</v>
      </c>
      <c r="C2013" t="s">
        <v>93</v>
      </c>
      <c r="D2013" t="s">
        <v>94</v>
      </c>
      <c r="E2013" t="s">
        <v>45</v>
      </c>
      <c r="F2013" t="s">
        <v>49</v>
      </c>
      <c r="G2013" t="s">
        <v>4181</v>
      </c>
      <c r="H2013" t="s">
        <v>4182</v>
      </c>
      <c r="J2013" t="str">
        <f>HYPERLINK("https://twitter.com/SpiceMoneyIndia/status/1756239364147798333","https://twitter.com/SpiceMoneyIndia/status/1756239364147798333")</f>
        <v>https://twitter.com/SpiceMoneyIndia/status/1756239364147798333</v>
      </c>
      <c r="K2013" t="s">
        <v>67</v>
      </c>
      <c r="O2013">
        <v>0</v>
      </c>
      <c r="P2013">
        <v>0</v>
      </c>
      <c r="Q2013">
        <v>6024</v>
      </c>
      <c r="R2013" t="s">
        <v>97</v>
      </c>
      <c r="S2013">
        <v>0</v>
      </c>
      <c r="T2013">
        <v>0</v>
      </c>
      <c r="U2013">
        <v>0</v>
      </c>
      <c r="V2013" t="s">
        <v>98</v>
      </c>
      <c r="W2013" t="s">
        <v>99</v>
      </c>
    </row>
    <row r="2014" spans="1:23" x14ac:dyDescent="0.35">
      <c r="A2014" t="s">
        <v>45</v>
      </c>
      <c r="B2014" t="s">
        <v>4103</v>
      </c>
      <c r="C2014" t="s">
        <v>60</v>
      </c>
      <c r="D2014" t="s">
        <v>64</v>
      </c>
      <c r="E2014" t="s">
        <v>64</v>
      </c>
      <c r="F2014" t="s">
        <v>49</v>
      </c>
      <c r="G2014" t="s">
        <v>83</v>
      </c>
      <c r="H2014" t="s">
        <v>4183</v>
      </c>
      <c r="J2014" t="str">
        <f>HYPERLINK("https://www.facebook.com/634639855377280/posts/787942146713716?comment_id=716714333926795&amp;reply_comment_id=1433119690966052","https://www.facebook.com/634639855377280/posts/787942146713716?comment_id=716714333926795&amp;reply_comment_id=1433119690966052")</f>
        <v>https://www.facebook.com/634639855377280/posts/787942146713716?comment_id=716714333926795&amp;reply_comment_id=1433119690966052</v>
      </c>
      <c r="K2014" t="s">
        <v>67</v>
      </c>
      <c r="O2014">
        <v>0</v>
      </c>
      <c r="P2014">
        <v>0</v>
      </c>
      <c r="Q2014">
        <v>0</v>
      </c>
      <c r="S2014">
        <v>0</v>
      </c>
      <c r="T2014">
        <v>0</v>
      </c>
      <c r="U2014">
        <v>0</v>
      </c>
      <c r="W2014" t="s">
        <v>52</v>
      </c>
    </row>
    <row r="2015" spans="1:23" x14ac:dyDescent="0.35">
      <c r="A2015" t="s">
        <v>45</v>
      </c>
      <c r="B2015" t="s">
        <v>4103</v>
      </c>
      <c r="C2015" t="s">
        <v>60</v>
      </c>
      <c r="D2015" t="s">
        <v>64</v>
      </c>
      <c r="E2015" t="s">
        <v>64</v>
      </c>
      <c r="F2015" t="s">
        <v>49</v>
      </c>
      <c r="G2015" t="s">
        <v>83</v>
      </c>
      <c r="H2015" t="s">
        <v>4184</v>
      </c>
      <c r="J2015" t="str">
        <f>HYPERLINK("https://www.facebook.com/634639855377280/posts/787476670093597?comment_id=1115148029678160&amp;reply_comment_id=301534835885101","https://www.facebook.com/634639855377280/posts/787476670093597?comment_id=1115148029678160&amp;reply_comment_id=301534835885101")</f>
        <v>https://www.facebook.com/634639855377280/posts/787476670093597?comment_id=1115148029678160&amp;reply_comment_id=301534835885101</v>
      </c>
      <c r="K2015" t="s">
        <v>67</v>
      </c>
      <c r="O2015">
        <v>0</v>
      </c>
      <c r="P2015">
        <v>0</v>
      </c>
      <c r="Q2015">
        <v>0</v>
      </c>
      <c r="S2015">
        <v>0</v>
      </c>
      <c r="T2015">
        <v>0</v>
      </c>
      <c r="U2015">
        <v>0</v>
      </c>
      <c r="W2015" t="s">
        <v>52</v>
      </c>
    </row>
    <row r="2016" spans="1:23" x14ac:dyDescent="0.35">
      <c r="A2016" t="s">
        <v>45</v>
      </c>
      <c r="B2016" t="s">
        <v>4103</v>
      </c>
      <c r="C2016" t="s">
        <v>60</v>
      </c>
      <c r="D2016" t="s">
        <v>64</v>
      </c>
      <c r="E2016" t="s">
        <v>64</v>
      </c>
      <c r="F2016" t="s">
        <v>49</v>
      </c>
      <c r="G2016" t="s">
        <v>266</v>
      </c>
      <c r="H2016" t="s">
        <v>4185</v>
      </c>
      <c r="J2016" t="str">
        <f>HYPERLINK("https://www.facebook.com/634639855377280/posts/786878883486709?comment_id=908134400962446&amp;reply_comment_id=1405328160411121","https://www.facebook.com/634639855377280/posts/786878883486709?comment_id=908134400962446&amp;reply_comment_id=1405328160411121")</f>
        <v>https://www.facebook.com/634639855377280/posts/786878883486709?comment_id=908134400962446&amp;reply_comment_id=1405328160411121</v>
      </c>
      <c r="K2016" t="s">
        <v>67</v>
      </c>
      <c r="O2016">
        <v>0</v>
      </c>
      <c r="P2016">
        <v>0</v>
      </c>
      <c r="Q2016">
        <v>0</v>
      </c>
      <c r="S2016">
        <v>0</v>
      </c>
      <c r="T2016">
        <v>0</v>
      </c>
      <c r="U2016">
        <v>0</v>
      </c>
      <c r="W2016" t="s">
        <v>52</v>
      </c>
    </row>
    <row r="2017" spans="1:23" x14ac:dyDescent="0.35">
      <c r="A2017" t="s">
        <v>45</v>
      </c>
      <c r="B2017" t="s">
        <v>4103</v>
      </c>
      <c r="C2017" t="s">
        <v>47</v>
      </c>
      <c r="D2017" t="s">
        <v>68</v>
      </c>
      <c r="E2017" t="s">
        <v>68</v>
      </c>
      <c r="F2017" t="s">
        <v>49</v>
      </c>
      <c r="G2017" t="s">
        <v>102</v>
      </c>
      <c r="H2017" t="s">
        <v>4186</v>
      </c>
      <c r="J2017" t="str">
        <f>HYPERLINK("https://www.youtube.com/watch?v=rDvS2xihcsk&amp;lc=UgxSR4XPIr4JHDo3v794AaABAg.A-aYJ_Qd2kuA-cnbhEnfib","https://www.youtube.com/watch?v=rDvS2xihcsk&amp;lc=UgxSR4XPIr4JHDo3v794AaABAg.A-aYJ_Qd2kuA-cnbhEnfib")</f>
        <v>https://www.youtube.com/watch?v=rDvS2xihcsk&amp;lc=UgxSR4XPIr4JHDo3v794AaABAg.A-aYJ_Qd2kuA-cnbhEnfib</v>
      </c>
      <c r="O2017">
        <v>0</v>
      </c>
      <c r="P2017">
        <v>0</v>
      </c>
      <c r="Q2017">
        <v>0</v>
      </c>
      <c r="S2017">
        <v>0</v>
      </c>
      <c r="T2017">
        <v>0</v>
      </c>
      <c r="U2017">
        <v>0</v>
      </c>
      <c r="W2017" t="s">
        <v>52</v>
      </c>
    </row>
    <row r="2018" spans="1:23" x14ac:dyDescent="0.35">
      <c r="A2018" t="s">
        <v>45</v>
      </c>
      <c r="B2018" t="s">
        <v>4103</v>
      </c>
      <c r="C2018" t="s">
        <v>93</v>
      </c>
      <c r="D2018" t="s">
        <v>94</v>
      </c>
      <c r="E2018" t="s">
        <v>45</v>
      </c>
      <c r="F2018" t="s">
        <v>49</v>
      </c>
      <c r="G2018" t="s">
        <v>4187</v>
      </c>
      <c r="H2018" t="s">
        <v>4188</v>
      </c>
      <c r="J2018" t="str">
        <f>HYPERLINK("https://twitter.com/SpiceMoneyIndia/status/1756238518819385615","https://twitter.com/SpiceMoneyIndia/status/1756238518819385615")</f>
        <v>https://twitter.com/SpiceMoneyIndia/status/1756238518819385615</v>
      </c>
      <c r="K2018" t="s">
        <v>67</v>
      </c>
      <c r="O2018">
        <v>0</v>
      </c>
      <c r="P2018">
        <v>0</v>
      </c>
      <c r="Q2018">
        <v>6024</v>
      </c>
      <c r="R2018" t="s">
        <v>97</v>
      </c>
      <c r="S2018">
        <v>0</v>
      </c>
      <c r="T2018">
        <v>0</v>
      </c>
      <c r="U2018">
        <v>0</v>
      </c>
      <c r="V2018" t="s">
        <v>98</v>
      </c>
      <c r="W2018" t="s">
        <v>99</v>
      </c>
    </row>
    <row r="2019" spans="1:23" x14ac:dyDescent="0.35">
      <c r="A2019" t="s">
        <v>45</v>
      </c>
      <c r="B2019" t="s">
        <v>4103</v>
      </c>
      <c r="C2019" t="s">
        <v>47</v>
      </c>
      <c r="D2019" t="s">
        <v>68</v>
      </c>
      <c r="E2019" t="s">
        <v>68</v>
      </c>
      <c r="F2019" t="s">
        <v>49</v>
      </c>
      <c r="G2019" t="s">
        <v>102</v>
      </c>
      <c r="H2019" t="s">
        <v>4189</v>
      </c>
      <c r="J2019" t="str">
        <f>HYPERLINK("https://www.youtube.com/watch?v=YQSdpP96l0U&amp;lc=UgzYQRQmK0qMkYGQUN54AaABAg.A-aqbOcPw8fA-cmu5pqmA-","https://www.youtube.com/watch?v=YQSdpP96l0U&amp;lc=UgzYQRQmK0qMkYGQUN54AaABAg.A-aqbOcPw8fA-cmu5pqmA-")</f>
        <v>https://www.youtube.com/watch?v=YQSdpP96l0U&amp;lc=UgzYQRQmK0qMkYGQUN54AaABAg.A-aqbOcPw8fA-cmu5pqmA-</v>
      </c>
      <c r="O2019">
        <v>0</v>
      </c>
      <c r="P2019">
        <v>0</v>
      </c>
      <c r="Q2019">
        <v>0</v>
      </c>
      <c r="S2019">
        <v>0</v>
      </c>
      <c r="T2019">
        <v>0</v>
      </c>
      <c r="U2019">
        <v>0</v>
      </c>
      <c r="W2019" t="s">
        <v>52</v>
      </c>
    </row>
    <row r="2020" spans="1:23" x14ac:dyDescent="0.35">
      <c r="A2020" t="s">
        <v>45</v>
      </c>
      <c r="B2020" t="s">
        <v>4103</v>
      </c>
      <c r="C2020" t="s">
        <v>47</v>
      </c>
      <c r="D2020" t="s">
        <v>68</v>
      </c>
      <c r="E2020" t="s">
        <v>68</v>
      </c>
      <c r="F2020" t="s">
        <v>49</v>
      </c>
      <c r="G2020" t="s">
        <v>102</v>
      </c>
      <c r="H2020" t="s">
        <v>4190</v>
      </c>
      <c r="J2020" t="str">
        <f>HYPERLINK("https://www.youtube.com/watch?v=YQSdpP96l0U&amp;lc=UgwYErUdRHWfiKVHiBt4AaABAg.A-aNWze0KpkA-cmbElRvbo","https://www.youtube.com/watch?v=YQSdpP96l0U&amp;lc=UgwYErUdRHWfiKVHiBt4AaABAg.A-aNWze0KpkA-cmbElRvbo")</f>
        <v>https://www.youtube.com/watch?v=YQSdpP96l0U&amp;lc=UgwYErUdRHWfiKVHiBt4AaABAg.A-aNWze0KpkA-cmbElRvbo</v>
      </c>
      <c r="O2020">
        <v>0</v>
      </c>
      <c r="P2020">
        <v>0</v>
      </c>
      <c r="Q2020">
        <v>0</v>
      </c>
      <c r="S2020">
        <v>0</v>
      </c>
      <c r="T2020">
        <v>0</v>
      </c>
      <c r="U2020">
        <v>0</v>
      </c>
      <c r="W2020" t="s">
        <v>52</v>
      </c>
    </row>
    <row r="2021" spans="1:23" x14ac:dyDescent="0.35">
      <c r="A2021" t="s">
        <v>45</v>
      </c>
      <c r="B2021" t="s">
        <v>4103</v>
      </c>
      <c r="C2021" t="s">
        <v>47</v>
      </c>
      <c r="D2021" t="s">
        <v>68</v>
      </c>
      <c r="E2021" t="s">
        <v>68</v>
      </c>
      <c r="F2021" t="s">
        <v>49</v>
      </c>
      <c r="G2021" t="s">
        <v>102</v>
      </c>
      <c r="H2021" t="s">
        <v>4191</v>
      </c>
      <c r="J2021" t="str">
        <f>HYPERLINK("https://www.youtube.com/watch?v=YQSdpP96l0U&amp;lc=UgzExsXSWnWHsTcav7d4AaABAg.A-b1sLXXBRCA-cmKvr7ZtI","https://www.youtube.com/watch?v=YQSdpP96l0U&amp;lc=UgzExsXSWnWHsTcav7d4AaABAg.A-b1sLXXBRCA-cmKvr7ZtI")</f>
        <v>https://www.youtube.com/watch?v=YQSdpP96l0U&amp;lc=UgzExsXSWnWHsTcav7d4AaABAg.A-b1sLXXBRCA-cmKvr7ZtI</v>
      </c>
      <c r="O2021">
        <v>0</v>
      </c>
      <c r="P2021">
        <v>0</v>
      </c>
      <c r="Q2021">
        <v>0</v>
      </c>
      <c r="S2021">
        <v>0</v>
      </c>
      <c r="T2021">
        <v>0</v>
      </c>
      <c r="U2021">
        <v>0</v>
      </c>
      <c r="W2021" t="s">
        <v>52</v>
      </c>
    </row>
    <row r="2022" spans="1:23" x14ac:dyDescent="0.35">
      <c r="A2022" t="s">
        <v>45</v>
      </c>
      <c r="B2022" t="s">
        <v>4103</v>
      </c>
      <c r="C2022" t="s">
        <v>47</v>
      </c>
      <c r="D2022" t="s">
        <v>68</v>
      </c>
      <c r="E2022" t="s">
        <v>68</v>
      </c>
      <c r="F2022" t="s">
        <v>49</v>
      </c>
      <c r="G2022" t="s">
        <v>4192</v>
      </c>
      <c r="H2022" t="s">
        <v>4193</v>
      </c>
      <c r="J2022" t="str">
        <f>HYPERLINK("https://www.youtube.com/watch?v=wJJ455CgzKg&amp;lc=Ugz5lPNE-T79y7wLcMp4AaABAg.A-auy_LhiLtA-clol-czrd","https://www.youtube.com/watch?v=wJJ455CgzKg&amp;lc=Ugz5lPNE-T79y7wLcMp4AaABAg.A-auy_LhiLtA-clol-czrd")</f>
        <v>https://www.youtube.com/watch?v=wJJ455CgzKg&amp;lc=Ugz5lPNE-T79y7wLcMp4AaABAg.A-auy_LhiLtA-clol-czrd</v>
      </c>
      <c r="O2022">
        <v>0</v>
      </c>
      <c r="P2022">
        <v>0</v>
      </c>
      <c r="Q2022">
        <v>0</v>
      </c>
      <c r="S2022">
        <v>0</v>
      </c>
      <c r="T2022">
        <v>0</v>
      </c>
      <c r="U2022">
        <v>0</v>
      </c>
      <c r="W2022" t="s">
        <v>52</v>
      </c>
    </row>
    <row r="2023" spans="1:23" x14ac:dyDescent="0.35">
      <c r="A2023" t="s">
        <v>45</v>
      </c>
      <c r="B2023" t="s">
        <v>4103</v>
      </c>
      <c r="C2023" t="s">
        <v>47</v>
      </c>
      <c r="D2023" t="s">
        <v>68</v>
      </c>
      <c r="E2023" t="s">
        <v>68</v>
      </c>
      <c r="F2023" t="s">
        <v>49</v>
      </c>
      <c r="G2023" t="s">
        <v>102</v>
      </c>
      <c r="H2023" t="s">
        <v>4194</v>
      </c>
      <c r="J2023" t="str">
        <f>HYPERLINK("https://www.youtube.com/watch?v=Vk9kehZJdww&amp;lc=UgyZmYZCXUMfZMD_90R4AaABAg.A-cYz3xkYdvA-cldrvoW_E","https://www.youtube.com/watch?v=Vk9kehZJdww&amp;lc=UgyZmYZCXUMfZMD_90R4AaABAg.A-cYz3xkYdvA-cldrvoW_E")</f>
        <v>https://www.youtube.com/watch?v=Vk9kehZJdww&amp;lc=UgyZmYZCXUMfZMD_90R4AaABAg.A-cYz3xkYdvA-cldrvoW_E</v>
      </c>
      <c r="O2023">
        <v>0</v>
      </c>
      <c r="P2023">
        <v>0</v>
      </c>
      <c r="Q2023">
        <v>0</v>
      </c>
      <c r="S2023">
        <v>0</v>
      </c>
      <c r="T2023">
        <v>0</v>
      </c>
      <c r="U2023">
        <v>0</v>
      </c>
      <c r="W2023" t="s">
        <v>52</v>
      </c>
    </row>
    <row r="2024" spans="1:23" x14ac:dyDescent="0.35">
      <c r="A2024" t="s">
        <v>45</v>
      </c>
      <c r="B2024" t="s">
        <v>4103</v>
      </c>
      <c r="C2024" t="s">
        <v>47</v>
      </c>
      <c r="D2024" t="s">
        <v>68</v>
      </c>
      <c r="E2024" t="s">
        <v>68</v>
      </c>
      <c r="F2024" t="s">
        <v>49</v>
      </c>
      <c r="G2024" t="s">
        <v>4195</v>
      </c>
      <c r="H2024" t="s">
        <v>4196</v>
      </c>
      <c r="J2024" t="str">
        <f>HYPERLINK("https://www.youtube.com/watch?v=Vk9kehZJdww&amp;lc=Ugxm-4FNhW18AbPXROt4AaABAg.A-c_GP-52owA-clQFRtEb-","https://www.youtube.com/watch?v=Vk9kehZJdww&amp;lc=Ugxm-4FNhW18AbPXROt4AaABAg.A-c_GP-52owA-clQFRtEb-")</f>
        <v>https://www.youtube.com/watch?v=Vk9kehZJdww&amp;lc=Ugxm-4FNhW18AbPXROt4AaABAg.A-c_GP-52owA-clQFRtEb-</v>
      </c>
      <c r="O2024">
        <v>0</v>
      </c>
      <c r="P2024">
        <v>0</v>
      </c>
      <c r="Q2024">
        <v>0</v>
      </c>
      <c r="S2024">
        <v>0</v>
      </c>
      <c r="T2024">
        <v>0</v>
      </c>
      <c r="U2024">
        <v>0</v>
      </c>
      <c r="W2024" t="s">
        <v>52</v>
      </c>
    </row>
    <row r="2025" spans="1:23" x14ac:dyDescent="0.35">
      <c r="A2025" t="s">
        <v>45</v>
      </c>
      <c r="B2025" t="s">
        <v>4103</v>
      </c>
      <c r="C2025" t="s">
        <v>47</v>
      </c>
      <c r="D2025" t="s">
        <v>68</v>
      </c>
      <c r="E2025" t="s">
        <v>68</v>
      </c>
      <c r="F2025" t="s">
        <v>49</v>
      </c>
      <c r="G2025" t="s">
        <v>3541</v>
      </c>
      <c r="H2025" t="s">
        <v>4197</v>
      </c>
      <c r="J2025" t="str">
        <f>HYPERLINK("https://www.youtube.com/watch?v=Vk9kehZJdww&amp;lc=UgyB_MbfV1_w8VLVXdh4AaABAg.A-ce4pFXGhrA-cl3AAXjXG","https://www.youtube.com/watch?v=Vk9kehZJdww&amp;lc=UgyB_MbfV1_w8VLVXdh4AaABAg.A-ce4pFXGhrA-cl3AAXjXG")</f>
        <v>https://www.youtube.com/watch?v=Vk9kehZJdww&amp;lc=UgyB_MbfV1_w8VLVXdh4AaABAg.A-ce4pFXGhrA-cl3AAXjXG</v>
      </c>
      <c r="O2025">
        <v>0</v>
      </c>
      <c r="P2025">
        <v>0</v>
      </c>
      <c r="Q2025">
        <v>0</v>
      </c>
      <c r="S2025">
        <v>0</v>
      </c>
      <c r="T2025">
        <v>0</v>
      </c>
      <c r="U2025">
        <v>0</v>
      </c>
      <c r="W2025" t="s">
        <v>52</v>
      </c>
    </row>
    <row r="2026" spans="1:23" x14ac:dyDescent="0.35">
      <c r="A2026" t="s">
        <v>45</v>
      </c>
      <c r="B2026" t="s">
        <v>4103</v>
      </c>
      <c r="C2026" t="s">
        <v>47</v>
      </c>
      <c r="D2026" t="s">
        <v>365</v>
      </c>
      <c r="E2026" t="s">
        <v>365</v>
      </c>
      <c r="F2026" t="s">
        <v>49</v>
      </c>
      <c r="G2026" t="s">
        <v>4198</v>
      </c>
      <c r="H2026" t="s">
        <v>4199</v>
      </c>
      <c r="J2026" t="str">
        <f>HYPERLINK("https://www.youtube.com/watch?v=Vk9kehZJdww&amp;lc=Ugxm-4FNhW18AbPXROt4AaABAg.A-c_GP-52owA-chJCcocaI","https://www.youtube.com/watch?v=Vk9kehZJdww&amp;lc=Ugxm-4FNhW18AbPXROt4AaABAg.A-c_GP-52owA-chJCcocaI")</f>
        <v>https://www.youtube.com/watch?v=Vk9kehZJdww&amp;lc=Ugxm-4FNhW18AbPXROt4AaABAg.A-c_GP-52owA-chJCcocaI</v>
      </c>
      <c r="O2026">
        <v>0</v>
      </c>
      <c r="P2026">
        <v>0</v>
      </c>
      <c r="Q2026">
        <v>0</v>
      </c>
      <c r="S2026">
        <v>0</v>
      </c>
      <c r="T2026">
        <v>0</v>
      </c>
      <c r="U2026">
        <v>0</v>
      </c>
      <c r="W2026" t="s">
        <v>52</v>
      </c>
    </row>
    <row r="2027" spans="1:23" x14ac:dyDescent="0.35">
      <c r="A2027" t="s">
        <v>45</v>
      </c>
      <c r="B2027" t="s">
        <v>4103</v>
      </c>
      <c r="C2027" t="s">
        <v>60</v>
      </c>
      <c r="D2027" t="s">
        <v>61</v>
      </c>
      <c r="E2027" t="s">
        <v>61</v>
      </c>
      <c r="F2027" t="s">
        <v>193</v>
      </c>
      <c r="G2027" t="s">
        <v>4200</v>
      </c>
      <c r="H2027" t="s">
        <v>4201</v>
      </c>
      <c r="J2027" t="str">
        <f>HYPERLINK("https://www.facebook.com/634639855377280/posts/786878883486709?comment_id=908134400962446","https://www.facebook.com/634639855377280/posts/786878883486709?comment_id=908134400962446")</f>
        <v>https://www.facebook.com/634639855377280/posts/786878883486709?comment_id=908134400962446</v>
      </c>
      <c r="O2027">
        <v>0</v>
      </c>
      <c r="P2027">
        <v>0</v>
      </c>
      <c r="Q2027">
        <v>0</v>
      </c>
      <c r="S2027">
        <v>0</v>
      </c>
      <c r="T2027">
        <v>0</v>
      </c>
      <c r="U2027">
        <v>0</v>
      </c>
      <c r="W2027" t="s">
        <v>52</v>
      </c>
    </row>
    <row r="2028" spans="1:23" x14ac:dyDescent="0.35">
      <c r="A2028" t="s">
        <v>45</v>
      </c>
      <c r="B2028" t="s">
        <v>4103</v>
      </c>
      <c r="C2028" t="s">
        <v>47</v>
      </c>
      <c r="D2028" t="s">
        <v>4202</v>
      </c>
      <c r="E2028" t="s">
        <v>4202</v>
      </c>
      <c r="F2028" t="s">
        <v>49</v>
      </c>
      <c r="G2028" t="s">
        <v>4203</v>
      </c>
      <c r="H2028" t="s">
        <v>4204</v>
      </c>
      <c r="J2028" t="str">
        <f>HYPERLINK("https://www.youtube.com/watch?v=XBufW4rUov4","https://www.youtube.com/watch?v=XBufW4rUov4")</f>
        <v>https://www.youtube.com/watch?v=XBufW4rUov4</v>
      </c>
      <c r="O2028">
        <v>0</v>
      </c>
      <c r="P2028">
        <v>0</v>
      </c>
      <c r="Q2028">
        <v>0</v>
      </c>
      <c r="S2028">
        <v>0</v>
      </c>
      <c r="T2028">
        <v>0</v>
      </c>
      <c r="U2028">
        <v>0</v>
      </c>
      <c r="W2028" t="s">
        <v>346</v>
      </c>
    </row>
    <row r="2029" spans="1:23" x14ac:dyDescent="0.35">
      <c r="A2029" t="s">
        <v>45</v>
      </c>
      <c r="B2029" t="s">
        <v>4103</v>
      </c>
      <c r="C2029" t="s">
        <v>47</v>
      </c>
      <c r="D2029" t="s">
        <v>45</v>
      </c>
      <c r="E2029" t="s">
        <v>45</v>
      </c>
      <c r="F2029" t="s">
        <v>49</v>
      </c>
      <c r="G2029" t="s">
        <v>4205</v>
      </c>
      <c r="H2029" t="s">
        <v>4206</v>
      </c>
      <c r="J2029" t="str">
        <f>HYPERLINK("https://www.youtube.com/watch?v=lEb5NMC_Oso","https://www.youtube.com/watch?v=lEb5NMC_Oso")</f>
        <v>https://www.youtube.com/watch?v=lEb5NMC_Oso</v>
      </c>
      <c r="O2029">
        <v>0</v>
      </c>
      <c r="P2029">
        <v>0</v>
      </c>
      <c r="Q2029">
        <v>0</v>
      </c>
      <c r="S2029">
        <v>0</v>
      </c>
      <c r="T2029">
        <v>0</v>
      </c>
      <c r="U2029">
        <v>0</v>
      </c>
      <c r="W2029" t="s">
        <v>346</v>
      </c>
    </row>
    <row r="2030" spans="1:23" x14ac:dyDescent="0.35">
      <c r="A2030" t="s">
        <v>45</v>
      </c>
      <c r="B2030" t="s">
        <v>4103</v>
      </c>
      <c r="C2030" t="s">
        <v>47</v>
      </c>
      <c r="D2030" t="s">
        <v>4207</v>
      </c>
      <c r="E2030" t="s">
        <v>4207</v>
      </c>
      <c r="F2030" t="s">
        <v>49</v>
      </c>
      <c r="G2030" t="s">
        <v>4208</v>
      </c>
      <c r="H2030" t="s">
        <v>4209</v>
      </c>
      <c r="J2030" t="str">
        <f>HYPERLINK("https://www.youtube.com/watch?v=Vk9kehZJdww&amp;lc=UgyB_MbfV1_w8VLVXdh4AaABAg","https://www.youtube.com/watch?v=Vk9kehZJdww&amp;lc=UgyB_MbfV1_w8VLVXdh4AaABAg")</f>
        <v>https://www.youtube.com/watch?v=Vk9kehZJdww&amp;lc=UgyB_MbfV1_w8VLVXdh4AaABAg</v>
      </c>
      <c r="O2030">
        <v>0</v>
      </c>
      <c r="P2030">
        <v>0</v>
      </c>
      <c r="Q2030">
        <v>0</v>
      </c>
      <c r="S2030">
        <v>0</v>
      </c>
      <c r="T2030">
        <v>0</v>
      </c>
      <c r="U2030">
        <v>0</v>
      </c>
      <c r="W2030" t="s">
        <v>52</v>
      </c>
    </row>
    <row r="2031" spans="1:23" x14ac:dyDescent="0.35">
      <c r="A2031" t="s">
        <v>45</v>
      </c>
      <c r="B2031" t="s">
        <v>4103</v>
      </c>
      <c r="C2031" t="s">
        <v>93</v>
      </c>
      <c r="D2031" t="s">
        <v>94</v>
      </c>
      <c r="E2031" t="s">
        <v>45</v>
      </c>
      <c r="F2031" t="s">
        <v>49</v>
      </c>
      <c r="G2031" t="s">
        <v>4210</v>
      </c>
      <c r="H2031" t="s">
        <v>4211</v>
      </c>
      <c r="J2031" t="str">
        <f>HYPERLINK("https://twitter.com/SpiceMoneyIndia/status/1756217415170507184","https://twitter.com/SpiceMoneyIndia/status/1756217415170507184")</f>
        <v>https://twitter.com/SpiceMoneyIndia/status/1756217415170507184</v>
      </c>
      <c r="K2031" t="s">
        <v>67</v>
      </c>
      <c r="O2031">
        <v>0</v>
      </c>
      <c r="P2031">
        <v>0</v>
      </c>
      <c r="Q2031">
        <v>6023</v>
      </c>
      <c r="R2031" t="s">
        <v>97</v>
      </c>
      <c r="S2031">
        <v>0</v>
      </c>
      <c r="T2031">
        <v>0</v>
      </c>
      <c r="U2031">
        <v>0</v>
      </c>
      <c r="V2031" t="s">
        <v>98</v>
      </c>
      <c r="W2031" t="s">
        <v>99</v>
      </c>
    </row>
    <row r="2032" spans="1:23" x14ac:dyDescent="0.35">
      <c r="A2032" t="s">
        <v>45</v>
      </c>
      <c r="B2032" t="s">
        <v>4103</v>
      </c>
      <c r="C2032" t="s">
        <v>60</v>
      </c>
      <c r="D2032" t="s">
        <v>64</v>
      </c>
      <c r="E2032" t="s">
        <v>64</v>
      </c>
      <c r="F2032" t="s">
        <v>49</v>
      </c>
      <c r="G2032" t="s">
        <v>4212</v>
      </c>
      <c r="H2032" t="s">
        <v>4213</v>
      </c>
      <c r="J2032" t="str">
        <f>HYPERLINK("https://www.facebook.com/634639855377280/posts/788604969980767","https://www.facebook.com/634639855377280/posts/788604969980767")</f>
        <v>https://www.facebook.com/634639855377280/posts/788604969980767</v>
      </c>
      <c r="O2032">
        <v>0</v>
      </c>
      <c r="P2032">
        <v>0</v>
      </c>
      <c r="Q2032">
        <v>0</v>
      </c>
      <c r="S2032">
        <v>9</v>
      </c>
      <c r="T2032">
        <v>33</v>
      </c>
      <c r="U2032">
        <v>6</v>
      </c>
      <c r="W2032" t="s">
        <v>346</v>
      </c>
    </row>
    <row r="2033" spans="1:23" x14ac:dyDescent="0.35">
      <c r="A2033" t="s">
        <v>45</v>
      </c>
      <c r="B2033" t="s">
        <v>4103</v>
      </c>
      <c r="C2033" t="s">
        <v>47</v>
      </c>
      <c r="D2033" t="s">
        <v>351</v>
      </c>
      <c r="E2033" t="s">
        <v>351</v>
      </c>
      <c r="F2033" t="s">
        <v>193</v>
      </c>
      <c r="G2033" t="s">
        <v>4214</v>
      </c>
      <c r="H2033" t="s">
        <v>4215</v>
      </c>
      <c r="J2033" t="str">
        <f>HYPERLINK("https://www.youtube.com/watch?v=Vk9kehZJdww&amp;lc=Ugxm-4FNhW18AbPXROt4AaABAg","https://www.youtube.com/watch?v=Vk9kehZJdww&amp;lc=Ugxm-4FNhW18AbPXROt4AaABAg")</f>
        <v>https://www.youtube.com/watch?v=Vk9kehZJdww&amp;lc=Ugxm-4FNhW18AbPXROt4AaABAg</v>
      </c>
      <c r="O2033">
        <v>0</v>
      </c>
      <c r="P2033">
        <v>0</v>
      </c>
      <c r="Q2033">
        <v>0</v>
      </c>
      <c r="S2033">
        <v>0</v>
      </c>
      <c r="T2033">
        <v>0</v>
      </c>
      <c r="U2033">
        <v>0</v>
      </c>
      <c r="W2033" t="s">
        <v>52</v>
      </c>
    </row>
    <row r="2034" spans="1:23" x14ac:dyDescent="0.35">
      <c r="A2034" t="s">
        <v>45</v>
      </c>
      <c r="B2034" t="s">
        <v>4103</v>
      </c>
      <c r="C2034" t="s">
        <v>47</v>
      </c>
      <c r="D2034" t="s">
        <v>391</v>
      </c>
      <c r="E2034" t="s">
        <v>391</v>
      </c>
      <c r="F2034" t="s">
        <v>49</v>
      </c>
      <c r="G2034" t="s">
        <v>4216</v>
      </c>
      <c r="H2034" t="s">
        <v>4217</v>
      </c>
      <c r="J2034" t="str">
        <f>HYPERLINK("https://www.youtube.com/watch?v=Vk9kehZJdww&amp;lc=UgwERAoQ_kowvMTAZhh4AaABAg","https://www.youtube.com/watch?v=Vk9kehZJdww&amp;lc=UgwERAoQ_kowvMTAZhh4AaABAg")</f>
        <v>https://www.youtube.com/watch?v=Vk9kehZJdww&amp;lc=UgwERAoQ_kowvMTAZhh4AaABAg</v>
      </c>
      <c r="O2034">
        <v>0</v>
      </c>
      <c r="P2034">
        <v>0</v>
      </c>
      <c r="Q2034">
        <v>0</v>
      </c>
      <c r="S2034">
        <v>0</v>
      </c>
      <c r="T2034">
        <v>0</v>
      </c>
      <c r="U2034">
        <v>0</v>
      </c>
      <c r="W2034" t="s">
        <v>52</v>
      </c>
    </row>
    <row r="2035" spans="1:23" x14ac:dyDescent="0.35">
      <c r="A2035" t="s">
        <v>45</v>
      </c>
      <c r="B2035" t="s">
        <v>4103</v>
      </c>
      <c r="C2035" t="s">
        <v>47</v>
      </c>
      <c r="D2035" t="s">
        <v>391</v>
      </c>
      <c r="E2035" t="s">
        <v>391</v>
      </c>
      <c r="F2035" t="s">
        <v>49</v>
      </c>
      <c r="G2035" t="s">
        <v>4218</v>
      </c>
      <c r="H2035" t="s">
        <v>4219</v>
      </c>
      <c r="J2035" t="str">
        <f>HYPERLINK("https://www.youtube.com/watch?v=Vk9kehZJdww&amp;lc=UgyZmYZCXUMfZMD_90R4AaABAg","https://www.youtube.com/watch?v=Vk9kehZJdww&amp;lc=UgyZmYZCXUMfZMD_90R4AaABAg")</f>
        <v>https://www.youtube.com/watch?v=Vk9kehZJdww&amp;lc=UgyZmYZCXUMfZMD_90R4AaABAg</v>
      </c>
      <c r="O2035">
        <v>0</v>
      </c>
      <c r="P2035">
        <v>0</v>
      </c>
      <c r="Q2035">
        <v>0</v>
      </c>
      <c r="S2035">
        <v>0</v>
      </c>
      <c r="T2035">
        <v>0</v>
      </c>
      <c r="U2035">
        <v>0</v>
      </c>
      <c r="W2035" t="s">
        <v>52</v>
      </c>
    </row>
    <row r="2036" spans="1:23" x14ac:dyDescent="0.35">
      <c r="A2036" t="s">
        <v>45</v>
      </c>
      <c r="B2036" t="s">
        <v>4103</v>
      </c>
      <c r="C2036" t="s">
        <v>47</v>
      </c>
      <c r="D2036" t="s">
        <v>45</v>
      </c>
      <c r="E2036" t="s">
        <v>45</v>
      </c>
      <c r="F2036" t="s">
        <v>49</v>
      </c>
      <c r="G2036" t="s">
        <v>4220</v>
      </c>
      <c r="H2036" t="s">
        <v>4221</v>
      </c>
      <c r="J2036" t="str">
        <f>HYPERLINK("https://www.youtube.com/watch?v=Vk9kehZJdww","https://www.youtube.com/watch?v=Vk9kehZJdww")</f>
        <v>https://www.youtube.com/watch?v=Vk9kehZJdww</v>
      </c>
      <c r="O2036">
        <v>0</v>
      </c>
      <c r="P2036">
        <v>0</v>
      </c>
      <c r="Q2036">
        <v>0</v>
      </c>
      <c r="S2036">
        <v>0</v>
      </c>
      <c r="T2036">
        <v>0</v>
      </c>
      <c r="U2036">
        <v>0</v>
      </c>
      <c r="W2036" t="s">
        <v>346</v>
      </c>
    </row>
    <row r="2037" spans="1:23" x14ac:dyDescent="0.35">
      <c r="A2037" t="s">
        <v>45</v>
      </c>
      <c r="B2037" t="s">
        <v>4103</v>
      </c>
      <c r="C2037" t="s">
        <v>47</v>
      </c>
      <c r="D2037" t="s">
        <v>4222</v>
      </c>
      <c r="E2037" t="s">
        <v>4222</v>
      </c>
      <c r="F2037" t="s">
        <v>49</v>
      </c>
      <c r="G2037" t="s">
        <v>4223</v>
      </c>
      <c r="H2037" t="s">
        <v>4224</v>
      </c>
      <c r="J2037" t="str">
        <f>HYPERLINK("https://www.youtube.com/watch?v=wJJ455CgzKg&amp;lc=Ugz5lPNE-T79y7wLcMp4AaABAg.A-auy_LhiLtA-cUeCCSYVw","https://www.youtube.com/watch?v=wJJ455CgzKg&amp;lc=Ugz5lPNE-T79y7wLcMp4AaABAg.A-auy_LhiLtA-cUeCCSYVw")</f>
        <v>https://www.youtube.com/watch?v=wJJ455CgzKg&amp;lc=Ugz5lPNE-T79y7wLcMp4AaABAg.A-auy_LhiLtA-cUeCCSYVw</v>
      </c>
      <c r="O2037">
        <v>0</v>
      </c>
      <c r="P2037">
        <v>0</v>
      </c>
      <c r="Q2037">
        <v>0</v>
      </c>
      <c r="S2037">
        <v>0</v>
      </c>
      <c r="T2037">
        <v>0</v>
      </c>
      <c r="U2037">
        <v>0</v>
      </c>
      <c r="W2037" t="s">
        <v>52</v>
      </c>
    </row>
    <row r="2038" spans="1:23" x14ac:dyDescent="0.35">
      <c r="A2038" t="s">
        <v>45</v>
      </c>
      <c r="B2038" t="s">
        <v>4103</v>
      </c>
      <c r="C2038" t="s">
        <v>47</v>
      </c>
      <c r="D2038" t="s">
        <v>68</v>
      </c>
      <c r="E2038" t="s">
        <v>68</v>
      </c>
      <c r="F2038" t="s">
        <v>49</v>
      </c>
      <c r="G2038" t="s">
        <v>102</v>
      </c>
      <c r="H2038" t="s">
        <v>4225</v>
      </c>
      <c r="J2038" t="str">
        <f>HYPERLINK("https://www.youtube.com/watch?v=wJJ455CgzKg&amp;lc=Ugz5lPNE-T79y7wLcMp4AaABAg.A-auy_LhiLtA-cUKIMEn4a","https://www.youtube.com/watch?v=wJJ455CgzKg&amp;lc=Ugz5lPNE-T79y7wLcMp4AaABAg.A-auy_LhiLtA-cUKIMEn4a")</f>
        <v>https://www.youtube.com/watch?v=wJJ455CgzKg&amp;lc=Ugz5lPNE-T79y7wLcMp4AaABAg.A-auy_LhiLtA-cUKIMEn4a</v>
      </c>
      <c r="O2038">
        <v>0</v>
      </c>
      <c r="P2038">
        <v>0</v>
      </c>
      <c r="Q2038">
        <v>0</v>
      </c>
      <c r="S2038">
        <v>0</v>
      </c>
      <c r="T2038">
        <v>0</v>
      </c>
      <c r="U2038">
        <v>0</v>
      </c>
      <c r="W2038" t="s">
        <v>52</v>
      </c>
    </row>
    <row r="2039" spans="1:23" x14ac:dyDescent="0.35">
      <c r="A2039" t="s">
        <v>45</v>
      </c>
      <c r="B2039" t="s">
        <v>4103</v>
      </c>
      <c r="C2039" t="s">
        <v>60</v>
      </c>
      <c r="D2039" t="s">
        <v>61</v>
      </c>
      <c r="E2039" t="s">
        <v>61</v>
      </c>
      <c r="F2039" t="s">
        <v>49</v>
      </c>
      <c r="G2039" t="s">
        <v>4226</v>
      </c>
      <c r="H2039" t="s">
        <v>4227</v>
      </c>
      <c r="J2039" t="str">
        <f>HYPERLINK("https://www.facebook.com/634639855377280/posts/787476670093597?comment_id=1115148029678160","https://www.facebook.com/634639855377280/posts/787476670093597?comment_id=1115148029678160")</f>
        <v>https://www.facebook.com/634639855377280/posts/787476670093597?comment_id=1115148029678160</v>
      </c>
      <c r="O2039">
        <v>0</v>
      </c>
      <c r="P2039">
        <v>0</v>
      </c>
      <c r="Q2039">
        <v>0</v>
      </c>
      <c r="S2039">
        <v>0</v>
      </c>
      <c r="T2039">
        <v>0</v>
      </c>
      <c r="U2039">
        <v>0</v>
      </c>
      <c r="W2039" t="s">
        <v>52</v>
      </c>
    </row>
    <row r="2040" spans="1:23" x14ac:dyDescent="0.35">
      <c r="A2040" t="s">
        <v>45</v>
      </c>
      <c r="B2040" t="s">
        <v>4103</v>
      </c>
      <c r="C2040" t="s">
        <v>93</v>
      </c>
      <c r="D2040" t="s">
        <v>3262</v>
      </c>
      <c r="E2040" t="s">
        <v>3263</v>
      </c>
      <c r="F2040" t="s">
        <v>49</v>
      </c>
      <c r="G2040" t="s">
        <v>4228</v>
      </c>
      <c r="H2040" t="s">
        <v>4229</v>
      </c>
      <c r="J2040" t="str">
        <f>HYPERLINK("https://twitter.com/ShoaibAkhtertsk/status/1756165836031799595","https://twitter.com/ShoaibAkhtertsk/status/1756165836031799595")</f>
        <v>https://twitter.com/ShoaibAkhtertsk/status/1756165836031799595</v>
      </c>
      <c r="K2040" t="s">
        <v>67</v>
      </c>
      <c r="O2040">
        <v>0</v>
      </c>
      <c r="P2040">
        <v>0</v>
      </c>
      <c r="Q2040">
        <v>50</v>
      </c>
      <c r="R2040" t="s">
        <v>3266</v>
      </c>
      <c r="S2040">
        <v>0</v>
      </c>
      <c r="T2040">
        <v>0</v>
      </c>
      <c r="U2040">
        <v>0</v>
      </c>
      <c r="W2040" t="s">
        <v>99</v>
      </c>
    </row>
    <row r="2041" spans="1:23" x14ac:dyDescent="0.35">
      <c r="A2041" t="s">
        <v>45</v>
      </c>
      <c r="B2041" t="s">
        <v>4103</v>
      </c>
      <c r="C2041" t="s">
        <v>60</v>
      </c>
      <c r="D2041" t="s">
        <v>61</v>
      </c>
      <c r="E2041" t="s">
        <v>61</v>
      </c>
      <c r="F2041" t="s">
        <v>49</v>
      </c>
      <c r="G2041" t="s">
        <v>4230</v>
      </c>
      <c r="H2041" t="s">
        <v>4231</v>
      </c>
      <c r="J2041" t="str">
        <f>HYPERLINK("https://www.facebook.com/634639855377280/posts/786878883486709?comment_id=758398589164830&amp;reply_comment_id=349149997990524","https://www.facebook.com/634639855377280/posts/786878883486709?comment_id=758398589164830&amp;reply_comment_id=349149997990524")</f>
        <v>https://www.facebook.com/634639855377280/posts/786878883486709?comment_id=758398589164830&amp;reply_comment_id=349149997990524</v>
      </c>
      <c r="O2041">
        <v>0</v>
      </c>
      <c r="P2041">
        <v>0</v>
      </c>
      <c r="Q2041">
        <v>0</v>
      </c>
      <c r="S2041">
        <v>0</v>
      </c>
      <c r="T2041">
        <v>0</v>
      </c>
      <c r="U2041">
        <v>0</v>
      </c>
      <c r="W2041" t="s">
        <v>52</v>
      </c>
    </row>
    <row r="2042" spans="1:23" x14ac:dyDescent="0.35">
      <c r="A2042" t="s">
        <v>45</v>
      </c>
      <c r="B2042" t="s">
        <v>4103</v>
      </c>
      <c r="C2042" t="s">
        <v>60</v>
      </c>
      <c r="D2042" t="s">
        <v>61</v>
      </c>
      <c r="E2042" t="s">
        <v>61</v>
      </c>
      <c r="F2042" t="s">
        <v>49</v>
      </c>
      <c r="G2042" t="s">
        <v>4232</v>
      </c>
      <c r="H2042" t="s">
        <v>4233</v>
      </c>
      <c r="J2042" t="str">
        <f>HYPERLINK("https://www.facebook.com/634639855377280/posts/787942146713716?comment_id=716714333926795","https://www.facebook.com/634639855377280/posts/787942146713716?comment_id=716714333926795")</f>
        <v>https://www.facebook.com/634639855377280/posts/787942146713716?comment_id=716714333926795</v>
      </c>
      <c r="O2042">
        <v>0</v>
      </c>
      <c r="P2042">
        <v>0</v>
      </c>
      <c r="Q2042">
        <v>0</v>
      </c>
      <c r="S2042">
        <v>0</v>
      </c>
      <c r="T2042">
        <v>0</v>
      </c>
      <c r="U2042">
        <v>0</v>
      </c>
      <c r="W2042" t="s">
        <v>52</v>
      </c>
    </row>
    <row r="2043" spans="1:23" x14ac:dyDescent="0.35">
      <c r="A2043" t="s">
        <v>45</v>
      </c>
      <c r="B2043" t="s">
        <v>4103</v>
      </c>
      <c r="C2043" t="s">
        <v>60</v>
      </c>
      <c r="D2043" t="s">
        <v>61</v>
      </c>
      <c r="E2043" t="s">
        <v>61</v>
      </c>
      <c r="F2043" t="s">
        <v>49</v>
      </c>
      <c r="G2043" t="s">
        <v>4234</v>
      </c>
      <c r="H2043" t="s">
        <v>4235</v>
      </c>
      <c r="J2043" t="str">
        <f>HYPERLINK("https://www.facebook.com/634639855377280/posts/788023660038898?comment_id=375225605230335","https://www.facebook.com/634639855377280/posts/788023660038898?comment_id=375225605230335")</f>
        <v>https://www.facebook.com/634639855377280/posts/788023660038898?comment_id=375225605230335</v>
      </c>
      <c r="O2043">
        <v>0</v>
      </c>
      <c r="P2043">
        <v>0</v>
      </c>
      <c r="Q2043">
        <v>0</v>
      </c>
      <c r="S2043">
        <v>0</v>
      </c>
      <c r="T2043">
        <v>0</v>
      </c>
      <c r="U2043">
        <v>0</v>
      </c>
      <c r="W2043" t="s">
        <v>52</v>
      </c>
    </row>
    <row r="2044" spans="1:23" x14ac:dyDescent="0.35">
      <c r="A2044" t="s">
        <v>45</v>
      </c>
      <c r="B2044" t="s">
        <v>4236</v>
      </c>
      <c r="C2044" t="s">
        <v>60</v>
      </c>
      <c r="D2044" t="s">
        <v>61</v>
      </c>
      <c r="E2044" t="s">
        <v>61</v>
      </c>
      <c r="F2044" t="s">
        <v>49</v>
      </c>
      <c r="G2044" t="s">
        <v>4237</v>
      </c>
      <c r="H2044" t="s">
        <v>4238</v>
      </c>
      <c r="J2044" t="str">
        <f>HYPERLINK("https://www.facebook.com/634639855377280/posts/787942146713716?comment_id=243966078781700","https://www.facebook.com/634639855377280/posts/787942146713716?comment_id=243966078781700")</f>
        <v>https://www.facebook.com/634639855377280/posts/787942146713716?comment_id=243966078781700</v>
      </c>
      <c r="O2044">
        <v>0</v>
      </c>
      <c r="P2044">
        <v>0</v>
      </c>
      <c r="Q2044">
        <v>0</v>
      </c>
      <c r="S2044">
        <v>0</v>
      </c>
      <c r="T2044">
        <v>0</v>
      </c>
      <c r="U2044">
        <v>0</v>
      </c>
      <c r="W2044" t="s">
        <v>52</v>
      </c>
    </row>
    <row r="2045" spans="1:23" x14ac:dyDescent="0.35">
      <c r="A2045" t="s">
        <v>45</v>
      </c>
      <c r="B2045" t="s">
        <v>4236</v>
      </c>
      <c r="C2045" t="s">
        <v>93</v>
      </c>
      <c r="D2045" t="s">
        <v>4239</v>
      </c>
      <c r="E2045" t="s">
        <v>4240</v>
      </c>
      <c r="F2045" t="s">
        <v>49</v>
      </c>
      <c r="G2045" t="s">
        <v>4241</v>
      </c>
      <c r="H2045" t="s">
        <v>4242</v>
      </c>
      <c r="J2045" t="str">
        <f>HYPERLINK("https://twitter.com/Ranjittech1/status/1756009330166378664","https://twitter.com/Ranjittech1/status/1756009330166378664")</f>
        <v>https://twitter.com/Ranjittech1/status/1756009330166378664</v>
      </c>
      <c r="K2045" t="s">
        <v>67</v>
      </c>
      <c r="O2045">
        <v>0</v>
      </c>
      <c r="P2045">
        <v>0</v>
      </c>
      <c r="Q2045">
        <v>2</v>
      </c>
      <c r="S2045">
        <v>0</v>
      </c>
      <c r="T2045">
        <v>0</v>
      </c>
      <c r="U2045">
        <v>0</v>
      </c>
      <c r="W2045" t="s">
        <v>99</v>
      </c>
    </row>
    <row r="2046" spans="1:23" x14ac:dyDescent="0.35">
      <c r="A2046" t="s">
        <v>45</v>
      </c>
      <c r="B2046" t="s">
        <v>4236</v>
      </c>
      <c r="C2046" t="s">
        <v>60</v>
      </c>
      <c r="D2046" t="s">
        <v>61</v>
      </c>
      <c r="E2046" t="s">
        <v>61</v>
      </c>
      <c r="F2046" t="s">
        <v>49</v>
      </c>
      <c r="G2046" t="s">
        <v>4243</v>
      </c>
      <c r="H2046" t="s">
        <v>4244</v>
      </c>
      <c r="J2046" t="str">
        <f>HYPERLINK("https://www.facebook.com/634639855377280/posts/786878883486709?comment_id=1322128538474197","https://www.facebook.com/634639855377280/posts/786878883486709?comment_id=1322128538474197")</f>
        <v>https://www.facebook.com/634639855377280/posts/786878883486709?comment_id=1322128538474197</v>
      </c>
      <c r="O2046">
        <v>0</v>
      </c>
      <c r="P2046">
        <v>0</v>
      </c>
      <c r="Q2046">
        <v>0</v>
      </c>
      <c r="S2046">
        <v>0</v>
      </c>
      <c r="T2046">
        <v>0</v>
      </c>
      <c r="U2046">
        <v>0</v>
      </c>
      <c r="W2046" t="s">
        <v>52</v>
      </c>
    </row>
    <row r="2047" spans="1:23" x14ac:dyDescent="0.35">
      <c r="A2047" t="s">
        <v>45</v>
      </c>
      <c r="B2047" t="s">
        <v>4236</v>
      </c>
      <c r="C2047" t="s">
        <v>93</v>
      </c>
      <c r="D2047" t="s">
        <v>4245</v>
      </c>
      <c r="E2047" t="s">
        <v>4246</v>
      </c>
      <c r="F2047" t="s">
        <v>49</v>
      </c>
      <c r="G2047" t="s">
        <v>4247</v>
      </c>
      <c r="H2047" t="s">
        <v>4248</v>
      </c>
      <c r="J2047" t="str">
        <f>HYPERLINK("https://twitter.com/RajBir61331206/status/1755999965221093850","https://twitter.com/RajBir61331206/status/1755999965221093850")</f>
        <v>https://twitter.com/RajBir61331206/status/1755999965221093850</v>
      </c>
      <c r="K2047" t="s">
        <v>67</v>
      </c>
      <c r="O2047">
        <v>0</v>
      </c>
      <c r="P2047">
        <v>0</v>
      </c>
      <c r="Q2047">
        <v>11</v>
      </c>
      <c r="R2047" t="s">
        <v>4249</v>
      </c>
      <c r="S2047">
        <v>0</v>
      </c>
      <c r="T2047">
        <v>0</v>
      </c>
      <c r="U2047">
        <v>0</v>
      </c>
      <c r="W2047" t="s">
        <v>99</v>
      </c>
    </row>
    <row r="2048" spans="1:23" x14ac:dyDescent="0.35">
      <c r="A2048" t="s">
        <v>45</v>
      </c>
      <c r="B2048" t="s">
        <v>4236</v>
      </c>
      <c r="C2048" t="s">
        <v>47</v>
      </c>
      <c r="D2048" t="s">
        <v>4250</v>
      </c>
      <c r="E2048" t="s">
        <v>4250</v>
      </c>
      <c r="F2048" t="s">
        <v>49</v>
      </c>
      <c r="G2048" t="s">
        <v>4251</v>
      </c>
      <c r="H2048" t="s">
        <v>4252</v>
      </c>
      <c r="J2048" t="str">
        <f>HYPERLINK("https://www.youtube.com/watch?v=2mghvDjVJXk&amp;lc=UgykwSiwuUR-X7v2rdl4AaABAg","https://www.youtube.com/watch?v=2mghvDjVJXk&amp;lc=UgykwSiwuUR-X7v2rdl4AaABAg")</f>
        <v>https://www.youtube.com/watch?v=2mghvDjVJXk&amp;lc=UgykwSiwuUR-X7v2rdl4AaABAg</v>
      </c>
      <c r="O2048">
        <v>0</v>
      </c>
      <c r="P2048">
        <v>0</v>
      </c>
      <c r="Q2048">
        <v>0</v>
      </c>
      <c r="S2048">
        <v>0</v>
      </c>
      <c r="T2048">
        <v>0</v>
      </c>
      <c r="U2048">
        <v>0</v>
      </c>
      <c r="W2048" t="s">
        <v>52</v>
      </c>
    </row>
    <row r="2049" spans="1:23" x14ac:dyDescent="0.35">
      <c r="A2049" t="s">
        <v>45</v>
      </c>
      <c r="B2049" t="s">
        <v>4236</v>
      </c>
      <c r="C2049" t="s">
        <v>47</v>
      </c>
      <c r="D2049" t="s">
        <v>4250</v>
      </c>
      <c r="E2049" t="s">
        <v>4250</v>
      </c>
      <c r="F2049" t="s">
        <v>49</v>
      </c>
      <c r="G2049" t="s">
        <v>4251</v>
      </c>
      <c r="H2049" t="s">
        <v>4253</v>
      </c>
      <c r="J2049" t="str">
        <f>HYPERLINK("https://www.youtube.com/watch?v=2mghvDjVJXk&amp;lc=Ugzzp7QsVNCZ4oNDHZh4AaABAg","https://www.youtube.com/watch?v=2mghvDjVJXk&amp;lc=Ugzzp7QsVNCZ4oNDHZh4AaABAg")</f>
        <v>https://www.youtube.com/watch?v=2mghvDjVJXk&amp;lc=Ugzzp7QsVNCZ4oNDHZh4AaABAg</v>
      </c>
      <c r="O2049">
        <v>0</v>
      </c>
      <c r="P2049">
        <v>0</v>
      </c>
      <c r="Q2049">
        <v>0</v>
      </c>
      <c r="S2049">
        <v>0</v>
      </c>
      <c r="T2049">
        <v>0</v>
      </c>
      <c r="U2049">
        <v>0</v>
      </c>
      <c r="W2049" t="s">
        <v>52</v>
      </c>
    </row>
    <row r="2050" spans="1:23" x14ac:dyDescent="0.35">
      <c r="A2050" t="s">
        <v>45</v>
      </c>
      <c r="B2050" t="s">
        <v>4236</v>
      </c>
      <c r="C2050" t="s">
        <v>47</v>
      </c>
      <c r="D2050" t="s">
        <v>4250</v>
      </c>
      <c r="E2050" t="s">
        <v>4250</v>
      </c>
      <c r="F2050" t="s">
        <v>193</v>
      </c>
      <c r="G2050" t="s">
        <v>4254</v>
      </c>
      <c r="H2050" t="s">
        <v>4255</v>
      </c>
      <c r="J2050" t="str">
        <f>HYPERLINK("https://www.youtube.com/watch?v=2mghvDjVJXk&amp;lc=UgwNCNOnWNKpPNcDhWh4AaABAg","https://www.youtube.com/watch?v=2mghvDjVJXk&amp;lc=UgwNCNOnWNKpPNcDhWh4AaABAg")</f>
        <v>https://www.youtube.com/watch?v=2mghvDjVJXk&amp;lc=UgwNCNOnWNKpPNcDhWh4AaABAg</v>
      </c>
      <c r="O2050">
        <v>0</v>
      </c>
      <c r="P2050">
        <v>0</v>
      </c>
      <c r="Q2050">
        <v>0</v>
      </c>
      <c r="S2050">
        <v>0</v>
      </c>
      <c r="T2050">
        <v>0</v>
      </c>
      <c r="U2050">
        <v>0</v>
      </c>
      <c r="W2050" t="s">
        <v>52</v>
      </c>
    </row>
    <row r="2051" spans="1:23" x14ac:dyDescent="0.35">
      <c r="A2051" t="s">
        <v>45</v>
      </c>
      <c r="B2051" t="s">
        <v>4236</v>
      </c>
      <c r="C2051" t="s">
        <v>60</v>
      </c>
      <c r="D2051" t="s">
        <v>61</v>
      </c>
      <c r="E2051" t="s">
        <v>61</v>
      </c>
      <c r="F2051" t="s">
        <v>49</v>
      </c>
      <c r="G2051" t="s">
        <v>4256</v>
      </c>
      <c r="H2051" t="s">
        <v>4257</v>
      </c>
      <c r="J2051" t="str">
        <f>HYPERLINK("https://www.facebook.com/634639855377280/posts/787476670093597?comment_id=930068378638541","https://www.facebook.com/634639855377280/posts/787476670093597?comment_id=930068378638541")</f>
        <v>https://www.facebook.com/634639855377280/posts/787476670093597?comment_id=930068378638541</v>
      </c>
      <c r="O2051">
        <v>0</v>
      </c>
      <c r="P2051">
        <v>0</v>
      </c>
      <c r="Q2051">
        <v>0</v>
      </c>
      <c r="S2051">
        <v>0</v>
      </c>
      <c r="T2051">
        <v>0</v>
      </c>
      <c r="U2051">
        <v>0</v>
      </c>
      <c r="W2051" t="s">
        <v>52</v>
      </c>
    </row>
    <row r="2052" spans="1:23" x14ac:dyDescent="0.35">
      <c r="A2052" t="s">
        <v>45</v>
      </c>
      <c r="B2052" t="s">
        <v>4236</v>
      </c>
      <c r="C2052" t="s">
        <v>47</v>
      </c>
      <c r="D2052" t="s">
        <v>4258</v>
      </c>
      <c r="E2052" t="s">
        <v>4258</v>
      </c>
      <c r="F2052" t="s">
        <v>49</v>
      </c>
      <c r="G2052" t="s">
        <v>4259</v>
      </c>
      <c r="H2052" t="s">
        <v>4260</v>
      </c>
      <c r="J2052" t="str">
        <f>HYPERLINK("https://www.youtube.com/watch?v=YQSdpP96l0U&amp;lc=Ugw4NKzzAMTvR92oN3t4AaABAg","https://www.youtube.com/watch?v=YQSdpP96l0U&amp;lc=Ugw4NKzzAMTvR92oN3t4AaABAg")</f>
        <v>https://www.youtube.com/watch?v=YQSdpP96l0U&amp;lc=Ugw4NKzzAMTvR92oN3t4AaABAg</v>
      </c>
      <c r="O2052">
        <v>0</v>
      </c>
      <c r="P2052">
        <v>0</v>
      </c>
      <c r="Q2052">
        <v>0</v>
      </c>
      <c r="S2052">
        <v>0</v>
      </c>
      <c r="T2052">
        <v>0</v>
      </c>
      <c r="U2052">
        <v>0</v>
      </c>
      <c r="W2052" t="s">
        <v>52</v>
      </c>
    </row>
    <row r="2053" spans="1:23" x14ac:dyDescent="0.35">
      <c r="A2053" t="s">
        <v>45</v>
      </c>
      <c r="B2053" t="s">
        <v>4236</v>
      </c>
      <c r="C2053" t="s">
        <v>47</v>
      </c>
      <c r="D2053" t="s">
        <v>4261</v>
      </c>
      <c r="E2053" t="s">
        <v>4261</v>
      </c>
      <c r="F2053" t="s">
        <v>49</v>
      </c>
      <c r="G2053" t="s">
        <v>4262</v>
      </c>
      <c r="H2053" t="s">
        <v>4263</v>
      </c>
      <c r="J2053" t="str">
        <f>HYPERLINK("https://www.youtube.com/watch?v=YQSdpP96l0U&amp;lc=UgzExsXSWnWHsTcav7d4AaABAg","https://www.youtube.com/watch?v=YQSdpP96l0U&amp;lc=UgzExsXSWnWHsTcav7d4AaABAg")</f>
        <v>https://www.youtube.com/watch?v=YQSdpP96l0U&amp;lc=UgzExsXSWnWHsTcav7d4AaABAg</v>
      </c>
      <c r="O2053">
        <v>0</v>
      </c>
      <c r="P2053">
        <v>0</v>
      </c>
      <c r="Q2053">
        <v>0</v>
      </c>
      <c r="S2053">
        <v>0</v>
      </c>
      <c r="T2053">
        <v>0</v>
      </c>
      <c r="U2053">
        <v>0</v>
      </c>
      <c r="W2053" t="s">
        <v>52</v>
      </c>
    </row>
    <row r="2054" spans="1:23" x14ac:dyDescent="0.35">
      <c r="A2054" t="s">
        <v>45</v>
      </c>
      <c r="B2054" t="s">
        <v>4236</v>
      </c>
      <c r="C2054" t="s">
        <v>47</v>
      </c>
      <c r="D2054" t="s">
        <v>4258</v>
      </c>
      <c r="E2054" t="s">
        <v>4258</v>
      </c>
      <c r="F2054" t="s">
        <v>49</v>
      </c>
      <c r="G2054" t="s">
        <v>4264</v>
      </c>
      <c r="H2054" t="s">
        <v>4265</v>
      </c>
      <c r="J2054" t="str">
        <f>HYPERLINK("https://www.youtube.com/watch?v=YQSdpP96l0U&amp;lc=UgzYQRQmK0qMkYGQUN54AaABAg.A-aqbOcPw8fA-b1P8B2UNV","https://www.youtube.com/watch?v=YQSdpP96l0U&amp;lc=UgzYQRQmK0qMkYGQUN54AaABAg.A-aqbOcPw8fA-b1P8B2UNV")</f>
        <v>https://www.youtube.com/watch?v=YQSdpP96l0U&amp;lc=UgzYQRQmK0qMkYGQUN54AaABAg.A-aqbOcPw8fA-b1P8B2UNV</v>
      </c>
      <c r="O2054">
        <v>0</v>
      </c>
      <c r="P2054">
        <v>0</v>
      </c>
      <c r="Q2054">
        <v>0</v>
      </c>
      <c r="S2054">
        <v>0</v>
      </c>
      <c r="T2054">
        <v>0</v>
      </c>
      <c r="U2054">
        <v>0</v>
      </c>
      <c r="W2054" t="s">
        <v>52</v>
      </c>
    </row>
    <row r="2055" spans="1:23" x14ac:dyDescent="0.35">
      <c r="A2055" t="s">
        <v>45</v>
      </c>
      <c r="B2055" t="s">
        <v>4236</v>
      </c>
      <c r="C2055" t="s">
        <v>60</v>
      </c>
      <c r="D2055" t="s">
        <v>61</v>
      </c>
      <c r="E2055" t="s">
        <v>61</v>
      </c>
      <c r="F2055" t="s">
        <v>54</v>
      </c>
      <c r="G2055" t="s">
        <v>4266</v>
      </c>
      <c r="H2055" t="s">
        <v>4267</v>
      </c>
      <c r="J2055" t="str">
        <f>HYPERLINK("https://www.facebook.com/634639855377280/posts/787942146713716?comment_id=979420136934702","https://www.facebook.com/634639855377280/posts/787942146713716?comment_id=979420136934702")</f>
        <v>https://www.facebook.com/634639855377280/posts/787942146713716?comment_id=979420136934702</v>
      </c>
      <c r="O2055">
        <v>0</v>
      </c>
      <c r="P2055">
        <v>0</v>
      </c>
      <c r="Q2055">
        <v>0</v>
      </c>
      <c r="S2055">
        <v>0</v>
      </c>
      <c r="T2055">
        <v>0</v>
      </c>
      <c r="U2055">
        <v>0</v>
      </c>
      <c r="W2055" t="s">
        <v>52</v>
      </c>
    </row>
    <row r="2056" spans="1:23" x14ac:dyDescent="0.35">
      <c r="A2056" t="s">
        <v>45</v>
      </c>
      <c r="B2056" t="s">
        <v>4236</v>
      </c>
      <c r="C2056" t="s">
        <v>60</v>
      </c>
      <c r="D2056" t="s">
        <v>61</v>
      </c>
      <c r="E2056" t="s">
        <v>61</v>
      </c>
      <c r="F2056" t="s">
        <v>49</v>
      </c>
      <c r="G2056" t="s">
        <v>4268</v>
      </c>
      <c r="H2056" t="s">
        <v>4269</v>
      </c>
      <c r="J2056" t="str">
        <f>HYPERLINK("https://www.facebook.com/634639855377280/posts/787376316770299?comment_id=367343592777473","https://www.facebook.com/634639855377280/posts/787376316770299?comment_id=367343592777473")</f>
        <v>https://www.facebook.com/634639855377280/posts/787376316770299?comment_id=367343592777473</v>
      </c>
      <c r="O2056">
        <v>0</v>
      </c>
      <c r="P2056">
        <v>0</v>
      </c>
      <c r="Q2056">
        <v>0</v>
      </c>
      <c r="S2056">
        <v>0</v>
      </c>
      <c r="T2056">
        <v>0</v>
      </c>
      <c r="U2056">
        <v>0</v>
      </c>
      <c r="W2056" t="s">
        <v>52</v>
      </c>
    </row>
    <row r="2057" spans="1:23" x14ac:dyDescent="0.35">
      <c r="A2057" t="s">
        <v>45</v>
      </c>
      <c r="B2057" t="s">
        <v>4236</v>
      </c>
      <c r="C2057" t="s">
        <v>47</v>
      </c>
      <c r="D2057" t="s">
        <v>4222</v>
      </c>
      <c r="E2057" t="s">
        <v>4222</v>
      </c>
      <c r="F2057" t="s">
        <v>49</v>
      </c>
      <c r="G2057" t="s">
        <v>4270</v>
      </c>
      <c r="H2057" t="s">
        <v>4271</v>
      </c>
      <c r="J2057" t="str">
        <f>HYPERLINK("https://www.youtube.com/watch?v=wJJ455CgzKg&amp;lc=Ugz5lPNE-T79y7wLcMp4AaABAg","https://www.youtube.com/watch?v=wJJ455CgzKg&amp;lc=Ugz5lPNE-T79y7wLcMp4AaABAg")</f>
        <v>https://www.youtube.com/watch?v=wJJ455CgzKg&amp;lc=Ugz5lPNE-T79y7wLcMp4AaABAg</v>
      </c>
      <c r="O2057">
        <v>0</v>
      </c>
      <c r="P2057">
        <v>0</v>
      </c>
      <c r="Q2057">
        <v>0</v>
      </c>
      <c r="S2057">
        <v>0</v>
      </c>
      <c r="T2057">
        <v>0</v>
      </c>
      <c r="U2057">
        <v>0</v>
      </c>
      <c r="W2057" t="s">
        <v>52</v>
      </c>
    </row>
    <row r="2058" spans="1:23" x14ac:dyDescent="0.35">
      <c r="A2058" t="s">
        <v>45</v>
      </c>
      <c r="B2058" t="s">
        <v>4236</v>
      </c>
      <c r="C2058" t="s">
        <v>47</v>
      </c>
      <c r="D2058" t="s">
        <v>4272</v>
      </c>
      <c r="E2058" t="s">
        <v>4272</v>
      </c>
      <c r="F2058" t="s">
        <v>49</v>
      </c>
      <c r="G2058" t="s">
        <v>4273</v>
      </c>
      <c r="H2058" t="s">
        <v>4274</v>
      </c>
      <c r="J2058" t="str">
        <f>HYPERLINK("https://www.youtube.com/watch?v=YQSdpP96l0U&amp;lc=UgwYErUdRHWfiKVHiBt4AaABAg.A-aNWze0KpkA-auI7G4DWw","https://www.youtube.com/watch?v=YQSdpP96l0U&amp;lc=UgwYErUdRHWfiKVHiBt4AaABAg.A-aNWze0KpkA-auI7G4DWw")</f>
        <v>https://www.youtube.com/watch?v=YQSdpP96l0U&amp;lc=UgwYErUdRHWfiKVHiBt4AaABAg.A-aNWze0KpkA-auI7G4DWw</v>
      </c>
      <c r="O2058">
        <v>0</v>
      </c>
      <c r="P2058">
        <v>0</v>
      </c>
      <c r="Q2058">
        <v>0</v>
      </c>
      <c r="S2058">
        <v>0</v>
      </c>
      <c r="T2058">
        <v>0</v>
      </c>
      <c r="U2058">
        <v>0</v>
      </c>
      <c r="W2058" t="s">
        <v>52</v>
      </c>
    </row>
    <row r="2059" spans="1:23" x14ac:dyDescent="0.35">
      <c r="A2059" t="s">
        <v>45</v>
      </c>
      <c r="B2059" t="s">
        <v>4236</v>
      </c>
      <c r="C2059" t="s">
        <v>47</v>
      </c>
      <c r="D2059" t="s">
        <v>205</v>
      </c>
      <c r="E2059" t="s">
        <v>205</v>
      </c>
      <c r="F2059" t="s">
        <v>49</v>
      </c>
      <c r="G2059" t="s">
        <v>4275</v>
      </c>
      <c r="H2059" t="s">
        <v>4276</v>
      </c>
      <c r="J2059" t="str">
        <f>HYPERLINK("https://www.youtube.com/watch?v=YQSdpP96l0U&amp;lc=Ugw2HLFrJFnL2NY2dL14AaABAg","https://www.youtube.com/watch?v=YQSdpP96l0U&amp;lc=Ugw2HLFrJFnL2NY2dL14AaABAg")</f>
        <v>https://www.youtube.com/watch?v=YQSdpP96l0U&amp;lc=Ugw2HLFrJFnL2NY2dL14AaABAg</v>
      </c>
      <c r="O2059">
        <v>0</v>
      </c>
      <c r="P2059">
        <v>0</v>
      </c>
      <c r="Q2059">
        <v>0</v>
      </c>
      <c r="S2059">
        <v>0</v>
      </c>
      <c r="T2059">
        <v>0</v>
      </c>
      <c r="U2059">
        <v>0</v>
      </c>
      <c r="W2059" t="s">
        <v>52</v>
      </c>
    </row>
    <row r="2060" spans="1:23" x14ac:dyDescent="0.35">
      <c r="A2060" t="s">
        <v>45</v>
      </c>
      <c r="B2060" t="s">
        <v>4236</v>
      </c>
      <c r="C2060" t="s">
        <v>60</v>
      </c>
      <c r="D2060" t="s">
        <v>61</v>
      </c>
      <c r="E2060" t="s">
        <v>61</v>
      </c>
      <c r="F2060" t="s">
        <v>49</v>
      </c>
      <c r="G2060" t="s">
        <v>4277</v>
      </c>
      <c r="H2060" t="s">
        <v>4278</v>
      </c>
      <c r="J2060" t="str">
        <f>HYPERLINK("https://www.facebook.com/634639855377280/posts/787942146713716?comment_id=952675706458080","https://www.facebook.com/634639855377280/posts/787942146713716?comment_id=952675706458080")</f>
        <v>https://www.facebook.com/634639855377280/posts/787942146713716?comment_id=952675706458080</v>
      </c>
      <c r="O2060">
        <v>0</v>
      </c>
      <c r="P2060">
        <v>0</v>
      </c>
      <c r="Q2060">
        <v>0</v>
      </c>
      <c r="S2060">
        <v>0</v>
      </c>
      <c r="T2060">
        <v>0</v>
      </c>
      <c r="U2060">
        <v>0</v>
      </c>
      <c r="W2060" t="s">
        <v>52</v>
      </c>
    </row>
    <row r="2061" spans="1:23" x14ac:dyDescent="0.35">
      <c r="A2061" t="s">
        <v>45</v>
      </c>
      <c r="B2061" t="s">
        <v>4236</v>
      </c>
      <c r="C2061" t="s">
        <v>60</v>
      </c>
      <c r="D2061" t="s">
        <v>61</v>
      </c>
      <c r="E2061" t="s">
        <v>61</v>
      </c>
      <c r="F2061" t="s">
        <v>49</v>
      </c>
      <c r="G2061" t="s">
        <v>4279</v>
      </c>
      <c r="H2061" t="s">
        <v>4280</v>
      </c>
      <c r="J2061" t="str">
        <f>HYPERLINK("https://www.facebook.com/634639855377280/posts/787942146713716?comment_id=759464542821123","https://www.facebook.com/634639855377280/posts/787942146713716?comment_id=759464542821123")</f>
        <v>https://www.facebook.com/634639855377280/posts/787942146713716?comment_id=759464542821123</v>
      </c>
      <c r="O2061">
        <v>0</v>
      </c>
      <c r="P2061">
        <v>0</v>
      </c>
      <c r="Q2061">
        <v>0</v>
      </c>
      <c r="S2061">
        <v>0</v>
      </c>
      <c r="T2061">
        <v>0</v>
      </c>
      <c r="U2061">
        <v>0</v>
      </c>
      <c r="W2061" t="s">
        <v>52</v>
      </c>
    </row>
    <row r="2062" spans="1:23" x14ac:dyDescent="0.35">
      <c r="A2062" t="s">
        <v>45</v>
      </c>
      <c r="B2062" t="s">
        <v>4236</v>
      </c>
      <c r="C2062" t="s">
        <v>47</v>
      </c>
      <c r="D2062" t="s">
        <v>205</v>
      </c>
      <c r="E2062" t="s">
        <v>205</v>
      </c>
      <c r="F2062" t="s">
        <v>49</v>
      </c>
      <c r="G2062" t="s">
        <v>4281</v>
      </c>
      <c r="H2062" t="s">
        <v>4282</v>
      </c>
      <c r="J2062" t="str">
        <f>HYPERLINK("https://www.youtube.com/watch?v=YQSdpP96l0U&amp;lc=Ugwd7-emBlOkND5kHzl4AaABAg.A-aGKSeg4iKA-aqhbBJKaV","https://www.youtube.com/watch?v=YQSdpP96l0U&amp;lc=Ugwd7-emBlOkND5kHzl4AaABAg.A-aGKSeg4iKA-aqhbBJKaV")</f>
        <v>https://www.youtube.com/watch?v=YQSdpP96l0U&amp;lc=Ugwd7-emBlOkND5kHzl4AaABAg.A-aGKSeg4iKA-aqhbBJKaV</v>
      </c>
      <c r="O2062">
        <v>0</v>
      </c>
      <c r="P2062">
        <v>0</v>
      </c>
      <c r="Q2062">
        <v>0</v>
      </c>
      <c r="S2062">
        <v>0</v>
      </c>
      <c r="T2062">
        <v>0</v>
      </c>
      <c r="U2062">
        <v>0</v>
      </c>
      <c r="W2062" t="s">
        <v>52</v>
      </c>
    </row>
    <row r="2063" spans="1:23" x14ac:dyDescent="0.35">
      <c r="A2063" t="s">
        <v>45</v>
      </c>
      <c r="B2063" t="s">
        <v>4236</v>
      </c>
      <c r="C2063" t="s">
        <v>47</v>
      </c>
      <c r="D2063" t="s">
        <v>4283</v>
      </c>
      <c r="E2063" t="s">
        <v>4283</v>
      </c>
      <c r="F2063" t="s">
        <v>49</v>
      </c>
      <c r="G2063" t="s">
        <v>4284</v>
      </c>
      <c r="H2063" t="s">
        <v>4285</v>
      </c>
      <c r="J2063" t="str">
        <f>HYPERLINK("https://www.youtube.com/watch?v=YQSdpP96l0U&amp;lc=UgzYQRQmK0qMkYGQUN54AaABAg","https://www.youtube.com/watch?v=YQSdpP96l0U&amp;lc=UgzYQRQmK0qMkYGQUN54AaABAg")</f>
        <v>https://www.youtube.com/watch?v=YQSdpP96l0U&amp;lc=UgzYQRQmK0qMkYGQUN54AaABAg</v>
      </c>
      <c r="O2063">
        <v>0</v>
      </c>
      <c r="P2063">
        <v>0</v>
      </c>
      <c r="Q2063">
        <v>0</v>
      </c>
      <c r="S2063">
        <v>0</v>
      </c>
      <c r="T2063">
        <v>0</v>
      </c>
      <c r="U2063">
        <v>0</v>
      </c>
      <c r="W2063" t="s">
        <v>52</v>
      </c>
    </row>
    <row r="2064" spans="1:23" x14ac:dyDescent="0.35">
      <c r="A2064" t="s">
        <v>45</v>
      </c>
      <c r="B2064" t="s">
        <v>4236</v>
      </c>
      <c r="C2064" t="s">
        <v>60</v>
      </c>
      <c r="D2064" t="s">
        <v>61</v>
      </c>
      <c r="E2064" t="s">
        <v>61</v>
      </c>
      <c r="F2064" t="s">
        <v>49</v>
      </c>
      <c r="G2064" t="s">
        <v>4286</v>
      </c>
      <c r="H2064" t="s">
        <v>4287</v>
      </c>
      <c r="J2064" t="str">
        <f>HYPERLINK("https://www.facebook.com/634639855377280/posts/787942146713716?comment_id=401723979210417","https://www.facebook.com/634639855377280/posts/787942146713716?comment_id=401723979210417")</f>
        <v>https://www.facebook.com/634639855377280/posts/787942146713716?comment_id=401723979210417</v>
      </c>
      <c r="O2064">
        <v>0</v>
      </c>
      <c r="P2064">
        <v>0</v>
      </c>
      <c r="Q2064">
        <v>0</v>
      </c>
      <c r="S2064">
        <v>0</v>
      </c>
      <c r="T2064">
        <v>0</v>
      </c>
      <c r="U2064">
        <v>0</v>
      </c>
      <c r="W2064" t="s">
        <v>52</v>
      </c>
    </row>
    <row r="2065" spans="1:23" x14ac:dyDescent="0.35">
      <c r="A2065" t="s">
        <v>45</v>
      </c>
      <c r="B2065" t="s">
        <v>4236</v>
      </c>
      <c r="C2065" t="s">
        <v>47</v>
      </c>
      <c r="D2065" t="s">
        <v>4288</v>
      </c>
      <c r="E2065" t="s">
        <v>4288</v>
      </c>
      <c r="F2065" t="s">
        <v>49</v>
      </c>
      <c r="G2065" t="s">
        <v>4289</v>
      </c>
      <c r="H2065" t="s">
        <v>4290</v>
      </c>
      <c r="J2065" t="str">
        <f>HYPERLINK("https://www.youtube.com/watch?v=YQSdpP96l0U&amp;lc=Ugwd7-emBlOkND5kHzl4AaABAg.A-aGKSeg4iKA-anaoNfqLW","https://www.youtube.com/watch?v=YQSdpP96l0U&amp;lc=Ugwd7-emBlOkND5kHzl4AaABAg.A-aGKSeg4iKA-anaoNfqLW")</f>
        <v>https://www.youtube.com/watch?v=YQSdpP96l0U&amp;lc=Ugwd7-emBlOkND5kHzl4AaABAg.A-aGKSeg4iKA-anaoNfqLW</v>
      </c>
      <c r="O2065">
        <v>0</v>
      </c>
      <c r="P2065">
        <v>0</v>
      </c>
      <c r="Q2065">
        <v>0</v>
      </c>
      <c r="S2065">
        <v>0</v>
      </c>
      <c r="T2065">
        <v>0</v>
      </c>
      <c r="U2065">
        <v>0</v>
      </c>
      <c r="W2065" t="s">
        <v>52</v>
      </c>
    </row>
    <row r="2066" spans="1:23" x14ac:dyDescent="0.35">
      <c r="A2066" t="s">
        <v>45</v>
      </c>
      <c r="B2066" t="s">
        <v>4236</v>
      </c>
      <c r="C2066" t="s">
        <v>60</v>
      </c>
      <c r="D2066" t="s">
        <v>61</v>
      </c>
      <c r="E2066" t="s">
        <v>61</v>
      </c>
      <c r="F2066" t="s">
        <v>49</v>
      </c>
      <c r="G2066" t="s">
        <v>4291</v>
      </c>
      <c r="H2066" t="s">
        <v>4292</v>
      </c>
      <c r="J2066" t="str">
        <f>HYPERLINK("https://www.facebook.com/634639855377280/posts/786878883486709?comment_id=1310014149668840","https://www.facebook.com/634639855377280/posts/786878883486709?comment_id=1310014149668840")</f>
        <v>https://www.facebook.com/634639855377280/posts/786878883486709?comment_id=1310014149668840</v>
      </c>
      <c r="O2066">
        <v>0</v>
      </c>
      <c r="P2066">
        <v>0</v>
      </c>
      <c r="Q2066">
        <v>0</v>
      </c>
      <c r="S2066">
        <v>0</v>
      </c>
      <c r="T2066">
        <v>0</v>
      </c>
      <c r="U2066">
        <v>0</v>
      </c>
      <c r="W2066" t="s">
        <v>52</v>
      </c>
    </row>
    <row r="2067" spans="1:23" x14ac:dyDescent="0.35">
      <c r="A2067" t="s">
        <v>45</v>
      </c>
      <c r="B2067" t="s">
        <v>4236</v>
      </c>
      <c r="C2067" t="s">
        <v>60</v>
      </c>
      <c r="D2067" t="s">
        <v>61</v>
      </c>
      <c r="E2067" t="s">
        <v>61</v>
      </c>
      <c r="F2067" t="s">
        <v>54</v>
      </c>
      <c r="G2067" t="s">
        <v>4293</v>
      </c>
      <c r="H2067" t="s">
        <v>4294</v>
      </c>
      <c r="J2067" t="str">
        <f>HYPERLINK("https://www.facebook.com/634639855377280/posts/787942146713716?comment_id=704773808506634","https://www.facebook.com/634639855377280/posts/787942146713716?comment_id=704773808506634")</f>
        <v>https://www.facebook.com/634639855377280/posts/787942146713716?comment_id=704773808506634</v>
      </c>
      <c r="O2067">
        <v>0</v>
      </c>
      <c r="P2067">
        <v>0</v>
      </c>
      <c r="Q2067">
        <v>0</v>
      </c>
      <c r="S2067">
        <v>0</v>
      </c>
      <c r="T2067">
        <v>0</v>
      </c>
      <c r="U2067">
        <v>0</v>
      </c>
      <c r="W2067" t="s">
        <v>52</v>
      </c>
    </row>
    <row r="2068" spans="1:23" x14ac:dyDescent="0.35">
      <c r="A2068" t="s">
        <v>45</v>
      </c>
      <c r="B2068" t="s">
        <v>4236</v>
      </c>
      <c r="C2068" t="s">
        <v>60</v>
      </c>
      <c r="D2068" t="s">
        <v>61</v>
      </c>
      <c r="E2068" t="s">
        <v>61</v>
      </c>
      <c r="F2068" t="s">
        <v>49</v>
      </c>
      <c r="G2068" t="s">
        <v>4295</v>
      </c>
      <c r="H2068" t="s">
        <v>4296</v>
      </c>
      <c r="J2068" t="str">
        <f>HYPERLINK("https://www.facebook.com/634639855377280/posts/787942146713716?comment_id=774056661419506","https://www.facebook.com/634639855377280/posts/787942146713716?comment_id=774056661419506")</f>
        <v>https://www.facebook.com/634639855377280/posts/787942146713716?comment_id=774056661419506</v>
      </c>
      <c r="O2068">
        <v>0</v>
      </c>
      <c r="P2068">
        <v>0</v>
      </c>
      <c r="Q2068">
        <v>0</v>
      </c>
      <c r="S2068">
        <v>0</v>
      </c>
      <c r="T2068">
        <v>0</v>
      </c>
      <c r="U2068">
        <v>0</v>
      </c>
      <c r="W2068" t="s">
        <v>52</v>
      </c>
    </row>
    <row r="2069" spans="1:23" x14ac:dyDescent="0.35">
      <c r="A2069" t="s">
        <v>45</v>
      </c>
      <c r="B2069" t="s">
        <v>4236</v>
      </c>
      <c r="C2069" t="s">
        <v>93</v>
      </c>
      <c r="D2069" t="s">
        <v>4297</v>
      </c>
      <c r="E2069" t="s">
        <v>4298</v>
      </c>
      <c r="F2069" t="s">
        <v>49</v>
      </c>
      <c r="G2069" t="s">
        <v>4299</v>
      </c>
      <c r="H2069" t="s">
        <v>4300</v>
      </c>
      <c r="J2069" t="str">
        <f>HYPERLINK("https://twitter.com/Faisal09828831/status/1755937778531991786","https://twitter.com/Faisal09828831/status/1755937778531991786")</f>
        <v>https://twitter.com/Faisal09828831/status/1755937778531991786</v>
      </c>
      <c r="O2069">
        <v>0</v>
      </c>
      <c r="P2069">
        <v>0</v>
      </c>
      <c r="Q2069">
        <v>10</v>
      </c>
      <c r="S2069">
        <v>0</v>
      </c>
      <c r="T2069">
        <v>0</v>
      </c>
      <c r="U2069">
        <v>0</v>
      </c>
      <c r="W2069" t="s">
        <v>99</v>
      </c>
    </row>
    <row r="2070" spans="1:23" x14ac:dyDescent="0.35">
      <c r="A2070" t="s">
        <v>45</v>
      </c>
      <c r="B2070" t="s">
        <v>4236</v>
      </c>
      <c r="C2070" t="s">
        <v>93</v>
      </c>
      <c r="D2070" t="s">
        <v>3957</v>
      </c>
      <c r="E2070" t="s">
        <v>3958</v>
      </c>
      <c r="F2070" t="s">
        <v>193</v>
      </c>
      <c r="G2070" t="s">
        <v>4301</v>
      </c>
      <c r="H2070" t="s">
        <v>4302</v>
      </c>
      <c r="J2070" t="str">
        <f>HYPERLINK("https://twitter.com/ParwinderS82656/status/1755936055176372338","https://twitter.com/ParwinderS82656/status/1755936055176372338")</f>
        <v>https://twitter.com/ParwinderS82656/status/1755936055176372338</v>
      </c>
      <c r="K2070" t="s">
        <v>67</v>
      </c>
      <c r="O2070">
        <v>0</v>
      </c>
      <c r="P2070">
        <v>0</v>
      </c>
      <c r="Q2070">
        <v>3</v>
      </c>
      <c r="S2070">
        <v>0</v>
      </c>
      <c r="T2070">
        <v>0</v>
      </c>
      <c r="U2070">
        <v>0</v>
      </c>
      <c r="W2070" t="s">
        <v>99</v>
      </c>
    </row>
    <row r="2071" spans="1:23" x14ac:dyDescent="0.35">
      <c r="A2071" t="s">
        <v>45</v>
      </c>
      <c r="B2071" t="s">
        <v>4236</v>
      </c>
      <c r="C2071" t="s">
        <v>60</v>
      </c>
      <c r="D2071" t="s">
        <v>61</v>
      </c>
      <c r="E2071" t="s">
        <v>61</v>
      </c>
      <c r="F2071" t="s">
        <v>193</v>
      </c>
      <c r="G2071" t="s">
        <v>4303</v>
      </c>
      <c r="H2071" t="s">
        <v>4304</v>
      </c>
      <c r="J2071" t="str">
        <f>HYPERLINK("https://www.facebook.com/634639855377280/posts/786878883486709?comment_id=1549166855859555","https://www.facebook.com/634639855377280/posts/786878883486709?comment_id=1549166855859555")</f>
        <v>https://www.facebook.com/634639855377280/posts/786878883486709?comment_id=1549166855859555</v>
      </c>
      <c r="O2071">
        <v>0</v>
      </c>
      <c r="P2071">
        <v>0</v>
      </c>
      <c r="Q2071">
        <v>0</v>
      </c>
      <c r="S2071">
        <v>0</v>
      </c>
      <c r="T2071">
        <v>0</v>
      </c>
      <c r="U2071">
        <v>0</v>
      </c>
      <c r="W2071" t="s">
        <v>52</v>
      </c>
    </row>
    <row r="2072" spans="1:23" x14ac:dyDescent="0.35">
      <c r="A2072" t="s">
        <v>45</v>
      </c>
      <c r="B2072" t="s">
        <v>4236</v>
      </c>
      <c r="C2072" t="s">
        <v>93</v>
      </c>
      <c r="D2072" t="s">
        <v>94</v>
      </c>
      <c r="E2072" t="s">
        <v>45</v>
      </c>
      <c r="F2072" t="s">
        <v>49</v>
      </c>
      <c r="G2072" t="s">
        <v>4305</v>
      </c>
      <c r="H2072" t="s">
        <v>4306</v>
      </c>
      <c r="J2072" t="str">
        <f>HYPERLINK("https://twitter.com/SpiceMoneyIndia/status/1755928616074932471","https://twitter.com/SpiceMoneyIndia/status/1755928616074932471")</f>
        <v>https://twitter.com/SpiceMoneyIndia/status/1755928616074932471</v>
      </c>
      <c r="K2072" t="s">
        <v>67</v>
      </c>
      <c r="O2072">
        <v>0</v>
      </c>
      <c r="P2072">
        <v>0</v>
      </c>
      <c r="Q2072">
        <v>6023</v>
      </c>
      <c r="R2072" t="s">
        <v>97</v>
      </c>
      <c r="S2072">
        <v>0</v>
      </c>
      <c r="T2072">
        <v>0</v>
      </c>
      <c r="U2072">
        <v>0</v>
      </c>
      <c r="V2072" t="s">
        <v>98</v>
      </c>
      <c r="W2072" t="s">
        <v>99</v>
      </c>
    </row>
    <row r="2073" spans="1:23" x14ac:dyDescent="0.35">
      <c r="A2073" t="s">
        <v>45</v>
      </c>
      <c r="B2073" t="s">
        <v>4236</v>
      </c>
      <c r="C2073" t="s">
        <v>93</v>
      </c>
      <c r="D2073" t="s">
        <v>94</v>
      </c>
      <c r="E2073" t="s">
        <v>45</v>
      </c>
      <c r="F2073" t="s">
        <v>49</v>
      </c>
      <c r="G2073" t="s">
        <v>4307</v>
      </c>
      <c r="H2073" t="s">
        <v>4308</v>
      </c>
      <c r="J2073" t="str">
        <f>HYPERLINK("https://twitter.com/SpiceMoneyIndia/status/1755926719947501950","https://twitter.com/SpiceMoneyIndia/status/1755926719947501950")</f>
        <v>https://twitter.com/SpiceMoneyIndia/status/1755926719947501950</v>
      </c>
      <c r="K2073" t="s">
        <v>67</v>
      </c>
      <c r="O2073">
        <v>0</v>
      </c>
      <c r="P2073">
        <v>0</v>
      </c>
      <c r="Q2073">
        <v>6023</v>
      </c>
      <c r="R2073" t="s">
        <v>97</v>
      </c>
      <c r="S2073">
        <v>0</v>
      </c>
      <c r="T2073">
        <v>0</v>
      </c>
      <c r="U2073">
        <v>0</v>
      </c>
      <c r="V2073" t="s">
        <v>98</v>
      </c>
      <c r="W2073" t="s">
        <v>99</v>
      </c>
    </row>
    <row r="2074" spans="1:23" x14ac:dyDescent="0.35">
      <c r="A2074" t="s">
        <v>45</v>
      </c>
      <c r="B2074" t="s">
        <v>4236</v>
      </c>
      <c r="C2074" t="s">
        <v>47</v>
      </c>
      <c r="D2074" t="s">
        <v>351</v>
      </c>
      <c r="E2074" t="s">
        <v>351</v>
      </c>
      <c r="F2074" t="s">
        <v>49</v>
      </c>
      <c r="G2074" t="s">
        <v>4309</v>
      </c>
      <c r="H2074" t="s">
        <v>4310</v>
      </c>
      <c r="J2074" t="str">
        <f>HYPERLINK("https://www.youtube.com/watch?v=YQSdpP96l0U&amp;lc=UgwYErUdRHWfiKVHiBt4AaABAg.A-aNWze0KpkA-a_Ewm1zdl","https://www.youtube.com/watch?v=YQSdpP96l0U&amp;lc=UgwYErUdRHWfiKVHiBt4AaABAg.A-aNWze0KpkA-a_Ewm1zdl")</f>
        <v>https://www.youtube.com/watch?v=YQSdpP96l0U&amp;lc=UgwYErUdRHWfiKVHiBt4AaABAg.A-aNWze0KpkA-a_Ewm1zdl</v>
      </c>
      <c r="O2074">
        <v>0</v>
      </c>
      <c r="P2074">
        <v>0</v>
      </c>
      <c r="Q2074">
        <v>0</v>
      </c>
      <c r="S2074">
        <v>0</v>
      </c>
      <c r="T2074">
        <v>0</v>
      </c>
      <c r="U2074">
        <v>0</v>
      </c>
      <c r="W2074" t="s">
        <v>52</v>
      </c>
    </row>
    <row r="2075" spans="1:23" x14ac:dyDescent="0.35">
      <c r="A2075" t="s">
        <v>45</v>
      </c>
      <c r="B2075" t="s">
        <v>4236</v>
      </c>
      <c r="C2075" t="s">
        <v>93</v>
      </c>
      <c r="D2075" t="s">
        <v>4311</v>
      </c>
      <c r="E2075" t="s">
        <v>4312</v>
      </c>
      <c r="F2075" t="s">
        <v>49</v>
      </c>
      <c r="G2075" t="s">
        <v>2983</v>
      </c>
      <c r="H2075" t="s">
        <v>4313</v>
      </c>
      <c r="J2075" t="str">
        <f>HYPERLINK("https://twitter.com/Ankit_Sitapur1/status/1755925458028220588","https://twitter.com/Ankit_Sitapur1/status/1755925458028220588")</f>
        <v>https://twitter.com/Ankit_Sitapur1/status/1755925458028220588</v>
      </c>
      <c r="K2075" t="s">
        <v>67</v>
      </c>
      <c r="O2075">
        <v>0</v>
      </c>
      <c r="P2075">
        <v>0</v>
      </c>
      <c r="Q2075">
        <v>353</v>
      </c>
      <c r="R2075" t="s">
        <v>4314</v>
      </c>
      <c r="S2075">
        <v>0</v>
      </c>
      <c r="T2075">
        <v>0</v>
      </c>
      <c r="U2075">
        <v>0</v>
      </c>
      <c r="W2075" t="s">
        <v>99</v>
      </c>
    </row>
    <row r="2076" spans="1:23" x14ac:dyDescent="0.35">
      <c r="A2076" t="s">
        <v>45</v>
      </c>
      <c r="B2076" t="s">
        <v>4236</v>
      </c>
      <c r="C2076" t="s">
        <v>60</v>
      </c>
      <c r="D2076" t="s">
        <v>64</v>
      </c>
      <c r="E2076" t="s">
        <v>64</v>
      </c>
      <c r="F2076" t="s">
        <v>49</v>
      </c>
      <c r="G2076" t="s">
        <v>100</v>
      </c>
      <c r="H2076" t="s">
        <v>4315</v>
      </c>
      <c r="J2076" t="str">
        <f>HYPERLINK("https://www.facebook.com/634639855377280/posts/786878883486709?comment_id=844959814107914&amp;reply_comment_id=1936173500118556","https://www.facebook.com/634639855377280/posts/786878883486709?comment_id=844959814107914&amp;reply_comment_id=1936173500118556")</f>
        <v>https://www.facebook.com/634639855377280/posts/786878883486709?comment_id=844959814107914&amp;reply_comment_id=1936173500118556</v>
      </c>
      <c r="K2076" t="s">
        <v>67</v>
      </c>
      <c r="O2076">
        <v>0</v>
      </c>
      <c r="P2076">
        <v>0</v>
      </c>
      <c r="Q2076">
        <v>0</v>
      </c>
      <c r="S2076">
        <v>0</v>
      </c>
      <c r="T2076">
        <v>0</v>
      </c>
      <c r="U2076">
        <v>0</v>
      </c>
      <c r="W2076" t="s">
        <v>52</v>
      </c>
    </row>
    <row r="2077" spans="1:23" x14ac:dyDescent="0.35">
      <c r="A2077" t="s">
        <v>45</v>
      </c>
      <c r="B2077" t="s">
        <v>4236</v>
      </c>
      <c r="C2077" t="s">
        <v>60</v>
      </c>
      <c r="D2077" t="s">
        <v>64</v>
      </c>
      <c r="E2077" t="s">
        <v>64</v>
      </c>
      <c r="F2077" t="s">
        <v>49</v>
      </c>
      <c r="G2077" t="s">
        <v>83</v>
      </c>
      <c r="H2077" t="s">
        <v>4316</v>
      </c>
      <c r="J2077" t="str">
        <f>HYPERLINK("https://www.facebook.com/634639855377280/posts/787476670093597?comment_id=385462327505041&amp;reply_comment_id=1126873878659984","https://www.facebook.com/634639855377280/posts/787476670093597?comment_id=385462327505041&amp;reply_comment_id=1126873878659984")</f>
        <v>https://www.facebook.com/634639855377280/posts/787476670093597?comment_id=385462327505041&amp;reply_comment_id=1126873878659984</v>
      </c>
      <c r="K2077" t="s">
        <v>67</v>
      </c>
      <c r="O2077">
        <v>0</v>
      </c>
      <c r="P2077">
        <v>0</v>
      </c>
      <c r="Q2077">
        <v>0</v>
      </c>
      <c r="S2077">
        <v>0</v>
      </c>
      <c r="T2077">
        <v>0</v>
      </c>
      <c r="U2077">
        <v>0</v>
      </c>
      <c r="W2077" t="s">
        <v>52</v>
      </c>
    </row>
    <row r="2078" spans="1:23" x14ac:dyDescent="0.35">
      <c r="A2078" t="s">
        <v>45</v>
      </c>
      <c r="B2078" t="s">
        <v>4236</v>
      </c>
      <c r="C2078" t="s">
        <v>60</v>
      </c>
      <c r="D2078" t="s">
        <v>64</v>
      </c>
      <c r="E2078" t="s">
        <v>64</v>
      </c>
      <c r="F2078" t="s">
        <v>49</v>
      </c>
      <c r="G2078" t="s">
        <v>3138</v>
      </c>
      <c r="H2078" t="s">
        <v>4317</v>
      </c>
      <c r="J2078" t="str">
        <f>HYPERLINK("https://www.facebook.com/634639855377280/posts/787476670093597?comment_id=901666574782679&amp;reply_comment_id=1113561956511963","https://www.facebook.com/634639855377280/posts/787476670093597?comment_id=901666574782679&amp;reply_comment_id=1113561956511963")</f>
        <v>https://www.facebook.com/634639855377280/posts/787476670093597?comment_id=901666574782679&amp;reply_comment_id=1113561956511963</v>
      </c>
      <c r="K2078" t="s">
        <v>67</v>
      </c>
      <c r="O2078">
        <v>0</v>
      </c>
      <c r="P2078">
        <v>0</v>
      </c>
      <c r="Q2078">
        <v>0</v>
      </c>
      <c r="S2078">
        <v>0</v>
      </c>
      <c r="T2078">
        <v>0</v>
      </c>
      <c r="U2078">
        <v>0</v>
      </c>
      <c r="W2078" t="s">
        <v>52</v>
      </c>
    </row>
    <row r="2079" spans="1:23" x14ac:dyDescent="0.35">
      <c r="A2079" t="s">
        <v>45</v>
      </c>
      <c r="B2079" t="s">
        <v>4236</v>
      </c>
      <c r="C2079" t="s">
        <v>93</v>
      </c>
      <c r="D2079" t="s">
        <v>94</v>
      </c>
      <c r="E2079" t="s">
        <v>45</v>
      </c>
      <c r="F2079" t="s">
        <v>49</v>
      </c>
      <c r="G2079" t="s">
        <v>4318</v>
      </c>
      <c r="H2079" t="s">
        <v>4319</v>
      </c>
      <c r="J2079" t="str">
        <f>HYPERLINK("https://twitter.com/SpiceMoneyIndia/status/1755923296200122577","https://twitter.com/SpiceMoneyIndia/status/1755923296200122577")</f>
        <v>https://twitter.com/SpiceMoneyIndia/status/1755923296200122577</v>
      </c>
      <c r="K2079" t="s">
        <v>67</v>
      </c>
      <c r="O2079">
        <v>0</v>
      </c>
      <c r="P2079">
        <v>0</v>
      </c>
      <c r="Q2079">
        <v>6023</v>
      </c>
      <c r="R2079" t="s">
        <v>97</v>
      </c>
      <c r="S2079">
        <v>0</v>
      </c>
      <c r="T2079">
        <v>0</v>
      </c>
      <c r="U2079">
        <v>0</v>
      </c>
      <c r="V2079" t="s">
        <v>98</v>
      </c>
      <c r="W2079" t="s">
        <v>99</v>
      </c>
    </row>
    <row r="2080" spans="1:23" x14ac:dyDescent="0.35">
      <c r="A2080" t="s">
        <v>45</v>
      </c>
      <c r="B2080" t="s">
        <v>4236</v>
      </c>
      <c r="C2080" t="s">
        <v>60</v>
      </c>
      <c r="D2080" t="s">
        <v>64</v>
      </c>
      <c r="E2080" t="s">
        <v>64</v>
      </c>
      <c r="F2080" t="s">
        <v>49</v>
      </c>
      <c r="G2080" t="s">
        <v>162</v>
      </c>
      <c r="H2080" t="s">
        <v>4320</v>
      </c>
      <c r="J2080" t="str">
        <f>HYPERLINK("https://www.facebook.com/634639855377280/posts/786878883486709?comment_id=924149472438959&amp;reply_comment_id=368713532684592","https://www.facebook.com/634639855377280/posts/786878883486709?comment_id=924149472438959&amp;reply_comment_id=368713532684592")</f>
        <v>https://www.facebook.com/634639855377280/posts/786878883486709?comment_id=924149472438959&amp;reply_comment_id=368713532684592</v>
      </c>
      <c r="K2080" t="s">
        <v>67</v>
      </c>
      <c r="O2080">
        <v>0</v>
      </c>
      <c r="P2080">
        <v>0</v>
      </c>
      <c r="Q2080">
        <v>0</v>
      </c>
      <c r="S2080">
        <v>0</v>
      </c>
      <c r="T2080">
        <v>0</v>
      </c>
      <c r="U2080">
        <v>0</v>
      </c>
      <c r="W2080" t="s">
        <v>52</v>
      </c>
    </row>
    <row r="2081" spans="1:23" x14ac:dyDescent="0.35">
      <c r="A2081" t="s">
        <v>45</v>
      </c>
      <c r="B2081" t="s">
        <v>4236</v>
      </c>
      <c r="C2081" t="s">
        <v>47</v>
      </c>
      <c r="D2081" t="s">
        <v>1053</v>
      </c>
      <c r="E2081" t="s">
        <v>1053</v>
      </c>
      <c r="F2081" t="s">
        <v>49</v>
      </c>
      <c r="G2081" t="s">
        <v>4321</v>
      </c>
      <c r="H2081" t="s">
        <v>4322</v>
      </c>
      <c r="J2081" t="str">
        <f>HYPERLINK("https://www.youtube.com/watch?v=YQSdpP96l0U&amp;lc=Ugwd7-emBlOkND5kHzl4AaABAg.A-aGKSeg4iKA-aZ62i34qm","https://www.youtube.com/watch?v=YQSdpP96l0U&amp;lc=Ugwd7-emBlOkND5kHzl4AaABAg.A-aGKSeg4iKA-aZ62i34qm")</f>
        <v>https://www.youtube.com/watch?v=YQSdpP96l0U&amp;lc=Ugwd7-emBlOkND5kHzl4AaABAg.A-aGKSeg4iKA-aZ62i34qm</v>
      </c>
      <c r="O2081">
        <v>0</v>
      </c>
      <c r="P2081">
        <v>0</v>
      </c>
      <c r="Q2081">
        <v>0</v>
      </c>
      <c r="S2081">
        <v>0</v>
      </c>
      <c r="T2081">
        <v>0</v>
      </c>
      <c r="U2081">
        <v>0</v>
      </c>
      <c r="W2081" t="s">
        <v>52</v>
      </c>
    </row>
    <row r="2082" spans="1:23" x14ac:dyDescent="0.35">
      <c r="A2082" t="s">
        <v>45</v>
      </c>
      <c r="B2082" t="s">
        <v>4236</v>
      </c>
      <c r="C2082" t="s">
        <v>60</v>
      </c>
      <c r="D2082" t="s">
        <v>64</v>
      </c>
      <c r="E2082" t="s">
        <v>64</v>
      </c>
      <c r="F2082" t="s">
        <v>49</v>
      </c>
      <c r="G2082" t="s">
        <v>100</v>
      </c>
      <c r="H2082" t="s">
        <v>4323</v>
      </c>
      <c r="J2082" t="str">
        <f>HYPERLINK("https://www.facebook.com/634639855377280/posts/786878883486709?comment_id=1090985405388027&amp;reply_comment_id=2305582202968670","https://www.facebook.com/634639855377280/posts/786878883486709?comment_id=1090985405388027&amp;reply_comment_id=2305582202968670")</f>
        <v>https://www.facebook.com/634639855377280/posts/786878883486709?comment_id=1090985405388027&amp;reply_comment_id=2305582202968670</v>
      </c>
      <c r="K2082" t="s">
        <v>67</v>
      </c>
      <c r="O2082">
        <v>0</v>
      </c>
      <c r="P2082">
        <v>0</v>
      </c>
      <c r="Q2082">
        <v>0</v>
      </c>
      <c r="S2082">
        <v>0</v>
      </c>
      <c r="T2082">
        <v>0</v>
      </c>
      <c r="U2082">
        <v>0</v>
      </c>
      <c r="W2082" t="s">
        <v>52</v>
      </c>
    </row>
    <row r="2083" spans="1:23" x14ac:dyDescent="0.35">
      <c r="A2083" t="s">
        <v>45</v>
      </c>
      <c r="B2083" t="s">
        <v>4236</v>
      </c>
      <c r="C2083" t="s">
        <v>93</v>
      </c>
      <c r="D2083" t="s">
        <v>94</v>
      </c>
      <c r="E2083" t="s">
        <v>45</v>
      </c>
      <c r="F2083" t="s">
        <v>49</v>
      </c>
      <c r="G2083" t="s">
        <v>4324</v>
      </c>
      <c r="H2083" t="s">
        <v>4325</v>
      </c>
      <c r="J2083" t="str">
        <f>HYPERLINK("https://twitter.com/SpiceMoneyIndia/status/1755922602587996277","https://twitter.com/SpiceMoneyIndia/status/1755922602587996277")</f>
        <v>https://twitter.com/SpiceMoneyIndia/status/1755922602587996277</v>
      </c>
      <c r="K2083" t="s">
        <v>67</v>
      </c>
      <c r="O2083">
        <v>0</v>
      </c>
      <c r="P2083">
        <v>0</v>
      </c>
      <c r="Q2083">
        <v>6023</v>
      </c>
      <c r="R2083" t="s">
        <v>97</v>
      </c>
      <c r="S2083">
        <v>0</v>
      </c>
      <c r="T2083">
        <v>0</v>
      </c>
      <c r="U2083">
        <v>0</v>
      </c>
      <c r="V2083" t="s">
        <v>98</v>
      </c>
      <c r="W2083" t="s">
        <v>99</v>
      </c>
    </row>
    <row r="2084" spans="1:23" x14ac:dyDescent="0.35">
      <c r="A2084" t="s">
        <v>45</v>
      </c>
      <c r="B2084" t="s">
        <v>4236</v>
      </c>
      <c r="C2084" t="s">
        <v>60</v>
      </c>
      <c r="D2084" t="s">
        <v>64</v>
      </c>
      <c r="E2084" t="s">
        <v>64</v>
      </c>
      <c r="F2084" t="s">
        <v>49</v>
      </c>
      <c r="G2084" t="s">
        <v>83</v>
      </c>
      <c r="H2084" t="s">
        <v>4326</v>
      </c>
      <c r="J2084" t="str">
        <f>HYPERLINK("https://www.facebook.com/634639855377280/posts/786878883486709?comment_id=758398589164830&amp;reply_comment_id=1342208439756289","https://www.facebook.com/634639855377280/posts/786878883486709?comment_id=758398589164830&amp;reply_comment_id=1342208439756289")</f>
        <v>https://www.facebook.com/634639855377280/posts/786878883486709?comment_id=758398589164830&amp;reply_comment_id=1342208439756289</v>
      </c>
      <c r="K2084" t="s">
        <v>67</v>
      </c>
      <c r="O2084">
        <v>0</v>
      </c>
      <c r="P2084">
        <v>0</v>
      </c>
      <c r="Q2084">
        <v>0</v>
      </c>
      <c r="S2084">
        <v>0</v>
      </c>
      <c r="T2084">
        <v>0</v>
      </c>
      <c r="U2084">
        <v>0</v>
      </c>
      <c r="W2084" t="s">
        <v>52</v>
      </c>
    </row>
    <row r="2085" spans="1:23" x14ac:dyDescent="0.35">
      <c r="A2085" t="s">
        <v>45</v>
      </c>
      <c r="B2085" t="s">
        <v>4236</v>
      </c>
      <c r="C2085" t="s">
        <v>60</v>
      </c>
      <c r="D2085" t="s">
        <v>64</v>
      </c>
      <c r="E2085" t="s">
        <v>64</v>
      </c>
      <c r="F2085" t="s">
        <v>49</v>
      </c>
      <c r="G2085" t="s">
        <v>162</v>
      </c>
      <c r="H2085" t="s">
        <v>4327</v>
      </c>
      <c r="J2085" t="str">
        <f>HYPERLINK("https://www.facebook.com/634639855377280/posts/787942146713716?comment_id=1398311317718465&amp;reply_comment_id=2413756148810049","https://www.facebook.com/634639855377280/posts/787942146713716?comment_id=1398311317718465&amp;reply_comment_id=2413756148810049")</f>
        <v>https://www.facebook.com/634639855377280/posts/787942146713716?comment_id=1398311317718465&amp;reply_comment_id=2413756148810049</v>
      </c>
      <c r="K2085" t="s">
        <v>67</v>
      </c>
      <c r="O2085">
        <v>0</v>
      </c>
      <c r="P2085">
        <v>0</v>
      </c>
      <c r="Q2085">
        <v>0</v>
      </c>
      <c r="S2085">
        <v>0</v>
      </c>
      <c r="T2085">
        <v>0</v>
      </c>
      <c r="U2085">
        <v>0</v>
      </c>
      <c r="W2085" t="s">
        <v>52</v>
      </c>
    </row>
    <row r="2086" spans="1:23" x14ac:dyDescent="0.35">
      <c r="A2086" t="s">
        <v>45</v>
      </c>
      <c r="B2086" t="s">
        <v>4236</v>
      </c>
      <c r="C2086" t="s">
        <v>93</v>
      </c>
      <c r="D2086" t="s">
        <v>4311</v>
      </c>
      <c r="E2086" t="s">
        <v>4312</v>
      </c>
      <c r="F2086" t="s">
        <v>54</v>
      </c>
      <c r="G2086" t="s">
        <v>4328</v>
      </c>
      <c r="H2086" t="s">
        <v>4329</v>
      </c>
      <c r="J2086" t="str">
        <f>HYPERLINK("https://twitter.com/Ankit_Sitapur1/status/1755921841820959174","https://twitter.com/Ankit_Sitapur1/status/1755921841820959174")</f>
        <v>https://twitter.com/Ankit_Sitapur1/status/1755921841820959174</v>
      </c>
      <c r="K2086" t="s">
        <v>67</v>
      </c>
      <c r="O2086">
        <v>0</v>
      </c>
      <c r="P2086">
        <v>0</v>
      </c>
      <c r="Q2086">
        <v>353</v>
      </c>
      <c r="R2086" t="s">
        <v>4314</v>
      </c>
      <c r="S2086">
        <v>0</v>
      </c>
      <c r="T2086">
        <v>0</v>
      </c>
      <c r="U2086">
        <v>0</v>
      </c>
      <c r="W2086" t="s">
        <v>99</v>
      </c>
    </row>
    <row r="2087" spans="1:23" x14ac:dyDescent="0.35">
      <c r="A2087" t="s">
        <v>45</v>
      </c>
      <c r="B2087" t="s">
        <v>4236</v>
      </c>
      <c r="C2087" t="s">
        <v>60</v>
      </c>
      <c r="D2087" t="s">
        <v>64</v>
      </c>
      <c r="E2087" t="s">
        <v>64</v>
      </c>
      <c r="F2087" t="s">
        <v>49</v>
      </c>
      <c r="G2087" t="s">
        <v>280</v>
      </c>
      <c r="H2087" t="s">
        <v>4330</v>
      </c>
      <c r="J2087" t="str">
        <f>HYPERLINK("https://www.facebook.com/634639855377280/posts/786878883486709?comment_id=1078390350148266&amp;reply_comment_id=1339520710051406","https://www.facebook.com/634639855377280/posts/786878883486709?comment_id=1078390350148266&amp;reply_comment_id=1339520710051406")</f>
        <v>https://www.facebook.com/634639855377280/posts/786878883486709?comment_id=1078390350148266&amp;reply_comment_id=1339520710051406</v>
      </c>
      <c r="K2087" t="s">
        <v>67</v>
      </c>
      <c r="O2087">
        <v>0</v>
      </c>
      <c r="P2087">
        <v>0</v>
      </c>
      <c r="Q2087">
        <v>0</v>
      </c>
      <c r="S2087">
        <v>0</v>
      </c>
      <c r="T2087">
        <v>0</v>
      </c>
      <c r="U2087">
        <v>0</v>
      </c>
      <c r="W2087" t="s">
        <v>52</v>
      </c>
    </row>
    <row r="2088" spans="1:23" x14ac:dyDescent="0.35">
      <c r="A2088" t="s">
        <v>45</v>
      </c>
      <c r="B2088" t="s">
        <v>4236</v>
      </c>
      <c r="C2088" t="s">
        <v>60</v>
      </c>
      <c r="D2088" t="s">
        <v>64</v>
      </c>
      <c r="E2088" t="s">
        <v>64</v>
      </c>
      <c r="F2088" t="s">
        <v>49</v>
      </c>
      <c r="G2088" t="s">
        <v>100</v>
      </c>
      <c r="H2088" t="s">
        <v>4331</v>
      </c>
      <c r="J2088" t="str">
        <f>HYPERLINK("https://www.facebook.com/634639855377280/posts/787942146713716?comment_id=1075508300226061&amp;reply_comment_id=1057347465562511","https://www.facebook.com/634639855377280/posts/787942146713716?comment_id=1075508300226061&amp;reply_comment_id=1057347465562511")</f>
        <v>https://www.facebook.com/634639855377280/posts/787942146713716?comment_id=1075508300226061&amp;reply_comment_id=1057347465562511</v>
      </c>
      <c r="K2088" t="s">
        <v>67</v>
      </c>
      <c r="O2088">
        <v>0</v>
      </c>
      <c r="P2088">
        <v>0</v>
      </c>
      <c r="Q2088">
        <v>0</v>
      </c>
      <c r="S2088">
        <v>0</v>
      </c>
      <c r="T2088">
        <v>0</v>
      </c>
      <c r="U2088">
        <v>0</v>
      </c>
      <c r="W2088" t="s">
        <v>52</v>
      </c>
    </row>
    <row r="2089" spans="1:23" x14ac:dyDescent="0.35">
      <c r="A2089" t="s">
        <v>45</v>
      </c>
      <c r="B2089" t="s">
        <v>4236</v>
      </c>
      <c r="C2089" t="s">
        <v>93</v>
      </c>
      <c r="D2089" t="s">
        <v>94</v>
      </c>
      <c r="E2089" t="s">
        <v>45</v>
      </c>
      <c r="F2089" t="s">
        <v>49</v>
      </c>
      <c r="G2089" t="s">
        <v>4332</v>
      </c>
      <c r="H2089" t="s">
        <v>4333</v>
      </c>
      <c r="J2089" t="str">
        <f>HYPERLINK("https://twitter.com/SpiceMoneyIndia/status/1755921363397673370","https://twitter.com/SpiceMoneyIndia/status/1755921363397673370")</f>
        <v>https://twitter.com/SpiceMoneyIndia/status/1755921363397673370</v>
      </c>
      <c r="K2089" t="s">
        <v>67</v>
      </c>
      <c r="O2089">
        <v>0</v>
      </c>
      <c r="P2089">
        <v>0</v>
      </c>
      <c r="Q2089">
        <v>6023</v>
      </c>
      <c r="R2089" t="s">
        <v>97</v>
      </c>
      <c r="S2089">
        <v>0</v>
      </c>
      <c r="T2089">
        <v>0</v>
      </c>
      <c r="U2089">
        <v>0</v>
      </c>
      <c r="V2089" t="s">
        <v>98</v>
      </c>
      <c r="W2089" t="s">
        <v>99</v>
      </c>
    </row>
    <row r="2090" spans="1:23" x14ac:dyDescent="0.35">
      <c r="A2090" t="s">
        <v>45</v>
      </c>
      <c r="B2090" t="s">
        <v>4236</v>
      </c>
      <c r="C2090" t="s">
        <v>47</v>
      </c>
      <c r="D2090" t="s">
        <v>4334</v>
      </c>
      <c r="E2090" t="s">
        <v>4334</v>
      </c>
      <c r="F2090" t="s">
        <v>49</v>
      </c>
      <c r="G2090" t="s">
        <v>4335</v>
      </c>
      <c r="H2090" t="s">
        <v>4336</v>
      </c>
      <c r="J2090" t="str">
        <f>HYPERLINK("https://www.youtube.com/watch?v=rDvS2xihcsk&amp;lc=UgxSR4XPIr4JHDo3v794AaABAg","https://www.youtube.com/watch?v=rDvS2xihcsk&amp;lc=UgxSR4XPIr4JHDo3v794AaABAg")</f>
        <v>https://www.youtube.com/watch?v=rDvS2xihcsk&amp;lc=UgxSR4XPIr4JHDo3v794AaABAg</v>
      </c>
      <c r="O2090">
        <v>0</v>
      </c>
      <c r="P2090">
        <v>0</v>
      </c>
      <c r="Q2090">
        <v>0</v>
      </c>
      <c r="S2090">
        <v>0</v>
      </c>
      <c r="T2090">
        <v>0</v>
      </c>
      <c r="U2090">
        <v>0</v>
      </c>
      <c r="W2090" t="s">
        <v>52</v>
      </c>
    </row>
    <row r="2091" spans="1:23" x14ac:dyDescent="0.35">
      <c r="A2091" t="s">
        <v>45</v>
      </c>
      <c r="B2091" t="s">
        <v>4236</v>
      </c>
      <c r="C2091" t="s">
        <v>47</v>
      </c>
      <c r="D2091" t="s">
        <v>4334</v>
      </c>
      <c r="E2091" t="s">
        <v>4334</v>
      </c>
      <c r="F2091" t="s">
        <v>49</v>
      </c>
      <c r="G2091" t="s">
        <v>4337</v>
      </c>
      <c r="H2091" t="s">
        <v>4338</v>
      </c>
      <c r="J2091" t="str">
        <f>HYPERLINK("https://www.youtube.com/watch?v=rDvS2xihcsk&amp;lc=UgyMotEW2MjzSXKqcGp4AaABAg","https://www.youtube.com/watch?v=rDvS2xihcsk&amp;lc=UgyMotEW2MjzSXKqcGp4AaABAg")</f>
        <v>https://www.youtube.com/watch?v=rDvS2xihcsk&amp;lc=UgyMotEW2MjzSXKqcGp4AaABAg</v>
      </c>
      <c r="O2091">
        <v>0</v>
      </c>
      <c r="P2091">
        <v>0</v>
      </c>
      <c r="Q2091">
        <v>0</v>
      </c>
      <c r="S2091">
        <v>0</v>
      </c>
      <c r="T2091">
        <v>0</v>
      </c>
      <c r="U2091">
        <v>0</v>
      </c>
      <c r="W2091" t="s">
        <v>52</v>
      </c>
    </row>
    <row r="2092" spans="1:23" x14ac:dyDescent="0.35">
      <c r="A2092" t="s">
        <v>45</v>
      </c>
      <c r="B2092" t="s">
        <v>4236</v>
      </c>
      <c r="C2092" t="s">
        <v>60</v>
      </c>
      <c r="D2092" t="s">
        <v>64</v>
      </c>
      <c r="E2092" t="s">
        <v>64</v>
      </c>
      <c r="F2092" t="s">
        <v>49</v>
      </c>
      <c r="G2092" t="s">
        <v>266</v>
      </c>
      <c r="H2092" t="s">
        <v>4339</v>
      </c>
      <c r="J2092" t="str">
        <f>HYPERLINK("https://www.facebook.com/634639855377280/posts/787476670093597?comment_id=362484566577741&amp;reply_comment_id=713265594263599","https://www.facebook.com/634639855377280/posts/787476670093597?comment_id=362484566577741&amp;reply_comment_id=713265594263599")</f>
        <v>https://www.facebook.com/634639855377280/posts/787476670093597?comment_id=362484566577741&amp;reply_comment_id=713265594263599</v>
      </c>
      <c r="K2092" t="s">
        <v>67</v>
      </c>
      <c r="O2092">
        <v>0</v>
      </c>
      <c r="P2092">
        <v>0</v>
      </c>
      <c r="Q2092">
        <v>0</v>
      </c>
      <c r="S2092">
        <v>0</v>
      </c>
      <c r="T2092">
        <v>0</v>
      </c>
      <c r="U2092">
        <v>0</v>
      </c>
      <c r="W2092" t="s">
        <v>52</v>
      </c>
    </row>
    <row r="2093" spans="1:23" x14ac:dyDescent="0.35">
      <c r="A2093" t="s">
        <v>45</v>
      </c>
      <c r="B2093" t="s">
        <v>4236</v>
      </c>
      <c r="C2093" t="s">
        <v>60</v>
      </c>
      <c r="D2093" t="s">
        <v>64</v>
      </c>
      <c r="E2093" t="s">
        <v>64</v>
      </c>
      <c r="F2093" t="s">
        <v>49</v>
      </c>
      <c r="G2093" t="s">
        <v>3773</v>
      </c>
      <c r="H2093" t="s">
        <v>4340</v>
      </c>
      <c r="J2093" t="str">
        <f>HYPERLINK("https://www.facebook.com/634639855377280/posts/787942146713716?comment_id=1472246209992170&amp;reply_comment_id=1423394384941362","https://www.facebook.com/634639855377280/posts/787942146713716?comment_id=1472246209992170&amp;reply_comment_id=1423394384941362")</f>
        <v>https://www.facebook.com/634639855377280/posts/787942146713716?comment_id=1472246209992170&amp;reply_comment_id=1423394384941362</v>
      </c>
      <c r="K2093" t="s">
        <v>67</v>
      </c>
      <c r="O2093">
        <v>0</v>
      </c>
      <c r="P2093">
        <v>0</v>
      </c>
      <c r="Q2093">
        <v>0</v>
      </c>
      <c r="S2093">
        <v>0</v>
      </c>
      <c r="T2093">
        <v>0</v>
      </c>
      <c r="U2093">
        <v>0</v>
      </c>
      <c r="W2093" t="s">
        <v>52</v>
      </c>
    </row>
    <row r="2094" spans="1:23" x14ac:dyDescent="0.35">
      <c r="A2094" t="s">
        <v>45</v>
      </c>
      <c r="B2094" t="s">
        <v>4236</v>
      </c>
      <c r="C2094" t="s">
        <v>93</v>
      </c>
      <c r="D2094" t="s">
        <v>4311</v>
      </c>
      <c r="E2094" t="s">
        <v>4312</v>
      </c>
      <c r="F2094" t="s">
        <v>49</v>
      </c>
      <c r="G2094" t="s">
        <v>4341</v>
      </c>
      <c r="H2094" t="s">
        <v>4342</v>
      </c>
      <c r="J2094" t="str">
        <f>HYPERLINK("https://twitter.com/Ankit_Sitapur1/status/1755920712538157380","https://twitter.com/Ankit_Sitapur1/status/1755920712538157380")</f>
        <v>https://twitter.com/Ankit_Sitapur1/status/1755920712538157380</v>
      </c>
      <c r="K2094" t="s">
        <v>67</v>
      </c>
      <c r="O2094">
        <v>0</v>
      </c>
      <c r="P2094">
        <v>0</v>
      </c>
      <c r="Q2094">
        <v>353</v>
      </c>
      <c r="R2094" t="s">
        <v>4314</v>
      </c>
      <c r="S2094">
        <v>0</v>
      </c>
      <c r="T2094">
        <v>0</v>
      </c>
      <c r="U2094">
        <v>0</v>
      </c>
      <c r="W2094" t="s">
        <v>99</v>
      </c>
    </row>
    <row r="2095" spans="1:23" x14ac:dyDescent="0.35">
      <c r="A2095" t="s">
        <v>45</v>
      </c>
      <c r="B2095" t="s">
        <v>4236</v>
      </c>
      <c r="C2095" t="s">
        <v>47</v>
      </c>
      <c r="D2095" t="s">
        <v>68</v>
      </c>
      <c r="E2095" t="s">
        <v>68</v>
      </c>
      <c r="F2095" t="s">
        <v>49</v>
      </c>
      <c r="G2095" t="s">
        <v>162</v>
      </c>
      <c r="H2095" t="s">
        <v>4343</v>
      </c>
      <c r="J2095" t="str">
        <f>HYPERLINK("https://www.youtube.com/watch?v=DMlpygM0MQM&amp;lc=UgxROEl0gwh2TU7meHV4AaABAg.A-EnI7t8mBqA-aXRRgm7rq","https://www.youtube.com/watch?v=DMlpygM0MQM&amp;lc=UgxROEl0gwh2TU7meHV4AaABAg.A-EnI7t8mBqA-aXRRgm7rq")</f>
        <v>https://www.youtube.com/watch?v=DMlpygM0MQM&amp;lc=UgxROEl0gwh2TU7meHV4AaABAg.A-EnI7t8mBqA-aXRRgm7rq</v>
      </c>
      <c r="O2095">
        <v>0</v>
      </c>
      <c r="P2095">
        <v>0</v>
      </c>
      <c r="Q2095">
        <v>0</v>
      </c>
      <c r="S2095">
        <v>0</v>
      </c>
      <c r="T2095">
        <v>0</v>
      </c>
      <c r="U2095">
        <v>0</v>
      </c>
      <c r="W2095" t="s">
        <v>52</v>
      </c>
    </row>
    <row r="2096" spans="1:23" x14ac:dyDescent="0.35">
      <c r="A2096" t="s">
        <v>45</v>
      </c>
      <c r="B2096" t="s">
        <v>4236</v>
      </c>
      <c r="C2096" t="s">
        <v>47</v>
      </c>
      <c r="D2096" t="s">
        <v>68</v>
      </c>
      <c r="E2096" t="s">
        <v>68</v>
      </c>
      <c r="F2096" t="s">
        <v>49</v>
      </c>
      <c r="G2096" t="s">
        <v>4344</v>
      </c>
      <c r="H2096" t="s">
        <v>4345</v>
      </c>
      <c r="J2096" t="str">
        <f>HYPERLINK("https://www.youtube.com/watch?v=mfHtMEJS28Y&amp;lc=UgziUeXIr_BZyP6MmxN4AaABAg.A-ZS-PkOndSA-aX58qeLVw","https://www.youtube.com/watch?v=mfHtMEJS28Y&amp;lc=UgziUeXIr_BZyP6MmxN4AaABAg.A-ZS-PkOndSA-aX58qeLVw")</f>
        <v>https://www.youtube.com/watch?v=mfHtMEJS28Y&amp;lc=UgziUeXIr_BZyP6MmxN4AaABAg.A-ZS-PkOndSA-aX58qeLVw</v>
      </c>
      <c r="O2096">
        <v>0</v>
      </c>
      <c r="P2096">
        <v>0</v>
      </c>
      <c r="Q2096">
        <v>0</v>
      </c>
      <c r="S2096">
        <v>0</v>
      </c>
      <c r="T2096">
        <v>0</v>
      </c>
      <c r="U2096">
        <v>0</v>
      </c>
      <c r="W2096" t="s">
        <v>52</v>
      </c>
    </row>
    <row r="2097" spans="1:23" x14ac:dyDescent="0.35">
      <c r="A2097" t="s">
        <v>45</v>
      </c>
      <c r="B2097" t="s">
        <v>4236</v>
      </c>
      <c r="C2097" t="s">
        <v>47</v>
      </c>
      <c r="D2097" t="s">
        <v>68</v>
      </c>
      <c r="E2097" t="s">
        <v>68</v>
      </c>
      <c r="F2097" t="s">
        <v>49</v>
      </c>
      <c r="G2097" t="s">
        <v>3901</v>
      </c>
      <c r="H2097" t="s">
        <v>4346</v>
      </c>
      <c r="J2097" t="str">
        <f>HYPERLINK("https://www.youtube.com/watch?v=YQSdpP96l0U&amp;lc=Ugzy2VRomDSwgXMW8EN4AaABAg.A-aG2PT8pGGA-aWe0GUd09","https://www.youtube.com/watch?v=YQSdpP96l0U&amp;lc=Ugzy2VRomDSwgXMW8EN4AaABAg.A-aG2PT8pGGA-aWe0GUd09")</f>
        <v>https://www.youtube.com/watch?v=YQSdpP96l0U&amp;lc=Ugzy2VRomDSwgXMW8EN4AaABAg.A-aG2PT8pGGA-aWe0GUd09</v>
      </c>
      <c r="O2097">
        <v>0</v>
      </c>
      <c r="P2097">
        <v>0</v>
      </c>
      <c r="Q2097">
        <v>0</v>
      </c>
      <c r="S2097">
        <v>0</v>
      </c>
      <c r="T2097">
        <v>0</v>
      </c>
      <c r="U2097">
        <v>0</v>
      </c>
      <c r="W2097" t="s">
        <v>52</v>
      </c>
    </row>
    <row r="2098" spans="1:23" x14ac:dyDescent="0.35">
      <c r="A2098" t="s">
        <v>45</v>
      </c>
      <c r="B2098" t="s">
        <v>4236</v>
      </c>
      <c r="C2098" t="s">
        <v>47</v>
      </c>
      <c r="D2098" t="s">
        <v>68</v>
      </c>
      <c r="E2098" t="s">
        <v>68</v>
      </c>
      <c r="F2098" t="s">
        <v>49</v>
      </c>
      <c r="G2098" t="s">
        <v>1595</v>
      </c>
      <c r="H2098" t="s">
        <v>4347</v>
      </c>
      <c r="J2098" t="str">
        <f>HYPERLINK("https://www.youtube.com/watch?v=YQSdpP96l0U&amp;lc=Ugwd7-emBlOkND5kHzl4AaABAg.A-aGKSeg4iKA-aW_xI-P8h","https://www.youtube.com/watch?v=YQSdpP96l0U&amp;lc=Ugwd7-emBlOkND5kHzl4AaABAg.A-aGKSeg4iKA-aW_xI-P8h")</f>
        <v>https://www.youtube.com/watch?v=YQSdpP96l0U&amp;lc=Ugwd7-emBlOkND5kHzl4AaABAg.A-aGKSeg4iKA-aW_xI-P8h</v>
      </c>
      <c r="O2098">
        <v>0</v>
      </c>
      <c r="P2098">
        <v>0</v>
      </c>
      <c r="Q2098">
        <v>0</v>
      </c>
      <c r="S2098">
        <v>0</v>
      </c>
      <c r="T2098">
        <v>0</v>
      </c>
      <c r="U2098">
        <v>0</v>
      </c>
      <c r="W2098" t="s">
        <v>52</v>
      </c>
    </row>
    <row r="2099" spans="1:23" x14ac:dyDescent="0.35">
      <c r="A2099" t="s">
        <v>45</v>
      </c>
      <c r="B2099" t="s">
        <v>4236</v>
      </c>
      <c r="C2099" t="s">
        <v>47</v>
      </c>
      <c r="D2099" t="s">
        <v>68</v>
      </c>
      <c r="E2099" t="s">
        <v>68</v>
      </c>
      <c r="F2099" t="s">
        <v>49</v>
      </c>
      <c r="G2099" t="s">
        <v>270</v>
      </c>
      <c r="H2099" t="s">
        <v>4348</v>
      </c>
      <c r="J2099" t="str">
        <f>HYPERLINK("https://www.youtube.com/watch?v=YQSdpP96l0U&amp;lc=UgwMz66QzedSInQ_83h4AaABAg.A-aEnz_d0G3A-aWWHVfPyc","https://www.youtube.com/watch?v=YQSdpP96l0U&amp;lc=UgwMz66QzedSInQ_83h4AaABAg.A-aEnz_d0G3A-aWWHVfPyc")</f>
        <v>https://www.youtube.com/watch?v=YQSdpP96l0U&amp;lc=UgwMz66QzedSInQ_83h4AaABAg.A-aEnz_d0G3A-aWWHVfPyc</v>
      </c>
      <c r="O2099">
        <v>0</v>
      </c>
      <c r="P2099">
        <v>0</v>
      </c>
      <c r="Q2099">
        <v>0</v>
      </c>
      <c r="S2099">
        <v>0</v>
      </c>
      <c r="T2099">
        <v>0</v>
      </c>
      <c r="U2099">
        <v>0</v>
      </c>
      <c r="W2099" t="s">
        <v>52</v>
      </c>
    </row>
    <row r="2100" spans="1:23" x14ac:dyDescent="0.35">
      <c r="A2100" t="s">
        <v>45</v>
      </c>
      <c r="B2100" t="s">
        <v>4236</v>
      </c>
      <c r="C2100" t="s">
        <v>47</v>
      </c>
      <c r="D2100" t="s">
        <v>68</v>
      </c>
      <c r="E2100" t="s">
        <v>68</v>
      </c>
      <c r="F2100" t="s">
        <v>49</v>
      </c>
      <c r="G2100" t="s">
        <v>102</v>
      </c>
      <c r="H2100" t="s">
        <v>4349</v>
      </c>
      <c r="J2100" t="str">
        <f>HYPERLINK("https://www.youtube.com/watch?v=YQSdpP96l0U&amp;lc=UgyimxiVWf0B61MsPcZ4AaABAg.A-aLufqqg2nA-aWGSBpwTt","https://www.youtube.com/watch?v=YQSdpP96l0U&amp;lc=UgyimxiVWf0B61MsPcZ4AaABAg.A-aLufqqg2nA-aWGSBpwTt")</f>
        <v>https://www.youtube.com/watch?v=YQSdpP96l0U&amp;lc=UgyimxiVWf0B61MsPcZ4AaABAg.A-aLufqqg2nA-aWGSBpwTt</v>
      </c>
      <c r="O2100">
        <v>0</v>
      </c>
      <c r="P2100">
        <v>0</v>
      </c>
      <c r="Q2100">
        <v>0</v>
      </c>
      <c r="S2100">
        <v>0</v>
      </c>
      <c r="T2100">
        <v>0</v>
      </c>
      <c r="U2100">
        <v>0</v>
      </c>
      <c r="W2100" t="s">
        <v>52</v>
      </c>
    </row>
    <row r="2101" spans="1:23" x14ac:dyDescent="0.35">
      <c r="A2101" t="s">
        <v>45</v>
      </c>
      <c r="B2101" t="s">
        <v>4236</v>
      </c>
      <c r="C2101" t="s">
        <v>47</v>
      </c>
      <c r="D2101" t="s">
        <v>68</v>
      </c>
      <c r="E2101" t="s">
        <v>68</v>
      </c>
      <c r="F2101" t="s">
        <v>49</v>
      </c>
      <c r="G2101" t="s">
        <v>162</v>
      </c>
      <c r="H2101" t="s">
        <v>4350</v>
      </c>
      <c r="J2101" t="str">
        <f>HYPERLINK("https://www.youtube.com/watch?v=YQSdpP96l0U&amp;lc=UgxMOANDzWeo5Ld_l314AaABAg.A-aJnzu04DtA-aWDOqwHoL","https://www.youtube.com/watch?v=YQSdpP96l0U&amp;lc=UgxMOANDzWeo5Ld_l314AaABAg.A-aJnzu04DtA-aWDOqwHoL")</f>
        <v>https://www.youtube.com/watch?v=YQSdpP96l0U&amp;lc=UgxMOANDzWeo5Ld_l314AaABAg.A-aJnzu04DtA-aWDOqwHoL</v>
      </c>
      <c r="O2101">
        <v>0</v>
      </c>
      <c r="P2101">
        <v>0</v>
      </c>
      <c r="Q2101">
        <v>0</v>
      </c>
      <c r="S2101">
        <v>0</v>
      </c>
      <c r="T2101">
        <v>0</v>
      </c>
      <c r="U2101">
        <v>0</v>
      </c>
      <c r="W2101" t="s">
        <v>52</v>
      </c>
    </row>
    <row r="2102" spans="1:23" x14ac:dyDescent="0.35">
      <c r="A2102" t="s">
        <v>45</v>
      </c>
      <c r="B2102" t="s">
        <v>4236</v>
      </c>
      <c r="C2102" t="s">
        <v>47</v>
      </c>
      <c r="D2102" t="s">
        <v>68</v>
      </c>
      <c r="E2102" t="s">
        <v>68</v>
      </c>
      <c r="F2102" t="s">
        <v>49</v>
      </c>
      <c r="G2102" t="s">
        <v>102</v>
      </c>
      <c r="H2102" t="s">
        <v>4351</v>
      </c>
      <c r="J2102" t="str">
        <f>HYPERLINK("https://www.youtube.com/watch?v=YQSdpP96l0U&amp;lc=UgwYErUdRHWfiKVHiBt4AaABAg.A-aNWze0KpkA-aWAVWG_C5","https://www.youtube.com/watch?v=YQSdpP96l0U&amp;lc=UgwYErUdRHWfiKVHiBt4AaABAg.A-aNWze0KpkA-aWAVWG_C5")</f>
        <v>https://www.youtube.com/watch?v=YQSdpP96l0U&amp;lc=UgwYErUdRHWfiKVHiBt4AaABAg.A-aNWze0KpkA-aWAVWG_C5</v>
      </c>
      <c r="O2102">
        <v>0</v>
      </c>
      <c r="P2102">
        <v>0</v>
      </c>
      <c r="Q2102">
        <v>0</v>
      </c>
      <c r="S2102">
        <v>0</v>
      </c>
      <c r="T2102">
        <v>0</v>
      </c>
      <c r="U2102">
        <v>0</v>
      </c>
      <c r="W2102" t="s">
        <v>52</v>
      </c>
    </row>
    <row r="2103" spans="1:23" x14ac:dyDescent="0.35">
      <c r="A2103" t="s">
        <v>45</v>
      </c>
      <c r="B2103" t="s">
        <v>4236</v>
      </c>
      <c r="C2103" t="s">
        <v>60</v>
      </c>
      <c r="D2103" t="s">
        <v>61</v>
      </c>
      <c r="E2103" t="s">
        <v>61</v>
      </c>
      <c r="F2103" t="s">
        <v>49</v>
      </c>
      <c r="G2103" t="s">
        <v>4352</v>
      </c>
      <c r="H2103" t="s">
        <v>4353</v>
      </c>
      <c r="J2103" t="str">
        <f>HYPERLINK("https://www.facebook.com/634639855377280/posts/786878883486709?comment_id=3770072393226543","https://www.facebook.com/634639855377280/posts/786878883486709?comment_id=3770072393226543")</f>
        <v>https://www.facebook.com/634639855377280/posts/786878883486709?comment_id=3770072393226543</v>
      </c>
      <c r="O2103">
        <v>0</v>
      </c>
      <c r="P2103">
        <v>0</v>
      </c>
      <c r="Q2103">
        <v>0</v>
      </c>
      <c r="S2103">
        <v>0</v>
      </c>
      <c r="T2103">
        <v>0</v>
      </c>
      <c r="U2103">
        <v>0</v>
      </c>
      <c r="W2103" t="s">
        <v>52</v>
      </c>
    </row>
    <row r="2104" spans="1:23" x14ac:dyDescent="0.35">
      <c r="A2104" t="s">
        <v>45</v>
      </c>
      <c r="B2104" t="s">
        <v>4236</v>
      </c>
      <c r="C2104" t="s">
        <v>47</v>
      </c>
      <c r="D2104" t="s">
        <v>4354</v>
      </c>
      <c r="E2104" t="s">
        <v>4354</v>
      </c>
      <c r="F2104" t="s">
        <v>54</v>
      </c>
      <c r="G2104" t="s">
        <v>4355</v>
      </c>
      <c r="H2104" t="s">
        <v>4356</v>
      </c>
      <c r="J2104" t="str">
        <f>HYPERLINK("https://www.youtube.com/watch?v=YQSdpP96l0U&amp;lc=Ugwd7-emBlOkND5kHzl4AaABAg.A-aGKSeg4iKA-aNwj_RTl3","https://www.youtube.com/watch?v=YQSdpP96l0U&amp;lc=Ugwd7-emBlOkND5kHzl4AaABAg.A-aGKSeg4iKA-aNwj_RTl3")</f>
        <v>https://www.youtube.com/watch?v=YQSdpP96l0U&amp;lc=Ugwd7-emBlOkND5kHzl4AaABAg.A-aGKSeg4iKA-aNwj_RTl3</v>
      </c>
      <c r="O2104">
        <v>0</v>
      </c>
      <c r="P2104">
        <v>0</v>
      </c>
      <c r="Q2104">
        <v>0</v>
      </c>
      <c r="S2104">
        <v>0</v>
      </c>
      <c r="T2104">
        <v>0</v>
      </c>
      <c r="U2104">
        <v>0</v>
      </c>
      <c r="W2104" t="s">
        <v>52</v>
      </c>
    </row>
    <row r="2105" spans="1:23" x14ac:dyDescent="0.35">
      <c r="A2105" t="s">
        <v>45</v>
      </c>
      <c r="B2105" t="s">
        <v>4236</v>
      </c>
      <c r="C2105" t="s">
        <v>47</v>
      </c>
      <c r="D2105" t="s">
        <v>351</v>
      </c>
      <c r="E2105" t="s">
        <v>351</v>
      </c>
      <c r="F2105" t="s">
        <v>49</v>
      </c>
      <c r="G2105" t="s">
        <v>4357</v>
      </c>
      <c r="H2105" t="s">
        <v>4358</v>
      </c>
      <c r="J2105" t="str">
        <f>HYPERLINK("https://www.youtube.com/watch?v=YQSdpP96l0U&amp;lc=UgwYErUdRHWfiKVHiBt4AaABAg","https://www.youtube.com/watch?v=YQSdpP96l0U&amp;lc=UgwYErUdRHWfiKVHiBt4AaABAg")</f>
        <v>https://www.youtube.com/watch?v=YQSdpP96l0U&amp;lc=UgwYErUdRHWfiKVHiBt4AaABAg</v>
      </c>
      <c r="O2105">
        <v>0</v>
      </c>
      <c r="P2105">
        <v>0</v>
      </c>
      <c r="Q2105">
        <v>0</v>
      </c>
      <c r="S2105">
        <v>0</v>
      </c>
      <c r="T2105">
        <v>0</v>
      </c>
      <c r="U2105">
        <v>0</v>
      </c>
      <c r="W2105" t="s">
        <v>52</v>
      </c>
    </row>
    <row r="2106" spans="1:23" x14ac:dyDescent="0.35">
      <c r="A2106" t="s">
        <v>45</v>
      </c>
      <c r="B2106" t="s">
        <v>4236</v>
      </c>
      <c r="C2106" t="s">
        <v>47</v>
      </c>
      <c r="D2106" t="s">
        <v>4359</v>
      </c>
      <c r="E2106" t="s">
        <v>4359</v>
      </c>
      <c r="F2106" t="s">
        <v>49</v>
      </c>
      <c r="G2106" t="s">
        <v>4360</v>
      </c>
      <c r="H2106" t="s">
        <v>4361</v>
      </c>
      <c r="J2106" t="str">
        <f>HYPERLINK("https://www.youtube.com/watch?v=YQSdpP96l0U&amp;lc=UgyimxiVWf0B61MsPcZ4AaABAg","https://www.youtube.com/watch?v=YQSdpP96l0U&amp;lc=UgyimxiVWf0B61MsPcZ4AaABAg")</f>
        <v>https://www.youtube.com/watch?v=YQSdpP96l0U&amp;lc=UgyimxiVWf0B61MsPcZ4AaABAg</v>
      </c>
      <c r="O2106">
        <v>0</v>
      </c>
      <c r="P2106">
        <v>0</v>
      </c>
      <c r="Q2106">
        <v>0</v>
      </c>
      <c r="S2106">
        <v>0</v>
      </c>
      <c r="T2106">
        <v>0</v>
      </c>
      <c r="U2106">
        <v>0</v>
      </c>
      <c r="W2106" t="s">
        <v>52</v>
      </c>
    </row>
    <row r="2107" spans="1:23" x14ac:dyDescent="0.35">
      <c r="A2107" t="s">
        <v>45</v>
      </c>
      <c r="B2107" t="s">
        <v>4236</v>
      </c>
      <c r="C2107" t="s">
        <v>60</v>
      </c>
      <c r="D2107" t="s">
        <v>61</v>
      </c>
      <c r="E2107" t="s">
        <v>61</v>
      </c>
      <c r="F2107" t="s">
        <v>49</v>
      </c>
      <c r="G2107" t="s">
        <v>4362</v>
      </c>
      <c r="H2107" t="s">
        <v>4363</v>
      </c>
      <c r="J2107" t="str">
        <f>HYPERLINK("https://www.facebook.com/634639855377280/posts/787942146713716?comment_id=1472246209992170","https://www.facebook.com/634639855377280/posts/787942146713716?comment_id=1472246209992170")</f>
        <v>https://www.facebook.com/634639855377280/posts/787942146713716?comment_id=1472246209992170</v>
      </c>
      <c r="O2107">
        <v>0</v>
      </c>
      <c r="P2107">
        <v>0</v>
      </c>
      <c r="Q2107">
        <v>0</v>
      </c>
      <c r="S2107">
        <v>0</v>
      </c>
      <c r="T2107">
        <v>0</v>
      </c>
      <c r="U2107">
        <v>0</v>
      </c>
      <c r="W2107" t="s">
        <v>52</v>
      </c>
    </row>
    <row r="2108" spans="1:23" x14ac:dyDescent="0.35">
      <c r="A2108" t="s">
        <v>45</v>
      </c>
      <c r="B2108" t="s">
        <v>4236</v>
      </c>
      <c r="C2108" t="s">
        <v>47</v>
      </c>
      <c r="D2108" t="s">
        <v>4364</v>
      </c>
      <c r="E2108" t="s">
        <v>4364</v>
      </c>
      <c r="F2108" t="s">
        <v>49</v>
      </c>
      <c r="G2108" t="s">
        <v>4365</v>
      </c>
      <c r="H2108" t="s">
        <v>4366</v>
      </c>
      <c r="J2108" t="str">
        <f>HYPERLINK("https://www.youtube.com/watch?v=YQSdpP96l0U&amp;lc=UgxMOANDzWeo5Ld_l314AaABAg","https://www.youtube.com/watch?v=YQSdpP96l0U&amp;lc=UgxMOANDzWeo5Ld_l314AaABAg")</f>
        <v>https://www.youtube.com/watch?v=YQSdpP96l0U&amp;lc=UgxMOANDzWeo5Ld_l314AaABAg</v>
      </c>
      <c r="O2108">
        <v>0</v>
      </c>
      <c r="P2108">
        <v>0</v>
      </c>
      <c r="Q2108">
        <v>0</v>
      </c>
      <c r="S2108">
        <v>0</v>
      </c>
      <c r="T2108">
        <v>0</v>
      </c>
      <c r="U2108">
        <v>0</v>
      </c>
      <c r="W2108" t="s">
        <v>52</v>
      </c>
    </row>
    <row r="2109" spans="1:23" x14ac:dyDescent="0.35">
      <c r="A2109" t="s">
        <v>45</v>
      </c>
      <c r="B2109" t="s">
        <v>4236</v>
      </c>
      <c r="C2109" t="s">
        <v>93</v>
      </c>
      <c r="D2109" t="s">
        <v>94</v>
      </c>
      <c r="E2109" t="s">
        <v>45</v>
      </c>
      <c r="F2109" t="s">
        <v>49</v>
      </c>
      <c r="G2109" t="s">
        <v>4367</v>
      </c>
      <c r="H2109" t="s">
        <v>4368</v>
      </c>
      <c r="J2109" t="str">
        <f>HYPERLINK("https://twitter.com/SpiceMoneyIndia/status/1755885757976252636","https://twitter.com/SpiceMoneyIndia/status/1755885757976252636")</f>
        <v>https://twitter.com/SpiceMoneyIndia/status/1755885757976252636</v>
      </c>
      <c r="K2109" t="s">
        <v>67</v>
      </c>
      <c r="O2109">
        <v>0</v>
      </c>
      <c r="P2109">
        <v>0</v>
      </c>
      <c r="Q2109">
        <v>6023</v>
      </c>
      <c r="R2109" t="s">
        <v>97</v>
      </c>
      <c r="S2109">
        <v>0</v>
      </c>
      <c r="T2109">
        <v>0</v>
      </c>
      <c r="U2109">
        <v>0</v>
      </c>
      <c r="V2109" t="s">
        <v>98</v>
      </c>
      <c r="W2109" t="s">
        <v>99</v>
      </c>
    </row>
    <row r="2110" spans="1:23" x14ac:dyDescent="0.35">
      <c r="A2110" t="s">
        <v>45</v>
      </c>
      <c r="B2110" t="s">
        <v>4236</v>
      </c>
      <c r="C2110" t="s">
        <v>60</v>
      </c>
      <c r="D2110" t="s">
        <v>64</v>
      </c>
      <c r="E2110" t="s">
        <v>64</v>
      </c>
      <c r="F2110" t="s">
        <v>49</v>
      </c>
      <c r="G2110" t="s">
        <v>4369</v>
      </c>
      <c r="H2110" t="s">
        <v>4370</v>
      </c>
      <c r="J2110" t="str">
        <f>HYPERLINK("https://www.facebook.com/634639855377280/posts/788023660038898","https://www.facebook.com/634639855377280/posts/788023660038898")</f>
        <v>https://www.facebook.com/634639855377280/posts/788023660038898</v>
      </c>
      <c r="O2110">
        <v>0</v>
      </c>
      <c r="P2110">
        <v>0</v>
      </c>
      <c r="Q2110">
        <v>0</v>
      </c>
      <c r="S2110">
        <v>1</v>
      </c>
      <c r="T2110">
        <v>35</v>
      </c>
      <c r="U2110">
        <v>2</v>
      </c>
      <c r="W2110" t="s">
        <v>346</v>
      </c>
    </row>
    <row r="2111" spans="1:23" x14ac:dyDescent="0.35">
      <c r="A2111" t="s">
        <v>45</v>
      </c>
      <c r="B2111" t="s">
        <v>4236</v>
      </c>
      <c r="C2111" t="s">
        <v>47</v>
      </c>
      <c r="D2111" t="s">
        <v>1053</v>
      </c>
      <c r="E2111" t="s">
        <v>1053</v>
      </c>
      <c r="F2111" t="s">
        <v>49</v>
      </c>
      <c r="G2111" t="s">
        <v>1702</v>
      </c>
      <c r="H2111" t="s">
        <v>4371</v>
      </c>
      <c r="J2111" t="str">
        <f>HYPERLINK("https://www.youtube.com/watch?v=YQSdpP96l0U&amp;lc=Ugwd7-emBlOkND5kHzl4AaABAg","https://www.youtube.com/watch?v=YQSdpP96l0U&amp;lc=Ugwd7-emBlOkND5kHzl4AaABAg")</f>
        <v>https://www.youtube.com/watch?v=YQSdpP96l0U&amp;lc=Ugwd7-emBlOkND5kHzl4AaABAg</v>
      </c>
      <c r="O2111">
        <v>0</v>
      </c>
      <c r="P2111">
        <v>0</v>
      </c>
      <c r="Q2111">
        <v>0</v>
      </c>
      <c r="S2111">
        <v>0</v>
      </c>
      <c r="T2111">
        <v>0</v>
      </c>
      <c r="U2111">
        <v>0</v>
      </c>
      <c r="W2111" t="s">
        <v>52</v>
      </c>
    </row>
    <row r="2112" spans="1:23" x14ac:dyDescent="0.35">
      <c r="A2112" t="s">
        <v>45</v>
      </c>
      <c r="B2112" t="s">
        <v>4236</v>
      </c>
      <c r="C2112" t="s">
        <v>47</v>
      </c>
      <c r="D2112" t="s">
        <v>4372</v>
      </c>
      <c r="E2112" t="s">
        <v>4372</v>
      </c>
      <c r="F2112" t="s">
        <v>49</v>
      </c>
      <c r="G2112" t="s">
        <v>4373</v>
      </c>
      <c r="H2112" t="s">
        <v>4374</v>
      </c>
      <c r="J2112" t="str">
        <f>HYPERLINK("https://www.youtube.com/watch?v=YQSdpP96l0U&amp;lc=Ugzy2VRomDSwgXMW8EN4AaABAg","https://www.youtube.com/watch?v=YQSdpP96l0U&amp;lc=Ugzy2VRomDSwgXMW8EN4AaABAg")</f>
        <v>https://www.youtube.com/watch?v=YQSdpP96l0U&amp;lc=Ugzy2VRomDSwgXMW8EN4AaABAg</v>
      </c>
      <c r="O2112">
        <v>0</v>
      </c>
      <c r="P2112">
        <v>0</v>
      </c>
      <c r="Q2112">
        <v>0</v>
      </c>
      <c r="S2112">
        <v>0</v>
      </c>
      <c r="T2112">
        <v>0</v>
      </c>
      <c r="U2112">
        <v>0</v>
      </c>
      <c r="W2112" t="s">
        <v>52</v>
      </c>
    </row>
    <row r="2113" spans="1:23" x14ac:dyDescent="0.35">
      <c r="A2113" t="s">
        <v>45</v>
      </c>
      <c r="B2113" t="s">
        <v>4236</v>
      </c>
      <c r="C2113" t="s">
        <v>47</v>
      </c>
      <c r="D2113" t="s">
        <v>1053</v>
      </c>
      <c r="E2113" t="s">
        <v>1053</v>
      </c>
      <c r="F2113" t="s">
        <v>49</v>
      </c>
      <c r="G2113" t="s">
        <v>4375</v>
      </c>
      <c r="H2113" t="s">
        <v>4376</v>
      </c>
      <c r="J2113" t="str">
        <f>HYPERLINK("https://www.youtube.com/watch?v=YQSdpP96l0U&amp;lc=Ugx4keLuDGNKCiYRIkp4AaABAg","https://www.youtube.com/watch?v=YQSdpP96l0U&amp;lc=Ugx4keLuDGNKCiYRIkp4AaABAg")</f>
        <v>https://www.youtube.com/watch?v=YQSdpP96l0U&amp;lc=Ugx4keLuDGNKCiYRIkp4AaABAg</v>
      </c>
      <c r="O2113">
        <v>0</v>
      </c>
      <c r="P2113">
        <v>0</v>
      </c>
      <c r="Q2113">
        <v>0</v>
      </c>
      <c r="S2113">
        <v>0</v>
      </c>
      <c r="T2113">
        <v>0</v>
      </c>
      <c r="U2113">
        <v>0</v>
      </c>
      <c r="W2113" t="s">
        <v>52</v>
      </c>
    </row>
    <row r="2114" spans="1:23" x14ac:dyDescent="0.35">
      <c r="A2114" t="s">
        <v>45</v>
      </c>
      <c r="B2114" t="s">
        <v>4236</v>
      </c>
      <c r="C2114" t="s">
        <v>47</v>
      </c>
      <c r="D2114" t="s">
        <v>4377</v>
      </c>
      <c r="E2114" t="s">
        <v>4377</v>
      </c>
      <c r="F2114" t="s">
        <v>54</v>
      </c>
      <c r="G2114" t="s">
        <v>1001</v>
      </c>
      <c r="H2114" t="s">
        <v>4378</v>
      </c>
      <c r="J2114" t="str">
        <f>HYPERLINK("https://www.youtube.com/watch?v=YQSdpP96l0U&amp;lc=UgxdW5w0aoFGOHggBkB4AaABAg","https://www.youtube.com/watch?v=YQSdpP96l0U&amp;lc=UgxdW5w0aoFGOHggBkB4AaABAg")</f>
        <v>https://www.youtube.com/watch?v=YQSdpP96l0U&amp;lc=UgxdW5w0aoFGOHggBkB4AaABAg</v>
      </c>
      <c r="O2114">
        <v>0</v>
      </c>
      <c r="P2114">
        <v>0</v>
      </c>
      <c r="Q2114">
        <v>0</v>
      </c>
      <c r="S2114">
        <v>0</v>
      </c>
      <c r="T2114">
        <v>0</v>
      </c>
      <c r="U2114">
        <v>0</v>
      </c>
      <c r="W2114" t="s">
        <v>52</v>
      </c>
    </row>
    <row r="2115" spans="1:23" x14ac:dyDescent="0.35">
      <c r="A2115" t="s">
        <v>45</v>
      </c>
      <c r="B2115" t="s">
        <v>4236</v>
      </c>
      <c r="C2115" t="s">
        <v>47</v>
      </c>
      <c r="D2115" t="s">
        <v>4379</v>
      </c>
      <c r="E2115" t="s">
        <v>4379</v>
      </c>
      <c r="F2115" t="s">
        <v>49</v>
      </c>
      <c r="G2115" t="s">
        <v>4380</v>
      </c>
      <c r="H2115" t="s">
        <v>4381</v>
      </c>
      <c r="J2115" t="str">
        <f>HYPERLINK("https://www.youtube.com/watch?v=YQSdpP96l0U&amp;lc=Ugw34F3KZsWEWLDzSf14AaABAg","https://www.youtube.com/watch?v=YQSdpP96l0U&amp;lc=Ugw34F3KZsWEWLDzSf14AaABAg")</f>
        <v>https://www.youtube.com/watch?v=YQSdpP96l0U&amp;lc=Ugw34F3KZsWEWLDzSf14AaABAg</v>
      </c>
      <c r="O2115">
        <v>0</v>
      </c>
      <c r="P2115">
        <v>0</v>
      </c>
      <c r="Q2115">
        <v>0</v>
      </c>
      <c r="S2115">
        <v>0</v>
      </c>
      <c r="T2115">
        <v>0</v>
      </c>
      <c r="U2115">
        <v>0</v>
      </c>
      <c r="W2115" t="s">
        <v>52</v>
      </c>
    </row>
    <row r="2116" spans="1:23" x14ac:dyDescent="0.35">
      <c r="A2116" t="s">
        <v>45</v>
      </c>
      <c r="B2116" t="s">
        <v>4236</v>
      </c>
      <c r="C2116" t="s">
        <v>47</v>
      </c>
      <c r="D2116" t="s">
        <v>4382</v>
      </c>
      <c r="E2116" t="s">
        <v>4382</v>
      </c>
      <c r="F2116" t="s">
        <v>49</v>
      </c>
      <c r="G2116" t="s">
        <v>4383</v>
      </c>
      <c r="H2116" t="s">
        <v>4384</v>
      </c>
      <c r="J2116" t="str">
        <f>HYPERLINK("https://www.youtube.com/watch?v=YQSdpP96l0U&amp;lc=Ugw8BHVZx0Wzb7JPLa14AaABAg","https://www.youtube.com/watch?v=YQSdpP96l0U&amp;lc=Ugw8BHVZx0Wzb7JPLa14AaABAg")</f>
        <v>https://www.youtube.com/watch?v=YQSdpP96l0U&amp;lc=Ugw8BHVZx0Wzb7JPLa14AaABAg</v>
      </c>
      <c r="O2116">
        <v>0</v>
      </c>
      <c r="P2116">
        <v>0</v>
      </c>
      <c r="Q2116">
        <v>0</v>
      </c>
      <c r="S2116">
        <v>0</v>
      </c>
      <c r="T2116">
        <v>0</v>
      </c>
      <c r="U2116">
        <v>0</v>
      </c>
      <c r="W2116" t="s">
        <v>52</v>
      </c>
    </row>
    <row r="2117" spans="1:23" x14ac:dyDescent="0.35">
      <c r="A2117" t="s">
        <v>45</v>
      </c>
      <c r="B2117" t="s">
        <v>4236</v>
      </c>
      <c r="C2117" t="s">
        <v>47</v>
      </c>
      <c r="D2117" t="s">
        <v>4379</v>
      </c>
      <c r="E2117" t="s">
        <v>4379</v>
      </c>
      <c r="F2117" t="s">
        <v>54</v>
      </c>
      <c r="G2117" t="s">
        <v>2712</v>
      </c>
      <c r="H2117" t="s">
        <v>4385</v>
      </c>
      <c r="J2117" t="str">
        <f>HYPERLINK("https://www.youtube.com/watch?v=YQSdpP96l0U&amp;lc=UgwMz66QzedSInQ_83h4AaABAg","https://www.youtube.com/watch?v=YQSdpP96l0U&amp;lc=UgwMz66QzedSInQ_83h4AaABAg")</f>
        <v>https://www.youtube.com/watch?v=YQSdpP96l0U&amp;lc=UgwMz66QzedSInQ_83h4AaABAg</v>
      </c>
      <c r="O2117">
        <v>0</v>
      </c>
      <c r="P2117">
        <v>0</v>
      </c>
      <c r="Q2117">
        <v>0</v>
      </c>
      <c r="S2117">
        <v>0</v>
      </c>
      <c r="T2117">
        <v>0</v>
      </c>
      <c r="U2117">
        <v>0</v>
      </c>
      <c r="W2117" t="s">
        <v>52</v>
      </c>
    </row>
    <row r="2118" spans="1:23" x14ac:dyDescent="0.35">
      <c r="A2118" t="s">
        <v>45</v>
      </c>
      <c r="B2118" t="s">
        <v>4236</v>
      </c>
      <c r="C2118" t="s">
        <v>47</v>
      </c>
      <c r="D2118" t="s">
        <v>45</v>
      </c>
      <c r="E2118" t="s">
        <v>45</v>
      </c>
      <c r="F2118" t="s">
        <v>49</v>
      </c>
      <c r="G2118" t="s">
        <v>4386</v>
      </c>
      <c r="H2118" t="s">
        <v>4387</v>
      </c>
      <c r="J2118" t="str">
        <f>HYPERLINK("https://www.youtube.com/watch?v=YQSdpP96l0U","https://www.youtube.com/watch?v=YQSdpP96l0U")</f>
        <v>https://www.youtube.com/watch?v=YQSdpP96l0U</v>
      </c>
      <c r="O2118">
        <v>0</v>
      </c>
      <c r="P2118">
        <v>0</v>
      </c>
      <c r="Q2118">
        <v>0</v>
      </c>
      <c r="S2118">
        <v>0</v>
      </c>
      <c r="T2118">
        <v>0</v>
      </c>
      <c r="U2118">
        <v>0</v>
      </c>
      <c r="W2118" t="s">
        <v>346</v>
      </c>
    </row>
    <row r="2119" spans="1:23" x14ac:dyDescent="0.35">
      <c r="A2119" t="s">
        <v>45</v>
      </c>
      <c r="B2119" t="s">
        <v>4236</v>
      </c>
      <c r="C2119" t="s">
        <v>60</v>
      </c>
      <c r="D2119" t="s">
        <v>61</v>
      </c>
      <c r="E2119" t="s">
        <v>61</v>
      </c>
      <c r="F2119" t="s">
        <v>54</v>
      </c>
      <c r="G2119" t="s">
        <v>4388</v>
      </c>
      <c r="H2119" t="s">
        <v>4389</v>
      </c>
      <c r="J2119" t="str">
        <f>HYPERLINK("https://www.facebook.com/634639855377280/posts/786878883486709?comment_id=937431574391163","https://www.facebook.com/634639855377280/posts/786878883486709?comment_id=937431574391163")</f>
        <v>https://www.facebook.com/634639855377280/posts/786878883486709?comment_id=937431574391163</v>
      </c>
      <c r="O2119">
        <v>0</v>
      </c>
      <c r="P2119">
        <v>0</v>
      </c>
      <c r="Q2119">
        <v>0</v>
      </c>
      <c r="S2119">
        <v>0</v>
      </c>
      <c r="T2119">
        <v>0</v>
      </c>
      <c r="U2119">
        <v>0</v>
      </c>
      <c r="W2119" t="s">
        <v>52</v>
      </c>
    </row>
    <row r="2120" spans="1:23" x14ac:dyDescent="0.35">
      <c r="A2120" t="s">
        <v>45</v>
      </c>
      <c r="B2120" t="s">
        <v>4236</v>
      </c>
      <c r="C2120" t="s">
        <v>60</v>
      </c>
      <c r="D2120" t="s">
        <v>61</v>
      </c>
      <c r="E2120" t="s">
        <v>61</v>
      </c>
      <c r="F2120" t="s">
        <v>193</v>
      </c>
      <c r="G2120" t="s">
        <v>4390</v>
      </c>
      <c r="H2120" t="s">
        <v>4391</v>
      </c>
      <c r="J2120" t="str">
        <f>HYPERLINK("https://www.facebook.com/634639855377280/posts/787476670093597?comment_id=362484566577741","https://www.facebook.com/634639855377280/posts/787476670093597?comment_id=362484566577741")</f>
        <v>https://www.facebook.com/634639855377280/posts/787476670093597?comment_id=362484566577741</v>
      </c>
      <c r="O2120">
        <v>0</v>
      </c>
      <c r="P2120">
        <v>0</v>
      </c>
      <c r="Q2120">
        <v>0</v>
      </c>
      <c r="S2120">
        <v>0</v>
      </c>
      <c r="T2120">
        <v>0</v>
      </c>
      <c r="U2120">
        <v>0</v>
      </c>
      <c r="W2120" t="s">
        <v>52</v>
      </c>
    </row>
    <row r="2121" spans="1:23" x14ac:dyDescent="0.35">
      <c r="A2121" t="s">
        <v>45</v>
      </c>
      <c r="B2121" t="s">
        <v>4236</v>
      </c>
      <c r="C2121" t="s">
        <v>60</v>
      </c>
      <c r="D2121" t="s">
        <v>61</v>
      </c>
      <c r="E2121" t="s">
        <v>61</v>
      </c>
      <c r="F2121" t="s">
        <v>54</v>
      </c>
      <c r="G2121" t="s">
        <v>4392</v>
      </c>
      <c r="H2121" t="s">
        <v>4393</v>
      </c>
      <c r="J2121" t="str">
        <f>HYPERLINK("https://www.facebook.com/634639855377280/posts/786878883486709?comment_id=389369427073723","https://www.facebook.com/634639855377280/posts/786878883486709?comment_id=389369427073723")</f>
        <v>https://www.facebook.com/634639855377280/posts/786878883486709?comment_id=389369427073723</v>
      </c>
      <c r="O2121">
        <v>0</v>
      </c>
      <c r="P2121">
        <v>0</v>
      </c>
      <c r="Q2121">
        <v>0</v>
      </c>
      <c r="S2121">
        <v>0</v>
      </c>
      <c r="T2121">
        <v>0</v>
      </c>
      <c r="U2121">
        <v>0</v>
      </c>
      <c r="W2121" t="s">
        <v>52</v>
      </c>
    </row>
    <row r="2122" spans="1:23" x14ac:dyDescent="0.35">
      <c r="A2122" t="s">
        <v>45</v>
      </c>
      <c r="B2122" t="s">
        <v>4236</v>
      </c>
      <c r="C2122" t="s">
        <v>60</v>
      </c>
      <c r="D2122" t="s">
        <v>61</v>
      </c>
      <c r="E2122" t="s">
        <v>61</v>
      </c>
      <c r="F2122" t="s">
        <v>49</v>
      </c>
      <c r="G2122" t="s">
        <v>4394</v>
      </c>
      <c r="H2122" t="s">
        <v>4395</v>
      </c>
      <c r="J2122" t="str">
        <f>HYPERLINK("https://www.facebook.com/634639855377280/posts/787942146713716?comment_id=839489171283271","https://www.facebook.com/634639855377280/posts/787942146713716?comment_id=839489171283271")</f>
        <v>https://www.facebook.com/634639855377280/posts/787942146713716?comment_id=839489171283271</v>
      </c>
      <c r="O2122">
        <v>0</v>
      </c>
      <c r="P2122">
        <v>0</v>
      </c>
      <c r="Q2122">
        <v>0</v>
      </c>
      <c r="S2122">
        <v>0</v>
      </c>
      <c r="T2122">
        <v>0</v>
      </c>
      <c r="U2122">
        <v>0</v>
      </c>
      <c r="W2122" t="s">
        <v>52</v>
      </c>
    </row>
    <row r="2123" spans="1:23" x14ac:dyDescent="0.35">
      <c r="A2123" t="s">
        <v>45</v>
      </c>
      <c r="B2123" t="s">
        <v>4236</v>
      </c>
      <c r="C2123" t="s">
        <v>60</v>
      </c>
      <c r="D2123" t="s">
        <v>61</v>
      </c>
      <c r="E2123" t="s">
        <v>61</v>
      </c>
      <c r="F2123" t="s">
        <v>49</v>
      </c>
      <c r="G2123" t="s">
        <v>4396</v>
      </c>
      <c r="H2123" t="s">
        <v>4397</v>
      </c>
      <c r="J2123" t="str">
        <f>HYPERLINK("https://www.facebook.com/634639855377280/posts/787942146713716?comment_id=1075508300226061","https://www.facebook.com/634639855377280/posts/787942146713716?comment_id=1075508300226061")</f>
        <v>https://www.facebook.com/634639855377280/posts/787942146713716?comment_id=1075508300226061</v>
      </c>
      <c r="O2123">
        <v>0</v>
      </c>
      <c r="P2123">
        <v>0</v>
      </c>
      <c r="Q2123">
        <v>0</v>
      </c>
      <c r="S2123">
        <v>0</v>
      </c>
      <c r="T2123">
        <v>0</v>
      </c>
      <c r="U2123">
        <v>0</v>
      </c>
      <c r="W2123" t="s">
        <v>52</v>
      </c>
    </row>
    <row r="2124" spans="1:23" x14ac:dyDescent="0.35">
      <c r="A2124" t="s">
        <v>45</v>
      </c>
      <c r="B2124" t="s">
        <v>4236</v>
      </c>
      <c r="C2124" t="s">
        <v>60</v>
      </c>
      <c r="D2124" t="s">
        <v>61</v>
      </c>
      <c r="E2124" t="s">
        <v>61</v>
      </c>
      <c r="F2124" t="s">
        <v>54</v>
      </c>
      <c r="G2124" t="s">
        <v>4398</v>
      </c>
      <c r="H2124" t="s">
        <v>4399</v>
      </c>
      <c r="J2124" t="str">
        <f>HYPERLINK("https://www.facebook.com/634639855377280/posts/787942146713716?comment_id=1398311317718465","https://www.facebook.com/634639855377280/posts/787942146713716?comment_id=1398311317718465")</f>
        <v>https://www.facebook.com/634639855377280/posts/787942146713716?comment_id=1398311317718465</v>
      </c>
      <c r="O2124">
        <v>0</v>
      </c>
      <c r="P2124">
        <v>0</v>
      </c>
      <c r="Q2124">
        <v>0</v>
      </c>
      <c r="S2124">
        <v>0</v>
      </c>
      <c r="T2124">
        <v>0</v>
      </c>
      <c r="U2124">
        <v>0</v>
      </c>
      <c r="W2124" t="s">
        <v>52</v>
      </c>
    </row>
    <row r="2125" spans="1:23" x14ac:dyDescent="0.35">
      <c r="A2125" t="s">
        <v>45</v>
      </c>
      <c r="B2125" t="s">
        <v>4236</v>
      </c>
      <c r="C2125" t="s">
        <v>93</v>
      </c>
      <c r="D2125" t="s">
        <v>4400</v>
      </c>
      <c r="E2125" t="s">
        <v>4401</v>
      </c>
      <c r="F2125" t="s">
        <v>49</v>
      </c>
      <c r="G2125" t="s">
        <v>4402</v>
      </c>
      <c r="H2125" t="s">
        <v>4403</v>
      </c>
      <c r="J2125" t="str">
        <f>HYPERLINK("https://twitter.com/EthEspress43206/status/1755835532578300409","https://twitter.com/EthEspress43206/status/1755835532578300409")</f>
        <v>https://twitter.com/EthEspress43206/status/1755835532578300409</v>
      </c>
      <c r="O2125">
        <v>0</v>
      </c>
      <c r="P2125">
        <v>0</v>
      </c>
      <c r="Q2125">
        <v>0</v>
      </c>
      <c r="R2125" t="s">
        <v>4404</v>
      </c>
      <c r="S2125">
        <v>0</v>
      </c>
      <c r="T2125">
        <v>0</v>
      </c>
      <c r="U2125">
        <v>0</v>
      </c>
      <c r="W2125" t="s">
        <v>99</v>
      </c>
    </row>
    <row r="2126" spans="1:23" x14ac:dyDescent="0.35">
      <c r="A2126" t="s">
        <v>45</v>
      </c>
      <c r="B2126" t="s">
        <v>4236</v>
      </c>
      <c r="C2126" t="s">
        <v>93</v>
      </c>
      <c r="D2126" t="s">
        <v>94</v>
      </c>
      <c r="E2126" t="s">
        <v>45</v>
      </c>
      <c r="F2126" t="s">
        <v>49</v>
      </c>
      <c r="G2126" t="s">
        <v>4405</v>
      </c>
      <c r="H2126" t="s">
        <v>4406</v>
      </c>
      <c r="J2126" t="str">
        <f>HYPERLINK("https://twitter.com/SpiceMoneyIndia/status/1755835514635092083","https://twitter.com/SpiceMoneyIndia/status/1755835514635092083")</f>
        <v>https://twitter.com/SpiceMoneyIndia/status/1755835514635092083</v>
      </c>
      <c r="K2126" t="s">
        <v>67</v>
      </c>
      <c r="O2126">
        <v>0</v>
      </c>
      <c r="P2126">
        <v>0</v>
      </c>
      <c r="Q2126">
        <v>6023</v>
      </c>
      <c r="R2126" t="s">
        <v>97</v>
      </c>
      <c r="S2126">
        <v>0</v>
      </c>
      <c r="T2126">
        <v>0</v>
      </c>
      <c r="U2126">
        <v>0</v>
      </c>
      <c r="V2126" t="s">
        <v>98</v>
      </c>
      <c r="W2126" t="s">
        <v>99</v>
      </c>
    </row>
    <row r="2127" spans="1:23" x14ac:dyDescent="0.35">
      <c r="A2127" t="s">
        <v>45</v>
      </c>
      <c r="B2127" t="s">
        <v>4236</v>
      </c>
      <c r="C2127" t="s">
        <v>60</v>
      </c>
      <c r="D2127" t="s">
        <v>64</v>
      </c>
      <c r="E2127" t="s">
        <v>64</v>
      </c>
      <c r="F2127" t="s">
        <v>49</v>
      </c>
      <c r="G2127" t="s">
        <v>4407</v>
      </c>
      <c r="H2127" t="s">
        <v>4408</v>
      </c>
      <c r="J2127" t="str">
        <f>HYPERLINK("https://www.facebook.com/634639855377280/posts/787942146713716","https://www.facebook.com/634639855377280/posts/787942146713716")</f>
        <v>https://www.facebook.com/634639855377280/posts/787942146713716</v>
      </c>
      <c r="O2127">
        <v>0</v>
      </c>
      <c r="P2127">
        <v>0</v>
      </c>
      <c r="Q2127">
        <v>0</v>
      </c>
      <c r="S2127">
        <v>26</v>
      </c>
      <c r="T2127">
        <v>115</v>
      </c>
      <c r="U2127">
        <v>6</v>
      </c>
      <c r="W2127" t="s">
        <v>346</v>
      </c>
    </row>
    <row r="2128" spans="1:23" x14ac:dyDescent="0.35">
      <c r="A2128" t="s">
        <v>45</v>
      </c>
      <c r="B2128" t="s">
        <v>4236</v>
      </c>
      <c r="C2128" t="s">
        <v>60</v>
      </c>
      <c r="D2128" t="s">
        <v>61</v>
      </c>
      <c r="E2128" t="s">
        <v>61</v>
      </c>
      <c r="F2128" t="s">
        <v>49</v>
      </c>
      <c r="G2128" t="s">
        <v>305</v>
      </c>
      <c r="H2128" t="s">
        <v>4409</v>
      </c>
      <c r="J2128" t="str">
        <f>HYPERLINK("https://www.facebook.com/634639855377280/posts/786878883486709?comment_id=1078390350148266","https://www.facebook.com/634639855377280/posts/786878883486709?comment_id=1078390350148266")</f>
        <v>https://www.facebook.com/634639855377280/posts/786878883486709?comment_id=1078390350148266</v>
      </c>
      <c r="O2128">
        <v>0</v>
      </c>
      <c r="P2128">
        <v>0</v>
      </c>
      <c r="Q2128">
        <v>0</v>
      </c>
      <c r="S2128">
        <v>0</v>
      </c>
      <c r="T2128">
        <v>0</v>
      </c>
      <c r="U2128">
        <v>0</v>
      </c>
      <c r="W2128" t="s">
        <v>52</v>
      </c>
    </row>
    <row r="2129" spans="1:23" x14ac:dyDescent="0.35">
      <c r="A2129" t="s">
        <v>45</v>
      </c>
      <c r="B2129" t="s">
        <v>4236</v>
      </c>
      <c r="C2129" t="s">
        <v>93</v>
      </c>
      <c r="D2129" t="s">
        <v>4097</v>
      </c>
      <c r="E2129" t="s">
        <v>4097</v>
      </c>
      <c r="F2129" t="s">
        <v>49</v>
      </c>
      <c r="G2129" t="s">
        <v>4410</v>
      </c>
      <c r="H2129" t="s">
        <v>4411</v>
      </c>
      <c r="J2129" t="str">
        <f>HYPERLINK("https://twitter.com/TechEducavo/status/1755813635295760578","https://twitter.com/TechEducavo/status/1755813635295760578")</f>
        <v>https://twitter.com/TechEducavo/status/1755813635295760578</v>
      </c>
      <c r="O2129">
        <v>0</v>
      </c>
      <c r="P2129">
        <v>0</v>
      </c>
      <c r="Q2129">
        <v>0</v>
      </c>
      <c r="S2129">
        <v>0</v>
      </c>
      <c r="T2129">
        <v>0</v>
      </c>
      <c r="U2129">
        <v>0</v>
      </c>
      <c r="W2129" t="s">
        <v>99</v>
      </c>
    </row>
    <row r="2130" spans="1:23" x14ac:dyDescent="0.35">
      <c r="A2130" t="s">
        <v>45</v>
      </c>
      <c r="B2130" t="s">
        <v>4236</v>
      </c>
      <c r="C2130" t="s">
        <v>93</v>
      </c>
      <c r="D2130" t="s">
        <v>3262</v>
      </c>
      <c r="E2130" t="s">
        <v>3263</v>
      </c>
      <c r="F2130" t="s">
        <v>193</v>
      </c>
      <c r="G2130" t="s">
        <v>4412</v>
      </c>
      <c r="H2130" t="s">
        <v>4413</v>
      </c>
      <c r="J2130" t="str">
        <f>HYPERLINK("https://twitter.com/ShoaibAkhtertsk/status/1755808876983886106","https://twitter.com/ShoaibAkhtertsk/status/1755808876983886106")</f>
        <v>https://twitter.com/ShoaibAkhtertsk/status/1755808876983886106</v>
      </c>
      <c r="K2130" t="s">
        <v>67</v>
      </c>
      <c r="O2130">
        <v>0</v>
      </c>
      <c r="P2130">
        <v>0</v>
      </c>
      <c r="Q2130">
        <v>50</v>
      </c>
      <c r="R2130" t="s">
        <v>3266</v>
      </c>
      <c r="S2130">
        <v>0</v>
      </c>
      <c r="T2130">
        <v>0</v>
      </c>
      <c r="U2130">
        <v>0</v>
      </c>
      <c r="W2130" t="s">
        <v>99</v>
      </c>
    </row>
    <row r="2131" spans="1:23" x14ac:dyDescent="0.35">
      <c r="A2131" t="s">
        <v>45</v>
      </c>
      <c r="B2131" t="s">
        <v>4236</v>
      </c>
      <c r="C2131" t="s">
        <v>60</v>
      </c>
      <c r="D2131" t="s">
        <v>61</v>
      </c>
      <c r="E2131" t="s">
        <v>61</v>
      </c>
      <c r="F2131" t="s">
        <v>49</v>
      </c>
      <c r="G2131" t="s">
        <v>4414</v>
      </c>
      <c r="H2131" t="s">
        <v>4415</v>
      </c>
      <c r="J2131" t="str">
        <f>HYPERLINK("https://www.facebook.com/634639855377280/posts/786878883486709?comment_id=758398589164830","https://www.facebook.com/634639855377280/posts/786878883486709?comment_id=758398589164830")</f>
        <v>https://www.facebook.com/634639855377280/posts/786878883486709?comment_id=758398589164830</v>
      </c>
      <c r="O2131">
        <v>0</v>
      </c>
      <c r="P2131">
        <v>0</v>
      </c>
      <c r="Q2131">
        <v>0</v>
      </c>
      <c r="S2131">
        <v>0</v>
      </c>
      <c r="T2131">
        <v>0</v>
      </c>
      <c r="U2131">
        <v>0</v>
      </c>
      <c r="W2131" t="s">
        <v>52</v>
      </c>
    </row>
    <row r="2132" spans="1:23" x14ac:dyDescent="0.35">
      <c r="A2132" t="s">
        <v>45</v>
      </c>
      <c r="B2132" t="s">
        <v>4236</v>
      </c>
      <c r="C2132" t="s">
        <v>60</v>
      </c>
      <c r="D2132" t="s">
        <v>61</v>
      </c>
      <c r="E2132" t="s">
        <v>61</v>
      </c>
      <c r="F2132" t="s">
        <v>49</v>
      </c>
      <c r="G2132" t="s">
        <v>4416</v>
      </c>
      <c r="H2132" t="s">
        <v>4417</v>
      </c>
      <c r="J2132" t="str">
        <f>HYPERLINK("https://www.facebook.com/634639855377280/posts/787476670093597?comment_id=354812034042595","https://www.facebook.com/634639855377280/posts/787476670093597?comment_id=354812034042595")</f>
        <v>https://www.facebook.com/634639855377280/posts/787476670093597?comment_id=354812034042595</v>
      </c>
      <c r="O2132">
        <v>0</v>
      </c>
      <c r="P2132">
        <v>0</v>
      </c>
      <c r="Q2132">
        <v>0</v>
      </c>
      <c r="S2132">
        <v>0</v>
      </c>
      <c r="T2132">
        <v>0</v>
      </c>
      <c r="U2132">
        <v>0</v>
      </c>
      <c r="W2132" t="s">
        <v>52</v>
      </c>
    </row>
    <row r="2133" spans="1:23" x14ac:dyDescent="0.35">
      <c r="A2133" t="s">
        <v>45</v>
      </c>
      <c r="B2133" t="s">
        <v>4236</v>
      </c>
      <c r="C2133" t="s">
        <v>47</v>
      </c>
      <c r="D2133" t="s">
        <v>846</v>
      </c>
      <c r="E2133" t="s">
        <v>846</v>
      </c>
      <c r="F2133" t="s">
        <v>54</v>
      </c>
      <c r="G2133" t="s">
        <v>3758</v>
      </c>
      <c r="H2133" t="s">
        <v>4418</v>
      </c>
      <c r="J2133" t="str">
        <f>HYPERLINK("https://www.youtube.com/watch?v=2mghvDjVJXk&amp;lc=UgzMl3VYyvA7hM8ggUl4AaABAg","https://www.youtube.com/watch?v=2mghvDjVJXk&amp;lc=UgzMl3VYyvA7hM8ggUl4AaABAg")</f>
        <v>https://www.youtube.com/watch?v=2mghvDjVJXk&amp;lc=UgzMl3VYyvA7hM8ggUl4AaABAg</v>
      </c>
      <c r="O2133">
        <v>0</v>
      </c>
      <c r="P2133">
        <v>0</v>
      </c>
      <c r="Q2133">
        <v>0</v>
      </c>
      <c r="S2133">
        <v>0</v>
      </c>
      <c r="T2133">
        <v>0</v>
      </c>
      <c r="U2133">
        <v>0</v>
      </c>
      <c r="W2133" t="s">
        <v>52</v>
      </c>
    </row>
    <row r="2134" spans="1:23" x14ac:dyDescent="0.35">
      <c r="A2134" t="s">
        <v>45</v>
      </c>
      <c r="B2134" t="s">
        <v>4419</v>
      </c>
      <c r="C2134" t="s">
        <v>93</v>
      </c>
      <c r="D2134" t="s">
        <v>4297</v>
      </c>
      <c r="E2134" t="s">
        <v>4298</v>
      </c>
      <c r="F2134" t="s">
        <v>49</v>
      </c>
      <c r="G2134" t="s">
        <v>4420</v>
      </c>
      <c r="H2134" t="s">
        <v>4421</v>
      </c>
      <c r="J2134" t="str">
        <f>HYPERLINK("https://twitter.com/Faisal09828831/status/1755654103269863556","https://twitter.com/Faisal09828831/status/1755654103269863556")</f>
        <v>https://twitter.com/Faisal09828831/status/1755654103269863556</v>
      </c>
      <c r="O2134">
        <v>0</v>
      </c>
      <c r="P2134">
        <v>0</v>
      </c>
      <c r="Q2134">
        <v>10</v>
      </c>
      <c r="S2134">
        <v>0</v>
      </c>
      <c r="T2134">
        <v>0</v>
      </c>
      <c r="U2134">
        <v>0</v>
      </c>
      <c r="W2134" t="s">
        <v>99</v>
      </c>
    </row>
    <row r="2135" spans="1:23" x14ac:dyDescent="0.35">
      <c r="A2135" t="s">
        <v>45</v>
      </c>
      <c r="B2135" t="s">
        <v>4419</v>
      </c>
      <c r="C2135" t="s">
        <v>93</v>
      </c>
      <c r="D2135" t="s">
        <v>4297</v>
      </c>
      <c r="E2135" t="s">
        <v>4298</v>
      </c>
      <c r="F2135" t="s">
        <v>49</v>
      </c>
      <c r="G2135" t="s">
        <v>4422</v>
      </c>
      <c r="H2135" t="s">
        <v>4423</v>
      </c>
      <c r="J2135" t="str">
        <f>HYPERLINK("https://twitter.com/Faisal09828831/status/1755653814789509420","https://twitter.com/Faisal09828831/status/1755653814789509420")</f>
        <v>https://twitter.com/Faisal09828831/status/1755653814789509420</v>
      </c>
      <c r="O2135">
        <v>0</v>
      </c>
      <c r="P2135">
        <v>0</v>
      </c>
      <c r="Q2135">
        <v>10</v>
      </c>
      <c r="S2135">
        <v>0</v>
      </c>
      <c r="T2135">
        <v>0</v>
      </c>
      <c r="U2135">
        <v>0</v>
      </c>
      <c r="W2135" t="s">
        <v>99</v>
      </c>
    </row>
    <row r="2136" spans="1:23" x14ac:dyDescent="0.35">
      <c r="A2136" t="s">
        <v>45</v>
      </c>
      <c r="B2136" t="s">
        <v>4419</v>
      </c>
      <c r="C2136" t="s">
        <v>93</v>
      </c>
      <c r="D2136" t="s">
        <v>4297</v>
      </c>
      <c r="E2136" t="s">
        <v>4298</v>
      </c>
      <c r="F2136" t="s">
        <v>49</v>
      </c>
      <c r="G2136" t="s">
        <v>4424</v>
      </c>
      <c r="H2136" t="s">
        <v>4425</v>
      </c>
      <c r="J2136" t="str">
        <f>HYPERLINK("https://twitter.com/Faisal09828831/status/1755653565564285071","https://twitter.com/Faisal09828831/status/1755653565564285071")</f>
        <v>https://twitter.com/Faisal09828831/status/1755653565564285071</v>
      </c>
      <c r="O2136">
        <v>0</v>
      </c>
      <c r="P2136">
        <v>0</v>
      </c>
      <c r="Q2136">
        <v>10</v>
      </c>
      <c r="S2136">
        <v>0</v>
      </c>
      <c r="T2136">
        <v>0</v>
      </c>
      <c r="U2136">
        <v>0</v>
      </c>
      <c r="W2136" t="s">
        <v>99</v>
      </c>
    </row>
    <row r="2137" spans="1:23" x14ac:dyDescent="0.35">
      <c r="A2137" t="s">
        <v>45</v>
      </c>
      <c r="B2137" t="s">
        <v>4419</v>
      </c>
      <c r="C2137" t="s">
        <v>60</v>
      </c>
      <c r="D2137" t="s">
        <v>61</v>
      </c>
      <c r="E2137" t="s">
        <v>61</v>
      </c>
      <c r="F2137" t="s">
        <v>49</v>
      </c>
      <c r="G2137" t="s">
        <v>4426</v>
      </c>
      <c r="H2137" t="s">
        <v>4427</v>
      </c>
      <c r="J2137" t="str">
        <f>HYPERLINK("https://www.facebook.com/634639855377280/posts/786878883486709?comment_id=2600357513474914","https://www.facebook.com/634639855377280/posts/786878883486709?comment_id=2600357513474914")</f>
        <v>https://www.facebook.com/634639855377280/posts/786878883486709?comment_id=2600357513474914</v>
      </c>
      <c r="O2137">
        <v>0</v>
      </c>
      <c r="P2137">
        <v>0</v>
      </c>
      <c r="Q2137">
        <v>0</v>
      </c>
      <c r="S2137">
        <v>0</v>
      </c>
      <c r="T2137">
        <v>0</v>
      </c>
      <c r="U2137">
        <v>0</v>
      </c>
      <c r="W2137" t="s">
        <v>52</v>
      </c>
    </row>
    <row r="2138" spans="1:23" x14ac:dyDescent="0.35">
      <c r="A2138" t="s">
        <v>45</v>
      </c>
      <c r="B2138" t="s">
        <v>4419</v>
      </c>
      <c r="C2138" t="s">
        <v>47</v>
      </c>
      <c r="D2138" t="s">
        <v>3634</v>
      </c>
      <c r="E2138" t="s">
        <v>3634</v>
      </c>
      <c r="F2138" t="s">
        <v>49</v>
      </c>
      <c r="G2138" t="s">
        <v>4428</v>
      </c>
      <c r="H2138" t="s">
        <v>4429</v>
      </c>
      <c r="J2138" t="str">
        <f>HYPERLINK("https://www.youtube.com/watch?v=mfHtMEJS28Y&amp;lc=UgziUeXIr_BZyP6MmxN4AaABAg","https://www.youtube.com/watch?v=mfHtMEJS28Y&amp;lc=UgziUeXIr_BZyP6MmxN4AaABAg")</f>
        <v>https://www.youtube.com/watch?v=mfHtMEJS28Y&amp;lc=UgziUeXIr_BZyP6MmxN4AaABAg</v>
      </c>
      <c r="O2138">
        <v>0</v>
      </c>
      <c r="P2138">
        <v>0</v>
      </c>
      <c r="Q2138">
        <v>0</v>
      </c>
      <c r="S2138">
        <v>0</v>
      </c>
      <c r="T2138">
        <v>0</v>
      </c>
      <c r="U2138">
        <v>0</v>
      </c>
      <c r="W2138" t="s">
        <v>52</v>
      </c>
    </row>
    <row r="2139" spans="1:23" x14ac:dyDescent="0.35">
      <c r="A2139" t="s">
        <v>45</v>
      </c>
      <c r="B2139" t="s">
        <v>4419</v>
      </c>
      <c r="C2139" t="s">
        <v>60</v>
      </c>
      <c r="D2139" t="s">
        <v>61</v>
      </c>
      <c r="E2139" t="s">
        <v>61</v>
      </c>
      <c r="F2139" t="s">
        <v>49</v>
      </c>
      <c r="G2139" t="s">
        <v>4430</v>
      </c>
      <c r="H2139" t="s">
        <v>4431</v>
      </c>
      <c r="J2139" t="str">
        <f>HYPERLINK("https://www.facebook.com/634639855377280/posts/786878883486709?comment_id=1090985405388027","https://www.facebook.com/634639855377280/posts/786878883486709?comment_id=1090985405388027")</f>
        <v>https://www.facebook.com/634639855377280/posts/786878883486709?comment_id=1090985405388027</v>
      </c>
      <c r="O2139">
        <v>0</v>
      </c>
      <c r="P2139">
        <v>0</v>
      </c>
      <c r="Q2139">
        <v>0</v>
      </c>
      <c r="S2139">
        <v>0</v>
      </c>
      <c r="T2139">
        <v>0</v>
      </c>
      <c r="U2139">
        <v>0</v>
      </c>
      <c r="W2139" t="s">
        <v>52</v>
      </c>
    </row>
    <row r="2140" spans="1:23" x14ac:dyDescent="0.35">
      <c r="A2140" t="s">
        <v>45</v>
      </c>
      <c r="B2140" t="s">
        <v>4419</v>
      </c>
      <c r="C2140" t="s">
        <v>60</v>
      </c>
      <c r="D2140" t="s">
        <v>61</v>
      </c>
      <c r="E2140" t="s">
        <v>61</v>
      </c>
      <c r="F2140" t="s">
        <v>49</v>
      </c>
      <c r="G2140" t="s">
        <v>4432</v>
      </c>
      <c r="H2140" t="s">
        <v>4433</v>
      </c>
      <c r="J2140" t="str">
        <f>HYPERLINK("https://www.facebook.com/634639855377280/posts/786878883486709?comment_id=364411916531108","https://www.facebook.com/634639855377280/posts/786878883486709?comment_id=364411916531108")</f>
        <v>https://www.facebook.com/634639855377280/posts/786878883486709?comment_id=364411916531108</v>
      </c>
      <c r="O2140">
        <v>0</v>
      </c>
      <c r="P2140">
        <v>0</v>
      </c>
      <c r="Q2140">
        <v>0</v>
      </c>
      <c r="S2140">
        <v>0</v>
      </c>
      <c r="T2140">
        <v>0</v>
      </c>
      <c r="U2140">
        <v>0</v>
      </c>
      <c r="W2140" t="s">
        <v>52</v>
      </c>
    </row>
    <row r="2141" spans="1:23" x14ac:dyDescent="0.35">
      <c r="A2141" t="s">
        <v>45</v>
      </c>
      <c r="B2141" t="s">
        <v>4419</v>
      </c>
      <c r="C2141" t="s">
        <v>60</v>
      </c>
      <c r="D2141" t="s">
        <v>61</v>
      </c>
      <c r="E2141" t="s">
        <v>61</v>
      </c>
      <c r="F2141" t="s">
        <v>54</v>
      </c>
      <c r="G2141" t="s">
        <v>4434</v>
      </c>
      <c r="H2141" t="s">
        <v>4435</v>
      </c>
      <c r="J2141" t="str">
        <f>HYPERLINK("https://www.facebook.com/634639855377280/posts/786878883486709?comment_id=924149472438959","https://www.facebook.com/634639855377280/posts/786878883486709?comment_id=924149472438959")</f>
        <v>https://www.facebook.com/634639855377280/posts/786878883486709?comment_id=924149472438959</v>
      </c>
      <c r="O2141">
        <v>0</v>
      </c>
      <c r="P2141">
        <v>0</v>
      </c>
      <c r="Q2141">
        <v>0</v>
      </c>
      <c r="S2141">
        <v>0</v>
      </c>
      <c r="T2141">
        <v>0</v>
      </c>
      <c r="U2141">
        <v>0</v>
      </c>
      <c r="W2141" t="s">
        <v>52</v>
      </c>
    </row>
    <row r="2142" spans="1:23" x14ac:dyDescent="0.35">
      <c r="A2142" t="s">
        <v>45</v>
      </c>
      <c r="B2142" t="s">
        <v>4419</v>
      </c>
      <c r="C2142" t="s">
        <v>47</v>
      </c>
      <c r="D2142" t="s">
        <v>4436</v>
      </c>
      <c r="E2142" t="s">
        <v>4436</v>
      </c>
      <c r="F2142" t="s">
        <v>49</v>
      </c>
      <c r="G2142" t="s">
        <v>4437</v>
      </c>
      <c r="H2142" t="s">
        <v>4438</v>
      </c>
      <c r="J2142" t="str">
        <f>HYPERLINK("https://www.youtube.com/watch?v=2mghvDjVJXk&amp;lc=Ugw4OXAcKFn5YmjRtid4AaABAg","https://www.youtube.com/watch?v=2mghvDjVJXk&amp;lc=Ugw4OXAcKFn5YmjRtid4AaABAg")</f>
        <v>https://www.youtube.com/watch?v=2mghvDjVJXk&amp;lc=Ugw4OXAcKFn5YmjRtid4AaABAg</v>
      </c>
      <c r="O2142">
        <v>0</v>
      </c>
      <c r="P2142">
        <v>0</v>
      </c>
      <c r="Q2142">
        <v>0</v>
      </c>
      <c r="S2142">
        <v>0</v>
      </c>
      <c r="T2142">
        <v>0</v>
      </c>
      <c r="U2142">
        <v>0</v>
      </c>
      <c r="W2142" t="s">
        <v>52</v>
      </c>
    </row>
    <row r="2143" spans="1:23" x14ac:dyDescent="0.35">
      <c r="A2143" t="s">
        <v>45</v>
      </c>
      <c r="B2143" t="s">
        <v>4419</v>
      </c>
      <c r="C2143" t="s">
        <v>47</v>
      </c>
      <c r="D2143" t="s">
        <v>4436</v>
      </c>
      <c r="E2143" t="s">
        <v>4436</v>
      </c>
      <c r="F2143" t="s">
        <v>49</v>
      </c>
      <c r="G2143" t="s">
        <v>4439</v>
      </c>
      <c r="H2143" t="s">
        <v>4440</v>
      </c>
      <c r="J2143" t="str">
        <f>HYPERLINK("https://www.youtube.com/watch?v=2mghvDjVJXk&amp;lc=UgxLdGsHvvvfArlCBc14AaABAg","https://www.youtube.com/watch?v=2mghvDjVJXk&amp;lc=UgxLdGsHvvvfArlCBc14AaABAg")</f>
        <v>https://www.youtube.com/watch?v=2mghvDjVJXk&amp;lc=UgxLdGsHvvvfArlCBc14AaABAg</v>
      </c>
      <c r="O2143">
        <v>0</v>
      </c>
      <c r="P2143">
        <v>0</v>
      </c>
      <c r="Q2143">
        <v>0</v>
      </c>
      <c r="S2143">
        <v>0</v>
      </c>
      <c r="T2143">
        <v>0</v>
      </c>
      <c r="U2143">
        <v>0</v>
      </c>
      <c r="W2143" t="s">
        <v>52</v>
      </c>
    </row>
    <row r="2144" spans="1:23" x14ac:dyDescent="0.35">
      <c r="A2144" t="s">
        <v>45</v>
      </c>
      <c r="B2144" t="s">
        <v>4419</v>
      </c>
      <c r="C2144" t="s">
        <v>60</v>
      </c>
      <c r="D2144" t="s">
        <v>61</v>
      </c>
      <c r="E2144" t="s">
        <v>61</v>
      </c>
      <c r="F2144" t="s">
        <v>49</v>
      </c>
      <c r="G2144" t="s">
        <v>4441</v>
      </c>
      <c r="H2144" t="s">
        <v>4442</v>
      </c>
      <c r="J2144" t="str">
        <f>HYPERLINK("https://www.facebook.com/634639855377280/posts/787476670093597?comment_id=385462327505041&amp;reply_comment_id=299351419820121","https://www.facebook.com/634639855377280/posts/787476670093597?comment_id=385462327505041&amp;reply_comment_id=299351419820121")</f>
        <v>https://www.facebook.com/634639855377280/posts/787476670093597?comment_id=385462327505041&amp;reply_comment_id=299351419820121</v>
      </c>
      <c r="O2144">
        <v>0</v>
      </c>
      <c r="P2144">
        <v>0</v>
      </c>
      <c r="Q2144">
        <v>0</v>
      </c>
      <c r="S2144">
        <v>0</v>
      </c>
      <c r="T2144">
        <v>0</v>
      </c>
      <c r="U2144">
        <v>0</v>
      </c>
      <c r="W2144" t="s">
        <v>52</v>
      </c>
    </row>
    <row r="2145" spans="1:23" x14ac:dyDescent="0.35">
      <c r="A2145" t="s">
        <v>45</v>
      </c>
      <c r="B2145" t="s">
        <v>4419</v>
      </c>
      <c r="C2145" t="s">
        <v>60</v>
      </c>
      <c r="D2145" t="s">
        <v>61</v>
      </c>
      <c r="E2145" t="s">
        <v>61</v>
      </c>
      <c r="F2145" t="s">
        <v>49</v>
      </c>
      <c r="G2145" t="s">
        <v>4443</v>
      </c>
      <c r="H2145" t="s">
        <v>4444</v>
      </c>
      <c r="J2145" t="str">
        <f>HYPERLINK("https://www.facebook.com/634639855377280/posts/786878883486709?comment_id=1157126935422950&amp;reply_comment_id=2637621443069650","https://www.facebook.com/634639855377280/posts/786878883486709?comment_id=1157126935422950&amp;reply_comment_id=2637621443069650")</f>
        <v>https://www.facebook.com/634639855377280/posts/786878883486709?comment_id=1157126935422950&amp;reply_comment_id=2637621443069650</v>
      </c>
      <c r="O2145">
        <v>0</v>
      </c>
      <c r="P2145">
        <v>0</v>
      </c>
      <c r="Q2145">
        <v>0</v>
      </c>
      <c r="S2145">
        <v>0</v>
      </c>
      <c r="T2145">
        <v>0</v>
      </c>
      <c r="U2145">
        <v>0</v>
      </c>
      <c r="W2145" t="s">
        <v>52</v>
      </c>
    </row>
    <row r="2146" spans="1:23" x14ac:dyDescent="0.35">
      <c r="A2146" t="s">
        <v>45</v>
      </c>
      <c r="B2146" t="s">
        <v>4419</v>
      </c>
      <c r="C2146" t="s">
        <v>60</v>
      </c>
      <c r="D2146" t="s">
        <v>61</v>
      </c>
      <c r="E2146" t="s">
        <v>61</v>
      </c>
      <c r="F2146" t="s">
        <v>49</v>
      </c>
      <c r="G2146" t="s">
        <v>4445</v>
      </c>
      <c r="H2146" t="s">
        <v>4446</v>
      </c>
      <c r="J2146" t="str">
        <f>HYPERLINK("https://www.facebook.com/634639855377280/posts/786878883486709?comment_id=1157126935422950&amp;reply_comment_id=3365768237046817","https://www.facebook.com/634639855377280/posts/786878883486709?comment_id=1157126935422950&amp;reply_comment_id=3365768237046817")</f>
        <v>https://www.facebook.com/634639855377280/posts/786878883486709?comment_id=1157126935422950&amp;reply_comment_id=3365768237046817</v>
      </c>
      <c r="O2146">
        <v>0</v>
      </c>
      <c r="P2146">
        <v>0</v>
      </c>
      <c r="Q2146">
        <v>0</v>
      </c>
      <c r="S2146">
        <v>0</v>
      </c>
      <c r="T2146">
        <v>0</v>
      </c>
      <c r="U2146">
        <v>0</v>
      </c>
      <c r="W2146" t="s">
        <v>52</v>
      </c>
    </row>
    <row r="2147" spans="1:23" x14ac:dyDescent="0.35">
      <c r="A2147" t="s">
        <v>45</v>
      </c>
      <c r="B2147" t="s">
        <v>4419</v>
      </c>
      <c r="C2147" t="s">
        <v>60</v>
      </c>
      <c r="D2147" t="s">
        <v>61</v>
      </c>
      <c r="E2147" t="s">
        <v>61</v>
      </c>
      <c r="F2147" t="s">
        <v>49</v>
      </c>
      <c r="G2147" t="s">
        <v>4447</v>
      </c>
      <c r="H2147" t="s">
        <v>4448</v>
      </c>
      <c r="J2147" t="str">
        <f>HYPERLINK("https://www.facebook.com/634639855377280/posts/786878883486709?comment_id=701527198831266","https://www.facebook.com/634639855377280/posts/786878883486709?comment_id=701527198831266")</f>
        <v>https://www.facebook.com/634639855377280/posts/786878883486709?comment_id=701527198831266</v>
      </c>
      <c r="O2147">
        <v>0</v>
      </c>
      <c r="P2147">
        <v>0</v>
      </c>
      <c r="Q2147">
        <v>0</v>
      </c>
      <c r="S2147">
        <v>0</v>
      </c>
      <c r="T2147">
        <v>0</v>
      </c>
      <c r="U2147">
        <v>0</v>
      </c>
      <c r="W2147" t="s">
        <v>52</v>
      </c>
    </row>
    <row r="2148" spans="1:23" x14ac:dyDescent="0.35">
      <c r="A2148" t="s">
        <v>45</v>
      </c>
      <c r="B2148" t="s">
        <v>4419</v>
      </c>
      <c r="C2148" t="s">
        <v>60</v>
      </c>
      <c r="D2148" t="s">
        <v>61</v>
      </c>
      <c r="E2148" t="s">
        <v>61</v>
      </c>
      <c r="F2148" t="s">
        <v>193</v>
      </c>
      <c r="G2148" t="s">
        <v>4449</v>
      </c>
      <c r="H2148" t="s">
        <v>4450</v>
      </c>
      <c r="J2148" t="str">
        <f>HYPERLINK("https://www.facebook.com/634639855377280/posts/787476670093597?comment_id=901666574782679","https://www.facebook.com/634639855377280/posts/787476670093597?comment_id=901666574782679")</f>
        <v>https://www.facebook.com/634639855377280/posts/787476670093597?comment_id=901666574782679</v>
      </c>
      <c r="O2148">
        <v>0</v>
      </c>
      <c r="P2148">
        <v>0</v>
      </c>
      <c r="Q2148">
        <v>0</v>
      </c>
      <c r="S2148">
        <v>0</v>
      </c>
      <c r="T2148">
        <v>0</v>
      </c>
      <c r="U2148">
        <v>0</v>
      </c>
      <c r="W2148" t="s">
        <v>52</v>
      </c>
    </row>
    <row r="2149" spans="1:23" x14ac:dyDescent="0.35">
      <c r="A2149" t="s">
        <v>45</v>
      </c>
      <c r="B2149" t="s">
        <v>4419</v>
      </c>
      <c r="C2149" t="s">
        <v>60</v>
      </c>
      <c r="D2149" t="s">
        <v>61</v>
      </c>
      <c r="E2149" t="s">
        <v>61</v>
      </c>
      <c r="F2149" t="s">
        <v>49</v>
      </c>
      <c r="G2149" t="s">
        <v>4451</v>
      </c>
      <c r="H2149" t="s">
        <v>4452</v>
      </c>
      <c r="J2149" t="str">
        <f>HYPERLINK("https://www.facebook.com/634639855377280/posts/787476670093597?comment_id=385462327505041","https://www.facebook.com/634639855377280/posts/787476670093597?comment_id=385462327505041")</f>
        <v>https://www.facebook.com/634639855377280/posts/787476670093597?comment_id=385462327505041</v>
      </c>
      <c r="O2149">
        <v>0</v>
      </c>
      <c r="P2149">
        <v>0</v>
      </c>
      <c r="Q2149">
        <v>0</v>
      </c>
      <c r="S2149">
        <v>0</v>
      </c>
      <c r="T2149">
        <v>0</v>
      </c>
      <c r="U2149">
        <v>0</v>
      </c>
      <c r="W2149" t="s">
        <v>52</v>
      </c>
    </row>
    <row r="2150" spans="1:23" x14ac:dyDescent="0.35">
      <c r="A2150" t="s">
        <v>45</v>
      </c>
      <c r="B2150" t="s">
        <v>4419</v>
      </c>
      <c r="C2150" t="s">
        <v>60</v>
      </c>
      <c r="D2150" t="s">
        <v>61</v>
      </c>
      <c r="E2150" t="s">
        <v>61</v>
      </c>
      <c r="F2150" t="s">
        <v>49</v>
      </c>
      <c r="G2150" t="s">
        <v>4453</v>
      </c>
      <c r="H2150" t="s">
        <v>4454</v>
      </c>
      <c r="J2150" t="str">
        <f>HYPERLINK("https://www.facebook.com/634639855377280/posts/787476670093597?comment_id=284686414371687","https://www.facebook.com/634639855377280/posts/787476670093597?comment_id=284686414371687")</f>
        <v>https://www.facebook.com/634639855377280/posts/787476670093597?comment_id=284686414371687</v>
      </c>
      <c r="O2150">
        <v>0</v>
      </c>
      <c r="P2150">
        <v>0</v>
      </c>
      <c r="Q2150">
        <v>0</v>
      </c>
      <c r="S2150">
        <v>0</v>
      </c>
      <c r="T2150">
        <v>0</v>
      </c>
      <c r="U2150">
        <v>0</v>
      </c>
      <c r="W2150" t="s">
        <v>52</v>
      </c>
    </row>
    <row r="2151" spans="1:23" x14ac:dyDescent="0.35">
      <c r="A2151" t="s">
        <v>45</v>
      </c>
      <c r="B2151" t="s">
        <v>4419</v>
      </c>
      <c r="C2151" t="s">
        <v>60</v>
      </c>
      <c r="D2151" t="s">
        <v>64</v>
      </c>
      <c r="E2151" t="s">
        <v>64</v>
      </c>
      <c r="F2151" t="s">
        <v>49</v>
      </c>
      <c r="G2151" t="s">
        <v>4455</v>
      </c>
      <c r="H2151" t="s">
        <v>4456</v>
      </c>
      <c r="J2151" t="str">
        <f>HYPERLINK("https://www.facebook.com/634639855377280/posts/787476670093597","https://www.facebook.com/634639855377280/posts/787476670093597")</f>
        <v>https://www.facebook.com/634639855377280/posts/787476670093597</v>
      </c>
      <c r="O2151">
        <v>0</v>
      </c>
      <c r="P2151">
        <v>0</v>
      </c>
      <c r="Q2151">
        <v>0</v>
      </c>
      <c r="S2151">
        <v>7</v>
      </c>
      <c r="T2151">
        <v>167</v>
      </c>
      <c r="U2151">
        <v>5</v>
      </c>
      <c r="W2151" t="s">
        <v>346</v>
      </c>
    </row>
    <row r="2152" spans="1:23" x14ac:dyDescent="0.35">
      <c r="A2152" t="s">
        <v>45</v>
      </c>
      <c r="B2152" t="s">
        <v>4419</v>
      </c>
      <c r="C2152" t="s">
        <v>60</v>
      </c>
      <c r="D2152" t="s">
        <v>61</v>
      </c>
      <c r="E2152" t="s">
        <v>61</v>
      </c>
      <c r="F2152" t="s">
        <v>49</v>
      </c>
      <c r="G2152" t="s">
        <v>4457</v>
      </c>
      <c r="H2152" t="s">
        <v>4458</v>
      </c>
      <c r="J2152" t="str">
        <f>HYPERLINK("https://www.facebook.com/634639855377280/posts/786878883486709?comment_id=844959814107914&amp;reply_comment_id=198124333358921","https://www.facebook.com/634639855377280/posts/786878883486709?comment_id=844959814107914&amp;reply_comment_id=198124333358921")</f>
        <v>https://www.facebook.com/634639855377280/posts/786878883486709?comment_id=844959814107914&amp;reply_comment_id=198124333358921</v>
      </c>
      <c r="O2152">
        <v>0</v>
      </c>
      <c r="P2152">
        <v>0</v>
      </c>
      <c r="Q2152">
        <v>0</v>
      </c>
      <c r="S2152">
        <v>0</v>
      </c>
      <c r="T2152">
        <v>0</v>
      </c>
      <c r="U2152">
        <v>0</v>
      </c>
      <c r="W2152" t="s">
        <v>52</v>
      </c>
    </row>
    <row r="2153" spans="1:23" x14ac:dyDescent="0.35">
      <c r="A2153" t="s">
        <v>45</v>
      </c>
      <c r="B2153" t="s">
        <v>4419</v>
      </c>
      <c r="C2153" t="s">
        <v>60</v>
      </c>
      <c r="D2153" t="s">
        <v>64</v>
      </c>
      <c r="E2153" t="s">
        <v>64</v>
      </c>
      <c r="F2153" t="s">
        <v>49</v>
      </c>
      <c r="G2153" t="s">
        <v>164</v>
      </c>
      <c r="H2153" t="s">
        <v>4459</v>
      </c>
      <c r="J2153" t="str">
        <f>HYPERLINK("https://www.facebook.com/634639855377280/posts/784211473753450?comment_id=949125813214252&amp;reply_comment_id=1453708935490394","https://www.facebook.com/634639855377280/posts/784211473753450?comment_id=949125813214252&amp;reply_comment_id=1453708935490394")</f>
        <v>https://www.facebook.com/634639855377280/posts/784211473753450?comment_id=949125813214252&amp;reply_comment_id=1453708935490394</v>
      </c>
      <c r="K2153" t="s">
        <v>67</v>
      </c>
      <c r="O2153">
        <v>0</v>
      </c>
      <c r="P2153">
        <v>0</v>
      </c>
      <c r="Q2153">
        <v>0</v>
      </c>
      <c r="S2153">
        <v>0</v>
      </c>
      <c r="T2153">
        <v>0</v>
      </c>
      <c r="U2153">
        <v>0</v>
      </c>
      <c r="W2153" t="s">
        <v>52</v>
      </c>
    </row>
    <row r="2154" spans="1:23" x14ac:dyDescent="0.35">
      <c r="A2154" t="s">
        <v>45</v>
      </c>
      <c r="B2154" t="s">
        <v>4419</v>
      </c>
      <c r="C2154" t="s">
        <v>60</v>
      </c>
      <c r="D2154" t="s">
        <v>64</v>
      </c>
      <c r="E2154" t="s">
        <v>64</v>
      </c>
      <c r="F2154" t="s">
        <v>49</v>
      </c>
      <c r="G2154" t="s">
        <v>162</v>
      </c>
      <c r="H2154" t="s">
        <v>4460</v>
      </c>
      <c r="J2154" t="str">
        <f>HYPERLINK("https://www.facebook.com/634639855377280/posts/786878883486709?comment_id=907650984240848&amp;reply_comment_id=740184451409615","https://www.facebook.com/634639855377280/posts/786878883486709?comment_id=907650984240848&amp;reply_comment_id=740184451409615")</f>
        <v>https://www.facebook.com/634639855377280/posts/786878883486709?comment_id=907650984240848&amp;reply_comment_id=740184451409615</v>
      </c>
      <c r="K2154" t="s">
        <v>67</v>
      </c>
      <c r="O2154">
        <v>0</v>
      </c>
      <c r="P2154">
        <v>0</v>
      </c>
      <c r="Q2154">
        <v>0</v>
      </c>
      <c r="S2154">
        <v>0</v>
      </c>
      <c r="T2154">
        <v>0</v>
      </c>
      <c r="U2154">
        <v>0</v>
      </c>
      <c r="W2154" t="s">
        <v>52</v>
      </c>
    </row>
    <row r="2155" spans="1:23" x14ac:dyDescent="0.35">
      <c r="A2155" t="s">
        <v>45</v>
      </c>
      <c r="B2155" t="s">
        <v>4419</v>
      </c>
      <c r="C2155" t="s">
        <v>60</v>
      </c>
      <c r="D2155" t="s">
        <v>64</v>
      </c>
      <c r="E2155" t="s">
        <v>64</v>
      </c>
      <c r="F2155" t="s">
        <v>49</v>
      </c>
      <c r="G2155" t="s">
        <v>1595</v>
      </c>
      <c r="H2155" t="s">
        <v>4461</v>
      </c>
      <c r="J2155" t="str">
        <f>HYPERLINK("https://www.facebook.com/634639855377280/posts/786878883486709?comment_id=926206729032271&amp;reply_comment_id=826976932567543","https://www.facebook.com/634639855377280/posts/786878883486709?comment_id=926206729032271&amp;reply_comment_id=826976932567543")</f>
        <v>https://www.facebook.com/634639855377280/posts/786878883486709?comment_id=926206729032271&amp;reply_comment_id=826976932567543</v>
      </c>
      <c r="K2155" t="s">
        <v>67</v>
      </c>
      <c r="O2155">
        <v>0</v>
      </c>
      <c r="P2155">
        <v>0</v>
      </c>
      <c r="Q2155">
        <v>0</v>
      </c>
      <c r="S2155">
        <v>0</v>
      </c>
      <c r="T2155">
        <v>0</v>
      </c>
      <c r="U2155">
        <v>0</v>
      </c>
      <c r="W2155" t="s">
        <v>52</v>
      </c>
    </row>
    <row r="2156" spans="1:23" x14ac:dyDescent="0.35">
      <c r="A2156" t="s">
        <v>45</v>
      </c>
      <c r="B2156" t="s">
        <v>4419</v>
      </c>
      <c r="C2156" t="s">
        <v>60</v>
      </c>
      <c r="D2156" t="s">
        <v>64</v>
      </c>
      <c r="E2156" t="s">
        <v>64</v>
      </c>
      <c r="F2156" t="s">
        <v>49</v>
      </c>
      <c r="G2156" t="s">
        <v>83</v>
      </c>
      <c r="H2156" t="s">
        <v>4462</v>
      </c>
      <c r="J2156" t="str">
        <f>HYPERLINK("https://www.facebook.com/634639855377280/posts/786878883486709?comment_id=1157126935422950&amp;reply_comment_id=389892607062348","https://www.facebook.com/634639855377280/posts/786878883486709?comment_id=1157126935422950&amp;reply_comment_id=389892607062348")</f>
        <v>https://www.facebook.com/634639855377280/posts/786878883486709?comment_id=1157126935422950&amp;reply_comment_id=389892607062348</v>
      </c>
      <c r="K2156" t="s">
        <v>67</v>
      </c>
      <c r="O2156">
        <v>0</v>
      </c>
      <c r="P2156">
        <v>0</v>
      </c>
      <c r="Q2156">
        <v>0</v>
      </c>
      <c r="S2156">
        <v>0</v>
      </c>
      <c r="T2156">
        <v>0</v>
      </c>
      <c r="U2156">
        <v>0</v>
      </c>
      <c r="W2156" t="s">
        <v>52</v>
      </c>
    </row>
    <row r="2157" spans="1:23" x14ac:dyDescent="0.35">
      <c r="A2157" t="s">
        <v>45</v>
      </c>
      <c r="B2157" t="s">
        <v>4419</v>
      </c>
      <c r="C2157" t="s">
        <v>47</v>
      </c>
      <c r="D2157" t="s">
        <v>68</v>
      </c>
      <c r="E2157" t="s">
        <v>68</v>
      </c>
      <c r="F2157" t="s">
        <v>49</v>
      </c>
      <c r="G2157" t="s">
        <v>162</v>
      </c>
      <c r="H2157" t="s">
        <v>4463</v>
      </c>
      <c r="J2157" t="str">
        <f>HYPERLINK("https://www.youtube.com/watch?v=mfHtMEJS28Y&amp;lc=Ugzx9ZrgRe31hNPdbxF4AaABAg.A-YvDuOEpnlA-Z1ZhBRVw3","https://www.youtube.com/watch?v=mfHtMEJS28Y&amp;lc=Ugzx9ZrgRe31hNPdbxF4AaABAg.A-YvDuOEpnlA-Z1ZhBRVw3")</f>
        <v>https://www.youtube.com/watch?v=mfHtMEJS28Y&amp;lc=Ugzx9ZrgRe31hNPdbxF4AaABAg.A-YvDuOEpnlA-Z1ZhBRVw3</v>
      </c>
      <c r="O2157">
        <v>0</v>
      </c>
      <c r="P2157">
        <v>0</v>
      </c>
      <c r="Q2157">
        <v>0</v>
      </c>
      <c r="S2157">
        <v>0</v>
      </c>
      <c r="T2157">
        <v>0</v>
      </c>
      <c r="U2157">
        <v>0</v>
      </c>
      <c r="W2157" t="s">
        <v>52</v>
      </c>
    </row>
    <row r="2158" spans="1:23" x14ac:dyDescent="0.35">
      <c r="A2158" t="s">
        <v>45</v>
      </c>
      <c r="B2158" t="s">
        <v>4419</v>
      </c>
      <c r="C2158" t="s">
        <v>60</v>
      </c>
      <c r="D2158" t="s">
        <v>64</v>
      </c>
      <c r="E2158" t="s">
        <v>64</v>
      </c>
      <c r="F2158" t="s">
        <v>49</v>
      </c>
      <c r="G2158" t="s">
        <v>100</v>
      </c>
      <c r="H2158" t="s">
        <v>4464</v>
      </c>
      <c r="J2158" t="str">
        <f>HYPERLINK("https://www.facebook.com/634639855377280/posts/784211473753450?comment_id=360510350078642&amp;reply_comment_id=667975688880320","https://www.facebook.com/634639855377280/posts/784211473753450?comment_id=360510350078642&amp;reply_comment_id=667975688880320")</f>
        <v>https://www.facebook.com/634639855377280/posts/784211473753450?comment_id=360510350078642&amp;reply_comment_id=667975688880320</v>
      </c>
      <c r="K2158" t="s">
        <v>67</v>
      </c>
      <c r="O2158">
        <v>0</v>
      </c>
      <c r="P2158">
        <v>0</v>
      </c>
      <c r="Q2158">
        <v>0</v>
      </c>
      <c r="S2158">
        <v>0</v>
      </c>
      <c r="T2158">
        <v>0</v>
      </c>
      <c r="U2158">
        <v>0</v>
      </c>
      <c r="W2158" t="s">
        <v>52</v>
      </c>
    </row>
    <row r="2159" spans="1:23" x14ac:dyDescent="0.35">
      <c r="A2159" t="s">
        <v>45</v>
      </c>
      <c r="B2159" t="s">
        <v>4419</v>
      </c>
      <c r="C2159" t="s">
        <v>60</v>
      </c>
      <c r="D2159" t="s">
        <v>64</v>
      </c>
      <c r="E2159" t="s">
        <v>64</v>
      </c>
      <c r="F2159" t="s">
        <v>49</v>
      </c>
      <c r="G2159" t="s">
        <v>3138</v>
      </c>
      <c r="H2159" t="s">
        <v>4465</v>
      </c>
      <c r="J2159" t="str">
        <f>HYPERLINK("https://www.facebook.com/634639855377280/posts/786878883486709?comment_id=300705432629814&amp;reply_comment_id=1355482779185415","https://www.facebook.com/634639855377280/posts/786878883486709?comment_id=300705432629814&amp;reply_comment_id=1355482779185415")</f>
        <v>https://www.facebook.com/634639855377280/posts/786878883486709?comment_id=300705432629814&amp;reply_comment_id=1355482779185415</v>
      </c>
      <c r="K2159" t="s">
        <v>67</v>
      </c>
      <c r="O2159">
        <v>0</v>
      </c>
      <c r="P2159">
        <v>0</v>
      </c>
      <c r="Q2159">
        <v>0</v>
      </c>
      <c r="S2159">
        <v>0</v>
      </c>
      <c r="T2159">
        <v>0</v>
      </c>
      <c r="U2159">
        <v>0</v>
      </c>
      <c r="W2159" t="s">
        <v>52</v>
      </c>
    </row>
    <row r="2160" spans="1:23" x14ac:dyDescent="0.35">
      <c r="A2160" t="s">
        <v>45</v>
      </c>
      <c r="B2160" t="s">
        <v>4419</v>
      </c>
      <c r="C2160" t="s">
        <v>60</v>
      </c>
      <c r="D2160" t="s">
        <v>64</v>
      </c>
      <c r="E2160" t="s">
        <v>64</v>
      </c>
      <c r="F2160" t="s">
        <v>49</v>
      </c>
      <c r="G2160" t="s">
        <v>4466</v>
      </c>
      <c r="H2160" t="s">
        <v>4467</v>
      </c>
      <c r="J2160" t="str">
        <f>HYPERLINK("https://www.facebook.com/634639855377280/posts/786109966896934?comment_id=380556534607149&amp;reply_comment_id=309723515429202","https://www.facebook.com/634639855377280/posts/786109966896934?comment_id=380556534607149&amp;reply_comment_id=309723515429202")</f>
        <v>https://www.facebook.com/634639855377280/posts/786109966896934?comment_id=380556534607149&amp;reply_comment_id=309723515429202</v>
      </c>
      <c r="K2160" t="s">
        <v>67</v>
      </c>
      <c r="O2160">
        <v>0</v>
      </c>
      <c r="P2160">
        <v>0</v>
      </c>
      <c r="Q2160">
        <v>0</v>
      </c>
      <c r="S2160">
        <v>0</v>
      </c>
      <c r="T2160">
        <v>0</v>
      </c>
      <c r="U2160">
        <v>0</v>
      </c>
      <c r="W2160" t="s">
        <v>52</v>
      </c>
    </row>
    <row r="2161" spans="1:23" x14ac:dyDescent="0.35">
      <c r="A2161" t="s">
        <v>45</v>
      </c>
      <c r="B2161" t="s">
        <v>4419</v>
      </c>
      <c r="C2161" t="s">
        <v>93</v>
      </c>
      <c r="D2161" t="s">
        <v>94</v>
      </c>
      <c r="E2161" t="s">
        <v>45</v>
      </c>
      <c r="F2161" t="s">
        <v>49</v>
      </c>
      <c r="G2161" t="s">
        <v>4468</v>
      </c>
      <c r="H2161" t="s">
        <v>4469</v>
      </c>
      <c r="J2161" t="str">
        <f>HYPERLINK("https://twitter.com/SpiceMoneyIndia/status/1755566783421968494","https://twitter.com/SpiceMoneyIndia/status/1755566783421968494")</f>
        <v>https://twitter.com/SpiceMoneyIndia/status/1755566783421968494</v>
      </c>
      <c r="K2161" t="s">
        <v>67</v>
      </c>
      <c r="O2161">
        <v>0</v>
      </c>
      <c r="P2161">
        <v>0</v>
      </c>
      <c r="Q2161">
        <v>6020</v>
      </c>
      <c r="R2161" t="s">
        <v>97</v>
      </c>
      <c r="S2161">
        <v>0</v>
      </c>
      <c r="T2161">
        <v>0</v>
      </c>
      <c r="U2161">
        <v>0</v>
      </c>
      <c r="V2161" t="s">
        <v>98</v>
      </c>
      <c r="W2161" t="s">
        <v>99</v>
      </c>
    </row>
    <row r="2162" spans="1:23" x14ac:dyDescent="0.35">
      <c r="A2162" t="s">
        <v>45</v>
      </c>
      <c r="B2162" t="s">
        <v>4419</v>
      </c>
      <c r="C2162" t="s">
        <v>93</v>
      </c>
      <c r="D2162" t="s">
        <v>94</v>
      </c>
      <c r="E2162" t="s">
        <v>45</v>
      </c>
      <c r="F2162" t="s">
        <v>49</v>
      </c>
      <c r="G2162" t="s">
        <v>4470</v>
      </c>
      <c r="H2162" t="s">
        <v>4471</v>
      </c>
      <c r="J2162" t="str">
        <f>HYPERLINK("https://twitter.com/SpiceMoneyIndia/status/1755566529607778425","https://twitter.com/SpiceMoneyIndia/status/1755566529607778425")</f>
        <v>https://twitter.com/SpiceMoneyIndia/status/1755566529607778425</v>
      </c>
      <c r="K2162" t="s">
        <v>67</v>
      </c>
      <c r="O2162">
        <v>0</v>
      </c>
      <c r="P2162">
        <v>0</v>
      </c>
      <c r="Q2162">
        <v>6020</v>
      </c>
      <c r="R2162" t="s">
        <v>97</v>
      </c>
      <c r="S2162">
        <v>0</v>
      </c>
      <c r="T2162">
        <v>0</v>
      </c>
      <c r="U2162">
        <v>0</v>
      </c>
      <c r="V2162" t="s">
        <v>98</v>
      </c>
      <c r="W2162" t="s">
        <v>99</v>
      </c>
    </row>
    <row r="2163" spans="1:23" x14ac:dyDescent="0.35">
      <c r="A2163" t="s">
        <v>45</v>
      </c>
      <c r="B2163" t="s">
        <v>4419</v>
      </c>
      <c r="C2163" t="s">
        <v>60</v>
      </c>
      <c r="D2163" t="s">
        <v>64</v>
      </c>
      <c r="E2163" t="s">
        <v>64</v>
      </c>
      <c r="F2163" t="s">
        <v>49</v>
      </c>
      <c r="G2163" t="s">
        <v>1011</v>
      </c>
      <c r="H2163" t="s">
        <v>4472</v>
      </c>
      <c r="J2163" t="str">
        <f>HYPERLINK("https://www.facebook.com/634639855377280/posts/786878883486709?comment_id=707580604870776&amp;reply_comment_id=1538300700070234","https://www.facebook.com/634639855377280/posts/786878883486709?comment_id=707580604870776&amp;reply_comment_id=1538300700070234")</f>
        <v>https://www.facebook.com/634639855377280/posts/786878883486709?comment_id=707580604870776&amp;reply_comment_id=1538300700070234</v>
      </c>
      <c r="K2163" t="s">
        <v>67</v>
      </c>
      <c r="O2163">
        <v>0</v>
      </c>
      <c r="P2163">
        <v>0</v>
      </c>
      <c r="Q2163">
        <v>0</v>
      </c>
      <c r="S2163">
        <v>0</v>
      </c>
      <c r="T2163">
        <v>0</v>
      </c>
      <c r="U2163">
        <v>0</v>
      </c>
      <c r="W2163" t="s">
        <v>52</v>
      </c>
    </row>
    <row r="2164" spans="1:23" x14ac:dyDescent="0.35">
      <c r="A2164" t="s">
        <v>45</v>
      </c>
      <c r="B2164" t="s">
        <v>4419</v>
      </c>
      <c r="C2164" t="s">
        <v>60</v>
      </c>
      <c r="D2164" t="s">
        <v>64</v>
      </c>
      <c r="E2164" t="s">
        <v>64</v>
      </c>
      <c r="F2164" t="s">
        <v>49</v>
      </c>
      <c r="G2164" t="s">
        <v>83</v>
      </c>
      <c r="H2164" t="s">
        <v>4473</v>
      </c>
      <c r="J2164" t="str">
        <f>HYPERLINK("https://www.facebook.com/634639855377280/posts/786878883486709?comment_id=844959814107914&amp;reply_comment_id=1375243463363572","https://www.facebook.com/634639855377280/posts/786878883486709?comment_id=844959814107914&amp;reply_comment_id=1375243463363572")</f>
        <v>https://www.facebook.com/634639855377280/posts/786878883486709?comment_id=844959814107914&amp;reply_comment_id=1375243463363572</v>
      </c>
      <c r="K2164" t="s">
        <v>67</v>
      </c>
      <c r="O2164">
        <v>0</v>
      </c>
      <c r="P2164">
        <v>0</v>
      </c>
      <c r="Q2164">
        <v>0</v>
      </c>
      <c r="S2164">
        <v>0</v>
      </c>
      <c r="T2164">
        <v>0</v>
      </c>
      <c r="U2164">
        <v>0</v>
      </c>
      <c r="W2164" t="s">
        <v>52</v>
      </c>
    </row>
    <row r="2165" spans="1:23" x14ac:dyDescent="0.35">
      <c r="A2165" t="s">
        <v>45</v>
      </c>
      <c r="B2165" t="s">
        <v>4419</v>
      </c>
      <c r="C2165" t="s">
        <v>93</v>
      </c>
      <c r="D2165" t="s">
        <v>94</v>
      </c>
      <c r="E2165" t="s">
        <v>45</v>
      </c>
      <c r="F2165" t="s">
        <v>49</v>
      </c>
      <c r="G2165" t="s">
        <v>4474</v>
      </c>
      <c r="H2165" t="s">
        <v>4475</v>
      </c>
      <c r="J2165" t="str">
        <f>HYPERLINK("https://twitter.com/SpiceMoneyIndia/status/1755561313990815889","https://twitter.com/SpiceMoneyIndia/status/1755561313990815889")</f>
        <v>https://twitter.com/SpiceMoneyIndia/status/1755561313990815889</v>
      </c>
      <c r="K2165" t="s">
        <v>67</v>
      </c>
      <c r="O2165">
        <v>0</v>
      </c>
      <c r="P2165">
        <v>0</v>
      </c>
      <c r="Q2165">
        <v>6020</v>
      </c>
      <c r="R2165" t="s">
        <v>97</v>
      </c>
      <c r="S2165">
        <v>0</v>
      </c>
      <c r="T2165">
        <v>0</v>
      </c>
      <c r="U2165">
        <v>0</v>
      </c>
      <c r="V2165" t="s">
        <v>98</v>
      </c>
      <c r="W2165" t="s">
        <v>99</v>
      </c>
    </row>
    <row r="2166" spans="1:23" x14ac:dyDescent="0.35">
      <c r="A2166" t="s">
        <v>45</v>
      </c>
      <c r="B2166" t="s">
        <v>4419</v>
      </c>
      <c r="C2166" t="s">
        <v>60</v>
      </c>
      <c r="D2166" t="s">
        <v>64</v>
      </c>
      <c r="E2166" t="s">
        <v>64</v>
      </c>
      <c r="F2166" t="s">
        <v>49</v>
      </c>
      <c r="G2166" t="s">
        <v>380</v>
      </c>
      <c r="H2166" t="s">
        <v>4476</v>
      </c>
      <c r="J2166" t="str">
        <f>HYPERLINK("https://www.facebook.com/634639855377280/posts/786878883486709?comment_id=784502777053900&amp;reply_comment_id=763622858987890","https://www.facebook.com/634639855377280/posts/786878883486709?comment_id=784502777053900&amp;reply_comment_id=763622858987890")</f>
        <v>https://www.facebook.com/634639855377280/posts/786878883486709?comment_id=784502777053900&amp;reply_comment_id=763622858987890</v>
      </c>
      <c r="K2166" t="s">
        <v>67</v>
      </c>
      <c r="O2166">
        <v>0</v>
      </c>
      <c r="P2166">
        <v>0</v>
      </c>
      <c r="Q2166">
        <v>0</v>
      </c>
      <c r="S2166">
        <v>0</v>
      </c>
      <c r="T2166">
        <v>0</v>
      </c>
      <c r="U2166">
        <v>0</v>
      </c>
      <c r="W2166" t="s">
        <v>52</v>
      </c>
    </row>
    <row r="2167" spans="1:23" x14ac:dyDescent="0.35">
      <c r="A2167" t="s">
        <v>45</v>
      </c>
      <c r="B2167" t="s">
        <v>4419</v>
      </c>
      <c r="C2167" t="s">
        <v>60</v>
      </c>
      <c r="D2167" t="s">
        <v>64</v>
      </c>
      <c r="E2167" t="s">
        <v>64</v>
      </c>
      <c r="F2167" t="s">
        <v>49</v>
      </c>
      <c r="G2167" t="s">
        <v>270</v>
      </c>
      <c r="H2167" t="s">
        <v>4477</v>
      </c>
      <c r="J2167" t="str">
        <f>HYPERLINK("https://www.facebook.com/634639855377280/posts/786878883486709?comment_id=403028245561916&amp;reply_comment_id=747651570635236","https://www.facebook.com/634639855377280/posts/786878883486709?comment_id=403028245561916&amp;reply_comment_id=747651570635236")</f>
        <v>https://www.facebook.com/634639855377280/posts/786878883486709?comment_id=403028245561916&amp;reply_comment_id=747651570635236</v>
      </c>
      <c r="K2167" t="s">
        <v>67</v>
      </c>
      <c r="O2167">
        <v>0</v>
      </c>
      <c r="P2167">
        <v>0</v>
      </c>
      <c r="Q2167">
        <v>0</v>
      </c>
      <c r="S2167">
        <v>0</v>
      </c>
      <c r="T2167">
        <v>0</v>
      </c>
      <c r="U2167">
        <v>0</v>
      </c>
      <c r="W2167" t="s">
        <v>52</v>
      </c>
    </row>
    <row r="2168" spans="1:23" x14ac:dyDescent="0.35">
      <c r="A2168" t="s">
        <v>45</v>
      </c>
      <c r="B2168" t="s">
        <v>4419</v>
      </c>
      <c r="C2168" t="s">
        <v>60</v>
      </c>
      <c r="D2168" t="s">
        <v>64</v>
      </c>
      <c r="E2168" t="s">
        <v>64</v>
      </c>
      <c r="F2168" t="s">
        <v>49</v>
      </c>
      <c r="G2168" t="s">
        <v>83</v>
      </c>
      <c r="H2168" t="s">
        <v>4478</v>
      </c>
      <c r="J2168" t="str">
        <f>HYPERLINK("https://www.facebook.com/634639855377280/posts/786878883486709?comment_id=1527806928069126&amp;reply_comment_id=770692548290480","https://www.facebook.com/634639855377280/posts/786878883486709?comment_id=1527806928069126&amp;reply_comment_id=770692548290480")</f>
        <v>https://www.facebook.com/634639855377280/posts/786878883486709?comment_id=1527806928069126&amp;reply_comment_id=770692548290480</v>
      </c>
      <c r="K2168" t="s">
        <v>67</v>
      </c>
      <c r="O2168">
        <v>0</v>
      </c>
      <c r="P2168">
        <v>0</v>
      </c>
      <c r="Q2168">
        <v>0</v>
      </c>
      <c r="S2168">
        <v>0</v>
      </c>
      <c r="T2168">
        <v>0</v>
      </c>
      <c r="U2168">
        <v>0</v>
      </c>
      <c r="W2168" t="s">
        <v>52</v>
      </c>
    </row>
    <row r="2169" spans="1:23" x14ac:dyDescent="0.35">
      <c r="A2169" t="s">
        <v>45</v>
      </c>
      <c r="B2169" t="s">
        <v>4419</v>
      </c>
      <c r="C2169" t="s">
        <v>93</v>
      </c>
      <c r="D2169" t="s">
        <v>94</v>
      </c>
      <c r="E2169" t="s">
        <v>45</v>
      </c>
      <c r="F2169" t="s">
        <v>49</v>
      </c>
      <c r="G2169" t="s">
        <v>4479</v>
      </c>
      <c r="H2169" t="s">
        <v>4480</v>
      </c>
      <c r="J2169" t="str">
        <f>HYPERLINK("https://twitter.com/SpiceMoneyIndia/status/1755560375007752683","https://twitter.com/SpiceMoneyIndia/status/1755560375007752683")</f>
        <v>https://twitter.com/SpiceMoneyIndia/status/1755560375007752683</v>
      </c>
      <c r="K2169" t="s">
        <v>67</v>
      </c>
      <c r="O2169">
        <v>0</v>
      </c>
      <c r="P2169">
        <v>0</v>
      </c>
      <c r="Q2169">
        <v>6020</v>
      </c>
      <c r="R2169" t="s">
        <v>97</v>
      </c>
      <c r="S2169">
        <v>0</v>
      </c>
      <c r="T2169">
        <v>0</v>
      </c>
      <c r="U2169">
        <v>0</v>
      </c>
      <c r="V2169" t="s">
        <v>98</v>
      </c>
      <c r="W2169" t="s">
        <v>99</v>
      </c>
    </row>
    <row r="2170" spans="1:23" x14ac:dyDescent="0.35">
      <c r="A2170" t="s">
        <v>45</v>
      </c>
      <c r="B2170" t="s">
        <v>4419</v>
      </c>
      <c r="C2170" t="s">
        <v>47</v>
      </c>
      <c r="D2170" t="s">
        <v>68</v>
      </c>
      <c r="E2170" t="s">
        <v>68</v>
      </c>
      <c r="F2170" t="s">
        <v>49</v>
      </c>
      <c r="G2170" t="s">
        <v>102</v>
      </c>
      <c r="H2170" t="s">
        <v>4481</v>
      </c>
      <c r="J2170" t="str">
        <f>HYPERLINK("https://www.youtube.com/watch?v=5DADCSRiE3A&amp;lc=UgyV_wWHwSktH2dUp0h4AaABAg.A-WV5w-7BFYA-Yz2GNXq-v","https://www.youtube.com/watch?v=5DADCSRiE3A&amp;lc=UgyV_wWHwSktH2dUp0h4AaABAg.A-WV5w-7BFYA-Yz2GNXq-v")</f>
        <v>https://www.youtube.com/watch?v=5DADCSRiE3A&amp;lc=UgyV_wWHwSktH2dUp0h4AaABAg.A-WV5w-7BFYA-Yz2GNXq-v</v>
      </c>
      <c r="O2170">
        <v>0</v>
      </c>
      <c r="P2170">
        <v>0</v>
      </c>
      <c r="Q2170">
        <v>0</v>
      </c>
      <c r="S2170">
        <v>0</v>
      </c>
      <c r="T2170">
        <v>0</v>
      </c>
      <c r="U2170">
        <v>0</v>
      </c>
      <c r="W2170" t="s">
        <v>52</v>
      </c>
    </row>
    <row r="2171" spans="1:23" x14ac:dyDescent="0.35">
      <c r="A2171" t="s">
        <v>45</v>
      </c>
      <c r="B2171" t="s">
        <v>4419</v>
      </c>
      <c r="C2171" t="s">
        <v>47</v>
      </c>
      <c r="D2171" t="s">
        <v>45</v>
      </c>
      <c r="E2171" t="s">
        <v>45</v>
      </c>
      <c r="F2171" t="s">
        <v>49</v>
      </c>
      <c r="G2171" t="s">
        <v>4482</v>
      </c>
      <c r="H2171" t="s">
        <v>4483</v>
      </c>
      <c r="J2171" t="str">
        <f>HYPERLINK("https://www.youtube.com/watch?v=2mghvDjVJXk","https://www.youtube.com/watch?v=2mghvDjVJXk")</f>
        <v>https://www.youtube.com/watch?v=2mghvDjVJXk</v>
      </c>
      <c r="O2171">
        <v>0</v>
      </c>
      <c r="P2171">
        <v>0</v>
      </c>
      <c r="Q2171">
        <v>0</v>
      </c>
      <c r="S2171">
        <v>0</v>
      </c>
      <c r="T2171">
        <v>0</v>
      </c>
      <c r="U2171">
        <v>0</v>
      </c>
      <c r="W2171" t="s">
        <v>346</v>
      </c>
    </row>
    <row r="2172" spans="1:23" x14ac:dyDescent="0.35">
      <c r="A2172" t="s">
        <v>45</v>
      </c>
      <c r="B2172" t="s">
        <v>4419</v>
      </c>
      <c r="C2172" t="s">
        <v>47</v>
      </c>
      <c r="D2172" t="s">
        <v>45</v>
      </c>
      <c r="E2172" t="s">
        <v>45</v>
      </c>
      <c r="F2172" t="s">
        <v>49</v>
      </c>
      <c r="G2172" t="s">
        <v>4482</v>
      </c>
      <c r="H2172" t="s">
        <v>4484</v>
      </c>
      <c r="J2172" t="str">
        <f>HYPERLINK("https://www.youtube.com/watch?v=2mghvDjVJXk","https://www.youtube.com/watch?v=2mghvDjVJXk")</f>
        <v>https://www.youtube.com/watch?v=2mghvDjVJXk</v>
      </c>
      <c r="O2172">
        <v>0</v>
      </c>
      <c r="P2172">
        <v>0</v>
      </c>
      <c r="Q2172">
        <v>0</v>
      </c>
      <c r="S2172">
        <v>0</v>
      </c>
      <c r="T2172">
        <v>0</v>
      </c>
      <c r="U2172">
        <v>0</v>
      </c>
      <c r="W2172" t="s">
        <v>346</v>
      </c>
    </row>
    <row r="2173" spans="1:23" x14ac:dyDescent="0.35">
      <c r="A2173" t="s">
        <v>45</v>
      </c>
      <c r="B2173" t="s">
        <v>4419</v>
      </c>
      <c r="C2173" t="s">
        <v>47</v>
      </c>
      <c r="D2173" t="s">
        <v>68</v>
      </c>
      <c r="E2173" t="s">
        <v>68</v>
      </c>
      <c r="F2173" t="s">
        <v>49</v>
      </c>
      <c r="G2173" t="s">
        <v>102</v>
      </c>
      <c r="H2173" t="s">
        <v>4485</v>
      </c>
      <c r="J2173" t="str">
        <f>HYPERLINK("https://www.youtube.com/watch?v=ySy-ogKu0Pk&amp;lc=UgwnV35bB-gRgpZUSjh4AaABAg.A-WkjLqcP52A-YyrhgDQqV","https://www.youtube.com/watch?v=ySy-ogKu0Pk&amp;lc=UgwnV35bB-gRgpZUSjh4AaABAg.A-WkjLqcP52A-YyrhgDQqV")</f>
        <v>https://www.youtube.com/watch?v=ySy-ogKu0Pk&amp;lc=UgwnV35bB-gRgpZUSjh4AaABAg.A-WkjLqcP52A-YyrhgDQqV</v>
      </c>
      <c r="O2173">
        <v>0</v>
      </c>
      <c r="P2173">
        <v>0</v>
      </c>
      <c r="Q2173">
        <v>0</v>
      </c>
      <c r="S2173">
        <v>0</v>
      </c>
      <c r="T2173">
        <v>0</v>
      </c>
      <c r="U2173">
        <v>0</v>
      </c>
      <c r="W2173" t="s">
        <v>52</v>
      </c>
    </row>
    <row r="2174" spans="1:23" x14ac:dyDescent="0.35">
      <c r="A2174" t="s">
        <v>45</v>
      </c>
      <c r="B2174" t="s">
        <v>4419</v>
      </c>
      <c r="C2174" t="s">
        <v>47</v>
      </c>
      <c r="D2174" t="s">
        <v>68</v>
      </c>
      <c r="E2174" t="s">
        <v>68</v>
      </c>
      <c r="F2174" t="s">
        <v>49</v>
      </c>
      <c r="G2174" t="s">
        <v>102</v>
      </c>
      <c r="H2174" t="s">
        <v>4486</v>
      </c>
      <c r="J2174" t="str">
        <f>HYPERLINK("https://www.youtube.com/watch?v=-l0zuXgllLA&amp;lc=UgwoBOE0Lp-caILMwEh4AaABAg.A-XfzKNQXhOA-YxYxWL7y3","https://www.youtube.com/watch?v=-l0zuXgllLA&amp;lc=UgwoBOE0Lp-caILMwEh4AaABAg.A-XfzKNQXhOA-YxYxWL7y3")</f>
        <v>https://www.youtube.com/watch?v=-l0zuXgllLA&amp;lc=UgwoBOE0Lp-caILMwEh4AaABAg.A-XfzKNQXhOA-YxYxWL7y3</v>
      </c>
      <c r="O2174">
        <v>0</v>
      </c>
      <c r="P2174">
        <v>0</v>
      </c>
      <c r="Q2174">
        <v>0</v>
      </c>
      <c r="S2174">
        <v>0</v>
      </c>
      <c r="T2174">
        <v>0</v>
      </c>
      <c r="U2174">
        <v>0</v>
      </c>
      <c r="W2174" t="s">
        <v>52</v>
      </c>
    </row>
    <row r="2175" spans="1:23" x14ac:dyDescent="0.35">
      <c r="A2175" t="s">
        <v>45</v>
      </c>
      <c r="B2175" t="s">
        <v>4419</v>
      </c>
      <c r="C2175" t="s">
        <v>47</v>
      </c>
      <c r="D2175" t="s">
        <v>68</v>
      </c>
      <c r="E2175" t="s">
        <v>68</v>
      </c>
      <c r="F2175" t="s">
        <v>49</v>
      </c>
      <c r="G2175" t="s">
        <v>102</v>
      </c>
      <c r="H2175" t="s">
        <v>4487</v>
      </c>
      <c r="J2175" t="str">
        <f>HYPERLINK("https://www.youtube.com/watch?v=DJMPsDYdRYk&amp;lc=UgyUAxeHi9aaf-jh4dJ4AaABAg.A-XrU_cc93TA-YxRunWP0c","https://www.youtube.com/watch?v=DJMPsDYdRYk&amp;lc=UgyUAxeHi9aaf-jh4dJ4AaABAg.A-XrU_cc93TA-YxRunWP0c")</f>
        <v>https://www.youtube.com/watch?v=DJMPsDYdRYk&amp;lc=UgyUAxeHi9aaf-jh4dJ4AaABAg.A-XrU_cc93TA-YxRunWP0c</v>
      </c>
      <c r="O2175">
        <v>0</v>
      </c>
      <c r="P2175">
        <v>0</v>
      </c>
      <c r="Q2175">
        <v>0</v>
      </c>
      <c r="S2175">
        <v>0</v>
      </c>
      <c r="T2175">
        <v>0</v>
      </c>
      <c r="U2175">
        <v>0</v>
      </c>
      <c r="W2175" t="s">
        <v>52</v>
      </c>
    </row>
    <row r="2176" spans="1:23" x14ac:dyDescent="0.35">
      <c r="A2176" t="s">
        <v>45</v>
      </c>
      <c r="B2176" t="s">
        <v>4419</v>
      </c>
      <c r="C2176" t="s">
        <v>47</v>
      </c>
      <c r="D2176" t="s">
        <v>68</v>
      </c>
      <c r="E2176" t="s">
        <v>68</v>
      </c>
      <c r="F2176" t="s">
        <v>49</v>
      </c>
      <c r="G2176" t="s">
        <v>293</v>
      </c>
      <c r="H2176" t="s">
        <v>4488</v>
      </c>
      <c r="J2176" t="str">
        <f>HYPERLINK("https://www.youtube.com/watch?v=5DADCSRiE3A&amp;lc=Ugx69nccWk-Bthr478t4AaABAg.A-Xr9Y2Xf5eA-YxP0dOq4D","https://www.youtube.com/watch?v=5DADCSRiE3A&amp;lc=Ugx69nccWk-Bthr478t4AaABAg.A-Xr9Y2Xf5eA-YxP0dOq4D")</f>
        <v>https://www.youtube.com/watch?v=5DADCSRiE3A&amp;lc=Ugx69nccWk-Bthr478t4AaABAg.A-Xr9Y2Xf5eA-YxP0dOq4D</v>
      </c>
      <c r="O2176">
        <v>0</v>
      </c>
      <c r="P2176">
        <v>0</v>
      </c>
      <c r="Q2176">
        <v>0</v>
      </c>
      <c r="S2176">
        <v>0</v>
      </c>
      <c r="T2176">
        <v>0</v>
      </c>
      <c r="U2176">
        <v>0</v>
      </c>
      <c r="W2176" t="s">
        <v>52</v>
      </c>
    </row>
    <row r="2177" spans="1:23" x14ac:dyDescent="0.35">
      <c r="A2177" t="s">
        <v>45</v>
      </c>
      <c r="B2177" t="s">
        <v>4419</v>
      </c>
      <c r="C2177" t="s">
        <v>47</v>
      </c>
      <c r="D2177" t="s">
        <v>1038</v>
      </c>
      <c r="E2177" t="s">
        <v>1038</v>
      </c>
      <c r="F2177" t="s">
        <v>49</v>
      </c>
      <c r="G2177" t="s">
        <v>4489</v>
      </c>
      <c r="H2177" t="s">
        <v>4490</v>
      </c>
      <c r="J2177" t="str">
        <f>HYPERLINK("https://www.youtube.com/watch?v=DMlpygM0MQM&amp;lc=UgxROEl0gwh2TU7meHV4AaABAg.A-EnI7t8mBqA-YxKp9dSrr","https://www.youtube.com/watch?v=DMlpygM0MQM&amp;lc=UgxROEl0gwh2TU7meHV4AaABAg.A-EnI7t8mBqA-YxKp9dSrr")</f>
        <v>https://www.youtube.com/watch?v=DMlpygM0MQM&amp;lc=UgxROEl0gwh2TU7meHV4AaABAg.A-EnI7t8mBqA-YxKp9dSrr</v>
      </c>
      <c r="O2177">
        <v>0</v>
      </c>
      <c r="P2177">
        <v>0</v>
      </c>
      <c r="Q2177">
        <v>0</v>
      </c>
      <c r="S2177">
        <v>0</v>
      </c>
      <c r="T2177">
        <v>0</v>
      </c>
      <c r="U2177">
        <v>0</v>
      </c>
      <c r="W2177" t="s">
        <v>52</v>
      </c>
    </row>
    <row r="2178" spans="1:23" x14ac:dyDescent="0.35">
      <c r="A2178" t="s">
        <v>45</v>
      </c>
      <c r="B2178" t="s">
        <v>4419</v>
      </c>
      <c r="C2178" t="s">
        <v>47</v>
      </c>
      <c r="D2178" t="s">
        <v>68</v>
      </c>
      <c r="E2178" t="s">
        <v>68</v>
      </c>
      <c r="F2178" t="s">
        <v>49</v>
      </c>
      <c r="G2178" t="s">
        <v>4491</v>
      </c>
      <c r="H2178" t="s">
        <v>4492</v>
      </c>
      <c r="J2178" t="str">
        <f>HYPERLINK("https://www.youtube.com/watch?v=DMlpygM0MQM&amp;lc=UgzWYMvDVbM_ln3UmD54AaABAg.A-TASm9mIz6A-YxDlhvUhK","https://www.youtube.com/watch?v=DMlpygM0MQM&amp;lc=UgzWYMvDVbM_ln3UmD54AaABAg.A-TASm9mIz6A-YxDlhvUhK")</f>
        <v>https://www.youtube.com/watch?v=DMlpygM0MQM&amp;lc=UgzWYMvDVbM_ln3UmD54AaABAg.A-TASm9mIz6A-YxDlhvUhK</v>
      </c>
      <c r="O2178">
        <v>0</v>
      </c>
      <c r="P2178">
        <v>0</v>
      </c>
      <c r="Q2178">
        <v>0</v>
      </c>
      <c r="S2178">
        <v>0</v>
      </c>
      <c r="T2178">
        <v>0</v>
      </c>
      <c r="U2178">
        <v>0</v>
      </c>
      <c r="W2178" t="s">
        <v>52</v>
      </c>
    </row>
    <row r="2179" spans="1:23" x14ac:dyDescent="0.35">
      <c r="A2179" t="s">
        <v>45</v>
      </c>
      <c r="B2179" t="s">
        <v>4419</v>
      </c>
      <c r="C2179" t="s">
        <v>47</v>
      </c>
      <c r="D2179" t="s">
        <v>68</v>
      </c>
      <c r="E2179" t="s">
        <v>68</v>
      </c>
      <c r="F2179" t="s">
        <v>49</v>
      </c>
      <c r="G2179" t="s">
        <v>162</v>
      </c>
      <c r="H2179" t="s">
        <v>4493</v>
      </c>
      <c r="J2179" t="str">
        <f>HYPERLINK("https://www.youtube.com/watch?v=wDVpKG8jfSo&amp;lc=Ugz-gxppstXafqB561B4AaABAg.A-YLuHq9RxaA-Yx-NitruX","https://www.youtube.com/watch?v=wDVpKG8jfSo&amp;lc=Ugz-gxppstXafqB561B4AaABAg.A-YLuHq9RxaA-Yx-NitruX")</f>
        <v>https://www.youtube.com/watch?v=wDVpKG8jfSo&amp;lc=Ugz-gxppstXafqB561B4AaABAg.A-YLuHq9RxaA-Yx-NitruX</v>
      </c>
      <c r="O2179">
        <v>0</v>
      </c>
      <c r="P2179">
        <v>0</v>
      </c>
      <c r="Q2179">
        <v>0</v>
      </c>
      <c r="S2179">
        <v>0</v>
      </c>
      <c r="T2179">
        <v>0</v>
      </c>
      <c r="U2179">
        <v>0</v>
      </c>
      <c r="W2179" t="s">
        <v>52</v>
      </c>
    </row>
    <row r="2180" spans="1:23" x14ac:dyDescent="0.35">
      <c r="A2180" t="s">
        <v>45</v>
      </c>
      <c r="B2180" t="s">
        <v>4419</v>
      </c>
      <c r="C2180" t="s">
        <v>47</v>
      </c>
      <c r="D2180" t="s">
        <v>68</v>
      </c>
      <c r="E2180" t="s">
        <v>68</v>
      </c>
      <c r="F2180" t="s">
        <v>49</v>
      </c>
      <c r="G2180" t="s">
        <v>1595</v>
      </c>
      <c r="H2180" t="s">
        <v>4494</v>
      </c>
      <c r="J2180" t="str">
        <f>HYPERLINK("https://www.youtube.com/watch?v=DMlpygM0MQM&amp;lc=UgxROEl0gwh2TU7meHV4AaABAg.A-EnI7t8mBqA-YwVt2wCqm","https://www.youtube.com/watch?v=DMlpygM0MQM&amp;lc=UgxROEl0gwh2TU7meHV4AaABAg.A-EnI7t8mBqA-YwVt2wCqm")</f>
        <v>https://www.youtube.com/watch?v=DMlpygM0MQM&amp;lc=UgxROEl0gwh2TU7meHV4AaABAg.A-EnI7t8mBqA-YwVt2wCqm</v>
      </c>
      <c r="O2180">
        <v>0</v>
      </c>
      <c r="P2180">
        <v>0</v>
      </c>
      <c r="Q2180">
        <v>0</v>
      </c>
      <c r="S2180">
        <v>0</v>
      </c>
      <c r="T2180">
        <v>0</v>
      </c>
      <c r="U2180">
        <v>0</v>
      </c>
      <c r="W2180" t="s">
        <v>52</v>
      </c>
    </row>
    <row r="2181" spans="1:23" x14ac:dyDescent="0.35">
      <c r="A2181" t="s">
        <v>45</v>
      </c>
      <c r="B2181" t="s">
        <v>4419</v>
      </c>
      <c r="C2181" t="s">
        <v>47</v>
      </c>
      <c r="D2181" t="s">
        <v>68</v>
      </c>
      <c r="E2181" t="s">
        <v>68</v>
      </c>
      <c r="F2181" t="s">
        <v>49</v>
      </c>
      <c r="G2181" t="s">
        <v>1595</v>
      </c>
      <c r="H2181" t="s">
        <v>4495</v>
      </c>
      <c r="J2181" t="str">
        <f>HYPERLINK("https://www.youtube.com/watch?v=IHWzT2TNYKQ&amp;lc=Ugzr8SHTLWqvFHpAaT94AaABAg.A-YY-YJ4bzGA-YwQBLtf7g","https://www.youtube.com/watch?v=IHWzT2TNYKQ&amp;lc=Ugzr8SHTLWqvFHpAaT94AaABAg.A-YY-YJ4bzGA-YwQBLtf7g")</f>
        <v>https://www.youtube.com/watch?v=IHWzT2TNYKQ&amp;lc=Ugzr8SHTLWqvFHpAaT94AaABAg.A-YY-YJ4bzGA-YwQBLtf7g</v>
      </c>
      <c r="O2181">
        <v>0</v>
      </c>
      <c r="P2181">
        <v>0</v>
      </c>
      <c r="Q2181">
        <v>0</v>
      </c>
      <c r="S2181">
        <v>0</v>
      </c>
      <c r="T2181">
        <v>0</v>
      </c>
      <c r="U2181">
        <v>0</v>
      </c>
      <c r="W2181" t="s">
        <v>52</v>
      </c>
    </row>
    <row r="2182" spans="1:23" x14ac:dyDescent="0.35">
      <c r="A2182" t="s">
        <v>45</v>
      </c>
      <c r="B2182" t="s">
        <v>4419</v>
      </c>
      <c r="C2182" t="s">
        <v>47</v>
      </c>
      <c r="D2182" t="s">
        <v>68</v>
      </c>
      <c r="E2182" t="s">
        <v>68</v>
      </c>
      <c r="F2182" t="s">
        <v>49</v>
      </c>
      <c r="G2182" t="s">
        <v>162</v>
      </c>
      <c r="H2182" t="s">
        <v>4496</v>
      </c>
      <c r="J2182" t="str">
        <f>HYPERLINK("https://www.youtube.com/watch?v=mfHtMEJS28Y&amp;lc=Ugw1YmpqX1XD_ILuzWF4AaABAg.A-YgwQkJ0yQA-YwKDMsmE0","https://www.youtube.com/watch?v=mfHtMEJS28Y&amp;lc=Ugw1YmpqX1XD_ILuzWF4AaABAg.A-YgwQkJ0yQA-YwKDMsmE0")</f>
        <v>https://www.youtube.com/watch?v=mfHtMEJS28Y&amp;lc=Ugw1YmpqX1XD_ILuzWF4AaABAg.A-YgwQkJ0yQA-YwKDMsmE0</v>
      </c>
      <c r="O2182">
        <v>0</v>
      </c>
      <c r="P2182">
        <v>0</v>
      </c>
      <c r="Q2182">
        <v>0</v>
      </c>
      <c r="S2182">
        <v>0</v>
      </c>
      <c r="T2182">
        <v>0</v>
      </c>
      <c r="U2182">
        <v>0</v>
      </c>
      <c r="W2182" t="s">
        <v>52</v>
      </c>
    </row>
    <row r="2183" spans="1:23" x14ac:dyDescent="0.35">
      <c r="A2183" t="s">
        <v>45</v>
      </c>
      <c r="B2183" t="s">
        <v>4419</v>
      </c>
      <c r="C2183" t="s">
        <v>47</v>
      </c>
      <c r="D2183" t="s">
        <v>1038</v>
      </c>
      <c r="E2183" t="s">
        <v>1038</v>
      </c>
      <c r="F2183" t="s">
        <v>54</v>
      </c>
      <c r="G2183" t="s">
        <v>4497</v>
      </c>
      <c r="H2183" t="s">
        <v>4498</v>
      </c>
      <c r="J2183" t="str">
        <f>HYPERLINK("https://www.youtube.com/watch?v=mfHtMEJS28Y&amp;lc=Ugzx9ZrgRe31hNPdbxF4AaABAg","https://www.youtube.com/watch?v=mfHtMEJS28Y&amp;lc=Ugzx9ZrgRe31hNPdbxF4AaABAg")</f>
        <v>https://www.youtube.com/watch?v=mfHtMEJS28Y&amp;lc=Ugzx9ZrgRe31hNPdbxF4AaABAg</v>
      </c>
      <c r="O2183">
        <v>0</v>
      </c>
      <c r="P2183">
        <v>0</v>
      </c>
      <c r="Q2183">
        <v>0</v>
      </c>
      <c r="S2183">
        <v>0</v>
      </c>
      <c r="T2183">
        <v>0</v>
      </c>
      <c r="U2183">
        <v>0</v>
      </c>
      <c r="W2183" t="s">
        <v>52</v>
      </c>
    </row>
    <row r="2184" spans="1:23" x14ac:dyDescent="0.35">
      <c r="A2184" t="s">
        <v>45</v>
      </c>
      <c r="B2184" t="s">
        <v>4419</v>
      </c>
      <c r="C2184" t="s">
        <v>60</v>
      </c>
      <c r="D2184" t="s">
        <v>61</v>
      </c>
      <c r="E2184" t="s">
        <v>61</v>
      </c>
      <c r="F2184" t="s">
        <v>49</v>
      </c>
      <c r="G2184" t="s">
        <v>4499</v>
      </c>
      <c r="H2184" t="s">
        <v>4500</v>
      </c>
      <c r="J2184" t="str">
        <f>HYPERLINK("https://www.facebook.com/634639855377280/posts/786878883486709?comment_id=1527806928069126","https://www.facebook.com/634639855377280/posts/786878883486709?comment_id=1527806928069126")</f>
        <v>https://www.facebook.com/634639855377280/posts/786878883486709?comment_id=1527806928069126</v>
      </c>
      <c r="O2184">
        <v>0</v>
      </c>
      <c r="P2184">
        <v>0</v>
      </c>
      <c r="Q2184">
        <v>0</v>
      </c>
      <c r="S2184">
        <v>0</v>
      </c>
      <c r="T2184">
        <v>0</v>
      </c>
      <c r="U2184">
        <v>0</v>
      </c>
      <c r="W2184" t="s">
        <v>52</v>
      </c>
    </row>
    <row r="2185" spans="1:23" x14ac:dyDescent="0.35">
      <c r="A2185" t="s">
        <v>45</v>
      </c>
      <c r="B2185" t="s">
        <v>4419</v>
      </c>
      <c r="C2185" t="s">
        <v>47</v>
      </c>
      <c r="D2185" t="s">
        <v>68</v>
      </c>
      <c r="E2185" t="s">
        <v>68</v>
      </c>
      <c r="F2185" t="s">
        <v>49</v>
      </c>
      <c r="G2185" t="s">
        <v>102</v>
      </c>
      <c r="H2185" t="s">
        <v>4501</v>
      </c>
      <c r="J2185" t="str">
        <f>HYPERLINK("https://www.youtube.com/watch?v=wDVpKG8jfSo&amp;lc=UgxSrz3EP7Tgjzbunh94AaABAg.A-YlApMrwhcA-Ytrv6xtwb","https://www.youtube.com/watch?v=wDVpKG8jfSo&amp;lc=UgxSrz3EP7Tgjzbunh94AaABAg.A-YlApMrwhcA-Ytrv6xtwb")</f>
        <v>https://www.youtube.com/watch?v=wDVpKG8jfSo&amp;lc=UgxSrz3EP7Tgjzbunh94AaABAg.A-YlApMrwhcA-Ytrv6xtwb</v>
      </c>
      <c r="O2185">
        <v>0</v>
      </c>
      <c r="P2185">
        <v>0</v>
      </c>
      <c r="Q2185">
        <v>0</v>
      </c>
      <c r="S2185">
        <v>0</v>
      </c>
      <c r="T2185">
        <v>0</v>
      </c>
      <c r="U2185">
        <v>0</v>
      </c>
      <c r="W2185" t="s">
        <v>52</v>
      </c>
    </row>
    <row r="2186" spans="1:23" x14ac:dyDescent="0.35">
      <c r="A2186" t="s">
        <v>45</v>
      </c>
      <c r="B2186" t="s">
        <v>4419</v>
      </c>
      <c r="C2186" t="s">
        <v>93</v>
      </c>
      <c r="D2186" t="s">
        <v>4502</v>
      </c>
      <c r="E2186" t="s">
        <v>4503</v>
      </c>
      <c r="F2186" t="s">
        <v>49</v>
      </c>
      <c r="G2186" t="s">
        <v>4504</v>
      </c>
      <c r="H2186" t="s">
        <v>4505</v>
      </c>
      <c r="J2186" t="str">
        <f>HYPERLINK("https://twitter.com/VipinSa01037546/status/1755547640723546229","https://twitter.com/VipinSa01037546/status/1755547640723546229")</f>
        <v>https://twitter.com/VipinSa01037546/status/1755547640723546229</v>
      </c>
      <c r="K2186" t="s">
        <v>67</v>
      </c>
      <c r="O2186">
        <v>0</v>
      </c>
      <c r="P2186">
        <v>0</v>
      </c>
      <c r="Q2186">
        <v>11</v>
      </c>
      <c r="S2186">
        <v>0</v>
      </c>
      <c r="T2186">
        <v>0</v>
      </c>
      <c r="U2186">
        <v>0</v>
      </c>
      <c r="W2186" t="s">
        <v>99</v>
      </c>
    </row>
    <row r="2187" spans="1:23" x14ac:dyDescent="0.35">
      <c r="A2187" t="s">
        <v>45</v>
      </c>
      <c r="B2187" t="s">
        <v>4419</v>
      </c>
      <c r="C2187" t="s">
        <v>47</v>
      </c>
      <c r="D2187" t="s">
        <v>4506</v>
      </c>
      <c r="E2187" t="s">
        <v>4506</v>
      </c>
      <c r="F2187" t="s">
        <v>49</v>
      </c>
      <c r="G2187" t="s">
        <v>4507</v>
      </c>
      <c r="H2187" t="s">
        <v>4508</v>
      </c>
      <c r="J2187" t="str">
        <f>HYPERLINK("https://www.youtube.com/watch?v=wDVpKG8jfSo&amp;lc=UgxSrz3EP7Tgjzbunh94AaABAg","https://www.youtube.com/watch?v=wDVpKG8jfSo&amp;lc=UgxSrz3EP7Tgjzbunh94AaABAg")</f>
        <v>https://www.youtube.com/watch?v=wDVpKG8jfSo&amp;lc=UgxSrz3EP7Tgjzbunh94AaABAg</v>
      </c>
      <c r="O2187">
        <v>0</v>
      </c>
      <c r="P2187">
        <v>0</v>
      </c>
      <c r="Q2187">
        <v>0</v>
      </c>
      <c r="S2187">
        <v>0</v>
      </c>
      <c r="T2187">
        <v>0</v>
      </c>
      <c r="U2187">
        <v>0</v>
      </c>
      <c r="W2187" t="s">
        <v>52</v>
      </c>
    </row>
    <row r="2188" spans="1:23" x14ac:dyDescent="0.35">
      <c r="A2188" t="s">
        <v>45</v>
      </c>
      <c r="B2188" t="s">
        <v>4419</v>
      </c>
      <c r="C2188" t="s">
        <v>47</v>
      </c>
      <c r="D2188" t="s">
        <v>45</v>
      </c>
      <c r="E2188" t="s">
        <v>45</v>
      </c>
      <c r="F2188" t="s">
        <v>49</v>
      </c>
      <c r="G2188" t="s">
        <v>4509</v>
      </c>
      <c r="H2188" t="s">
        <v>4510</v>
      </c>
      <c r="J2188" t="str">
        <f>HYPERLINK("https://www.youtube.com/watch?v=zI1M46HPG-Y","https://www.youtube.com/watch?v=zI1M46HPG-Y")</f>
        <v>https://www.youtube.com/watch?v=zI1M46HPG-Y</v>
      </c>
      <c r="O2188">
        <v>0</v>
      </c>
      <c r="P2188">
        <v>0</v>
      </c>
      <c r="Q2188">
        <v>0</v>
      </c>
      <c r="S2188">
        <v>0</v>
      </c>
      <c r="T2188">
        <v>0</v>
      </c>
      <c r="U2188">
        <v>0</v>
      </c>
      <c r="W2188" t="s">
        <v>346</v>
      </c>
    </row>
    <row r="2189" spans="1:23" x14ac:dyDescent="0.35">
      <c r="A2189" t="s">
        <v>45</v>
      </c>
      <c r="B2189" t="s">
        <v>4419</v>
      </c>
      <c r="C2189" t="s">
        <v>47</v>
      </c>
      <c r="D2189" t="s">
        <v>45</v>
      </c>
      <c r="E2189" t="s">
        <v>45</v>
      </c>
      <c r="F2189" t="s">
        <v>49</v>
      </c>
      <c r="G2189" t="s">
        <v>4509</v>
      </c>
      <c r="H2189" t="s">
        <v>4511</v>
      </c>
      <c r="J2189" t="str">
        <f>HYPERLINK("https://www.youtube.com/watch?v=zI1M46HPG-Y","https://www.youtube.com/watch?v=zI1M46HPG-Y")</f>
        <v>https://www.youtube.com/watch?v=zI1M46HPG-Y</v>
      </c>
      <c r="O2189">
        <v>0</v>
      </c>
      <c r="P2189">
        <v>0</v>
      </c>
      <c r="Q2189">
        <v>0</v>
      </c>
      <c r="S2189">
        <v>0</v>
      </c>
      <c r="T2189">
        <v>0</v>
      </c>
      <c r="U2189">
        <v>0</v>
      </c>
      <c r="W2189" t="s">
        <v>346</v>
      </c>
    </row>
    <row r="2190" spans="1:23" x14ac:dyDescent="0.35">
      <c r="A2190" t="s">
        <v>45</v>
      </c>
      <c r="B2190" t="s">
        <v>4419</v>
      </c>
      <c r="C2190" t="s">
        <v>93</v>
      </c>
      <c r="D2190" t="s">
        <v>2939</v>
      </c>
      <c r="E2190" t="s">
        <v>2940</v>
      </c>
      <c r="F2190" t="s">
        <v>49</v>
      </c>
      <c r="G2190" t="s">
        <v>4512</v>
      </c>
      <c r="H2190" t="s">
        <v>4513</v>
      </c>
      <c r="J2190" t="str">
        <f>HYPERLINK("https://twitter.com/amandwi39776875/status/1755522111731634465","https://twitter.com/amandwi39776875/status/1755522111731634465")</f>
        <v>https://twitter.com/amandwi39776875/status/1755522111731634465</v>
      </c>
      <c r="O2190">
        <v>0</v>
      </c>
      <c r="P2190">
        <v>0</v>
      </c>
      <c r="Q2190">
        <v>113</v>
      </c>
      <c r="R2190" t="s">
        <v>2943</v>
      </c>
      <c r="S2190">
        <v>0</v>
      </c>
      <c r="T2190">
        <v>0</v>
      </c>
      <c r="U2190">
        <v>0</v>
      </c>
      <c r="W2190" t="s">
        <v>99</v>
      </c>
    </row>
    <row r="2191" spans="1:23" x14ac:dyDescent="0.35">
      <c r="A2191" t="s">
        <v>45</v>
      </c>
      <c r="B2191" t="s">
        <v>4419</v>
      </c>
      <c r="C2191" t="s">
        <v>93</v>
      </c>
      <c r="D2191" t="s">
        <v>94</v>
      </c>
      <c r="E2191" t="s">
        <v>45</v>
      </c>
      <c r="F2191" t="s">
        <v>49</v>
      </c>
      <c r="G2191" t="s">
        <v>4514</v>
      </c>
      <c r="H2191" t="s">
        <v>4515</v>
      </c>
      <c r="J2191" t="str">
        <f>HYPERLINK("https://twitter.com/SpiceMoneyIndia/status/1755520301444538407","https://twitter.com/SpiceMoneyIndia/status/1755520301444538407")</f>
        <v>https://twitter.com/SpiceMoneyIndia/status/1755520301444538407</v>
      </c>
      <c r="K2191" t="s">
        <v>67</v>
      </c>
      <c r="O2191">
        <v>0</v>
      </c>
      <c r="P2191">
        <v>0</v>
      </c>
      <c r="Q2191">
        <v>6023</v>
      </c>
      <c r="R2191" t="s">
        <v>97</v>
      </c>
      <c r="S2191">
        <v>0</v>
      </c>
      <c r="T2191">
        <v>0</v>
      </c>
      <c r="U2191">
        <v>0</v>
      </c>
      <c r="V2191" t="s">
        <v>98</v>
      </c>
      <c r="W2191" t="s">
        <v>99</v>
      </c>
    </row>
    <row r="2192" spans="1:23" x14ac:dyDescent="0.35">
      <c r="A2192" t="s">
        <v>45</v>
      </c>
      <c r="B2192" t="s">
        <v>4419</v>
      </c>
      <c r="C2192" t="s">
        <v>47</v>
      </c>
      <c r="D2192" t="s">
        <v>4516</v>
      </c>
      <c r="E2192" t="s">
        <v>4516</v>
      </c>
      <c r="F2192" t="s">
        <v>54</v>
      </c>
      <c r="G2192" t="s">
        <v>4517</v>
      </c>
      <c r="H2192" t="s">
        <v>4518</v>
      </c>
      <c r="J2192" t="str">
        <f>HYPERLINK("https://www.youtube.com/watch?v=mfHtMEJS28Y&amp;lc=Ugw1YmpqX1XD_ILuzWF4AaABAg","https://www.youtube.com/watch?v=mfHtMEJS28Y&amp;lc=Ugw1YmpqX1XD_ILuzWF4AaABAg")</f>
        <v>https://www.youtube.com/watch?v=mfHtMEJS28Y&amp;lc=Ugw1YmpqX1XD_ILuzWF4AaABAg</v>
      </c>
      <c r="O2192">
        <v>0</v>
      </c>
      <c r="P2192">
        <v>0</v>
      </c>
      <c r="Q2192">
        <v>0</v>
      </c>
      <c r="S2192">
        <v>0</v>
      </c>
      <c r="T2192">
        <v>0</v>
      </c>
      <c r="U2192">
        <v>0</v>
      </c>
      <c r="W2192" t="s">
        <v>52</v>
      </c>
    </row>
    <row r="2193" spans="1:23" x14ac:dyDescent="0.35">
      <c r="A2193" t="s">
        <v>45</v>
      </c>
      <c r="B2193" t="s">
        <v>4419</v>
      </c>
      <c r="C2193" t="s">
        <v>60</v>
      </c>
      <c r="D2193" t="s">
        <v>64</v>
      </c>
      <c r="E2193" t="s">
        <v>64</v>
      </c>
      <c r="F2193" t="s">
        <v>49</v>
      </c>
      <c r="G2193" t="s">
        <v>4519</v>
      </c>
      <c r="H2193" t="s">
        <v>4520</v>
      </c>
      <c r="J2193" t="str">
        <f>HYPERLINK("https://www.facebook.com/634639855377280/posts/787376316770299","https://www.facebook.com/634639855377280/posts/787376316770299")</f>
        <v>https://www.facebook.com/634639855377280/posts/787376316770299</v>
      </c>
      <c r="O2193">
        <v>0</v>
      </c>
      <c r="P2193">
        <v>0</v>
      </c>
      <c r="Q2193">
        <v>0</v>
      </c>
      <c r="S2193">
        <v>1</v>
      </c>
      <c r="T2193">
        <v>42</v>
      </c>
      <c r="U2193">
        <v>0</v>
      </c>
      <c r="W2193" t="s">
        <v>346</v>
      </c>
    </row>
    <row r="2194" spans="1:23" x14ac:dyDescent="0.35">
      <c r="A2194" t="s">
        <v>45</v>
      </c>
      <c r="B2194" t="s">
        <v>4419</v>
      </c>
      <c r="C2194" t="s">
        <v>47</v>
      </c>
      <c r="D2194" t="s">
        <v>4521</v>
      </c>
      <c r="E2194" t="s">
        <v>4521</v>
      </c>
      <c r="F2194" t="s">
        <v>49</v>
      </c>
      <c r="G2194" t="s">
        <v>4522</v>
      </c>
      <c r="H2194" t="s">
        <v>4523</v>
      </c>
      <c r="J2194" t="str">
        <f>HYPERLINK("https://www.youtube.com/watch?v=DMlpygM0MQM&amp;lc=UgxROEl0gwh2TU7meHV4AaABAg.A-EnI7t8mBqA-YcqTQzkwn","https://www.youtube.com/watch?v=DMlpygM0MQM&amp;lc=UgxROEl0gwh2TU7meHV4AaABAg.A-EnI7t8mBqA-YcqTQzkwn")</f>
        <v>https://www.youtube.com/watch?v=DMlpygM0MQM&amp;lc=UgxROEl0gwh2TU7meHV4AaABAg.A-EnI7t8mBqA-YcqTQzkwn</v>
      </c>
      <c r="O2194">
        <v>0</v>
      </c>
      <c r="P2194">
        <v>0</v>
      </c>
      <c r="Q2194">
        <v>0</v>
      </c>
      <c r="S2194">
        <v>0</v>
      </c>
      <c r="T2194">
        <v>0</v>
      </c>
      <c r="U2194">
        <v>0</v>
      </c>
      <c r="W2194" t="s">
        <v>52</v>
      </c>
    </row>
    <row r="2195" spans="1:23" x14ac:dyDescent="0.35">
      <c r="A2195" t="s">
        <v>45</v>
      </c>
      <c r="B2195" t="s">
        <v>4419</v>
      </c>
      <c r="C2195" t="s">
        <v>47</v>
      </c>
      <c r="D2195" t="s">
        <v>4524</v>
      </c>
      <c r="E2195" t="s">
        <v>4524</v>
      </c>
      <c r="F2195" t="s">
        <v>49</v>
      </c>
      <c r="G2195" t="s">
        <v>4525</v>
      </c>
      <c r="H2195" t="s">
        <v>4526</v>
      </c>
      <c r="J2195" t="str">
        <f>HYPERLINK("https://www.youtube.com/watch?v=mfHtMEJS28Y&amp;lc=UgybPediWXvX1zbKhIl4AaABAg","https://www.youtube.com/watch?v=mfHtMEJS28Y&amp;lc=UgybPediWXvX1zbKhIl4AaABAg")</f>
        <v>https://www.youtube.com/watch?v=mfHtMEJS28Y&amp;lc=UgybPediWXvX1zbKhIl4AaABAg</v>
      </c>
      <c r="O2195">
        <v>0</v>
      </c>
      <c r="P2195">
        <v>0</v>
      </c>
      <c r="Q2195">
        <v>0</v>
      </c>
      <c r="S2195">
        <v>0</v>
      </c>
      <c r="T2195">
        <v>0</v>
      </c>
      <c r="U2195">
        <v>0</v>
      </c>
      <c r="W2195" t="s">
        <v>52</v>
      </c>
    </row>
    <row r="2196" spans="1:23" x14ac:dyDescent="0.35">
      <c r="A2196" t="s">
        <v>45</v>
      </c>
      <c r="B2196" t="s">
        <v>4419</v>
      </c>
      <c r="C2196" t="s">
        <v>47</v>
      </c>
      <c r="D2196" t="s">
        <v>4527</v>
      </c>
      <c r="E2196" t="s">
        <v>4527</v>
      </c>
      <c r="F2196" t="s">
        <v>49</v>
      </c>
      <c r="G2196" t="s">
        <v>4528</v>
      </c>
      <c r="H2196" t="s">
        <v>4529</v>
      </c>
      <c r="J2196" t="str">
        <f>HYPERLINK("https://www.youtube.com/watch?v=hLRY22hDy7A","https://www.youtube.com/watch?v=hLRY22hDy7A")</f>
        <v>https://www.youtube.com/watch?v=hLRY22hDy7A</v>
      </c>
      <c r="O2196">
        <v>0</v>
      </c>
      <c r="P2196">
        <v>0</v>
      </c>
      <c r="Q2196">
        <v>0</v>
      </c>
      <c r="S2196">
        <v>0</v>
      </c>
      <c r="T2196">
        <v>0</v>
      </c>
      <c r="U2196">
        <v>0</v>
      </c>
      <c r="W2196" t="s">
        <v>346</v>
      </c>
    </row>
    <row r="2197" spans="1:23" x14ac:dyDescent="0.35">
      <c r="A2197" t="s">
        <v>45</v>
      </c>
      <c r="B2197" t="s">
        <v>4419</v>
      </c>
      <c r="C2197" t="s">
        <v>60</v>
      </c>
      <c r="D2197" t="s">
        <v>61</v>
      </c>
      <c r="E2197" t="s">
        <v>61</v>
      </c>
      <c r="F2197" t="s">
        <v>49</v>
      </c>
      <c r="G2197" t="s">
        <v>4530</v>
      </c>
      <c r="H2197" t="s">
        <v>4531</v>
      </c>
      <c r="J2197" t="str">
        <f>HYPERLINK("https://www.facebook.com/634639855377280/posts/786878883486709?comment_id=784502777053900&amp;reply_comment_id=1796244320895567","https://www.facebook.com/634639855377280/posts/786878883486709?comment_id=784502777053900&amp;reply_comment_id=1796244320895567")</f>
        <v>https://www.facebook.com/634639855377280/posts/786878883486709?comment_id=784502777053900&amp;reply_comment_id=1796244320895567</v>
      </c>
      <c r="O2197">
        <v>0</v>
      </c>
      <c r="P2197">
        <v>0</v>
      </c>
      <c r="Q2197">
        <v>0</v>
      </c>
      <c r="S2197">
        <v>0</v>
      </c>
      <c r="T2197">
        <v>0</v>
      </c>
      <c r="U2197">
        <v>0</v>
      </c>
      <c r="W2197" t="s">
        <v>52</v>
      </c>
    </row>
    <row r="2198" spans="1:23" x14ac:dyDescent="0.35">
      <c r="A2198" t="s">
        <v>45</v>
      </c>
      <c r="B2198" t="s">
        <v>4419</v>
      </c>
      <c r="C2198" t="s">
        <v>60</v>
      </c>
      <c r="D2198" t="s">
        <v>61</v>
      </c>
      <c r="E2198" t="s">
        <v>61</v>
      </c>
      <c r="F2198" t="s">
        <v>49</v>
      </c>
      <c r="G2198" t="s">
        <v>4532</v>
      </c>
      <c r="H2198" t="s">
        <v>4533</v>
      </c>
      <c r="J2198" t="str">
        <f>HYPERLINK("https://www.facebook.com/634639855377280/posts/786878883486709?comment_id=362712986546669","https://www.facebook.com/634639855377280/posts/786878883486709?comment_id=362712986546669")</f>
        <v>https://www.facebook.com/634639855377280/posts/786878883486709?comment_id=362712986546669</v>
      </c>
      <c r="O2198">
        <v>0</v>
      </c>
      <c r="P2198">
        <v>0</v>
      </c>
      <c r="Q2198">
        <v>0</v>
      </c>
      <c r="S2198">
        <v>0</v>
      </c>
      <c r="T2198">
        <v>0</v>
      </c>
      <c r="U2198">
        <v>0</v>
      </c>
      <c r="W2198" t="s">
        <v>52</v>
      </c>
    </row>
    <row r="2199" spans="1:23" x14ac:dyDescent="0.35">
      <c r="A2199" t="s">
        <v>45</v>
      </c>
      <c r="B2199" t="s">
        <v>4419</v>
      </c>
      <c r="C2199" t="s">
        <v>60</v>
      </c>
      <c r="D2199" t="s">
        <v>61</v>
      </c>
      <c r="E2199" t="s">
        <v>61</v>
      </c>
      <c r="F2199" t="s">
        <v>49</v>
      </c>
      <c r="G2199" t="s">
        <v>4534</v>
      </c>
      <c r="H2199" t="s">
        <v>4535</v>
      </c>
      <c r="J2199" t="str">
        <f>HYPERLINK("https://www.facebook.com/634639855377280/posts/786878883486709?comment_id=1246970959593585","https://www.facebook.com/634639855377280/posts/786878883486709?comment_id=1246970959593585")</f>
        <v>https://www.facebook.com/634639855377280/posts/786878883486709?comment_id=1246970959593585</v>
      </c>
      <c r="O2199">
        <v>0</v>
      </c>
      <c r="P2199">
        <v>0</v>
      </c>
      <c r="Q2199">
        <v>0</v>
      </c>
      <c r="S2199">
        <v>0</v>
      </c>
      <c r="T2199">
        <v>0</v>
      </c>
      <c r="U2199">
        <v>0</v>
      </c>
      <c r="W2199" t="s">
        <v>52</v>
      </c>
    </row>
    <row r="2200" spans="1:23" x14ac:dyDescent="0.35">
      <c r="A2200" t="s">
        <v>45</v>
      </c>
      <c r="B2200" t="s">
        <v>4419</v>
      </c>
      <c r="C2200" t="s">
        <v>47</v>
      </c>
      <c r="D2200" t="s">
        <v>4536</v>
      </c>
      <c r="E2200" t="s">
        <v>4536</v>
      </c>
      <c r="F2200" t="s">
        <v>49</v>
      </c>
      <c r="G2200" t="s">
        <v>4537</v>
      </c>
      <c r="H2200" t="s">
        <v>4538</v>
      </c>
      <c r="J2200" t="str">
        <f>HYPERLINK("https://www.youtube.com/watch?v=IHWzT2TNYKQ&amp;lc=Ugzr8SHTLWqvFHpAaT94AaABAg","https://www.youtube.com/watch?v=IHWzT2TNYKQ&amp;lc=Ugzr8SHTLWqvFHpAaT94AaABAg")</f>
        <v>https://www.youtube.com/watch?v=IHWzT2TNYKQ&amp;lc=Ugzr8SHTLWqvFHpAaT94AaABAg</v>
      </c>
      <c r="O2200">
        <v>0</v>
      </c>
      <c r="P2200">
        <v>0</v>
      </c>
      <c r="Q2200">
        <v>0</v>
      </c>
      <c r="S2200">
        <v>0</v>
      </c>
      <c r="T2200">
        <v>0</v>
      </c>
      <c r="U2200">
        <v>0</v>
      </c>
      <c r="W2200" t="s">
        <v>52</v>
      </c>
    </row>
    <row r="2201" spans="1:23" x14ac:dyDescent="0.35">
      <c r="A2201" t="s">
        <v>45</v>
      </c>
      <c r="B2201" t="s">
        <v>4419</v>
      </c>
      <c r="C2201" t="s">
        <v>93</v>
      </c>
      <c r="D2201" t="s">
        <v>4539</v>
      </c>
      <c r="E2201" t="s">
        <v>4540</v>
      </c>
      <c r="F2201" t="s">
        <v>49</v>
      </c>
      <c r="G2201" t="s">
        <v>4541</v>
      </c>
      <c r="H2201" t="s">
        <v>4542</v>
      </c>
      <c r="J2201" t="str">
        <f>HYPERLINK("https://twitter.com/fidolkastro/status/1755495344803389669","https://twitter.com/fidolkastro/status/1755495344803389669")</f>
        <v>https://twitter.com/fidolkastro/status/1755495344803389669</v>
      </c>
      <c r="K2201" t="s">
        <v>67</v>
      </c>
      <c r="O2201">
        <v>0</v>
      </c>
      <c r="P2201">
        <v>0</v>
      </c>
      <c r="Q2201">
        <v>7</v>
      </c>
      <c r="R2201" t="s">
        <v>4543</v>
      </c>
      <c r="S2201">
        <v>0</v>
      </c>
      <c r="T2201">
        <v>0</v>
      </c>
      <c r="U2201">
        <v>0</v>
      </c>
      <c r="W2201" t="s">
        <v>433</v>
      </c>
    </row>
    <row r="2202" spans="1:23" x14ac:dyDescent="0.35">
      <c r="A2202" t="s">
        <v>45</v>
      </c>
      <c r="B2202" t="s">
        <v>4419</v>
      </c>
      <c r="C2202" t="s">
        <v>60</v>
      </c>
      <c r="D2202" t="s">
        <v>61</v>
      </c>
      <c r="E2202" t="s">
        <v>61</v>
      </c>
      <c r="F2202" t="s">
        <v>49</v>
      </c>
      <c r="G2202" t="s">
        <v>4544</v>
      </c>
      <c r="H2202" t="s">
        <v>4545</v>
      </c>
      <c r="J2202" t="str">
        <f>HYPERLINK("https://www.facebook.com/634639855377280/posts/786878883486709?comment_id=403028245561916","https://www.facebook.com/634639855377280/posts/786878883486709?comment_id=403028245561916")</f>
        <v>https://www.facebook.com/634639855377280/posts/786878883486709?comment_id=403028245561916</v>
      </c>
      <c r="O2202">
        <v>0</v>
      </c>
      <c r="P2202">
        <v>0</v>
      </c>
      <c r="Q2202">
        <v>0</v>
      </c>
      <c r="S2202">
        <v>0</v>
      </c>
      <c r="T2202">
        <v>0</v>
      </c>
      <c r="U2202">
        <v>0</v>
      </c>
      <c r="W2202" t="s">
        <v>52</v>
      </c>
    </row>
    <row r="2203" spans="1:23" x14ac:dyDescent="0.35">
      <c r="A2203" t="s">
        <v>45</v>
      </c>
      <c r="B2203" t="s">
        <v>4419</v>
      </c>
      <c r="C2203" t="s">
        <v>60</v>
      </c>
      <c r="D2203" t="s">
        <v>61</v>
      </c>
      <c r="E2203" t="s">
        <v>61</v>
      </c>
      <c r="F2203" t="s">
        <v>54</v>
      </c>
      <c r="G2203" t="s">
        <v>4546</v>
      </c>
      <c r="H2203" t="s">
        <v>4547</v>
      </c>
      <c r="J2203" t="str">
        <f>HYPERLINK("https://www.facebook.com/634639855377280/posts/786878883486709?comment_id=784502777053900","https://www.facebook.com/634639855377280/posts/786878883486709?comment_id=784502777053900")</f>
        <v>https://www.facebook.com/634639855377280/posts/786878883486709?comment_id=784502777053900</v>
      </c>
      <c r="O2203">
        <v>0</v>
      </c>
      <c r="P2203">
        <v>0</v>
      </c>
      <c r="Q2203">
        <v>0</v>
      </c>
      <c r="S2203">
        <v>0</v>
      </c>
      <c r="T2203">
        <v>0</v>
      </c>
      <c r="U2203">
        <v>0</v>
      </c>
      <c r="W2203" t="s">
        <v>52</v>
      </c>
    </row>
    <row r="2204" spans="1:23" x14ac:dyDescent="0.35">
      <c r="A2204" t="s">
        <v>45</v>
      </c>
      <c r="B2204" t="s">
        <v>4419</v>
      </c>
      <c r="C2204" t="s">
        <v>93</v>
      </c>
      <c r="D2204" t="s">
        <v>4548</v>
      </c>
      <c r="E2204" t="s">
        <v>4549</v>
      </c>
      <c r="F2204" t="s">
        <v>49</v>
      </c>
      <c r="G2204" t="s">
        <v>4550</v>
      </c>
      <c r="H2204" t="s">
        <v>4551</v>
      </c>
      <c r="J2204" t="str">
        <f>HYPERLINK("https://twitter.com/RajKuma37266737/status/1755480120578486615","https://twitter.com/RajKuma37266737/status/1755480120578486615")</f>
        <v>https://twitter.com/RajKuma37266737/status/1755480120578486615</v>
      </c>
      <c r="K2204" t="s">
        <v>67</v>
      </c>
      <c r="O2204">
        <v>0</v>
      </c>
      <c r="P2204">
        <v>0</v>
      </c>
      <c r="Q2204">
        <v>0</v>
      </c>
      <c r="S2204">
        <v>0</v>
      </c>
      <c r="T2204">
        <v>0</v>
      </c>
      <c r="U2204">
        <v>0</v>
      </c>
      <c r="W2204" t="s">
        <v>99</v>
      </c>
    </row>
    <row r="2205" spans="1:23" x14ac:dyDescent="0.35">
      <c r="A2205" t="s">
        <v>45</v>
      </c>
      <c r="B2205" t="s">
        <v>4419</v>
      </c>
      <c r="C2205" t="s">
        <v>93</v>
      </c>
      <c r="D2205" t="s">
        <v>4548</v>
      </c>
      <c r="E2205" t="s">
        <v>4549</v>
      </c>
      <c r="F2205" t="s">
        <v>49</v>
      </c>
      <c r="G2205" t="s">
        <v>4552</v>
      </c>
      <c r="H2205" t="s">
        <v>4553</v>
      </c>
      <c r="J2205" t="str">
        <f>HYPERLINK("https://twitter.com/RajKuma37266737/status/1755479982787187124","https://twitter.com/RajKuma37266737/status/1755479982787187124")</f>
        <v>https://twitter.com/RajKuma37266737/status/1755479982787187124</v>
      </c>
      <c r="K2205" t="s">
        <v>67</v>
      </c>
      <c r="O2205">
        <v>0</v>
      </c>
      <c r="P2205">
        <v>0</v>
      </c>
      <c r="Q2205">
        <v>0</v>
      </c>
      <c r="S2205">
        <v>0</v>
      </c>
      <c r="T2205">
        <v>0</v>
      </c>
      <c r="U2205">
        <v>0</v>
      </c>
      <c r="W2205" t="s">
        <v>99</v>
      </c>
    </row>
    <row r="2206" spans="1:23" x14ac:dyDescent="0.35">
      <c r="A2206" t="s">
        <v>45</v>
      </c>
      <c r="B2206" t="s">
        <v>4419</v>
      </c>
      <c r="C2206" t="s">
        <v>93</v>
      </c>
      <c r="D2206" t="s">
        <v>94</v>
      </c>
      <c r="E2206" t="s">
        <v>45</v>
      </c>
      <c r="F2206" t="s">
        <v>49</v>
      </c>
      <c r="G2206" t="s">
        <v>4554</v>
      </c>
      <c r="H2206" t="s">
        <v>4555</v>
      </c>
      <c r="J2206" t="str">
        <f>HYPERLINK("https://twitter.com/SpiceMoneyIndia/status/1755479639865053690","https://twitter.com/SpiceMoneyIndia/status/1755479639865053690")</f>
        <v>https://twitter.com/SpiceMoneyIndia/status/1755479639865053690</v>
      </c>
      <c r="K2206" t="s">
        <v>67</v>
      </c>
      <c r="O2206">
        <v>0</v>
      </c>
      <c r="P2206">
        <v>0</v>
      </c>
      <c r="Q2206">
        <v>6021</v>
      </c>
      <c r="R2206" t="s">
        <v>97</v>
      </c>
      <c r="S2206">
        <v>0</v>
      </c>
      <c r="T2206">
        <v>0</v>
      </c>
      <c r="U2206">
        <v>0</v>
      </c>
      <c r="V2206" t="s">
        <v>98</v>
      </c>
      <c r="W2206" t="s">
        <v>99</v>
      </c>
    </row>
    <row r="2207" spans="1:23" x14ac:dyDescent="0.35">
      <c r="A2207" t="s">
        <v>45</v>
      </c>
      <c r="B2207" t="s">
        <v>4419</v>
      </c>
      <c r="C2207" t="s">
        <v>60</v>
      </c>
      <c r="D2207" t="s">
        <v>64</v>
      </c>
      <c r="E2207" t="s">
        <v>64</v>
      </c>
      <c r="F2207" t="s">
        <v>49</v>
      </c>
      <c r="G2207" t="s">
        <v>4556</v>
      </c>
      <c r="H2207" t="s">
        <v>4557</v>
      </c>
      <c r="J2207" t="str">
        <f>HYPERLINK("https://www.facebook.com/634639855377280/posts/787315020109762","https://www.facebook.com/634639855377280/posts/787315020109762")</f>
        <v>https://www.facebook.com/634639855377280/posts/787315020109762</v>
      </c>
      <c r="O2207">
        <v>0</v>
      </c>
      <c r="P2207">
        <v>0</v>
      </c>
      <c r="Q2207">
        <v>0</v>
      </c>
      <c r="S2207">
        <v>0</v>
      </c>
      <c r="T2207">
        <v>22</v>
      </c>
      <c r="U2207">
        <v>4</v>
      </c>
      <c r="W2207" t="s">
        <v>346</v>
      </c>
    </row>
    <row r="2208" spans="1:23" x14ac:dyDescent="0.35">
      <c r="A2208" t="s">
        <v>45</v>
      </c>
      <c r="B2208" t="s">
        <v>4419</v>
      </c>
      <c r="C2208" t="s">
        <v>47</v>
      </c>
      <c r="D2208" t="s">
        <v>4558</v>
      </c>
      <c r="E2208" t="s">
        <v>4558</v>
      </c>
      <c r="F2208" t="s">
        <v>54</v>
      </c>
      <c r="G2208" t="s">
        <v>4559</v>
      </c>
      <c r="H2208" t="s">
        <v>4560</v>
      </c>
      <c r="J2208" t="str">
        <f>HYPERLINK("https://www.youtube.com/watch?v=wDVpKG8jfSo&amp;lc=Ugz-gxppstXafqB561B4AaABAg","https://www.youtube.com/watch?v=wDVpKG8jfSo&amp;lc=Ugz-gxppstXafqB561B4AaABAg")</f>
        <v>https://www.youtube.com/watch?v=wDVpKG8jfSo&amp;lc=Ugz-gxppstXafqB561B4AaABAg</v>
      </c>
      <c r="O2208">
        <v>0</v>
      </c>
      <c r="P2208">
        <v>0</v>
      </c>
      <c r="Q2208">
        <v>0</v>
      </c>
      <c r="S2208">
        <v>0</v>
      </c>
      <c r="T2208">
        <v>0</v>
      </c>
      <c r="U2208">
        <v>0</v>
      </c>
      <c r="W2208" t="s">
        <v>52</v>
      </c>
    </row>
    <row r="2209" spans="1:23" x14ac:dyDescent="0.35">
      <c r="A2209" t="s">
        <v>45</v>
      </c>
      <c r="B2209" t="s">
        <v>4419</v>
      </c>
      <c r="C2209" t="s">
        <v>60</v>
      </c>
      <c r="D2209" t="s">
        <v>61</v>
      </c>
      <c r="E2209" t="s">
        <v>61</v>
      </c>
      <c r="F2209" t="s">
        <v>54</v>
      </c>
      <c r="G2209" t="s">
        <v>4561</v>
      </c>
      <c r="H2209" t="s">
        <v>4562</v>
      </c>
      <c r="J2209" t="str">
        <f>HYPERLINK("https://www.facebook.com/634639855377280/posts/786878883486709?comment_id=1385677978977269&amp;reply_comment_id=1311185502905050","https://www.facebook.com/634639855377280/posts/786878883486709?comment_id=1385677978977269&amp;reply_comment_id=1311185502905050")</f>
        <v>https://www.facebook.com/634639855377280/posts/786878883486709?comment_id=1385677978977269&amp;reply_comment_id=1311185502905050</v>
      </c>
      <c r="O2209">
        <v>0</v>
      </c>
      <c r="P2209">
        <v>0</v>
      </c>
      <c r="Q2209">
        <v>0</v>
      </c>
      <c r="S2209">
        <v>0</v>
      </c>
      <c r="T2209">
        <v>0</v>
      </c>
      <c r="U2209">
        <v>0</v>
      </c>
      <c r="W2209" t="s">
        <v>52</v>
      </c>
    </row>
    <row r="2210" spans="1:23" x14ac:dyDescent="0.35">
      <c r="A2210" t="s">
        <v>45</v>
      </c>
      <c r="B2210" t="s">
        <v>4419</v>
      </c>
      <c r="C2210" t="s">
        <v>47</v>
      </c>
      <c r="D2210" t="s">
        <v>45</v>
      </c>
      <c r="E2210" t="s">
        <v>45</v>
      </c>
      <c r="F2210" t="s">
        <v>49</v>
      </c>
      <c r="G2210" t="s">
        <v>4563</v>
      </c>
      <c r="H2210" t="s">
        <v>4564</v>
      </c>
      <c r="J2210" t="str">
        <f>HYPERLINK("https://www.youtube.com/watch?v=mfHtMEJS28Y","https://www.youtube.com/watch?v=mfHtMEJS28Y")</f>
        <v>https://www.youtube.com/watch?v=mfHtMEJS28Y</v>
      </c>
      <c r="O2210">
        <v>0</v>
      </c>
      <c r="P2210">
        <v>0</v>
      </c>
      <c r="Q2210">
        <v>0</v>
      </c>
      <c r="S2210">
        <v>0</v>
      </c>
      <c r="T2210">
        <v>0</v>
      </c>
      <c r="U2210">
        <v>0</v>
      </c>
      <c r="W2210" t="s">
        <v>346</v>
      </c>
    </row>
    <row r="2211" spans="1:23" x14ac:dyDescent="0.35">
      <c r="A2211" t="s">
        <v>45</v>
      </c>
      <c r="B2211" t="s">
        <v>4419</v>
      </c>
      <c r="C2211" t="s">
        <v>47</v>
      </c>
      <c r="D2211" t="s">
        <v>45</v>
      </c>
      <c r="E2211" t="s">
        <v>45</v>
      </c>
      <c r="F2211" t="s">
        <v>49</v>
      </c>
      <c r="G2211" t="s">
        <v>4563</v>
      </c>
      <c r="H2211" t="s">
        <v>4565</v>
      </c>
      <c r="J2211" t="str">
        <f>HYPERLINK("https://www.youtube.com/watch?v=mfHtMEJS28Y","https://www.youtube.com/watch?v=mfHtMEJS28Y")</f>
        <v>https://www.youtube.com/watch?v=mfHtMEJS28Y</v>
      </c>
      <c r="O2211">
        <v>0</v>
      </c>
      <c r="P2211">
        <v>0</v>
      </c>
      <c r="Q2211">
        <v>0</v>
      </c>
      <c r="S2211">
        <v>0</v>
      </c>
      <c r="T2211">
        <v>0</v>
      </c>
      <c r="U2211">
        <v>0</v>
      </c>
      <c r="W2211" t="s">
        <v>346</v>
      </c>
    </row>
    <row r="2212" spans="1:23" x14ac:dyDescent="0.35">
      <c r="A2212" t="s">
        <v>45</v>
      </c>
      <c r="B2212" t="s">
        <v>4419</v>
      </c>
      <c r="C2212" t="s">
        <v>60</v>
      </c>
      <c r="D2212" t="s">
        <v>61</v>
      </c>
      <c r="E2212" t="s">
        <v>61</v>
      </c>
      <c r="F2212" t="s">
        <v>49</v>
      </c>
      <c r="G2212" t="s">
        <v>4289</v>
      </c>
      <c r="H2212" t="s">
        <v>4566</v>
      </c>
      <c r="J2212" t="str">
        <f>HYPERLINK("https://www.facebook.com/634639855377280/posts/786878883486709?comment_id=838619604700095","https://www.facebook.com/634639855377280/posts/786878883486709?comment_id=838619604700095")</f>
        <v>https://www.facebook.com/634639855377280/posts/786878883486709?comment_id=838619604700095</v>
      </c>
      <c r="O2212">
        <v>0</v>
      </c>
      <c r="P2212">
        <v>0</v>
      </c>
      <c r="Q2212">
        <v>0</v>
      </c>
      <c r="S2212">
        <v>0</v>
      </c>
      <c r="T2212">
        <v>0</v>
      </c>
      <c r="U2212">
        <v>0</v>
      </c>
      <c r="W2212" t="s">
        <v>52</v>
      </c>
    </row>
    <row r="2213" spans="1:23" x14ac:dyDescent="0.35">
      <c r="A2213" t="s">
        <v>45</v>
      </c>
      <c r="B2213" t="s">
        <v>4419</v>
      </c>
      <c r="C2213" t="s">
        <v>60</v>
      </c>
      <c r="D2213" t="s">
        <v>61</v>
      </c>
      <c r="E2213" t="s">
        <v>61</v>
      </c>
      <c r="F2213" t="s">
        <v>49</v>
      </c>
      <c r="G2213" t="s">
        <v>4567</v>
      </c>
      <c r="H2213" t="s">
        <v>4568</v>
      </c>
      <c r="J2213" t="str">
        <f>HYPERLINK("https://www.facebook.com/634639855377280/posts/786878883486709?comment_id=746417454099617","https://www.facebook.com/634639855377280/posts/786878883486709?comment_id=746417454099617")</f>
        <v>https://www.facebook.com/634639855377280/posts/786878883486709?comment_id=746417454099617</v>
      </c>
      <c r="O2213">
        <v>0</v>
      </c>
      <c r="P2213">
        <v>0</v>
      </c>
      <c r="Q2213">
        <v>0</v>
      </c>
      <c r="S2213">
        <v>0</v>
      </c>
      <c r="T2213">
        <v>0</v>
      </c>
      <c r="U2213">
        <v>0</v>
      </c>
      <c r="W2213" t="s">
        <v>52</v>
      </c>
    </row>
    <row r="2214" spans="1:23" x14ac:dyDescent="0.35">
      <c r="A2214" t="s">
        <v>45</v>
      </c>
      <c r="B2214" t="s">
        <v>4419</v>
      </c>
      <c r="C2214" t="s">
        <v>60</v>
      </c>
      <c r="D2214" t="s">
        <v>61</v>
      </c>
      <c r="E2214" t="s">
        <v>61</v>
      </c>
      <c r="F2214" t="s">
        <v>49</v>
      </c>
      <c r="G2214" t="s">
        <v>4569</v>
      </c>
      <c r="H2214" t="s">
        <v>4570</v>
      </c>
      <c r="J2214" t="str">
        <f>HYPERLINK("https://www.facebook.com/634639855377280/posts/786878883486709?comment_id=701143902101188","https://www.facebook.com/634639855377280/posts/786878883486709?comment_id=701143902101188")</f>
        <v>https://www.facebook.com/634639855377280/posts/786878883486709?comment_id=701143902101188</v>
      </c>
      <c r="O2214">
        <v>0</v>
      </c>
      <c r="P2214">
        <v>0</v>
      </c>
      <c r="Q2214">
        <v>0</v>
      </c>
      <c r="S2214">
        <v>0</v>
      </c>
      <c r="T2214">
        <v>0</v>
      </c>
      <c r="U2214">
        <v>0</v>
      </c>
      <c r="W2214" t="s">
        <v>52</v>
      </c>
    </row>
    <row r="2215" spans="1:23" x14ac:dyDescent="0.35">
      <c r="A2215" t="s">
        <v>45</v>
      </c>
      <c r="B2215" t="s">
        <v>4419</v>
      </c>
      <c r="C2215" t="s">
        <v>60</v>
      </c>
      <c r="D2215" t="s">
        <v>61</v>
      </c>
      <c r="E2215" t="s">
        <v>61</v>
      </c>
      <c r="F2215" t="s">
        <v>49</v>
      </c>
      <c r="G2215" t="s">
        <v>4571</v>
      </c>
      <c r="H2215" t="s">
        <v>4572</v>
      </c>
      <c r="J2215" t="str">
        <f>HYPERLINK("https://www.facebook.com/634639855377280/posts/786878883486709?comment_id=844959814107914","https://www.facebook.com/634639855377280/posts/786878883486709?comment_id=844959814107914")</f>
        <v>https://www.facebook.com/634639855377280/posts/786878883486709?comment_id=844959814107914</v>
      </c>
      <c r="O2215">
        <v>0</v>
      </c>
      <c r="P2215">
        <v>0</v>
      </c>
      <c r="Q2215">
        <v>0</v>
      </c>
      <c r="S2215">
        <v>0</v>
      </c>
      <c r="T2215">
        <v>0</v>
      </c>
      <c r="U2215">
        <v>0</v>
      </c>
      <c r="W2215" t="s">
        <v>52</v>
      </c>
    </row>
    <row r="2216" spans="1:23" x14ac:dyDescent="0.35">
      <c r="A2216" t="s">
        <v>45</v>
      </c>
      <c r="B2216" t="s">
        <v>4419</v>
      </c>
      <c r="C2216" t="s">
        <v>47</v>
      </c>
      <c r="D2216" t="s">
        <v>4573</v>
      </c>
      <c r="E2216" t="s">
        <v>4573</v>
      </c>
      <c r="F2216" t="s">
        <v>54</v>
      </c>
      <c r="G2216" t="s">
        <v>4574</v>
      </c>
      <c r="H2216" t="s">
        <v>4575</v>
      </c>
      <c r="J2216" t="str">
        <f>HYPERLINK("https://www.youtube.com/watch?v=TOp5YskbZME","https://www.youtube.com/watch?v=TOp5YskbZME")</f>
        <v>https://www.youtube.com/watch?v=TOp5YskbZME</v>
      </c>
      <c r="O2216">
        <v>0</v>
      </c>
      <c r="P2216">
        <v>0</v>
      </c>
      <c r="Q2216">
        <v>0</v>
      </c>
      <c r="S2216">
        <v>0</v>
      </c>
      <c r="T2216">
        <v>0</v>
      </c>
      <c r="U2216">
        <v>0</v>
      </c>
      <c r="W2216" t="s">
        <v>346</v>
      </c>
    </row>
    <row r="2217" spans="1:23" x14ac:dyDescent="0.35">
      <c r="A2217" t="s">
        <v>45</v>
      </c>
      <c r="B2217" t="s">
        <v>4419</v>
      </c>
      <c r="C2217" t="s">
        <v>60</v>
      </c>
      <c r="D2217" t="s">
        <v>61</v>
      </c>
      <c r="E2217" t="s">
        <v>61</v>
      </c>
      <c r="F2217" t="s">
        <v>193</v>
      </c>
      <c r="G2217" t="s">
        <v>4200</v>
      </c>
      <c r="H2217" t="s">
        <v>4576</v>
      </c>
      <c r="J2217" t="str">
        <f>HYPERLINK("https://www.facebook.com/634639855377280/posts/786878883486709?comment_id=707580604870776","https://www.facebook.com/634639855377280/posts/786878883486709?comment_id=707580604870776")</f>
        <v>https://www.facebook.com/634639855377280/posts/786878883486709?comment_id=707580604870776</v>
      </c>
      <c r="O2217">
        <v>0</v>
      </c>
      <c r="P2217">
        <v>0</v>
      </c>
      <c r="Q2217">
        <v>0</v>
      </c>
      <c r="S2217">
        <v>0</v>
      </c>
      <c r="T2217">
        <v>0</v>
      </c>
      <c r="U2217">
        <v>0</v>
      </c>
      <c r="W2217" t="s">
        <v>52</v>
      </c>
    </row>
    <row r="2218" spans="1:23" x14ac:dyDescent="0.35">
      <c r="A2218" t="s">
        <v>45</v>
      </c>
      <c r="B2218" t="s">
        <v>4419</v>
      </c>
      <c r="C2218" t="s">
        <v>93</v>
      </c>
      <c r="D2218" t="s">
        <v>4577</v>
      </c>
      <c r="E2218" t="s">
        <v>4578</v>
      </c>
      <c r="F2218" t="s">
        <v>49</v>
      </c>
      <c r="G2218" t="s">
        <v>4541</v>
      </c>
      <c r="H2218" t="s">
        <v>4579</v>
      </c>
      <c r="J2218" t="str">
        <f>HYPERLINK("https://twitter.com/DerendraMaurya/status/1755434325359600083","https://twitter.com/DerendraMaurya/status/1755434325359600083")</f>
        <v>https://twitter.com/DerendraMaurya/status/1755434325359600083</v>
      </c>
      <c r="O2218">
        <v>0</v>
      </c>
      <c r="P2218">
        <v>0</v>
      </c>
      <c r="Q2218">
        <v>2191</v>
      </c>
      <c r="R2218" t="s">
        <v>513</v>
      </c>
      <c r="S2218">
        <v>0</v>
      </c>
      <c r="T2218">
        <v>0</v>
      </c>
      <c r="U2218">
        <v>0</v>
      </c>
      <c r="W2218" t="s">
        <v>433</v>
      </c>
    </row>
    <row r="2219" spans="1:23" x14ac:dyDescent="0.35">
      <c r="A2219" t="s">
        <v>45</v>
      </c>
      <c r="B2219" t="s">
        <v>4419</v>
      </c>
      <c r="C2219" t="s">
        <v>60</v>
      </c>
      <c r="D2219" t="s">
        <v>61</v>
      </c>
      <c r="E2219" t="s">
        <v>61</v>
      </c>
      <c r="F2219" t="s">
        <v>49</v>
      </c>
      <c r="G2219" t="s">
        <v>4580</v>
      </c>
      <c r="H2219" t="s">
        <v>4581</v>
      </c>
      <c r="J2219" t="str">
        <f>HYPERLINK("https://www.facebook.com/634639855377280/posts/786878883486709?comment_id=936985114057444","https://www.facebook.com/634639855377280/posts/786878883486709?comment_id=936985114057444")</f>
        <v>https://www.facebook.com/634639855377280/posts/786878883486709?comment_id=936985114057444</v>
      </c>
      <c r="O2219">
        <v>0</v>
      </c>
      <c r="P2219">
        <v>0</v>
      </c>
      <c r="Q2219">
        <v>0</v>
      </c>
      <c r="S2219">
        <v>0</v>
      </c>
      <c r="T2219">
        <v>0</v>
      </c>
      <c r="U2219">
        <v>0</v>
      </c>
      <c r="W2219" t="s">
        <v>52</v>
      </c>
    </row>
    <row r="2220" spans="1:23" x14ac:dyDescent="0.35">
      <c r="A2220" t="s">
        <v>45</v>
      </c>
      <c r="B2220" t="s">
        <v>4419</v>
      </c>
      <c r="C2220" t="s">
        <v>93</v>
      </c>
      <c r="D2220" t="s">
        <v>2939</v>
      </c>
      <c r="E2220" t="s">
        <v>2940</v>
      </c>
      <c r="F2220" t="s">
        <v>49</v>
      </c>
      <c r="G2220" t="s">
        <v>4582</v>
      </c>
      <c r="H2220" t="s">
        <v>4583</v>
      </c>
      <c r="J2220" t="str">
        <f>HYPERLINK("https://twitter.com/amandwi39776875/status/1755404038856962345","https://twitter.com/amandwi39776875/status/1755404038856962345")</f>
        <v>https://twitter.com/amandwi39776875/status/1755404038856962345</v>
      </c>
      <c r="O2220">
        <v>0</v>
      </c>
      <c r="P2220">
        <v>0</v>
      </c>
      <c r="Q2220">
        <v>113</v>
      </c>
      <c r="R2220" t="s">
        <v>2943</v>
      </c>
      <c r="S2220">
        <v>0</v>
      </c>
      <c r="T2220">
        <v>0</v>
      </c>
      <c r="U2220">
        <v>0</v>
      </c>
      <c r="W2220" t="s">
        <v>99</v>
      </c>
    </row>
    <row r="2221" spans="1:23" x14ac:dyDescent="0.35">
      <c r="A2221" t="s">
        <v>45</v>
      </c>
      <c r="B2221" t="s">
        <v>4419</v>
      </c>
      <c r="C2221" t="s">
        <v>93</v>
      </c>
      <c r="D2221" t="s">
        <v>2939</v>
      </c>
      <c r="E2221" t="s">
        <v>2940</v>
      </c>
      <c r="F2221" t="s">
        <v>193</v>
      </c>
      <c r="G2221" t="s">
        <v>4584</v>
      </c>
      <c r="H2221" t="s">
        <v>4585</v>
      </c>
      <c r="J2221" t="str">
        <f>HYPERLINK("https://twitter.com/amandwi39776875/status/1755403577751933255","https://twitter.com/amandwi39776875/status/1755403577751933255")</f>
        <v>https://twitter.com/amandwi39776875/status/1755403577751933255</v>
      </c>
      <c r="O2221">
        <v>0</v>
      </c>
      <c r="P2221">
        <v>0</v>
      </c>
      <c r="Q2221">
        <v>113</v>
      </c>
      <c r="R2221" t="s">
        <v>2943</v>
      </c>
      <c r="S2221">
        <v>0</v>
      </c>
      <c r="T2221">
        <v>0</v>
      </c>
      <c r="U2221">
        <v>0</v>
      </c>
      <c r="W2221" t="s">
        <v>99</v>
      </c>
    </row>
    <row r="2222" spans="1:23" x14ac:dyDescent="0.35">
      <c r="A2222" t="s">
        <v>45</v>
      </c>
      <c r="B2222" t="s">
        <v>4419</v>
      </c>
      <c r="C2222" t="s">
        <v>93</v>
      </c>
      <c r="D2222" t="s">
        <v>2939</v>
      </c>
      <c r="E2222" t="s">
        <v>2940</v>
      </c>
      <c r="F2222" t="s">
        <v>49</v>
      </c>
      <c r="G2222" t="s">
        <v>4586</v>
      </c>
      <c r="H2222" t="s">
        <v>4587</v>
      </c>
      <c r="J2222" t="str">
        <f>HYPERLINK("https://twitter.com/amandwi39776875/status/1755402764166013037","https://twitter.com/amandwi39776875/status/1755402764166013037")</f>
        <v>https://twitter.com/amandwi39776875/status/1755402764166013037</v>
      </c>
      <c r="O2222">
        <v>0</v>
      </c>
      <c r="P2222">
        <v>0</v>
      </c>
      <c r="Q2222">
        <v>113</v>
      </c>
      <c r="R2222" t="s">
        <v>2943</v>
      </c>
      <c r="S2222">
        <v>0</v>
      </c>
      <c r="T2222">
        <v>0</v>
      </c>
      <c r="U2222">
        <v>0</v>
      </c>
      <c r="W2222" t="s">
        <v>99</v>
      </c>
    </row>
    <row r="2223" spans="1:23" x14ac:dyDescent="0.35">
      <c r="A2223" t="s">
        <v>45</v>
      </c>
      <c r="B2223" t="s">
        <v>4419</v>
      </c>
      <c r="C2223" t="s">
        <v>47</v>
      </c>
      <c r="D2223" t="s">
        <v>4588</v>
      </c>
      <c r="E2223" t="s">
        <v>4588</v>
      </c>
      <c r="F2223" t="s">
        <v>54</v>
      </c>
      <c r="G2223" t="s">
        <v>4589</v>
      </c>
      <c r="H2223" t="s">
        <v>4590</v>
      </c>
      <c r="J2223" t="str">
        <f>HYPERLINK("https://www.youtube.com/watch?v=DJMPsDYdRYk&amp;lc=UgyUAxeHi9aaf-jh4dJ4AaABAg","https://www.youtube.com/watch?v=DJMPsDYdRYk&amp;lc=UgyUAxeHi9aaf-jh4dJ4AaABAg")</f>
        <v>https://www.youtube.com/watch?v=DJMPsDYdRYk&amp;lc=UgyUAxeHi9aaf-jh4dJ4AaABAg</v>
      </c>
      <c r="O2223">
        <v>0</v>
      </c>
      <c r="P2223">
        <v>0</v>
      </c>
      <c r="Q2223">
        <v>0</v>
      </c>
      <c r="S2223">
        <v>0</v>
      </c>
      <c r="T2223">
        <v>0</v>
      </c>
      <c r="U2223">
        <v>0</v>
      </c>
      <c r="W2223" t="s">
        <v>52</v>
      </c>
    </row>
    <row r="2224" spans="1:23" x14ac:dyDescent="0.35">
      <c r="A2224" t="s">
        <v>45</v>
      </c>
      <c r="B2224" t="s">
        <v>4419</v>
      </c>
      <c r="C2224" t="s">
        <v>93</v>
      </c>
      <c r="D2224" t="s">
        <v>2939</v>
      </c>
      <c r="E2224" t="s">
        <v>2940</v>
      </c>
      <c r="F2224" t="s">
        <v>49</v>
      </c>
      <c r="G2224" t="s">
        <v>4591</v>
      </c>
      <c r="H2224" t="s">
        <v>4592</v>
      </c>
      <c r="J2224" t="str">
        <f>HYPERLINK("https://twitter.com/amandwi39776875/status/1755402535450669178","https://twitter.com/amandwi39776875/status/1755402535450669178")</f>
        <v>https://twitter.com/amandwi39776875/status/1755402535450669178</v>
      </c>
      <c r="O2224">
        <v>0</v>
      </c>
      <c r="P2224">
        <v>0</v>
      </c>
      <c r="Q2224">
        <v>113</v>
      </c>
      <c r="R2224" t="s">
        <v>2943</v>
      </c>
      <c r="S2224">
        <v>0</v>
      </c>
      <c r="T2224">
        <v>0</v>
      </c>
      <c r="U2224">
        <v>0</v>
      </c>
      <c r="W2224" t="s">
        <v>99</v>
      </c>
    </row>
    <row r="2225" spans="1:23" x14ac:dyDescent="0.35">
      <c r="A2225" t="s">
        <v>45</v>
      </c>
      <c r="B2225" t="s">
        <v>4419</v>
      </c>
      <c r="C2225" t="s">
        <v>93</v>
      </c>
      <c r="D2225" t="s">
        <v>2939</v>
      </c>
      <c r="E2225" t="s">
        <v>2940</v>
      </c>
      <c r="F2225" t="s">
        <v>49</v>
      </c>
      <c r="G2225" t="s">
        <v>4593</v>
      </c>
      <c r="H2225" t="s">
        <v>4594</v>
      </c>
      <c r="J2225" t="str">
        <f>HYPERLINK("https://twitter.com/amandwi39776875/status/1755402403850125725","https://twitter.com/amandwi39776875/status/1755402403850125725")</f>
        <v>https://twitter.com/amandwi39776875/status/1755402403850125725</v>
      </c>
      <c r="O2225">
        <v>0</v>
      </c>
      <c r="P2225">
        <v>0</v>
      </c>
      <c r="Q2225">
        <v>113</v>
      </c>
      <c r="R2225" t="s">
        <v>2943</v>
      </c>
      <c r="S2225">
        <v>0</v>
      </c>
      <c r="T2225">
        <v>0</v>
      </c>
      <c r="U2225">
        <v>0</v>
      </c>
      <c r="W2225" t="s">
        <v>99</v>
      </c>
    </row>
    <row r="2226" spans="1:23" x14ac:dyDescent="0.35">
      <c r="A2226" t="s">
        <v>45</v>
      </c>
      <c r="B2226" t="s">
        <v>4419</v>
      </c>
      <c r="C2226" t="s">
        <v>93</v>
      </c>
      <c r="D2226" t="s">
        <v>2939</v>
      </c>
      <c r="E2226" t="s">
        <v>2940</v>
      </c>
      <c r="F2226" t="s">
        <v>49</v>
      </c>
      <c r="G2226" t="s">
        <v>4595</v>
      </c>
      <c r="H2226" t="s">
        <v>4596</v>
      </c>
      <c r="J2226" t="str">
        <f>HYPERLINK("https://twitter.com/amandwi39776875/status/1755402204356489638","https://twitter.com/amandwi39776875/status/1755402204356489638")</f>
        <v>https://twitter.com/amandwi39776875/status/1755402204356489638</v>
      </c>
      <c r="O2226">
        <v>0</v>
      </c>
      <c r="P2226">
        <v>0</v>
      </c>
      <c r="Q2226">
        <v>113</v>
      </c>
      <c r="R2226" t="s">
        <v>2943</v>
      </c>
      <c r="S2226">
        <v>0</v>
      </c>
      <c r="T2226">
        <v>0</v>
      </c>
      <c r="U2226">
        <v>0</v>
      </c>
      <c r="W2226" t="s">
        <v>99</v>
      </c>
    </row>
    <row r="2227" spans="1:23" x14ac:dyDescent="0.35">
      <c r="A2227" t="s">
        <v>45</v>
      </c>
      <c r="B2227" t="s">
        <v>4419</v>
      </c>
      <c r="C2227" t="s">
        <v>47</v>
      </c>
      <c r="D2227" t="s">
        <v>3485</v>
      </c>
      <c r="E2227" t="s">
        <v>3485</v>
      </c>
      <c r="F2227" t="s">
        <v>49</v>
      </c>
      <c r="G2227" t="s">
        <v>4597</v>
      </c>
      <c r="H2227" t="s">
        <v>4598</v>
      </c>
      <c r="J2227" t="str">
        <f>HYPERLINK("https://www.youtube.com/watch?v=5DADCSRiE3A&amp;lc=Ugx69nccWk-Bthr478t4AaABAg","https://www.youtube.com/watch?v=5DADCSRiE3A&amp;lc=Ugx69nccWk-Bthr478t4AaABAg")</f>
        <v>https://www.youtube.com/watch?v=5DADCSRiE3A&amp;lc=Ugx69nccWk-Bthr478t4AaABAg</v>
      </c>
      <c r="O2227">
        <v>0</v>
      </c>
      <c r="P2227">
        <v>0</v>
      </c>
      <c r="Q2227">
        <v>0</v>
      </c>
      <c r="S2227">
        <v>0</v>
      </c>
      <c r="T2227">
        <v>0</v>
      </c>
      <c r="U2227">
        <v>0</v>
      </c>
      <c r="W2227" t="s">
        <v>52</v>
      </c>
    </row>
    <row r="2228" spans="1:23" x14ac:dyDescent="0.35">
      <c r="A2228" t="s">
        <v>45</v>
      </c>
      <c r="B2228" t="s">
        <v>4419</v>
      </c>
      <c r="C2228" t="s">
        <v>47</v>
      </c>
      <c r="D2228" t="s">
        <v>4599</v>
      </c>
      <c r="E2228" t="s">
        <v>4599</v>
      </c>
      <c r="F2228" t="s">
        <v>49</v>
      </c>
      <c r="G2228" t="s">
        <v>4600</v>
      </c>
      <c r="H2228" t="s">
        <v>4601</v>
      </c>
      <c r="J2228" t="str">
        <f>HYPERLINK("https://www.youtube.com/watch?v=DMlpygM0MQM&amp;lc=UgzWYMvDVbM_ln3UmD54AaABAg.A-TASm9mIz6A-Xq_iCG8cg","https://www.youtube.com/watch?v=DMlpygM0MQM&amp;lc=UgzWYMvDVbM_ln3UmD54AaABAg.A-TASm9mIz6A-Xq_iCG8cg")</f>
        <v>https://www.youtube.com/watch?v=DMlpygM0MQM&amp;lc=UgzWYMvDVbM_ln3UmD54AaABAg.A-TASm9mIz6A-Xq_iCG8cg</v>
      </c>
      <c r="O2228">
        <v>0</v>
      </c>
      <c r="P2228">
        <v>0</v>
      </c>
      <c r="Q2228">
        <v>0</v>
      </c>
      <c r="S2228">
        <v>0</v>
      </c>
      <c r="T2228">
        <v>0</v>
      </c>
      <c r="U2228">
        <v>0</v>
      </c>
      <c r="W2228" t="s">
        <v>52</v>
      </c>
    </row>
    <row r="2229" spans="1:23" x14ac:dyDescent="0.35">
      <c r="A2229" t="s">
        <v>45</v>
      </c>
      <c r="B2229" t="s">
        <v>4419</v>
      </c>
      <c r="C2229" t="s">
        <v>47</v>
      </c>
      <c r="D2229" t="s">
        <v>4602</v>
      </c>
      <c r="E2229" t="s">
        <v>4602</v>
      </c>
      <c r="F2229" t="s">
        <v>49</v>
      </c>
      <c r="G2229" t="s">
        <v>4603</v>
      </c>
      <c r="H2229" t="s">
        <v>4604</v>
      </c>
      <c r="J2229" t="str">
        <f>HYPERLINK("https://www.youtube.com/watch?v=-l0zuXgllLA&amp;lc=UgwoBOE0Lp-caILMwEh4AaABAg","https://www.youtube.com/watch?v=-l0zuXgllLA&amp;lc=UgwoBOE0Lp-caILMwEh4AaABAg")</f>
        <v>https://www.youtube.com/watch?v=-l0zuXgllLA&amp;lc=UgwoBOE0Lp-caILMwEh4AaABAg</v>
      </c>
      <c r="O2229">
        <v>0</v>
      </c>
      <c r="P2229">
        <v>0</v>
      </c>
      <c r="Q2229">
        <v>0</v>
      </c>
      <c r="S2229">
        <v>0</v>
      </c>
      <c r="T2229">
        <v>0</v>
      </c>
      <c r="U2229">
        <v>0</v>
      </c>
      <c r="W2229" t="s">
        <v>52</v>
      </c>
    </row>
    <row r="2230" spans="1:23" x14ac:dyDescent="0.35">
      <c r="A2230" t="s">
        <v>45</v>
      </c>
      <c r="B2230" t="s">
        <v>4419</v>
      </c>
      <c r="C2230" t="s">
        <v>60</v>
      </c>
      <c r="D2230" t="s">
        <v>61</v>
      </c>
      <c r="E2230" t="s">
        <v>61</v>
      </c>
      <c r="F2230" t="s">
        <v>49</v>
      </c>
      <c r="G2230" t="s">
        <v>4605</v>
      </c>
      <c r="H2230" t="s">
        <v>4606</v>
      </c>
      <c r="J2230" t="str">
        <f>HYPERLINK("https://www.facebook.com/634639855377280/posts/786878883486709?comment_id=1385677978977269&amp;reply_comment_id=343017612047432","https://www.facebook.com/634639855377280/posts/786878883486709?comment_id=1385677978977269&amp;reply_comment_id=343017612047432")</f>
        <v>https://www.facebook.com/634639855377280/posts/786878883486709?comment_id=1385677978977269&amp;reply_comment_id=343017612047432</v>
      </c>
      <c r="O2230">
        <v>0</v>
      </c>
      <c r="P2230">
        <v>0</v>
      </c>
      <c r="Q2230">
        <v>0</v>
      </c>
      <c r="S2230">
        <v>0</v>
      </c>
      <c r="T2230">
        <v>0</v>
      </c>
      <c r="U2230">
        <v>0</v>
      </c>
      <c r="W2230" t="s">
        <v>52</v>
      </c>
    </row>
    <row r="2231" spans="1:23" x14ac:dyDescent="0.35">
      <c r="A2231" t="s">
        <v>45</v>
      </c>
      <c r="B2231" t="s">
        <v>4419</v>
      </c>
      <c r="C2231" t="s">
        <v>60</v>
      </c>
      <c r="D2231" t="s">
        <v>61</v>
      </c>
      <c r="E2231" t="s">
        <v>61</v>
      </c>
      <c r="F2231" t="s">
        <v>49</v>
      </c>
      <c r="G2231" t="s">
        <v>4607</v>
      </c>
      <c r="H2231" t="s">
        <v>4608</v>
      </c>
      <c r="J2231" t="str">
        <f>HYPERLINK("https://www.facebook.com/634639855377280/posts/786878883486709?comment_id=1385677978977269&amp;reply_comment_id=1561453674691204","https://www.facebook.com/634639855377280/posts/786878883486709?comment_id=1385677978977269&amp;reply_comment_id=1561453674691204")</f>
        <v>https://www.facebook.com/634639855377280/posts/786878883486709?comment_id=1385677978977269&amp;reply_comment_id=1561453674691204</v>
      </c>
      <c r="O2231">
        <v>0</v>
      </c>
      <c r="P2231">
        <v>0</v>
      </c>
      <c r="Q2231">
        <v>0</v>
      </c>
      <c r="S2231">
        <v>0</v>
      </c>
      <c r="T2231">
        <v>0</v>
      </c>
      <c r="U2231">
        <v>0</v>
      </c>
      <c r="W2231" t="s">
        <v>52</v>
      </c>
    </row>
    <row r="2232" spans="1:23" x14ac:dyDescent="0.35">
      <c r="A2232" t="s">
        <v>45</v>
      </c>
      <c r="B2232" t="s">
        <v>4609</v>
      </c>
      <c r="C2232" t="s">
        <v>60</v>
      </c>
      <c r="D2232" t="s">
        <v>61</v>
      </c>
      <c r="E2232" t="s">
        <v>61</v>
      </c>
      <c r="F2232" t="s">
        <v>49</v>
      </c>
      <c r="G2232" t="s">
        <v>4610</v>
      </c>
      <c r="H2232" t="s">
        <v>4611</v>
      </c>
      <c r="J2232" t="str">
        <f>HYPERLINK("https://www.facebook.com/634639855377280/posts/786878883486709?comment_id=7323433694344670","https://www.facebook.com/634639855377280/posts/786878883486709?comment_id=7323433694344670")</f>
        <v>https://www.facebook.com/634639855377280/posts/786878883486709?comment_id=7323433694344670</v>
      </c>
      <c r="O2232">
        <v>0</v>
      </c>
      <c r="P2232">
        <v>0</v>
      </c>
      <c r="Q2232">
        <v>0</v>
      </c>
      <c r="S2232">
        <v>0</v>
      </c>
      <c r="T2232">
        <v>0</v>
      </c>
      <c r="U2232">
        <v>0</v>
      </c>
      <c r="W2232" t="s">
        <v>52</v>
      </c>
    </row>
    <row r="2233" spans="1:23" x14ac:dyDescent="0.35">
      <c r="A2233" t="s">
        <v>45</v>
      </c>
      <c r="B2233" t="s">
        <v>4609</v>
      </c>
      <c r="C2233" t="s">
        <v>60</v>
      </c>
      <c r="D2233" t="s">
        <v>61</v>
      </c>
      <c r="E2233" t="s">
        <v>61</v>
      </c>
      <c r="F2233" t="s">
        <v>49</v>
      </c>
      <c r="G2233" t="s">
        <v>4612</v>
      </c>
      <c r="H2233" t="s">
        <v>4613</v>
      </c>
      <c r="J2233" t="str">
        <f>HYPERLINK("https://www.facebook.com/634639855377280/posts/786878883486709?comment_id=704404241807012","https://www.facebook.com/634639855377280/posts/786878883486709?comment_id=704404241807012")</f>
        <v>https://www.facebook.com/634639855377280/posts/786878883486709?comment_id=704404241807012</v>
      </c>
      <c r="O2233">
        <v>0</v>
      </c>
      <c r="P2233">
        <v>0</v>
      </c>
      <c r="Q2233">
        <v>0</v>
      </c>
      <c r="S2233">
        <v>0</v>
      </c>
      <c r="T2233">
        <v>0</v>
      </c>
      <c r="U2233">
        <v>0</v>
      </c>
      <c r="W2233" t="s">
        <v>52</v>
      </c>
    </row>
    <row r="2234" spans="1:23" x14ac:dyDescent="0.35">
      <c r="A2234" t="s">
        <v>45</v>
      </c>
      <c r="B2234" t="s">
        <v>4609</v>
      </c>
      <c r="C2234" t="s">
        <v>60</v>
      </c>
      <c r="D2234" t="s">
        <v>61</v>
      </c>
      <c r="E2234" t="s">
        <v>61</v>
      </c>
      <c r="F2234" t="s">
        <v>49</v>
      </c>
      <c r="G2234" t="s">
        <v>4614</v>
      </c>
      <c r="H2234" t="s">
        <v>4615</v>
      </c>
      <c r="J2234" t="str">
        <f>HYPERLINK("https://www.facebook.com/634639855377280/posts/786878883486709?comment_id=226014897248909","https://www.facebook.com/634639855377280/posts/786878883486709?comment_id=226014897248909")</f>
        <v>https://www.facebook.com/634639855377280/posts/786878883486709?comment_id=226014897248909</v>
      </c>
      <c r="O2234">
        <v>0</v>
      </c>
      <c r="P2234">
        <v>0</v>
      </c>
      <c r="Q2234">
        <v>0</v>
      </c>
      <c r="S2234">
        <v>0</v>
      </c>
      <c r="T2234">
        <v>0</v>
      </c>
      <c r="U2234">
        <v>0</v>
      </c>
      <c r="W2234" t="s">
        <v>52</v>
      </c>
    </row>
    <row r="2235" spans="1:23" x14ac:dyDescent="0.35">
      <c r="A2235" t="s">
        <v>45</v>
      </c>
      <c r="B2235" t="s">
        <v>4609</v>
      </c>
      <c r="C2235" t="s">
        <v>93</v>
      </c>
      <c r="D2235" t="s">
        <v>4616</v>
      </c>
      <c r="E2235" t="s">
        <v>4617</v>
      </c>
      <c r="F2235" t="s">
        <v>193</v>
      </c>
      <c r="G2235" t="s">
        <v>4618</v>
      </c>
      <c r="H2235" t="s">
        <v>4619</v>
      </c>
      <c r="J2235" t="str">
        <f>HYPERLINK("https://twitter.com/ArvindK94137404/status/1755262429628428603","https://twitter.com/ArvindK94137404/status/1755262429628428603")</f>
        <v>https://twitter.com/ArvindK94137404/status/1755262429628428603</v>
      </c>
      <c r="K2235" t="s">
        <v>67</v>
      </c>
      <c r="O2235">
        <v>0</v>
      </c>
      <c r="P2235">
        <v>0</v>
      </c>
      <c r="Q2235">
        <v>1</v>
      </c>
      <c r="R2235" t="s">
        <v>871</v>
      </c>
      <c r="S2235">
        <v>0</v>
      </c>
      <c r="T2235">
        <v>0</v>
      </c>
      <c r="U2235">
        <v>0</v>
      </c>
      <c r="W2235" t="s">
        <v>99</v>
      </c>
    </row>
    <row r="2236" spans="1:23" x14ac:dyDescent="0.35">
      <c r="A2236" t="s">
        <v>45</v>
      </c>
      <c r="B2236" t="s">
        <v>4609</v>
      </c>
      <c r="C2236" t="s">
        <v>60</v>
      </c>
      <c r="D2236" t="s">
        <v>61</v>
      </c>
      <c r="E2236" t="s">
        <v>61</v>
      </c>
      <c r="F2236" t="s">
        <v>49</v>
      </c>
      <c r="G2236" t="s">
        <v>4620</v>
      </c>
      <c r="H2236" t="s">
        <v>4621</v>
      </c>
      <c r="J2236" t="str">
        <f>HYPERLINK("https://www.facebook.com/634639855377280/posts/786109966896934?comment_id=1144328249892082&amp;reply_comment_id=1055077239221069","https://www.facebook.com/634639855377280/posts/786109966896934?comment_id=1144328249892082&amp;reply_comment_id=1055077239221069")</f>
        <v>https://www.facebook.com/634639855377280/posts/786109966896934?comment_id=1144328249892082&amp;reply_comment_id=1055077239221069</v>
      </c>
      <c r="O2236">
        <v>0</v>
      </c>
      <c r="P2236">
        <v>0</v>
      </c>
      <c r="Q2236">
        <v>0</v>
      </c>
      <c r="S2236">
        <v>0</v>
      </c>
      <c r="T2236">
        <v>0</v>
      </c>
      <c r="U2236">
        <v>0</v>
      </c>
      <c r="W2236" t="s">
        <v>52</v>
      </c>
    </row>
    <row r="2237" spans="1:23" x14ac:dyDescent="0.35">
      <c r="A2237" t="s">
        <v>45</v>
      </c>
      <c r="B2237" t="s">
        <v>4609</v>
      </c>
      <c r="C2237" t="s">
        <v>93</v>
      </c>
      <c r="D2237" t="s">
        <v>4097</v>
      </c>
      <c r="E2237" t="s">
        <v>4097</v>
      </c>
      <c r="F2237" t="s">
        <v>193</v>
      </c>
      <c r="G2237" t="s">
        <v>4622</v>
      </c>
      <c r="H2237" t="s">
        <v>4623</v>
      </c>
      <c r="J2237" t="str">
        <f>HYPERLINK("https://twitter.com/TechEducavo/status/1755253859038187990","https://twitter.com/TechEducavo/status/1755253859038187990")</f>
        <v>https://twitter.com/TechEducavo/status/1755253859038187990</v>
      </c>
      <c r="O2237">
        <v>0</v>
      </c>
      <c r="P2237">
        <v>0</v>
      </c>
      <c r="Q2237">
        <v>0</v>
      </c>
      <c r="S2237">
        <v>0</v>
      </c>
      <c r="T2237">
        <v>0</v>
      </c>
      <c r="U2237">
        <v>0</v>
      </c>
      <c r="W2237" t="s">
        <v>99</v>
      </c>
    </row>
    <row r="2238" spans="1:23" x14ac:dyDescent="0.35">
      <c r="A2238" t="s">
        <v>45</v>
      </c>
      <c r="B2238" t="s">
        <v>4609</v>
      </c>
      <c r="C2238" t="s">
        <v>60</v>
      </c>
      <c r="D2238" t="s">
        <v>61</v>
      </c>
      <c r="E2238" t="s">
        <v>61</v>
      </c>
      <c r="F2238" t="s">
        <v>49</v>
      </c>
      <c r="G2238" t="s">
        <v>4624</v>
      </c>
      <c r="H2238" t="s">
        <v>4625</v>
      </c>
      <c r="J2238" t="str">
        <f>HYPERLINK("https://www.facebook.com/634639855377280/posts/786878883486709?comment_id=3620280098218034","https://www.facebook.com/634639855377280/posts/786878883486709?comment_id=3620280098218034")</f>
        <v>https://www.facebook.com/634639855377280/posts/786878883486709?comment_id=3620280098218034</v>
      </c>
      <c r="O2238">
        <v>0</v>
      </c>
      <c r="P2238">
        <v>0</v>
      </c>
      <c r="Q2238">
        <v>0</v>
      </c>
      <c r="S2238">
        <v>0</v>
      </c>
      <c r="T2238">
        <v>0</v>
      </c>
      <c r="U2238">
        <v>0</v>
      </c>
      <c r="W2238" t="s">
        <v>52</v>
      </c>
    </row>
    <row r="2239" spans="1:23" x14ac:dyDescent="0.35">
      <c r="A2239" t="s">
        <v>45</v>
      </c>
      <c r="B2239" t="s">
        <v>4609</v>
      </c>
      <c r="C2239" t="s">
        <v>60</v>
      </c>
      <c r="D2239" t="s">
        <v>61</v>
      </c>
      <c r="E2239" t="s">
        <v>61</v>
      </c>
      <c r="F2239" t="s">
        <v>49</v>
      </c>
      <c r="G2239" t="s">
        <v>4626</v>
      </c>
      <c r="H2239" t="s">
        <v>4627</v>
      </c>
      <c r="J2239" t="str">
        <f>HYPERLINK("https://www.facebook.com/634639855377280/posts/786109966896934?comment_id=380556534607149&amp;reply_comment_id=7344189925647043","https://www.facebook.com/634639855377280/posts/786109966896934?comment_id=380556534607149&amp;reply_comment_id=7344189925647043")</f>
        <v>https://www.facebook.com/634639855377280/posts/786109966896934?comment_id=380556534607149&amp;reply_comment_id=7344189925647043</v>
      </c>
      <c r="O2239">
        <v>0</v>
      </c>
      <c r="P2239">
        <v>0</v>
      </c>
      <c r="Q2239">
        <v>0</v>
      </c>
      <c r="S2239">
        <v>0</v>
      </c>
      <c r="T2239">
        <v>0</v>
      </c>
      <c r="U2239">
        <v>0</v>
      </c>
      <c r="W2239" t="s">
        <v>52</v>
      </c>
    </row>
    <row r="2240" spans="1:23" x14ac:dyDescent="0.35">
      <c r="A2240" t="s">
        <v>45</v>
      </c>
      <c r="B2240" t="s">
        <v>4609</v>
      </c>
      <c r="C2240" t="s">
        <v>60</v>
      </c>
      <c r="D2240" t="s">
        <v>61</v>
      </c>
      <c r="E2240" t="s">
        <v>61</v>
      </c>
      <c r="F2240" t="s">
        <v>54</v>
      </c>
      <c r="G2240" t="s">
        <v>4628</v>
      </c>
      <c r="H2240" t="s">
        <v>4629</v>
      </c>
      <c r="J2240" t="str">
        <f>HYPERLINK("https://www.facebook.com/634639855377280/posts/786878883486709?comment_id=3320090358281291","https://www.facebook.com/634639855377280/posts/786878883486709?comment_id=3320090358281291")</f>
        <v>https://www.facebook.com/634639855377280/posts/786878883486709?comment_id=3320090358281291</v>
      </c>
      <c r="O2240">
        <v>0</v>
      </c>
      <c r="P2240">
        <v>0</v>
      </c>
      <c r="Q2240">
        <v>0</v>
      </c>
      <c r="S2240">
        <v>0</v>
      </c>
      <c r="T2240">
        <v>0</v>
      </c>
      <c r="U2240">
        <v>0</v>
      </c>
      <c r="W2240" t="s">
        <v>52</v>
      </c>
    </row>
    <row r="2241" spans="1:23" x14ac:dyDescent="0.35">
      <c r="A2241" t="s">
        <v>45</v>
      </c>
      <c r="B2241" t="s">
        <v>4609</v>
      </c>
      <c r="C2241" t="s">
        <v>60</v>
      </c>
      <c r="D2241" t="s">
        <v>61</v>
      </c>
      <c r="E2241" t="s">
        <v>61</v>
      </c>
      <c r="F2241" t="s">
        <v>49</v>
      </c>
      <c r="G2241" t="s">
        <v>4630</v>
      </c>
      <c r="H2241" t="s">
        <v>4631</v>
      </c>
      <c r="J2241" t="str">
        <f>HYPERLINK("https://www.facebook.com/634639855377280/posts/786878883486709?comment_id=1078551979937594","https://www.facebook.com/634639855377280/posts/786878883486709?comment_id=1078551979937594")</f>
        <v>https://www.facebook.com/634639855377280/posts/786878883486709?comment_id=1078551979937594</v>
      </c>
      <c r="O2241">
        <v>0</v>
      </c>
      <c r="P2241">
        <v>0</v>
      </c>
      <c r="Q2241">
        <v>0</v>
      </c>
      <c r="S2241">
        <v>0</v>
      </c>
      <c r="T2241">
        <v>0</v>
      </c>
      <c r="U2241">
        <v>0</v>
      </c>
      <c r="W2241" t="s">
        <v>52</v>
      </c>
    </row>
    <row r="2242" spans="1:23" x14ac:dyDescent="0.35">
      <c r="A2242" t="s">
        <v>45</v>
      </c>
      <c r="B2242" t="s">
        <v>4609</v>
      </c>
      <c r="C2242" t="s">
        <v>47</v>
      </c>
      <c r="D2242" t="s">
        <v>2924</v>
      </c>
      <c r="E2242" t="s">
        <v>2924</v>
      </c>
      <c r="F2242" t="s">
        <v>49</v>
      </c>
      <c r="G2242" t="s">
        <v>4632</v>
      </c>
      <c r="H2242" t="s">
        <v>4633</v>
      </c>
      <c r="J2242" t="str">
        <f>HYPERLINK("https://www.youtube.com/watch?v=ySy-ogKu0Pk&amp;lc=UgwnV35bB-gRgpZUSjh4AaABAg","https://www.youtube.com/watch?v=ySy-ogKu0Pk&amp;lc=UgwnV35bB-gRgpZUSjh4AaABAg")</f>
        <v>https://www.youtube.com/watch?v=ySy-ogKu0Pk&amp;lc=UgwnV35bB-gRgpZUSjh4AaABAg</v>
      </c>
      <c r="O2242">
        <v>0</v>
      </c>
      <c r="P2242">
        <v>0</v>
      </c>
      <c r="Q2242">
        <v>0</v>
      </c>
      <c r="S2242">
        <v>0</v>
      </c>
      <c r="T2242">
        <v>0</v>
      </c>
      <c r="U2242">
        <v>0</v>
      </c>
      <c r="W2242" t="s">
        <v>52</v>
      </c>
    </row>
    <row r="2243" spans="1:23" x14ac:dyDescent="0.35">
      <c r="A2243" t="s">
        <v>45</v>
      </c>
      <c r="B2243" t="s">
        <v>4609</v>
      </c>
      <c r="C2243" t="s">
        <v>60</v>
      </c>
      <c r="D2243" t="s">
        <v>61</v>
      </c>
      <c r="E2243" t="s">
        <v>61</v>
      </c>
      <c r="F2243" t="s">
        <v>49</v>
      </c>
      <c r="G2243" t="s">
        <v>4634</v>
      </c>
      <c r="H2243" t="s">
        <v>4635</v>
      </c>
      <c r="J2243" t="str">
        <f>HYPERLINK("https://www.facebook.com/634639855377280/posts/786878883486709?comment_id=300705432629814","https://www.facebook.com/634639855377280/posts/786878883486709?comment_id=300705432629814")</f>
        <v>https://www.facebook.com/634639855377280/posts/786878883486709?comment_id=300705432629814</v>
      </c>
      <c r="O2243">
        <v>0</v>
      </c>
      <c r="P2243">
        <v>0</v>
      </c>
      <c r="Q2243">
        <v>0</v>
      </c>
      <c r="S2243">
        <v>0</v>
      </c>
      <c r="T2243">
        <v>0</v>
      </c>
      <c r="U2243">
        <v>0</v>
      </c>
      <c r="W2243" t="s">
        <v>52</v>
      </c>
    </row>
    <row r="2244" spans="1:23" x14ac:dyDescent="0.35">
      <c r="A2244" t="s">
        <v>45</v>
      </c>
      <c r="B2244" t="s">
        <v>4609</v>
      </c>
      <c r="C2244" t="s">
        <v>60</v>
      </c>
      <c r="D2244" t="s">
        <v>61</v>
      </c>
      <c r="E2244" t="s">
        <v>61</v>
      </c>
      <c r="F2244" t="s">
        <v>49</v>
      </c>
      <c r="G2244" t="s">
        <v>4636</v>
      </c>
      <c r="H2244" t="s">
        <v>4637</v>
      </c>
      <c r="J2244" t="str">
        <f>HYPERLINK("https://www.facebook.com/634639855377280/posts/784211473753450?comment_id=360510350078642","https://www.facebook.com/634639855377280/posts/784211473753450?comment_id=360510350078642")</f>
        <v>https://www.facebook.com/634639855377280/posts/784211473753450?comment_id=360510350078642</v>
      </c>
      <c r="O2244">
        <v>0</v>
      </c>
      <c r="P2244">
        <v>0</v>
      </c>
      <c r="Q2244">
        <v>0</v>
      </c>
      <c r="S2244">
        <v>0</v>
      </c>
      <c r="T2244">
        <v>0</v>
      </c>
      <c r="U2244">
        <v>0</v>
      </c>
      <c r="W2244" t="s">
        <v>52</v>
      </c>
    </row>
    <row r="2245" spans="1:23" x14ac:dyDescent="0.35">
      <c r="A2245" t="s">
        <v>45</v>
      </c>
      <c r="B2245" t="s">
        <v>4609</v>
      </c>
      <c r="C2245" t="s">
        <v>60</v>
      </c>
      <c r="D2245" t="s">
        <v>61</v>
      </c>
      <c r="E2245" t="s">
        <v>61</v>
      </c>
      <c r="F2245" t="s">
        <v>54</v>
      </c>
      <c r="G2245" t="s">
        <v>4638</v>
      </c>
      <c r="H2245" t="s">
        <v>4639</v>
      </c>
      <c r="J2245" t="str">
        <f>HYPERLINK("https://www.facebook.com/634639855377280/posts/786878883486709?comment_id=1157126935422950","https://www.facebook.com/634639855377280/posts/786878883486709?comment_id=1157126935422950")</f>
        <v>https://www.facebook.com/634639855377280/posts/786878883486709?comment_id=1157126935422950</v>
      </c>
      <c r="O2245">
        <v>0</v>
      </c>
      <c r="P2245">
        <v>0</v>
      </c>
      <c r="Q2245">
        <v>0</v>
      </c>
      <c r="S2245">
        <v>0</v>
      </c>
      <c r="T2245">
        <v>0</v>
      </c>
      <c r="U2245">
        <v>0</v>
      </c>
      <c r="W2245" t="s">
        <v>52</v>
      </c>
    </row>
    <row r="2246" spans="1:23" x14ac:dyDescent="0.35">
      <c r="A2246" t="s">
        <v>45</v>
      </c>
      <c r="B2246" t="s">
        <v>4609</v>
      </c>
      <c r="C2246" t="s">
        <v>60</v>
      </c>
      <c r="D2246" t="s">
        <v>61</v>
      </c>
      <c r="E2246" t="s">
        <v>61</v>
      </c>
      <c r="F2246" t="s">
        <v>49</v>
      </c>
      <c r="G2246" t="s">
        <v>4640</v>
      </c>
      <c r="H2246" t="s">
        <v>4641</v>
      </c>
      <c r="J2246" t="str">
        <f>HYPERLINK("https://www.facebook.com/634639855377280/posts/786878883486709?comment_id=1385677978977269","https://www.facebook.com/634639855377280/posts/786878883486709?comment_id=1385677978977269")</f>
        <v>https://www.facebook.com/634639855377280/posts/786878883486709?comment_id=1385677978977269</v>
      </c>
      <c r="O2246">
        <v>0</v>
      </c>
      <c r="P2246">
        <v>0</v>
      </c>
      <c r="Q2246">
        <v>0</v>
      </c>
      <c r="S2246">
        <v>0</v>
      </c>
      <c r="T2246">
        <v>0</v>
      </c>
      <c r="U2246">
        <v>0</v>
      </c>
      <c r="W2246" t="s">
        <v>52</v>
      </c>
    </row>
    <row r="2247" spans="1:23" x14ac:dyDescent="0.35">
      <c r="A2247" t="s">
        <v>45</v>
      </c>
      <c r="B2247" t="s">
        <v>4609</v>
      </c>
      <c r="C2247" t="s">
        <v>60</v>
      </c>
      <c r="D2247" t="s">
        <v>61</v>
      </c>
      <c r="E2247" t="s">
        <v>61</v>
      </c>
      <c r="F2247" t="s">
        <v>49</v>
      </c>
      <c r="G2247" t="s">
        <v>4642</v>
      </c>
      <c r="H2247" t="s">
        <v>4643</v>
      </c>
      <c r="J2247" t="str">
        <f>HYPERLINK("https://www.facebook.com/634639855377280/posts/786878883486709?comment_id=2625830240901297","https://www.facebook.com/634639855377280/posts/786878883486709?comment_id=2625830240901297")</f>
        <v>https://www.facebook.com/634639855377280/posts/786878883486709?comment_id=2625830240901297</v>
      </c>
      <c r="O2247">
        <v>0</v>
      </c>
      <c r="P2247">
        <v>0</v>
      </c>
      <c r="Q2247">
        <v>0</v>
      </c>
      <c r="S2247">
        <v>0</v>
      </c>
      <c r="T2247">
        <v>0</v>
      </c>
      <c r="U2247">
        <v>0</v>
      </c>
      <c r="W2247" t="s">
        <v>52</v>
      </c>
    </row>
    <row r="2248" spans="1:23" x14ac:dyDescent="0.35">
      <c r="A2248" t="s">
        <v>45</v>
      </c>
      <c r="B2248" t="s">
        <v>4609</v>
      </c>
      <c r="C2248" t="s">
        <v>60</v>
      </c>
      <c r="D2248" t="s">
        <v>61</v>
      </c>
      <c r="E2248" t="s">
        <v>61</v>
      </c>
      <c r="F2248" t="s">
        <v>49</v>
      </c>
      <c r="G2248" t="s">
        <v>4644</v>
      </c>
      <c r="H2248" t="s">
        <v>4645</v>
      </c>
      <c r="J2248" t="str">
        <f>HYPERLINK("https://www.facebook.com/634639855377280/posts/786878883486709?comment_id=926206729032271","https://www.facebook.com/634639855377280/posts/786878883486709?comment_id=926206729032271")</f>
        <v>https://www.facebook.com/634639855377280/posts/786878883486709?comment_id=926206729032271</v>
      </c>
      <c r="O2248">
        <v>0</v>
      </c>
      <c r="P2248">
        <v>0</v>
      </c>
      <c r="Q2248">
        <v>0</v>
      </c>
      <c r="S2248">
        <v>0</v>
      </c>
      <c r="T2248">
        <v>0</v>
      </c>
      <c r="U2248">
        <v>0</v>
      </c>
      <c r="W2248" t="s">
        <v>52</v>
      </c>
    </row>
    <row r="2249" spans="1:23" x14ac:dyDescent="0.35">
      <c r="A2249" t="s">
        <v>45</v>
      </c>
      <c r="B2249" t="s">
        <v>4609</v>
      </c>
      <c r="C2249" t="s">
        <v>60</v>
      </c>
      <c r="D2249" t="s">
        <v>61</v>
      </c>
      <c r="E2249" t="s">
        <v>61</v>
      </c>
      <c r="F2249" t="s">
        <v>54</v>
      </c>
      <c r="G2249" t="s">
        <v>4646</v>
      </c>
      <c r="H2249" t="s">
        <v>4647</v>
      </c>
      <c r="J2249" t="str">
        <f>HYPERLINK("https://www.facebook.com/634639855377280/posts/786878883486709?comment_id=907650984240848","https://www.facebook.com/634639855377280/posts/786878883486709?comment_id=907650984240848")</f>
        <v>https://www.facebook.com/634639855377280/posts/786878883486709?comment_id=907650984240848</v>
      </c>
      <c r="O2249">
        <v>0</v>
      </c>
      <c r="P2249">
        <v>0</v>
      </c>
      <c r="Q2249">
        <v>0</v>
      </c>
      <c r="S2249">
        <v>0</v>
      </c>
      <c r="T2249">
        <v>0</v>
      </c>
      <c r="U2249">
        <v>0</v>
      </c>
      <c r="W2249" t="s">
        <v>52</v>
      </c>
    </row>
    <row r="2250" spans="1:23" x14ac:dyDescent="0.35">
      <c r="A2250" t="s">
        <v>45</v>
      </c>
      <c r="B2250" t="s">
        <v>4609</v>
      </c>
      <c r="C2250" t="s">
        <v>60</v>
      </c>
      <c r="D2250" t="s">
        <v>61</v>
      </c>
      <c r="E2250" t="s">
        <v>61</v>
      </c>
      <c r="F2250" t="s">
        <v>54</v>
      </c>
      <c r="G2250" t="s">
        <v>4648</v>
      </c>
      <c r="H2250" t="s">
        <v>4649</v>
      </c>
      <c r="J2250" t="str">
        <f>HYPERLINK("https://www.facebook.com/634639855377280/posts/786878883486709?comment_id=697631585571109","https://www.facebook.com/634639855377280/posts/786878883486709?comment_id=697631585571109")</f>
        <v>https://www.facebook.com/634639855377280/posts/786878883486709?comment_id=697631585571109</v>
      </c>
      <c r="O2250">
        <v>0</v>
      </c>
      <c r="P2250">
        <v>0</v>
      </c>
      <c r="Q2250">
        <v>0</v>
      </c>
      <c r="S2250">
        <v>0</v>
      </c>
      <c r="T2250">
        <v>0</v>
      </c>
      <c r="U2250">
        <v>0</v>
      </c>
      <c r="W2250" t="s">
        <v>52</v>
      </c>
    </row>
    <row r="2251" spans="1:23" x14ac:dyDescent="0.35">
      <c r="A2251" t="s">
        <v>45</v>
      </c>
      <c r="B2251" t="s">
        <v>4609</v>
      </c>
      <c r="C2251" t="s">
        <v>93</v>
      </c>
      <c r="D2251" t="s">
        <v>94</v>
      </c>
      <c r="E2251" t="s">
        <v>45</v>
      </c>
      <c r="F2251" t="s">
        <v>49</v>
      </c>
      <c r="G2251" t="s">
        <v>4541</v>
      </c>
      <c r="H2251" t="s">
        <v>4650</v>
      </c>
      <c r="J2251" t="str">
        <f>HYPERLINK("https://twitter.com/SpiceMoneyIndia/status/1755224680271667657","https://twitter.com/SpiceMoneyIndia/status/1755224680271667657")</f>
        <v>https://twitter.com/SpiceMoneyIndia/status/1755224680271667657</v>
      </c>
      <c r="K2251" t="s">
        <v>67</v>
      </c>
      <c r="O2251">
        <v>0</v>
      </c>
      <c r="P2251">
        <v>0</v>
      </c>
      <c r="Q2251">
        <v>6021</v>
      </c>
      <c r="R2251" t="s">
        <v>97</v>
      </c>
      <c r="S2251">
        <v>0</v>
      </c>
      <c r="T2251">
        <v>0</v>
      </c>
      <c r="U2251">
        <v>0</v>
      </c>
      <c r="V2251" t="s">
        <v>98</v>
      </c>
      <c r="W2251" t="s">
        <v>99</v>
      </c>
    </row>
    <row r="2252" spans="1:23" x14ac:dyDescent="0.35">
      <c r="A2252" t="s">
        <v>45</v>
      </c>
      <c r="B2252" t="s">
        <v>4609</v>
      </c>
      <c r="C2252" t="s">
        <v>60</v>
      </c>
      <c r="D2252" t="s">
        <v>64</v>
      </c>
      <c r="E2252" t="s">
        <v>64</v>
      </c>
      <c r="F2252" t="s">
        <v>49</v>
      </c>
      <c r="G2252" t="s">
        <v>4651</v>
      </c>
      <c r="H2252" t="s">
        <v>4652</v>
      </c>
      <c r="J2252" t="str">
        <f>HYPERLINK("https://www.facebook.com/634639855377280/posts/786878883486709","https://www.facebook.com/634639855377280/posts/786878883486709")</f>
        <v>https://www.facebook.com/634639855377280/posts/786878883486709</v>
      </c>
      <c r="O2252">
        <v>0</v>
      </c>
      <c r="P2252">
        <v>0</v>
      </c>
      <c r="Q2252">
        <v>0</v>
      </c>
      <c r="S2252">
        <v>43</v>
      </c>
      <c r="T2252">
        <v>294</v>
      </c>
      <c r="U2252">
        <v>43</v>
      </c>
      <c r="W2252" t="s">
        <v>346</v>
      </c>
    </row>
    <row r="2253" spans="1:23" x14ac:dyDescent="0.35">
      <c r="A2253" t="s">
        <v>45</v>
      </c>
      <c r="B2253" t="s">
        <v>4609</v>
      </c>
      <c r="C2253" t="s">
        <v>47</v>
      </c>
      <c r="D2253" t="s">
        <v>4653</v>
      </c>
      <c r="E2253" t="s">
        <v>4653</v>
      </c>
      <c r="F2253" t="s">
        <v>49</v>
      </c>
      <c r="G2253" t="s">
        <v>4654</v>
      </c>
      <c r="H2253" t="s">
        <v>4655</v>
      </c>
      <c r="J2253" t="str">
        <f>HYPERLINK("https://www.youtube.com/watch?v=5DADCSRiE3A&amp;lc=UgyV_wWHwSktH2dUp0h4AaABAg","https://www.youtube.com/watch?v=5DADCSRiE3A&amp;lc=UgyV_wWHwSktH2dUp0h4AaABAg")</f>
        <v>https://www.youtube.com/watch?v=5DADCSRiE3A&amp;lc=UgyV_wWHwSktH2dUp0h4AaABAg</v>
      </c>
      <c r="O2253">
        <v>0</v>
      </c>
      <c r="P2253">
        <v>0</v>
      </c>
      <c r="Q2253">
        <v>0</v>
      </c>
      <c r="S2253">
        <v>0</v>
      </c>
      <c r="T2253">
        <v>0</v>
      </c>
      <c r="U2253">
        <v>0</v>
      </c>
      <c r="W2253" t="s">
        <v>52</v>
      </c>
    </row>
    <row r="2254" spans="1:23" x14ac:dyDescent="0.35">
      <c r="A2254" t="s">
        <v>45</v>
      </c>
      <c r="B2254" t="s">
        <v>4609</v>
      </c>
      <c r="C2254" t="s">
        <v>60</v>
      </c>
      <c r="D2254" t="s">
        <v>61</v>
      </c>
      <c r="E2254" t="s">
        <v>61</v>
      </c>
      <c r="F2254" t="s">
        <v>49</v>
      </c>
      <c r="G2254" t="s">
        <v>4656</v>
      </c>
      <c r="H2254" t="s">
        <v>4657</v>
      </c>
      <c r="J2254" t="str">
        <f>HYPERLINK("https://www.facebook.com/634639855377280/posts/784211473753450?comment_id=949125813214252&amp;reply_comment_id=259449510520029","https://www.facebook.com/634639855377280/posts/784211473753450?comment_id=949125813214252&amp;reply_comment_id=259449510520029")</f>
        <v>https://www.facebook.com/634639855377280/posts/784211473753450?comment_id=949125813214252&amp;reply_comment_id=259449510520029</v>
      </c>
      <c r="O2254">
        <v>0</v>
      </c>
      <c r="P2254">
        <v>0</v>
      </c>
      <c r="Q2254">
        <v>0</v>
      </c>
      <c r="S2254">
        <v>0</v>
      </c>
      <c r="T2254">
        <v>0</v>
      </c>
      <c r="U2254">
        <v>0</v>
      </c>
      <c r="W2254" t="s">
        <v>52</v>
      </c>
    </row>
    <row r="2255" spans="1:23" x14ac:dyDescent="0.35">
      <c r="A2255" t="s">
        <v>45</v>
      </c>
      <c r="B2255" t="s">
        <v>4609</v>
      </c>
      <c r="C2255" t="s">
        <v>93</v>
      </c>
      <c r="D2255" t="s">
        <v>94</v>
      </c>
      <c r="E2255" t="s">
        <v>45</v>
      </c>
      <c r="F2255" t="s">
        <v>49</v>
      </c>
      <c r="G2255" t="s">
        <v>4658</v>
      </c>
      <c r="H2255" t="s">
        <v>4659</v>
      </c>
      <c r="J2255" t="str">
        <f>HYPERLINK("https://twitter.com/SpiceMoneyIndia/status/1755202602973733058","https://twitter.com/SpiceMoneyIndia/status/1755202602973733058")</f>
        <v>https://twitter.com/SpiceMoneyIndia/status/1755202602973733058</v>
      </c>
      <c r="K2255" t="s">
        <v>67</v>
      </c>
      <c r="O2255">
        <v>0</v>
      </c>
      <c r="P2255">
        <v>0</v>
      </c>
      <c r="Q2255">
        <v>6021</v>
      </c>
      <c r="R2255" t="s">
        <v>97</v>
      </c>
      <c r="S2255">
        <v>0</v>
      </c>
      <c r="T2255">
        <v>0</v>
      </c>
      <c r="U2255">
        <v>0</v>
      </c>
      <c r="V2255" t="s">
        <v>98</v>
      </c>
      <c r="W2255" t="s">
        <v>99</v>
      </c>
    </row>
    <row r="2256" spans="1:23" x14ac:dyDescent="0.35">
      <c r="A2256" t="s">
        <v>45</v>
      </c>
      <c r="B2256" t="s">
        <v>4609</v>
      </c>
      <c r="C2256" t="s">
        <v>60</v>
      </c>
      <c r="D2256" t="s">
        <v>64</v>
      </c>
      <c r="E2256" t="s">
        <v>64</v>
      </c>
      <c r="F2256" t="s">
        <v>49</v>
      </c>
      <c r="G2256" t="s">
        <v>380</v>
      </c>
      <c r="H2256" t="s">
        <v>4660</v>
      </c>
      <c r="J2256" t="str">
        <f>HYPERLINK("https://www.facebook.com/634639855377280/posts/784211473753450?comment_id=949125813214252&amp;reply_comment_id=761508768865784","https://www.facebook.com/634639855377280/posts/784211473753450?comment_id=949125813214252&amp;reply_comment_id=761508768865784")</f>
        <v>https://www.facebook.com/634639855377280/posts/784211473753450?comment_id=949125813214252&amp;reply_comment_id=761508768865784</v>
      </c>
      <c r="K2256" t="s">
        <v>67</v>
      </c>
      <c r="O2256">
        <v>0</v>
      </c>
      <c r="P2256">
        <v>0</v>
      </c>
      <c r="Q2256">
        <v>0</v>
      </c>
      <c r="S2256">
        <v>0</v>
      </c>
      <c r="T2256">
        <v>0</v>
      </c>
      <c r="U2256">
        <v>0</v>
      </c>
      <c r="W2256" t="s">
        <v>52</v>
      </c>
    </row>
    <row r="2257" spans="1:23" x14ac:dyDescent="0.35">
      <c r="A2257" t="s">
        <v>45</v>
      </c>
      <c r="B2257" t="s">
        <v>4609</v>
      </c>
      <c r="C2257" t="s">
        <v>60</v>
      </c>
      <c r="D2257" t="s">
        <v>61</v>
      </c>
      <c r="E2257" t="s">
        <v>61</v>
      </c>
      <c r="F2257" t="s">
        <v>49</v>
      </c>
      <c r="G2257" t="s">
        <v>4661</v>
      </c>
      <c r="H2257" t="s">
        <v>4662</v>
      </c>
      <c r="J2257" t="str">
        <f>HYPERLINK("https://www.facebook.com/634639855377280/posts/784211473753450?comment_id=949125813214252","https://www.facebook.com/634639855377280/posts/784211473753450?comment_id=949125813214252")</f>
        <v>https://www.facebook.com/634639855377280/posts/784211473753450?comment_id=949125813214252</v>
      </c>
      <c r="O2257">
        <v>0</v>
      </c>
      <c r="P2257">
        <v>0</v>
      </c>
      <c r="Q2257">
        <v>0</v>
      </c>
      <c r="S2257">
        <v>0</v>
      </c>
      <c r="T2257">
        <v>0</v>
      </c>
      <c r="U2257">
        <v>0</v>
      </c>
      <c r="W2257" t="s">
        <v>52</v>
      </c>
    </row>
    <row r="2258" spans="1:23" x14ac:dyDescent="0.35">
      <c r="A2258" t="s">
        <v>45</v>
      </c>
      <c r="B2258" t="s">
        <v>4609</v>
      </c>
      <c r="C2258" t="s">
        <v>60</v>
      </c>
      <c r="D2258" t="s">
        <v>61</v>
      </c>
      <c r="E2258" t="s">
        <v>61</v>
      </c>
      <c r="F2258" t="s">
        <v>49</v>
      </c>
      <c r="G2258" t="s">
        <v>4663</v>
      </c>
      <c r="H2258" t="s">
        <v>4664</v>
      </c>
      <c r="J2258" t="str">
        <f>HYPERLINK("https://www.facebook.com/634639855377280/posts/784211473753450?comment_id=1148669933230968","https://www.facebook.com/634639855377280/posts/784211473753450?comment_id=1148669933230968")</f>
        <v>https://www.facebook.com/634639855377280/posts/784211473753450?comment_id=1148669933230968</v>
      </c>
      <c r="O2258">
        <v>0</v>
      </c>
      <c r="P2258">
        <v>0</v>
      </c>
      <c r="Q2258">
        <v>0</v>
      </c>
      <c r="S2258">
        <v>0</v>
      </c>
      <c r="T2258">
        <v>0</v>
      </c>
      <c r="U2258">
        <v>0</v>
      </c>
      <c r="W2258" t="s">
        <v>52</v>
      </c>
    </row>
    <row r="2259" spans="1:23" x14ac:dyDescent="0.35">
      <c r="A2259" t="s">
        <v>45</v>
      </c>
      <c r="B2259" t="s">
        <v>4609</v>
      </c>
      <c r="C2259" t="s">
        <v>60</v>
      </c>
      <c r="D2259" t="s">
        <v>64</v>
      </c>
      <c r="E2259" t="s">
        <v>64</v>
      </c>
      <c r="F2259" t="s">
        <v>49</v>
      </c>
      <c r="G2259" t="s">
        <v>1715</v>
      </c>
      <c r="H2259" t="s">
        <v>4665</v>
      </c>
      <c r="J2259" t="str">
        <f>HYPERLINK("https://www.facebook.com/634639855377280/posts/786109966896934?comment_id=380556534607149&amp;reply_comment_id=2322257934651523","https://www.facebook.com/634639855377280/posts/786109966896934?comment_id=380556534607149&amp;reply_comment_id=2322257934651523")</f>
        <v>https://www.facebook.com/634639855377280/posts/786109966896934?comment_id=380556534607149&amp;reply_comment_id=2322257934651523</v>
      </c>
      <c r="K2259" t="s">
        <v>67</v>
      </c>
      <c r="O2259">
        <v>0</v>
      </c>
      <c r="P2259">
        <v>0</v>
      </c>
      <c r="Q2259">
        <v>0</v>
      </c>
      <c r="S2259">
        <v>0</v>
      </c>
      <c r="T2259">
        <v>0</v>
      </c>
      <c r="U2259">
        <v>0</v>
      </c>
      <c r="W2259" t="s">
        <v>52</v>
      </c>
    </row>
    <row r="2260" spans="1:23" x14ac:dyDescent="0.35">
      <c r="A2260" t="s">
        <v>45</v>
      </c>
      <c r="B2260" t="s">
        <v>4609</v>
      </c>
      <c r="C2260" t="s">
        <v>60</v>
      </c>
      <c r="D2260" t="s">
        <v>64</v>
      </c>
      <c r="E2260" t="s">
        <v>64</v>
      </c>
      <c r="F2260" t="s">
        <v>49</v>
      </c>
      <c r="G2260" t="s">
        <v>4666</v>
      </c>
      <c r="H2260" t="s">
        <v>4667</v>
      </c>
      <c r="J2260" t="str">
        <f>HYPERLINK("https://www.facebook.com/634639855377280/posts/786109966896934?comment_id=1059517051968100&amp;reply_comment_id=7965843223432117","https://www.facebook.com/634639855377280/posts/786109966896934?comment_id=1059517051968100&amp;reply_comment_id=7965843223432117")</f>
        <v>https://www.facebook.com/634639855377280/posts/786109966896934?comment_id=1059517051968100&amp;reply_comment_id=7965843223432117</v>
      </c>
      <c r="K2260" t="s">
        <v>67</v>
      </c>
      <c r="O2260">
        <v>0</v>
      </c>
      <c r="P2260">
        <v>0</v>
      </c>
      <c r="Q2260">
        <v>0</v>
      </c>
      <c r="S2260">
        <v>0</v>
      </c>
      <c r="T2260">
        <v>0</v>
      </c>
      <c r="U2260">
        <v>0</v>
      </c>
      <c r="W2260" t="s">
        <v>52</v>
      </c>
    </row>
    <row r="2261" spans="1:23" x14ac:dyDescent="0.35">
      <c r="A2261" t="s">
        <v>45</v>
      </c>
      <c r="B2261" t="s">
        <v>4609</v>
      </c>
      <c r="C2261" t="s">
        <v>60</v>
      </c>
      <c r="D2261" t="s">
        <v>64</v>
      </c>
      <c r="E2261" t="s">
        <v>64</v>
      </c>
      <c r="F2261" t="s">
        <v>49</v>
      </c>
      <c r="G2261" t="s">
        <v>83</v>
      </c>
      <c r="H2261" t="s">
        <v>4668</v>
      </c>
      <c r="J2261" t="str">
        <f>HYPERLINK("https://www.facebook.com/634639855377280/posts/785526160288648?comment_id=410358014848814&amp;reply_comment_id=377719768214774","https://www.facebook.com/634639855377280/posts/785526160288648?comment_id=410358014848814&amp;reply_comment_id=377719768214774")</f>
        <v>https://www.facebook.com/634639855377280/posts/785526160288648?comment_id=410358014848814&amp;reply_comment_id=377719768214774</v>
      </c>
      <c r="K2261" t="s">
        <v>67</v>
      </c>
      <c r="O2261">
        <v>0</v>
      </c>
      <c r="P2261">
        <v>0</v>
      </c>
      <c r="Q2261">
        <v>0</v>
      </c>
      <c r="S2261">
        <v>0</v>
      </c>
      <c r="T2261">
        <v>0</v>
      </c>
      <c r="U2261">
        <v>0</v>
      </c>
      <c r="W2261" t="s">
        <v>52</v>
      </c>
    </row>
    <row r="2262" spans="1:23" x14ac:dyDescent="0.35">
      <c r="A2262" t="s">
        <v>45</v>
      </c>
      <c r="B2262" t="s">
        <v>4609</v>
      </c>
      <c r="C2262" t="s">
        <v>93</v>
      </c>
      <c r="D2262" t="s">
        <v>94</v>
      </c>
      <c r="E2262" t="s">
        <v>45</v>
      </c>
      <c r="F2262" t="s">
        <v>49</v>
      </c>
      <c r="G2262" t="s">
        <v>4669</v>
      </c>
      <c r="H2262" t="s">
        <v>4670</v>
      </c>
      <c r="J2262" t="str">
        <f>HYPERLINK("https://twitter.com/SpiceMoneyIndia/status/1755191659174769046","https://twitter.com/SpiceMoneyIndia/status/1755191659174769046")</f>
        <v>https://twitter.com/SpiceMoneyIndia/status/1755191659174769046</v>
      </c>
      <c r="K2262" t="s">
        <v>67</v>
      </c>
      <c r="O2262">
        <v>0</v>
      </c>
      <c r="P2262">
        <v>0</v>
      </c>
      <c r="Q2262">
        <v>6021</v>
      </c>
      <c r="R2262" t="s">
        <v>97</v>
      </c>
      <c r="S2262">
        <v>0</v>
      </c>
      <c r="T2262">
        <v>0</v>
      </c>
      <c r="U2262">
        <v>0</v>
      </c>
      <c r="V2262" t="s">
        <v>98</v>
      </c>
      <c r="W2262" t="s">
        <v>99</v>
      </c>
    </row>
    <row r="2263" spans="1:23" x14ac:dyDescent="0.35">
      <c r="A2263" t="s">
        <v>45</v>
      </c>
      <c r="B2263" t="s">
        <v>4609</v>
      </c>
      <c r="C2263" t="s">
        <v>60</v>
      </c>
      <c r="D2263" t="s">
        <v>64</v>
      </c>
      <c r="E2263" t="s">
        <v>64</v>
      </c>
      <c r="F2263" t="s">
        <v>49</v>
      </c>
      <c r="G2263" t="s">
        <v>164</v>
      </c>
      <c r="H2263" t="s">
        <v>4671</v>
      </c>
      <c r="J2263" t="str">
        <f>HYPERLINK("https://www.facebook.com/634639855377280/posts/784211473753450?comment_id=350368534481984&amp;reply_comment_id=320762950964737","https://www.facebook.com/634639855377280/posts/784211473753450?comment_id=350368534481984&amp;reply_comment_id=320762950964737")</f>
        <v>https://www.facebook.com/634639855377280/posts/784211473753450?comment_id=350368534481984&amp;reply_comment_id=320762950964737</v>
      </c>
      <c r="K2263" t="s">
        <v>67</v>
      </c>
      <c r="O2263">
        <v>0</v>
      </c>
      <c r="P2263">
        <v>0</v>
      </c>
      <c r="Q2263">
        <v>0</v>
      </c>
      <c r="S2263">
        <v>0</v>
      </c>
      <c r="T2263">
        <v>0</v>
      </c>
      <c r="U2263">
        <v>0</v>
      </c>
      <c r="W2263" t="s">
        <v>52</v>
      </c>
    </row>
    <row r="2264" spans="1:23" x14ac:dyDescent="0.35">
      <c r="A2264" t="s">
        <v>45</v>
      </c>
      <c r="B2264" t="s">
        <v>4609</v>
      </c>
      <c r="C2264" t="s">
        <v>60</v>
      </c>
      <c r="D2264" t="s">
        <v>64</v>
      </c>
      <c r="E2264" t="s">
        <v>64</v>
      </c>
      <c r="F2264" t="s">
        <v>49</v>
      </c>
      <c r="G2264" t="s">
        <v>162</v>
      </c>
      <c r="H2264" t="s">
        <v>4672</v>
      </c>
      <c r="J2264" t="str">
        <f>HYPERLINK("https://www.facebook.com/634639855377280/posts/785526160288648?comment_id=3683812568496882&amp;reply_comment_id=939471784234828","https://www.facebook.com/634639855377280/posts/785526160288648?comment_id=3683812568496882&amp;reply_comment_id=939471784234828")</f>
        <v>https://www.facebook.com/634639855377280/posts/785526160288648?comment_id=3683812568496882&amp;reply_comment_id=939471784234828</v>
      </c>
      <c r="K2264" t="s">
        <v>67</v>
      </c>
      <c r="O2264">
        <v>0</v>
      </c>
      <c r="P2264">
        <v>0</v>
      </c>
      <c r="Q2264">
        <v>0</v>
      </c>
      <c r="S2264">
        <v>0</v>
      </c>
      <c r="T2264">
        <v>0</v>
      </c>
      <c r="U2264">
        <v>0</v>
      </c>
      <c r="W2264" t="s">
        <v>52</v>
      </c>
    </row>
    <row r="2265" spans="1:23" x14ac:dyDescent="0.35">
      <c r="A2265" t="s">
        <v>45</v>
      </c>
      <c r="B2265" t="s">
        <v>4609</v>
      </c>
      <c r="C2265" t="s">
        <v>60</v>
      </c>
      <c r="D2265" t="s">
        <v>64</v>
      </c>
      <c r="E2265" t="s">
        <v>64</v>
      </c>
      <c r="F2265" t="s">
        <v>49</v>
      </c>
      <c r="G2265" t="s">
        <v>100</v>
      </c>
      <c r="H2265" t="s">
        <v>4673</v>
      </c>
      <c r="J2265" t="str">
        <f>HYPERLINK("https://www.facebook.com/634639855377280/posts/786109966896934?comment_id=1144328249892082&amp;reply_comment_id=2678358802337651","https://www.facebook.com/634639855377280/posts/786109966896934?comment_id=1144328249892082&amp;reply_comment_id=2678358802337651")</f>
        <v>https://www.facebook.com/634639855377280/posts/786109966896934?comment_id=1144328249892082&amp;reply_comment_id=2678358802337651</v>
      </c>
      <c r="K2265" t="s">
        <v>67</v>
      </c>
      <c r="O2265">
        <v>0</v>
      </c>
      <c r="P2265">
        <v>0</v>
      </c>
      <c r="Q2265">
        <v>0</v>
      </c>
      <c r="S2265">
        <v>0</v>
      </c>
      <c r="T2265">
        <v>0</v>
      </c>
      <c r="U2265">
        <v>0</v>
      </c>
      <c r="W2265" t="s">
        <v>52</v>
      </c>
    </row>
    <row r="2266" spans="1:23" x14ac:dyDescent="0.35">
      <c r="A2266" t="s">
        <v>45</v>
      </c>
      <c r="B2266" t="s">
        <v>4609</v>
      </c>
      <c r="C2266" t="s">
        <v>93</v>
      </c>
      <c r="D2266" t="s">
        <v>94</v>
      </c>
      <c r="E2266" t="s">
        <v>45</v>
      </c>
      <c r="F2266" t="s">
        <v>49</v>
      </c>
      <c r="G2266" t="s">
        <v>4674</v>
      </c>
      <c r="H2266" t="s">
        <v>4675</v>
      </c>
      <c r="J2266" t="str">
        <f>HYPERLINK("https://twitter.com/SpiceMoneyIndia/status/1755178557364416916","https://twitter.com/SpiceMoneyIndia/status/1755178557364416916")</f>
        <v>https://twitter.com/SpiceMoneyIndia/status/1755178557364416916</v>
      </c>
      <c r="K2266" t="s">
        <v>67</v>
      </c>
      <c r="O2266">
        <v>0</v>
      </c>
      <c r="P2266">
        <v>0</v>
      </c>
      <c r="Q2266">
        <v>6021</v>
      </c>
      <c r="R2266" t="s">
        <v>97</v>
      </c>
      <c r="S2266">
        <v>0</v>
      </c>
      <c r="T2266">
        <v>0</v>
      </c>
      <c r="U2266">
        <v>0</v>
      </c>
      <c r="V2266" t="s">
        <v>98</v>
      </c>
      <c r="W2266" t="s">
        <v>99</v>
      </c>
    </row>
    <row r="2267" spans="1:23" x14ac:dyDescent="0.35">
      <c r="A2267" t="s">
        <v>45</v>
      </c>
      <c r="B2267" t="s">
        <v>4609</v>
      </c>
      <c r="C2267" t="s">
        <v>93</v>
      </c>
      <c r="D2267" t="s">
        <v>94</v>
      </c>
      <c r="E2267" t="s">
        <v>45</v>
      </c>
      <c r="F2267" t="s">
        <v>49</v>
      </c>
      <c r="G2267" t="s">
        <v>4676</v>
      </c>
      <c r="H2267" t="s">
        <v>4675</v>
      </c>
      <c r="J2267" t="str">
        <f>HYPERLINK("https://twitter.com/SpiceMoneyIndia/status/1755178557905469853","https://twitter.com/SpiceMoneyIndia/status/1755178557905469853")</f>
        <v>https://twitter.com/SpiceMoneyIndia/status/1755178557905469853</v>
      </c>
      <c r="K2267" t="s">
        <v>67</v>
      </c>
      <c r="O2267">
        <v>0</v>
      </c>
      <c r="P2267">
        <v>0</v>
      </c>
      <c r="Q2267">
        <v>6021</v>
      </c>
      <c r="R2267" t="s">
        <v>97</v>
      </c>
      <c r="S2267">
        <v>0</v>
      </c>
      <c r="T2267">
        <v>0</v>
      </c>
      <c r="U2267">
        <v>0</v>
      </c>
      <c r="V2267" t="s">
        <v>98</v>
      </c>
      <c r="W2267" t="s">
        <v>99</v>
      </c>
    </row>
    <row r="2268" spans="1:23" x14ac:dyDescent="0.35">
      <c r="A2268" t="s">
        <v>45</v>
      </c>
      <c r="B2268" t="s">
        <v>4609</v>
      </c>
      <c r="C2268" t="s">
        <v>93</v>
      </c>
      <c r="D2268" t="s">
        <v>94</v>
      </c>
      <c r="E2268" t="s">
        <v>45</v>
      </c>
      <c r="F2268" t="s">
        <v>49</v>
      </c>
      <c r="G2268" t="s">
        <v>3224</v>
      </c>
      <c r="H2268" t="s">
        <v>4677</v>
      </c>
      <c r="J2268" t="str">
        <f>HYPERLINK("https://twitter.com/SpiceMoneyIndia/status/1755176171434647932","https://twitter.com/SpiceMoneyIndia/status/1755176171434647932")</f>
        <v>https://twitter.com/SpiceMoneyIndia/status/1755176171434647932</v>
      </c>
      <c r="K2268" t="s">
        <v>67</v>
      </c>
      <c r="O2268">
        <v>0</v>
      </c>
      <c r="P2268">
        <v>0</v>
      </c>
      <c r="Q2268">
        <v>6020</v>
      </c>
      <c r="R2268" t="s">
        <v>97</v>
      </c>
      <c r="S2268">
        <v>0</v>
      </c>
      <c r="T2268">
        <v>0</v>
      </c>
      <c r="U2268">
        <v>0</v>
      </c>
      <c r="V2268" t="s">
        <v>98</v>
      </c>
      <c r="W2268" t="s">
        <v>99</v>
      </c>
    </row>
    <row r="2269" spans="1:23" x14ac:dyDescent="0.35">
      <c r="A2269" t="s">
        <v>45</v>
      </c>
      <c r="B2269" t="s">
        <v>4609</v>
      </c>
      <c r="C2269" t="s">
        <v>93</v>
      </c>
      <c r="D2269" t="s">
        <v>94</v>
      </c>
      <c r="E2269" t="s">
        <v>45</v>
      </c>
      <c r="F2269" t="s">
        <v>49</v>
      </c>
      <c r="G2269" t="s">
        <v>4678</v>
      </c>
      <c r="H2269" t="s">
        <v>4679</v>
      </c>
      <c r="J2269" t="str">
        <f>HYPERLINK("https://twitter.com/SpiceMoneyIndia/status/1755174951374492108","https://twitter.com/SpiceMoneyIndia/status/1755174951374492108")</f>
        <v>https://twitter.com/SpiceMoneyIndia/status/1755174951374492108</v>
      </c>
      <c r="K2269" t="s">
        <v>67</v>
      </c>
      <c r="O2269">
        <v>0</v>
      </c>
      <c r="P2269">
        <v>0</v>
      </c>
      <c r="Q2269">
        <v>6020</v>
      </c>
      <c r="R2269" t="s">
        <v>97</v>
      </c>
      <c r="S2269">
        <v>0</v>
      </c>
      <c r="T2269">
        <v>0</v>
      </c>
      <c r="U2269">
        <v>0</v>
      </c>
      <c r="V2269" t="s">
        <v>98</v>
      </c>
      <c r="W2269" t="s">
        <v>99</v>
      </c>
    </row>
    <row r="2270" spans="1:23" x14ac:dyDescent="0.35">
      <c r="A2270" t="s">
        <v>45</v>
      </c>
      <c r="B2270" t="s">
        <v>4609</v>
      </c>
      <c r="C2270" t="s">
        <v>93</v>
      </c>
      <c r="D2270" t="s">
        <v>94</v>
      </c>
      <c r="E2270" t="s">
        <v>45</v>
      </c>
      <c r="F2270" t="s">
        <v>49</v>
      </c>
      <c r="G2270" t="s">
        <v>4680</v>
      </c>
      <c r="H2270" t="s">
        <v>4681</v>
      </c>
      <c r="J2270" t="str">
        <f>HYPERLINK("https://twitter.com/SpiceMoneyIndia/status/1755170261949628875","https://twitter.com/SpiceMoneyIndia/status/1755170261949628875")</f>
        <v>https://twitter.com/SpiceMoneyIndia/status/1755170261949628875</v>
      </c>
      <c r="K2270" t="s">
        <v>67</v>
      </c>
      <c r="O2270">
        <v>0</v>
      </c>
      <c r="P2270">
        <v>0</v>
      </c>
      <c r="Q2270">
        <v>6020</v>
      </c>
      <c r="R2270" t="s">
        <v>97</v>
      </c>
      <c r="S2270">
        <v>0</v>
      </c>
      <c r="T2270">
        <v>0</v>
      </c>
      <c r="U2270">
        <v>0</v>
      </c>
      <c r="V2270" t="s">
        <v>98</v>
      </c>
      <c r="W2270" t="s">
        <v>99</v>
      </c>
    </row>
    <row r="2271" spans="1:23" x14ac:dyDescent="0.35">
      <c r="A2271" t="s">
        <v>45</v>
      </c>
      <c r="B2271" t="s">
        <v>4609</v>
      </c>
      <c r="C2271" t="s">
        <v>47</v>
      </c>
      <c r="D2271" t="s">
        <v>68</v>
      </c>
      <c r="E2271" t="s">
        <v>68</v>
      </c>
      <c r="F2271" t="s">
        <v>49</v>
      </c>
      <c r="G2271" t="s">
        <v>102</v>
      </c>
      <c r="H2271" t="s">
        <v>4682</v>
      </c>
      <c r="J2271" t="str">
        <f>HYPERLINK("https://www.youtube.com/watch?v=--SsTSqIa-4&amp;lc=UgyPsmrV2pve1j4Cuwh4AaABAg.A-W-yHnDLkSA-WBApG4WLK","https://www.youtube.com/watch?v=--SsTSqIa-4&amp;lc=UgyPsmrV2pve1j4Cuwh4AaABAg.A-W-yHnDLkSA-WBApG4WLK")</f>
        <v>https://www.youtube.com/watch?v=--SsTSqIa-4&amp;lc=UgyPsmrV2pve1j4Cuwh4AaABAg.A-W-yHnDLkSA-WBApG4WLK</v>
      </c>
      <c r="O2271">
        <v>0</v>
      </c>
      <c r="P2271">
        <v>0</v>
      </c>
      <c r="Q2271">
        <v>0</v>
      </c>
      <c r="S2271">
        <v>0</v>
      </c>
      <c r="T2271">
        <v>0</v>
      </c>
      <c r="U2271">
        <v>0</v>
      </c>
      <c r="W2271" t="s">
        <v>52</v>
      </c>
    </row>
    <row r="2272" spans="1:23" x14ac:dyDescent="0.35">
      <c r="A2272" t="s">
        <v>45</v>
      </c>
      <c r="B2272" t="s">
        <v>4609</v>
      </c>
      <c r="C2272" t="s">
        <v>93</v>
      </c>
      <c r="D2272" t="s">
        <v>4683</v>
      </c>
      <c r="E2272" t="s">
        <v>4684</v>
      </c>
      <c r="F2272" t="s">
        <v>49</v>
      </c>
      <c r="G2272" t="s">
        <v>4685</v>
      </c>
      <c r="H2272" t="s">
        <v>4686</v>
      </c>
      <c r="J2272" t="str">
        <f>HYPERLINK("https://twitter.com/deepakhulde/status/1755154199342637131","https://twitter.com/deepakhulde/status/1755154199342637131")</f>
        <v>https://twitter.com/deepakhulde/status/1755154199342637131</v>
      </c>
      <c r="K2272" t="s">
        <v>67</v>
      </c>
      <c r="O2272">
        <v>0</v>
      </c>
      <c r="P2272">
        <v>0</v>
      </c>
      <c r="Q2272">
        <v>1</v>
      </c>
      <c r="R2272" t="s">
        <v>4687</v>
      </c>
      <c r="S2272">
        <v>0</v>
      </c>
      <c r="T2272">
        <v>0</v>
      </c>
      <c r="U2272">
        <v>0</v>
      </c>
      <c r="W2272" t="s">
        <v>99</v>
      </c>
    </row>
    <row r="2273" spans="1:23" x14ac:dyDescent="0.35">
      <c r="A2273" t="s">
        <v>45</v>
      </c>
      <c r="B2273" t="s">
        <v>4609</v>
      </c>
      <c r="C2273" t="s">
        <v>47</v>
      </c>
      <c r="D2273" t="s">
        <v>4688</v>
      </c>
      <c r="E2273" t="s">
        <v>4688</v>
      </c>
      <c r="F2273" t="s">
        <v>49</v>
      </c>
      <c r="G2273" t="s">
        <v>4689</v>
      </c>
      <c r="H2273" t="s">
        <v>4690</v>
      </c>
      <c r="J2273" t="str">
        <f>HYPERLINK("https://www.youtube.com/watch?v=k4Jk2Nl60tE&amp;lc=UgzNi30JGAlMHUukwHp4AaABAg","https://www.youtube.com/watch?v=k4Jk2Nl60tE&amp;lc=UgzNi30JGAlMHUukwHp4AaABAg")</f>
        <v>https://www.youtube.com/watch?v=k4Jk2Nl60tE&amp;lc=UgzNi30JGAlMHUukwHp4AaABAg</v>
      </c>
      <c r="O2273">
        <v>0</v>
      </c>
      <c r="P2273">
        <v>0</v>
      </c>
      <c r="Q2273">
        <v>0</v>
      </c>
      <c r="S2273">
        <v>0</v>
      </c>
      <c r="T2273">
        <v>0</v>
      </c>
      <c r="U2273">
        <v>0</v>
      </c>
      <c r="W2273" t="s">
        <v>52</v>
      </c>
    </row>
    <row r="2274" spans="1:23" x14ac:dyDescent="0.35">
      <c r="A2274" t="s">
        <v>45</v>
      </c>
      <c r="B2274" t="s">
        <v>4609</v>
      </c>
      <c r="C2274" t="s">
        <v>47</v>
      </c>
      <c r="D2274" t="s">
        <v>4688</v>
      </c>
      <c r="E2274" t="s">
        <v>4688</v>
      </c>
      <c r="F2274" t="s">
        <v>49</v>
      </c>
      <c r="G2274" t="s">
        <v>4691</v>
      </c>
      <c r="H2274" t="s">
        <v>4692</v>
      </c>
      <c r="J2274" t="str">
        <f>HYPERLINK("https://www.youtube.com/watch?v=k4Jk2Nl60tE&amp;lc=Ugzew4jlcfQ9biLsUSB4AaABAg","https://www.youtube.com/watch?v=k4Jk2Nl60tE&amp;lc=Ugzew4jlcfQ9biLsUSB4AaABAg")</f>
        <v>https://www.youtube.com/watch?v=k4Jk2Nl60tE&amp;lc=Ugzew4jlcfQ9biLsUSB4AaABAg</v>
      </c>
      <c r="O2274">
        <v>0</v>
      </c>
      <c r="P2274">
        <v>0</v>
      </c>
      <c r="Q2274">
        <v>0</v>
      </c>
      <c r="S2274">
        <v>0</v>
      </c>
      <c r="T2274">
        <v>0</v>
      </c>
      <c r="U2274">
        <v>0</v>
      </c>
      <c r="W2274" t="s">
        <v>52</v>
      </c>
    </row>
    <row r="2275" spans="1:23" x14ac:dyDescent="0.35">
      <c r="A2275" t="s">
        <v>45</v>
      </c>
      <c r="B2275" t="s">
        <v>4609</v>
      </c>
      <c r="C2275" t="s">
        <v>47</v>
      </c>
      <c r="D2275" t="s">
        <v>4688</v>
      </c>
      <c r="E2275" t="s">
        <v>4688</v>
      </c>
      <c r="F2275" t="s">
        <v>193</v>
      </c>
      <c r="G2275" t="s">
        <v>4693</v>
      </c>
      <c r="H2275" t="s">
        <v>4694</v>
      </c>
      <c r="J2275" t="str">
        <f>HYPERLINK("https://www.youtube.com/watch?v=--SsTSqIa-4&amp;lc=UgyPsmrV2pve1j4Cuwh4AaABAg","https://www.youtube.com/watch?v=--SsTSqIa-4&amp;lc=UgyPsmrV2pve1j4Cuwh4AaABAg")</f>
        <v>https://www.youtube.com/watch?v=--SsTSqIa-4&amp;lc=UgyPsmrV2pve1j4Cuwh4AaABAg</v>
      </c>
      <c r="O2275">
        <v>0</v>
      </c>
      <c r="P2275">
        <v>0</v>
      </c>
      <c r="Q2275">
        <v>0</v>
      </c>
      <c r="S2275">
        <v>0</v>
      </c>
      <c r="T2275">
        <v>0</v>
      </c>
      <c r="U2275">
        <v>0</v>
      </c>
      <c r="W2275" t="s">
        <v>52</v>
      </c>
    </row>
    <row r="2276" spans="1:23" x14ac:dyDescent="0.35">
      <c r="A2276" t="s">
        <v>45</v>
      </c>
      <c r="B2276" t="s">
        <v>4609</v>
      </c>
      <c r="C2276" t="s">
        <v>93</v>
      </c>
      <c r="D2276" t="s">
        <v>2611</v>
      </c>
      <c r="E2276" t="s">
        <v>2612</v>
      </c>
      <c r="F2276" t="s">
        <v>49</v>
      </c>
      <c r="G2276" t="s">
        <v>4695</v>
      </c>
      <c r="H2276" t="s">
        <v>4696</v>
      </c>
      <c r="J2276" t="str">
        <f>HYPERLINK("https://twitter.com/kumar_ashi86730/status/1755139460520681706","https://twitter.com/kumar_ashi86730/status/1755139460520681706")</f>
        <v>https://twitter.com/kumar_ashi86730/status/1755139460520681706</v>
      </c>
      <c r="K2276" t="s">
        <v>67</v>
      </c>
      <c r="O2276">
        <v>0</v>
      </c>
      <c r="P2276">
        <v>0</v>
      </c>
      <c r="Q2276">
        <v>0</v>
      </c>
      <c r="S2276">
        <v>0</v>
      </c>
      <c r="T2276">
        <v>0</v>
      </c>
      <c r="U2276">
        <v>0</v>
      </c>
      <c r="W2276" t="s">
        <v>99</v>
      </c>
    </row>
    <row r="2277" spans="1:23" x14ac:dyDescent="0.35">
      <c r="A2277" t="s">
        <v>45</v>
      </c>
      <c r="B2277" t="s">
        <v>4609</v>
      </c>
      <c r="C2277" t="s">
        <v>93</v>
      </c>
      <c r="D2277" t="s">
        <v>4539</v>
      </c>
      <c r="E2277" t="s">
        <v>4540</v>
      </c>
      <c r="F2277" t="s">
        <v>49</v>
      </c>
      <c r="G2277" t="s">
        <v>4697</v>
      </c>
      <c r="H2277" t="s">
        <v>4698</v>
      </c>
      <c r="J2277" t="str">
        <f>HYPERLINK("https://twitter.com/fidolkastro/status/1755098186300133666","https://twitter.com/fidolkastro/status/1755098186300133666")</f>
        <v>https://twitter.com/fidolkastro/status/1755098186300133666</v>
      </c>
      <c r="K2277" t="s">
        <v>67</v>
      </c>
      <c r="O2277">
        <v>0</v>
      </c>
      <c r="P2277">
        <v>0</v>
      </c>
      <c r="Q2277">
        <v>6</v>
      </c>
      <c r="R2277" t="s">
        <v>4543</v>
      </c>
      <c r="S2277">
        <v>0</v>
      </c>
      <c r="T2277">
        <v>0</v>
      </c>
      <c r="U2277">
        <v>0</v>
      </c>
      <c r="W2277" t="s">
        <v>433</v>
      </c>
    </row>
    <row r="2278" spans="1:23" x14ac:dyDescent="0.35">
      <c r="A2278" t="s">
        <v>45</v>
      </c>
      <c r="B2278" t="s">
        <v>4609</v>
      </c>
      <c r="C2278" t="s">
        <v>93</v>
      </c>
      <c r="D2278" t="s">
        <v>94</v>
      </c>
      <c r="E2278" t="s">
        <v>45</v>
      </c>
      <c r="F2278" t="s">
        <v>49</v>
      </c>
      <c r="G2278" t="s">
        <v>4699</v>
      </c>
      <c r="H2278" t="s">
        <v>4700</v>
      </c>
      <c r="J2278" t="str">
        <f>HYPERLINK("https://twitter.com/SpiceMoneyIndia/status/1755079972132102217","https://twitter.com/SpiceMoneyIndia/status/1755079972132102217")</f>
        <v>https://twitter.com/SpiceMoneyIndia/status/1755079972132102217</v>
      </c>
      <c r="K2278" t="s">
        <v>67</v>
      </c>
      <c r="O2278">
        <v>0</v>
      </c>
      <c r="P2278">
        <v>0</v>
      </c>
      <c r="Q2278">
        <v>6019</v>
      </c>
      <c r="R2278" t="s">
        <v>97</v>
      </c>
      <c r="S2278">
        <v>0</v>
      </c>
      <c r="T2278">
        <v>0</v>
      </c>
      <c r="U2278">
        <v>0</v>
      </c>
      <c r="V2278" t="s">
        <v>98</v>
      </c>
      <c r="W2278" t="s">
        <v>99</v>
      </c>
    </row>
    <row r="2279" spans="1:23" x14ac:dyDescent="0.35">
      <c r="A2279" t="s">
        <v>45</v>
      </c>
      <c r="B2279" t="s">
        <v>4609</v>
      </c>
      <c r="C2279" t="s">
        <v>60</v>
      </c>
      <c r="D2279" t="s">
        <v>61</v>
      </c>
      <c r="E2279" t="s">
        <v>61</v>
      </c>
      <c r="F2279" t="s">
        <v>49</v>
      </c>
      <c r="G2279" t="s">
        <v>4701</v>
      </c>
      <c r="H2279" t="s">
        <v>4702</v>
      </c>
      <c r="J2279" t="str">
        <f>HYPERLINK("https://www.facebook.com/634639855377280/posts/786109966896934?comment_id=1144328249892082","https://www.facebook.com/634639855377280/posts/786109966896934?comment_id=1144328249892082")</f>
        <v>https://www.facebook.com/634639855377280/posts/786109966896934?comment_id=1144328249892082</v>
      </c>
      <c r="O2279">
        <v>0</v>
      </c>
      <c r="P2279">
        <v>0</v>
      </c>
      <c r="Q2279">
        <v>0</v>
      </c>
      <c r="S2279">
        <v>0</v>
      </c>
      <c r="T2279">
        <v>0</v>
      </c>
      <c r="U2279">
        <v>0</v>
      </c>
      <c r="W2279" t="s">
        <v>52</v>
      </c>
    </row>
    <row r="2280" spans="1:23" x14ac:dyDescent="0.35">
      <c r="A2280" t="s">
        <v>45</v>
      </c>
      <c r="B2280" t="s">
        <v>4609</v>
      </c>
      <c r="C2280" t="s">
        <v>47</v>
      </c>
      <c r="D2280" t="s">
        <v>68</v>
      </c>
      <c r="E2280" t="s">
        <v>68</v>
      </c>
      <c r="F2280" t="s">
        <v>49</v>
      </c>
      <c r="G2280" t="s">
        <v>4703</v>
      </c>
      <c r="H2280" t="s">
        <v>4704</v>
      </c>
      <c r="J2280" t="str">
        <f>HYPERLINK("https://www.youtube.com/watch?v=DMlpygM0MQM&amp;lc=UgzWYMvDVbM_ln3UmD54AaABAg.A-TASm9mIz6A-VTZ29RWOI","https://www.youtube.com/watch?v=DMlpygM0MQM&amp;lc=UgzWYMvDVbM_ln3UmD54AaABAg.A-TASm9mIz6A-VTZ29RWOI")</f>
        <v>https://www.youtube.com/watch?v=DMlpygM0MQM&amp;lc=UgzWYMvDVbM_ln3UmD54AaABAg.A-TASm9mIz6A-VTZ29RWOI</v>
      </c>
      <c r="O2280">
        <v>0</v>
      </c>
      <c r="P2280">
        <v>0</v>
      </c>
      <c r="Q2280">
        <v>0</v>
      </c>
      <c r="S2280">
        <v>0</v>
      </c>
      <c r="T2280">
        <v>0</v>
      </c>
      <c r="U2280">
        <v>0</v>
      </c>
      <c r="W2280" t="s">
        <v>52</v>
      </c>
    </row>
    <row r="2281" spans="1:23" x14ac:dyDescent="0.35">
      <c r="A2281" t="s">
        <v>45</v>
      </c>
      <c r="B2281" t="s">
        <v>4609</v>
      </c>
      <c r="C2281" t="s">
        <v>47</v>
      </c>
      <c r="D2281" t="s">
        <v>68</v>
      </c>
      <c r="E2281" t="s">
        <v>68</v>
      </c>
      <c r="F2281" t="s">
        <v>49</v>
      </c>
      <c r="G2281" t="s">
        <v>162</v>
      </c>
      <c r="H2281" t="s">
        <v>4705</v>
      </c>
      <c r="J2281" t="str">
        <f>HYPERLINK("https://www.youtube.com/watch?v=7CmE06V5n_4&amp;lc=UgxK5OJ5QWPuGCfaONt4AaABAg.A-TNigb-6wxA-VTCfX0ghI","https://www.youtube.com/watch?v=7CmE06V5n_4&amp;lc=UgxK5OJ5QWPuGCfaONt4AaABAg.A-TNigb-6wxA-VTCfX0ghI")</f>
        <v>https://www.youtube.com/watch?v=7CmE06V5n_4&amp;lc=UgxK5OJ5QWPuGCfaONt4AaABAg.A-TNigb-6wxA-VTCfX0ghI</v>
      </c>
      <c r="O2281">
        <v>0</v>
      </c>
      <c r="P2281">
        <v>0</v>
      </c>
      <c r="Q2281">
        <v>0</v>
      </c>
      <c r="S2281">
        <v>0</v>
      </c>
      <c r="T2281">
        <v>0</v>
      </c>
      <c r="U2281">
        <v>0</v>
      </c>
      <c r="W2281" t="s">
        <v>52</v>
      </c>
    </row>
    <row r="2282" spans="1:23" x14ac:dyDescent="0.35">
      <c r="A2282" t="s">
        <v>45</v>
      </c>
      <c r="B2282" t="s">
        <v>4609</v>
      </c>
      <c r="C2282" t="s">
        <v>47</v>
      </c>
      <c r="D2282" t="s">
        <v>68</v>
      </c>
      <c r="E2282" t="s">
        <v>68</v>
      </c>
      <c r="F2282" t="s">
        <v>49</v>
      </c>
      <c r="G2282" t="s">
        <v>492</v>
      </c>
      <c r="H2282" t="s">
        <v>4706</v>
      </c>
      <c r="J2282" t="str">
        <f>HYPERLINK("https://www.youtube.com/watch?v=DMlpygM0MQM&amp;lc=Ugzz0E05ih7ZbKCDL5Z4AaABAg.A-TqUL30R9JA-VT-bDv4AK","https://www.youtube.com/watch?v=DMlpygM0MQM&amp;lc=Ugzz0E05ih7ZbKCDL5Z4AaABAg.A-TqUL30R9JA-VT-bDv4AK")</f>
        <v>https://www.youtube.com/watch?v=DMlpygM0MQM&amp;lc=Ugzz0E05ih7ZbKCDL5Z4AaABAg.A-TqUL30R9JA-VT-bDv4AK</v>
      </c>
      <c r="O2282">
        <v>0</v>
      </c>
      <c r="P2282">
        <v>0</v>
      </c>
      <c r="Q2282">
        <v>0</v>
      </c>
      <c r="S2282">
        <v>0</v>
      </c>
      <c r="T2282">
        <v>0</v>
      </c>
      <c r="U2282">
        <v>0</v>
      </c>
      <c r="W2282" t="s">
        <v>52</v>
      </c>
    </row>
    <row r="2283" spans="1:23" x14ac:dyDescent="0.35">
      <c r="A2283" t="s">
        <v>45</v>
      </c>
      <c r="B2283" t="s">
        <v>4609</v>
      </c>
      <c r="C2283" t="s">
        <v>60</v>
      </c>
      <c r="D2283" t="s">
        <v>61</v>
      </c>
      <c r="E2283" t="s">
        <v>61</v>
      </c>
      <c r="F2283" t="s">
        <v>49</v>
      </c>
      <c r="G2283" t="s">
        <v>4707</v>
      </c>
      <c r="H2283" t="s">
        <v>4708</v>
      </c>
      <c r="J2283" t="str">
        <f>HYPERLINK("https://www.facebook.com/634639855377280/posts/784211473753450?comment_id=724473466453655","https://www.facebook.com/634639855377280/posts/784211473753450?comment_id=724473466453655")</f>
        <v>https://www.facebook.com/634639855377280/posts/784211473753450?comment_id=724473466453655</v>
      </c>
      <c r="O2283">
        <v>0</v>
      </c>
      <c r="P2283">
        <v>0</v>
      </c>
      <c r="Q2283">
        <v>0</v>
      </c>
      <c r="S2283">
        <v>0</v>
      </c>
      <c r="T2283">
        <v>0</v>
      </c>
      <c r="U2283">
        <v>0</v>
      </c>
      <c r="W2283" t="s">
        <v>52</v>
      </c>
    </row>
    <row r="2284" spans="1:23" x14ac:dyDescent="0.35">
      <c r="A2284" t="s">
        <v>45</v>
      </c>
      <c r="B2284" t="s">
        <v>4709</v>
      </c>
      <c r="C2284" t="s">
        <v>60</v>
      </c>
      <c r="D2284" t="s">
        <v>61</v>
      </c>
      <c r="E2284" t="s">
        <v>61</v>
      </c>
      <c r="F2284" t="s">
        <v>54</v>
      </c>
      <c r="G2284" t="s">
        <v>4710</v>
      </c>
      <c r="H2284" t="s">
        <v>4711</v>
      </c>
      <c r="J2284" t="str">
        <f>HYPERLINK("https://www.facebook.com/634639855377280/posts/786109966896934?comment_id=380556534607149","https://www.facebook.com/634639855377280/posts/786109966896934?comment_id=380556534607149")</f>
        <v>https://www.facebook.com/634639855377280/posts/786109966896934?comment_id=380556534607149</v>
      </c>
      <c r="O2284">
        <v>0</v>
      </c>
      <c r="P2284">
        <v>0</v>
      </c>
      <c r="Q2284">
        <v>0</v>
      </c>
      <c r="S2284">
        <v>0</v>
      </c>
      <c r="T2284">
        <v>0</v>
      </c>
      <c r="U2284">
        <v>0</v>
      </c>
      <c r="W2284" t="s">
        <v>52</v>
      </c>
    </row>
    <row r="2285" spans="1:23" x14ac:dyDescent="0.35">
      <c r="A2285" t="s">
        <v>45</v>
      </c>
      <c r="B2285" t="s">
        <v>4709</v>
      </c>
      <c r="C2285" t="s">
        <v>93</v>
      </c>
      <c r="D2285" t="s">
        <v>3788</v>
      </c>
      <c r="E2285" t="s">
        <v>3789</v>
      </c>
      <c r="F2285" t="s">
        <v>193</v>
      </c>
      <c r="G2285" t="s">
        <v>4712</v>
      </c>
      <c r="H2285" t="s">
        <v>4713</v>
      </c>
      <c r="J2285" t="str">
        <f>HYPERLINK("https://twitter.com/BadlapurGst/status/1754887777538228270","https://twitter.com/BadlapurGst/status/1754887777538228270")</f>
        <v>https://twitter.com/BadlapurGst/status/1754887777538228270</v>
      </c>
      <c r="K2285" t="s">
        <v>67</v>
      </c>
      <c r="O2285">
        <v>0</v>
      </c>
      <c r="P2285">
        <v>0</v>
      </c>
      <c r="Q2285">
        <v>5</v>
      </c>
      <c r="S2285">
        <v>0</v>
      </c>
      <c r="T2285">
        <v>0</v>
      </c>
      <c r="U2285">
        <v>0</v>
      </c>
      <c r="W2285" t="s">
        <v>99</v>
      </c>
    </row>
    <row r="2286" spans="1:23" x14ac:dyDescent="0.35">
      <c r="A2286" t="s">
        <v>45</v>
      </c>
      <c r="B2286" t="s">
        <v>4709</v>
      </c>
      <c r="C2286" t="s">
        <v>93</v>
      </c>
      <c r="D2286" t="s">
        <v>4616</v>
      </c>
      <c r="E2286" t="s">
        <v>4617</v>
      </c>
      <c r="F2286" t="s">
        <v>49</v>
      </c>
      <c r="G2286" t="s">
        <v>4714</v>
      </c>
      <c r="H2286" t="s">
        <v>4715</v>
      </c>
      <c r="J2286" t="str">
        <f>HYPERLINK("https://twitter.com/ArvindK94137404/status/1754883805444239547","https://twitter.com/ArvindK94137404/status/1754883805444239547")</f>
        <v>https://twitter.com/ArvindK94137404/status/1754883805444239547</v>
      </c>
      <c r="K2286" t="s">
        <v>67</v>
      </c>
      <c r="O2286">
        <v>0</v>
      </c>
      <c r="P2286">
        <v>0</v>
      </c>
      <c r="Q2286">
        <v>1</v>
      </c>
      <c r="R2286" t="s">
        <v>871</v>
      </c>
      <c r="S2286">
        <v>0</v>
      </c>
      <c r="T2286">
        <v>0</v>
      </c>
      <c r="U2286">
        <v>0</v>
      </c>
      <c r="W2286" t="s">
        <v>99</v>
      </c>
    </row>
    <row r="2287" spans="1:23" x14ac:dyDescent="0.35">
      <c r="A2287" t="s">
        <v>45</v>
      </c>
      <c r="B2287" t="s">
        <v>4709</v>
      </c>
      <c r="C2287" t="s">
        <v>47</v>
      </c>
      <c r="D2287" t="s">
        <v>4716</v>
      </c>
      <c r="E2287" t="s">
        <v>4716</v>
      </c>
      <c r="F2287" t="s">
        <v>49</v>
      </c>
      <c r="G2287" t="s">
        <v>4717</v>
      </c>
      <c r="H2287" t="s">
        <v>4718</v>
      </c>
      <c r="J2287" t="str">
        <f>HYPERLINK("https://www.youtube.com/watch?v=DMlpygM0MQM&amp;lc=Ugzz0E05ih7ZbKCDL5Z4AaABAg","https://www.youtube.com/watch?v=DMlpygM0MQM&amp;lc=Ugzz0E05ih7ZbKCDL5Z4AaABAg")</f>
        <v>https://www.youtube.com/watch?v=DMlpygM0MQM&amp;lc=Ugzz0E05ih7ZbKCDL5Z4AaABAg</v>
      </c>
      <c r="O2287">
        <v>0</v>
      </c>
      <c r="P2287">
        <v>0</v>
      </c>
      <c r="Q2287">
        <v>0</v>
      </c>
      <c r="S2287">
        <v>0</v>
      </c>
      <c r="T2287">
        <v>0</v>
      </c>
      <c r="U2287">
        <v>0</v>
      </c>
      <c r="W2287" t="s">
        <v>52</v>
      </c>
    </row>
    <row r="2288" spans="1:23" x14ac:dyDescent="0.35">
      <c r="A2288" t="s">
        <v>45</v>
      </c>
      <c r="B2288" t="s">
        <v>4709</v>
      </c>
      <c r="C2288" t="s">
        <v>60</v>
      </c>
      <c r="D2288" t="s">
        <v>61</v>
      </c>
      <c r="E2288" t="s">
        <v>61</v>
      </c>
      <c r="F2288" t="s">
        <v>49</v>
      </c>
      <c r="G2288" t="s">
        <v>4719</v>
      </c>
      <c r="H2288" t="s">
        <v>4720</v>
      </c>
      <c r="J2288" t="str">
        <f>HYPERLINK("https://www.facebook.com/634639855377280/posts/786109966896934?comment_id=1059517051968100","https://www.facebook.com/634639855377280/posts/786109966896934?comment_id=1059517051968100")</f>
        <v>https://www.facebook.com/634639855377280/posts/786109966896934?comment_id=1059517051968100</v>
      </c>
      <c r="O2288">
        <v>0</v>
      </c>
      <c r="P2288">
        <v>0</v>
      </c>
      <c r="Q2288">
        <v>0</v>
      </c>
      <c r="S2288">
        <v>0</v>
      </c>
      <c r="T2288">
        <v>0</v>
      </c>
      <c r="U2288">
        <v>0</v>
      </c>
      <c r="W2288" t="s">
        <v>52</v>
      </c>
    </row>
    <row r="2289" spans="1:23" x14ac:dyDescent="0.35">
      <c r="A2289" t="s">
        <v>45</v>
      </c>
      <c r="B2289" t="s">
        <v>4709</v>
      </c>
      <c r="C2289" t="s">
        <v>93</v>
      </c>
      <c r="D2289" t="s">
        <v>94</v>
      </c>
      <c r="E2289" t="s">
        <v>45</v>
      </c>
      <c r="F2289" t="s">
        <v>49</v>
      </c>
      <c r="G2289" t="s">
        <v>4697</v>
      </c>
      <c r="H2289" t="s">
        <v>4721</v>
      </c>
      <c r="J2289" t="str">
        <f>HYPERLINK("https://twitter.com/SpiceMoneyIndia/status/1754790753555959962","https://twitter.com/SpiceMoneyIndia/status/1754790753555959962")</f>
        <v>https://twitter.com/SpiceMoneyIndia/status/1754790753555959962</v>
      </c>
      <c r="K2289" t="s">
        <v>67</v>
      </c>
      <c r="O2289">
        <v>0</v>
      </c>
      <c r="P2289">
        <v>0</v>
      </c>
      <c r="Q2289">
        <v>6019</v>
      </c>
      <c r="R2289" t="s">
        <v>97</v>
      </c>
      <c r="S2289">
        <v>0</v>
      </c>
      <c r="T2289">
        <v>0</v>
      </c>
      <c r="U2289">
        <v>0</v>
      </c>
      <c r="V2289" t="s">
        <v>98</v>
      </c>
      <c r="W2289" t="s">
        <v>99</v>
      </c>
    </row>
    <row r="2290" spans="1:23" x14ac:dyDescent="0.35">
      <c r="A2290" t="s">
        <v>45</v>
      </c>
      <c r="B2290" t="s">
        <v>4709</v>
      </c>
      <c r="C2290" t="s">
        <v>60</v>
      </c>
      <c r="D2290" t="s">
        <v>64</v>
      </c>
      <c r="E2290" t="s">
        <v>64</v>
      </c>
      <c r="F2290" t="s">
        <v>49</v>
      </c>
      <c r="G2290" t="s">
        <v>4722</v>
      </c>
      <c r="H2290" t="s">
        <v>4723</v>
      </c>
      <c r="J2290" t="str">
        <f>HYPERLINK("https://www.facebook.com/634639855377280/posts/786109966896934","https://www.facebook.com/634639855377280/posts/786109966896934")</f>
        <v>https://www.facebook.com/634639855377280/posts/786109966896934</v>
      </c>
      <c r="O2290">
        <v>0</v>
      </c>
      <c r="P2290">
        <v>0</v>
      </c>
      <c r="Q2290">
        <v>0</v>
      </c>
      <c r="S2290">
        <v>3</v>
      </c>
      <c r="T2290">
        <v>22</v>
      </c>
      <c r="U2290">
        <v>4</v>
      </c>
      <c r="W2290" t="s">
        <v>346</v>
      </c>
    </row>
    <row r="2291" spans="1:23" x14ac:dyDescent="0.35">
      <c r="A2291" t="s">
        <v>45</v>
      </c>
      <c r="B2291" t="s">
        <v>4709</v>
      </c>
      <c r="C2291" t="s">
        <v>93</v>
      </c>
      <c r="D2291" t="s">
        <v>4724</v>
      </c>
      <c r="E2291" t="s">
        <v>4725</v>
      </c>
      <c r="F2291" t="s">
        <v>193</v>
      </c>
      <c r="G2291" t="s">
        <v>4726</v>
      </c>
      <c r="H2291" t="s">
        <v>4727</v>
      </c>
      <c r="J2291" t="str">
        <f>HYPERLINK("https://twitter.com/SaurabhRam6/status/1754787343700250900","https://twitter.com/SaurabhRam6/status/1754787343700250900")</f>
        <v>https://twitter.com/SaurabhRam6/status/1754787343700250900</v>
      </c>
      <c r="K2291" t="s">
        <v>67</v>
      </c>
      <c r="O2291">
        <v>0</v>
      </c>
      <c r="P2291">
        <v>0</v>
      </c>
      <c r="Q2291">
        <v>18</v>
      </c>
      <c r="R2291" t="s">
        <v>4728</v>
      </c>
      <c r="S2291">
        <v>0</v>
      </c>
      <c r="T2291">
        <v>0</v>
      </c>
      <c r="U2291">
        <v>0</v>
      </c>
      <c r="W2291" t="s">
        <v>433</v>
      </c>
    </row>
    <row r="2292" spans="1:23" x14ac:dyDescent="0.35">
      <c r="A2292" t="s">
        <v>45</v>
      </c>
      <c r="B2292" t="s">
        <v>4709</v>
      </c>
      <c r="C2292" t="s">
        <v>47</v>
      </c>
      <c r="D2292" t="s">
        <v>4729</v>
      </c>
      <c r="E2292" t="s">
        <v>4729</v>
      </c>
      <c r="F2292" t="s">
        <v>54</v>
      </c>
      <c r="G2292" t="s">
        <v>4730</v>
      </c>
      <c r="H2292" t="s">
        <v>4731</v>
      </c>
      <c r="J2292" t="str">
        <f>HYPERLINK("https://www.youtube.com/watch?v=7CmE06V5n_4&amp;lc=UgxK5OJ5QWPuGCfaONt4AaABAg","https://www.youtube.com/watch?v=7CmE06V5n_4&amp;lc=UgxK5OJ5QWPuGCfaONt4AaABAg")</f>
        <v>https://www.youtube.com/watch?v=7CmE06V5n_4&amp;lc=UgxK5OJ5QWPuGCfaONt4AaABAg</v>
      </c>
      <c r="O2292">
        <v>0</v>
      </c>
      <c r="P2292">
        <v>0</v>
      </c>
      <c r="Q2292">
        <v>0</v>
      </c>
      <c r="S2292">
        <v>0</v>
      </c>
      <c r="T2292">
        <v>0</v>
      </c>
      <c r="U2292">
        <v>0</v>
      </c>
      <c r="W2292" t="s">
        <v>52</v>
      </c>
    </row>
    <row r="2293" spans="1:23" x14ac:dyDescent="0.35">
      <c r="A2293" t="s">
        <v>45</v>
      </c>
      <c r="B2293" t="s">
        <v>4709</v>
      </c>
      <c r="C2293" t="s">
        <v>60</v>
      </c>
      <c r="D2293" t="s">
        <v>61</v>
      </c>
      <c r="E2293" t="s">
        <v>61</v>
      </c>
      <c r="F2293" t="s">
        <v>49</v>
      </c>
      <c r="G2293" t="s">
        <v>4732</v>
      </c>
      <c r="H2293" t="s">
        <v>4733</v>
      </c>
      <c r="J2293" t="str">
        <f>HYPERLINK("https://www.facebook.com/634639855377280/posts/785526160288648?comment_id=914424709971344&amp;reply_comment_id=1138978087094616","https://www.facebook.com/634639855377280/posts/785526160288648?comment_id=914424709971344&amp;reply_comment_id=1138978087094616")</f>
        <v>https://www.facebook.com/634639855377280/posts/785526160288648?comment_id=914424709971344&amp;reply_comment_id=1138978087094616</v>
      </c>
      <c r="O2293">
        <v>0</v>
      </c>
      <c r="P2293">
        <v>0</v>
      </c>
      <c r="Q2293">
        <v>0</v>
      </c>
      <c r="S2293">
        <v>0</v>
      </c>
      <c r="T2293">
        <v>0</v>
      </c>
      <c r="U2293">
        <v>0</v>
      </c>
      <c r="W2293" t="s">
        <v>52</v>
      </c>
    </row>
    <row r="2294" spans="1:23" x14ac:dyDescent="0.35">
      <c r="A2294" t="s">
        <v>45</v>
      </c>
      <c r="B2294" t="s">
        <v>4709</v>
      </c>
      <c r="C2294" t="s">
        <v>60</v>
      </c>
      <c r="D2294" t="s">
        <v>61</v>
      </c>
      <c r="E2294" t="s">
        <v>61</v>
      </c>
      <c r="F2294" t="s">
        <v>193</v>
      </c>
      <c r="G2294" t="s">
        <v>4734</v>
      </c>
      <c r="H2294" t="s">
        <v>4735</v>
      </c>
      <c r="J2294" t="str">
        <f>HYPERLINK("https://www.facebook.com/634639855377280/posts/785526160288648?comment_id=914424709971344&amp;reply_comment_id=1407305890202655","https://www.facebook.com/634639855377280/posts/785526160288648?comment_id=914424709971344&amp;reply_comment_id=1407305890202655")</f>
        <v>https://www.facebook.com/634639855377280/posts/785526160288648?comment_id=914424709971344&amp;reply_comment_id=1407305890202655</v>
      </c>
      <c r="O2294">
        <v>0</v>
      </c>
      <c r="P2294">
        <v>0</v>
      </c>
      <c r="Q2294">
        <v>0</v>
      </c>
      <c r="S2294">
        <v>0</v>
      </c>
      <c r="T2294">
        <v>0</v>
      </c>
      <c r="U2294">
        <v>0</v>
      </c>
      <c r="W2294" t="s">
        <v>52</v>
      </c>
    </row>
    <row r="2295" spans="1:23" x14ac:dyDescent="0.35">
      <c r="A2295" t="s">
        <v>45</v>
      </c>
      <c r="B2295" t="s">
        <v>4709</v>
      </c>
      <c r="C2295" t="s">
        <v>47</v>
      </c>
      <c r="D2295" t="s">
        <v>45</v>
      </c>
      <c r="E2295" t="s">
        <v>45</v>
      </c>
      <c r="F2295" t="s">
        <v>49</v>
      </c>
      <c r="G2295" t="s">
        <v>4220</v>
      </c>
      <c r="H2295" t="s">
        <v>4736</v>
      </c>
      <c r="J2295" t="str">
        <f>HYPERLINK("https://www.youtube.com/watch?v=Vk9kehZJdww","https://www.youtube.com/watch?v=Vk9kehZJdww")</f>
        <v>https://www.youtube.com/watch?v=Vk9kehZJdww</v>
      </c>
      <c r="O2295">
        <v>0</v>
      </c>
      <c r="P2295">
        <v>0</v>
      </c>
      <c r="Q2295">
        <v>0</v>
      </c>
      <c r="S2295">
        <v>0</v>
      </c>
      <c r="T2295">
        <v>0</v>
      </c>
      <c r="U2295">
        <v>0</v>
      </c>
      <c r="W2295" t="s">
        <v>346</v>
      </c>
    </row>
    <row r="2296" spans="1:23" x14ac:dyDescent="0.35">
      <c r="A2296" t="s">
        <v>45</v>
      </c>
      <c r="B2296" t="s">
        <v>4709</v>
      </c>
      <c r="C2296" t="s">
        <v>47</v>
      </c>
      <c r="D2296" t="s">
        <v>4599</v>
      </c>
      <c r="E2296" t="s">
        <v>4599</v>
      </c>
      <c r="F2296" t="s">
        <v>49</v>
      </c>
      <c r="G2296" t="s">
        <v>4737</v>
      </c>
      <c r="H2296" t="s">
        <v>4738</v>
      </c>
      <c r="J2296" t="str">
        <f>HYPERLINK("https://www.youtube.com/watch?v=DMlpygM0MQM&amp;lc=UgzWYMvDVbM_ln3UmD54AaABAg","https://www.youtube.com/watch?v=DMlpygM0MQM&amp;lc=UgzWYMvDVbM_ln3UmD54AaABAg")</f>
        <v>https://www.youtube.com/watch?v=DMlpygM0MQM&amp;lc=UgzWYMvDVbM_ln3UmD54AaABAg</v>
      </c>
      <c r="O2296">
        <v>0</v>
      </c>
      <c r="P2296">
        <v>0</v>
      </c>
      <c r="Q2296">
        <v>0</v>
      </c>
      <c r="S2296">
        <v>0</v>
      </c>
      <c r="T2296">
        <v>0</v>
      </c>
      <c r="U2296">
        <v>0</v>
      </c>
      <c r="W2296" t="s">
        <v>52</v>
      </c>
    </row>
    <row r="2297" spans="1:23" x14ac:dyDescent="0.35">
      <c r="A2297" t="s">
        <v>45</v>
      </c>
      <c r="B2297" t="s">
        <v>4739</v>
      </c>
      <c r="C2297" t="s">
        <v>60</v>
      </c>
      <c r="D2297" t="s">
        <v>61</v>
      </c>
      <c r="E2297" t="s">
        <v>61</v>
      </c>
      <c r="F2297" t="s">
        <v>49</v>
      </c>
      <c r="G2297" t="s">
        <v>4740</v>
      </c>
      <c r="H2297" t="s">
        <v>4741</v>
      </c>
      <c r="J2297" t="str">
        <f>HYPERLINK("https://www.facebook.com/634639855377280/posts/783040850537179?comment_id=271771589266077&amp;reply_comment_id=2418948524980317","https://www.facebook.com/634639855377280/posts/783040850537179?comment_id=271771589266077&amp;reply_comment_id=2418948524980317")</f>
        <v>https://www.facebook.com/634639855377280/posts/783040850537179?comment_id=271771589266077&amp;reply_comment_id=2418948524980317</v>
      </c>
      <c r="O2297">
        <v>0</v>
      </c>
      <c r="P2297">
        <v>0</v>
      </c>
      <c r="Q2297">
        <v>0</v>
      </c>
      <c r="S2297">
        <v>0</v>
      </c>
      <c r="T2297">
        <v>0</v>
      </c>
      <c r="U2297">
        <v>0</v>
      </c>
      <c r="W2297" t="s">
        <v>52</v>
      </c>
    </row>
    <row r="2298" spans="1:23" x14ac:dyDescent="0.35">
      <c r="A2298" t="s">
        <v>45</v>
      </c>
      <c r="B2298" t="s">
        <v>4739</v>
      </c>
      <c r="C2298" t="s">
        <v>60</v>
      </c>
      <c r="D2298" t="s">
        <v>61</v>
      </c>
      <c r="E2298" t="s">
        <v>61</v>
      </c>
      <c r="F2298" t="s">
        <v>49</v>
      </c>
      <c r="G2298" t="s">
        <v>4742</v>
      </c>
      <c r="H2298" t="s">
        <v>4743</v>
      </c>
      <c r="J2298" t="str">
        <f>HYPERLINK("https://www.facebook.com/634639855377280/posts/785526160288648?comment_id=410358014848814&amp;reply_comment_id=409907151486030","https://www.facebook.com/634639855377280/posts/785526160288648?comment_id=410358014848814&amp;reply_comment_id=409907151486030")</f>
        <v>https://www.facebook.com/634639855377280/posts/785526160288648?comment_id=410358014848814&amp;reply_comment_id=409907151486030</v>
      </c>
      <c r="O2298">
        <v>0</v>
      </c>
      <c r="P2298">
        <v>0</v>
      </c>
      <c r="Q2298">
        <v>0</v>
      </c>
      <c r="S2298">
        <v>0</v>
      </c>
      <c r="T2298">
        <v>0</v>
      </c>
      <c r="U2298">
        <v>0</v>
      </c>
      <c r="W2298" t="s">
        <v>52</v>
      </c>
    </row>
    <row r="2299" spans="1:23" x14ac:dyDescent="0.35">
      <c r="A2299" t="s">
        <v>45</v>
      </c>
      <c r="B2299" t="s">
        <v>4739</v>
      </c>
      <c r="C2299" t="s">
        <v>93</v>
      </c>
      <c r="D2299" t="s">
        <v>4724</v>
      </c>
      <c r="E2299" t="s">
        <v>4725</v>
      </c>
      <c r="F2299" t="s">
        <v>193</v>
      </c>
      <c r="G2299" t="s">
        <v>4726</v>
      </c>
      <c r="H2299" t="s">
        <v>4744</v>
      </c>
      <c r="J2299" t="str">
        <f>HYPERLINK("https://twitter.com/SaurabhRam6/status/1754525237394518482","https://twitter.com/SaurabhRam6/status/1754525237394518482")</f>
        <v>https://twitter.com/SaurabhRam6/status/1754525237394518482</v>
      </c>
      <c r="K2299" t="s">
        <v>67</v>
      </c>
      <c r="O2299">
        <v>0</v>
      </c>
      <c r="P2299">
        <v>0</v>
      </c>
      <c r="Q2299">
        <v>18</v>
      </c>
      <c r="R2299" t="s">
        <v>4728</v>
      </c>
      <c r="S2299">
        <v>0</v>
      </c>
      <c r="T2299">
        <v>0</v>
      </c>
      <c r="U2299">
        <v>0</v>
      </c>
      <c r="W2299" t="s">
        <v>99</v>
      </c>
    </row>
    <row r="2300" spans="1:23" x14ac:dyDescent="0.35">
      <c r="A2300" t="s">
        <v>45</v>
      </c>
      <c r="B2300" t="s">
        <v>4739</v>
      </c>
      <c r="C2300" t="s">
        <v>93</v>
      </c>
      <c r="D2300" t="s">
        <v>4724</v>
      </c>
      <c r="E2300" t="s">
        <v>4725</v>
      </c>
      <c r="F2300" t="s">
        <v>193</v>
      </c>
      <c r="G2300" t="s">
        <v>4726</v>
      </c>
      <c r="H2300" t="s">
        <v>4745</v>
      </c>
      <c r="J2300" t="str">
        <f>HYPERLINK("https://twitter.com/SaurabhRam6/status/1754525201054961792","https://twitter.com/SaurabhRam6/status/1754525201054961792")</f>
        <v>https://twitter.com/SaurabhRam6/status/1754525201054961792</v>
      </c>
      <c r="K2300" t="s">
        <v>67</v>
      </c>
      <c r="O2300">
        <v>0</v>
      </c>
      <c r="P2300">
        <v>0</v>
      </c>
      <c r="Q2300">
        <v>18</v>
      </c>
      <c r="R2300" t="s">
        <v>4728</v>
      </c>
      <c r="S2300">
        <v>0</v>
      </c>
      <c r="T2300">
        <v>0</v>
      </c>
      <c r="U2300">
        <v>0</v>
      </c>
      <c r="W2300" t="s">
        <v>99</v>
      </c>
    </row>
    <row r="2301" spans="1:23" x14ac:dyDescent="0.35">
      <c r="A2301" t="s">
        <v>45</v>
      </c>
      <c r="B2301" t="s">
        <v>4739</v>
      </c>
      <c r="C2301" t="s">
        <v>93</v>
      </c>
      <c r="D2301" t="s">
        <v>4724</v>
      </c>
      <c r="E2301" t="s">
        <v>4725</v>
      </c>
      <c r="F2301" t="s">
        <v>193</v>
      </c>
      <c r="G2301" t="s">
        <v>4726</v>
      </c>
      <c r="H2301" t="s">
        <v>4746</v>
      </c>
      <c r="J2301" t="str">
        <f>HYPERLINK("https://twitter.com/SaurabhRam6/status/1754525177701126343","https://twitter.com/SaurabhRam6/status/1754525177701126343")</f>
        <v>https://twitter.com/SaurabhRam6/status/1754525177701126343</v>
      </c>
      <c r="K2301" t="s">
        <v>67</v>
      </c>
      <c r="O2301">
        <v>0</v>
      </c>
      <c r="P2301">
        <v>0</v>
      </c>
      <c r="Q2301">
        <v>18</v>
      </c>
      <c r="R2301" t="s">
        <v>4728</v>
      </c>
      <c r="S2301">
        <v>0</v>
      </c>
      <c r="T2301">
        <v>0</v>
      </c>
      <c r="U2301">
        <v>0</v>
      </c>
      <c r="W2301" t="s">
        <v>99</v>
      </c>
    </row>
    <row r="2302" spans="1:23" x14ac:dyDescent="0.35">
      <c r="A2302" t="s">
        <v>45</v>
      </c>
      <c r="B2302" t="s">
        <v>4739</v>
      </c>
      <c r="C2302" t="s">
        <v>93</v>
      </c>
      <c r="D2302" t="s">
        <v>4747</v>
      </c>
      <c r="E2302" t="s">
        <v>4748</v>
      </c>
      <c r="F2302" t="s">
        <v>49</v>
      </c>
      <c r="G2302" t="s">
        <v>4749</v>
      </c>
      <c r="H2302" t="s">
        <v>4750</v>
      </c>
      <c r="J2302" t="str">
        <f>HYPERLINK("https://twitter.com/sadie_garr55565/status/1754525166623940911","https://twitter.com/sadie_garr55565/status/1754525166623940911")</f>
        <v>https://twitter.com/sadie_garr55565/status/1754525166623940911</v>
      </c>
      <c r="K2302" t="s">
        <v>471</v>
      </c>
      <c r="O2302">
        <v>0</v>
      </c>
      <c r="P2302">
        <v>0</v>
      </c>
      <c r="Q2302">
        <v>0</v>
      </c>
      <c r="S2302">
        <v>0</v>
      </c>
      <c r="T2302">
        <v>0</v>
      </c>
      <c r="U2302">
        <v>0</v>
      </c>
      <c r="W2302" t="s">
        <v>99</v>
      </c>
    </row>
    <row r="2303" spans="1:23" x14ac:dyDescent="0.35">
      <c r="A2303" t="s">
        <v>45</v>
      </c>
      <c r="B2303" t="s">
        <v>4739</v>
      </c>
      <c r="C2303" t="s">
        <v>93</v>
      </c>
      <c r="D2303" t="s">
        <v>4724</v>
      </c>
      <c r="E2303" t="s">
        <v>4725</v>
      </c>
      <c r="F2303" t="s">
        <v>193</v>
      </c>
      <c r="G2303" t="s">
        <v>4726</v>
      </c>
      <c r="H2303" t="s">
        <v>4751</v>
      </c>
      <c r="J2303" t="str">
        <f>HYPERLINK("https://twitter.com/SaurabhRam6/status/1754525135925846505","https://twitter.com/SaurabhRam6/status/1754525135925846505")</f>
        <v>https://twitter.com/SaurabhRam6/status/1754525135925846505</v>
      </c>
      <c r="K2303" t="s">
        <v>67</v>
      </c>
      <c r="O2303">
        <v>0</v>
      </c>
      <c r="P2303">
        <v>0</v>
      </c>
      <c r="Q2303">
        <v>18</v>
      </c>
      <c r="R2303" t="s">
        <v>4728</v>
      </c>
      <c r="S2303">
        <v>0</v>
      </c>
      <c r="T2303">
        <v>0</v>
      </c>
      <c r="U2303">
        <v>0</v>
      </c>
      <c r="W2303" t="s">
        <v>99</v>
      </c>
    </row>
    <row r="2304" spans="1:23" x14ac:dyDescent="0.35">
      <c r="A2304" t="s">
        <v>45</v>
      </c>
      <c r="B2304" t="s">
        <v>4739</v>
      </c>
      <c r="C2304" t="s">
        <v>93</v>
      </c>
      <c r="D2304" t="s">
        <v>4724</v>
      </c>
      <c r="E2304" t="s">
        <v>4725</v>
      </c>
      <c r="F2304" t="s">
        <v>193</v>
      </c>
      <c r="G2304" t="s">
        <v>4726</v>
      </c>
      <c r="H2304" t="s">
        <v>4752</v>
      </c>
      <c r="J2304" t="str">
        <f>HYPERLINK("https://twitter.com/SaurabhRam6/status/1754525100098076735","https://twitter.com/SaurabhRam6/status/1754525100098076735")</f>
        <v>https://twitter.com/SaurabhRam6/status/1754525100098076735</v>
      </c>
      <c r="K2304" t="s">
        <v>67</v>
      </c>
      <c r="O2304">
        <v>0</v>
      </c>
      <c r="P2304">
        <v>0</v>
      </c>
      <c r="Q2304">
        <v>18</v>
      </c>
      <c r="R2304" t="s">
        <v>4728</v>
      </c>
      <c r="S2304">
        <v>0</v>
      </c>
      <c r="T2304">
        <v>0</v>
      </c>
      <c r="U2304">
        <v>0</v>
      </c>
      <c r="W2304" t="s">
        <v>99</v>
      </c>
    </row>
    <row r="2305" spans="1:23" x14ac:dyDescent="0.35">
      <c r="A2305" t="s">
        <v>45</v>
      </c>
      <c r="B2305" t="s">
        <v>4739</v>
      </c>
      <c r="C2305" t="s">
        <v>93</v>
      </c>
      <c r="D2305" t="s">
        <v>4724</v>
      </c>
      <c r="E2305" t="s">
        <v>4725</v>
      </c>
      <c r="F2305" t="s">
        <v>193</v>
      </c>
      <c r="G2305" t="s">
        <v>4753</v>
      </c>
      <c r="H2305" t="s">
        <v>4754</v>
      </c>
      <c r="J2305" t="str">
        <f>HYPERLINK("https://twitter.com/SaurabhRam6/status/1754524832799330320","https://twitter.com/SaurabhRam6/status/1754524832799330320")</f>
        <v>https://twitter.com/SaurabhRam6/status/1754524832799330320</v>
      </c>
      <c r="K2305" t="s">
        <v>67</v>
      </c>
      <c r="O2305">
        <v>0</v>
      </c>
      <c r="P2305">
        <v>0</v>
      </c>
      <c r="Q2305">
        <v>18</v>
      </c>
      <c r="R2305" t="s">
        <v>4728</v>
      </c>
      <c r="S2305">
        <v>0</v>
      </c>
      <c r="T2305">
        <v>0</v>
      </c>
      <c r="U2305">
        <v>0</v>
      </c>
      <c r="W2305" t="s">
        <v>99</v>
      </c>
    </row>
    <row r="2306" spans="1:23" x14ac:dyDescent="0.35">
      <c r="A2306" t="s">
        <v>45</v>
      </c>
      <c r="B2306" t="s">
        <v>4739</v>
      </c>
      <c r="C2306" t="s">
        <v>93</v>
      </c>
      <c r="D2306" t="s">
        <v>4755</v>
      </c>
      <c r="E2306" t="s">
        <v>4756</v>
      </c>
      <c r="F2306" t="s">
        <v>193</v>
      </c>
      <c r="G2306" t="s">
        <v>4757</v>
      </c>
      <c r="H2306" t="s">
        <v>4758</v>
      </c>
      <c r="J2306" t="str">
        <f>HYPERLINK("https://twitter.com/InsAdvisormanoj/status/1754516716380709096","https://twitter.com/InsAdvisormanoj/status/1754516716380709096")</f>
        <v>https://twitter.com/InsAdvisormanoj/status/1754516716380709096</v>
      </c>
      <c r="K2306" t="s">
        <v>67</v>
      </c>
      <c r="O2306">
        <v>0</v>
      </c>
      <c r="P2306">
        <v>0</v>
      </c>
      <c r="Q2306">
        <v>4</v>
      </c>
      <c r="R2306" t="s">
        <v>4759</v>
      </c>
      <c r="S2306">
        <v>0</v>
      </c>
      <c r="T2306">
        <v>0</v>
      </c>
      <c r="U2306">
        <v>0</v>
      </c>
      <c r="W2306" t="s">
        <v>99</v>
      </c>
    </row>
    <row r="2307" spans="1:23" x14ac:dyDescent="0.35">
      <c r="A2307" t="s">
        <v>45</v>
      </c>
      <c r="B2307" t="s">
        <v>4739</v>
      </c>
      <c r="C2307" t="s">
        <v>60</v>
      </c>
      <c r="D2307" t="s">
        <v>61</v>
      </c>
      <c r="E2307" t="s">
        <v>61</v>
      </c>
      <c r="F2307" t="s">
        <v>54</v>
      </c>
      <c r="G2307" t="s">
        <v>4760</v>
      </c>
      <c r="H2307" t="s">
        <v>4761</v>
      </c>
      <c r="J2307" t="str">
        <f>HYPERLINK("https://www.facebook.com/634639855377280/posts/785526160288648?comment_id=3683812568496882","https://www.facebook.com/634639855377280/posts/785526160288648?comment_id=3683812568496882")</f>
        <v>https://www.facebook.com/634639855377280/posts/785526160288648?comment_id=3683812568496882</v>
      </c>
      <c r="O2307">
        <v>0</v>
      </c>
      <c r="P2307">
        <v>0</v>
      </c>
      <c r="Q2307">
        <v>0</v>
      </c>
      <c r="S2307">
        <v>0</v>
      </c>
      <c r="T2307">
        <v>0</v>
      </c>
      <c r="U2307">
        <v>0</v>
      </c>
      <c r="W2307" t="s">
        <v>52</v>
      </c>
    </row>
    <row r="2308" spans="1:23" x14ac:dyDescent="0.35">
      <c r="A2308" t="s">
        <v>45</v>
      </c>
      <c r="B2308" t="s">
        <v>4739</v>
      </c>
      <c r="C2308" t="s">
        <v>60</v>
      </c>
      <c r="D2308" t="s">
        <v>61</v>
      </c>
      <c r="E2308" t="s">
        <v>61</v>
      </c>
      <c r="F2308" t="s">
        <v>49</v>
      </c>
      <c r="G2308" t="s">
        <v>4762</v>
      </c>
      <c r="H2308" t="s">
        <v>4763</v>
      </c>
      <c r="J2308" t="str">
        <f>HYPERLINK("https://www.facebook.com/634639855377280/posts/785526160288648?comment_id=1104586437227051","https://www.facebook.com/634639855377280/posts/785526160288648?comment_id=1104586437227051")</f>
        <v>https://www.facebook.com/634639855377280/posts/785526160288648?comment_id=1104586437227051</v>
      </c>
      <c r="O2308">
        <v>0</v>
      </c>
      <c r="P2308">
        <v>0</v>
      </c>
      <c r="Q2308">
        <v>0</v>
      </c>
      <c r="S2308">
        <v>0</v>
      </c>
      <c r="T2308">
        <v>0</v>
      </c>
      <c r="U2308">
        <v>0</v>
      </c>
      <c r="W2308" t="s">
        <v>52</v>
      </c>
    </row>
    <row r="2309" spans="1:23" x14ac:dyDescent="0.35">
      <c r="A2309" t="s">
        <v>45</v>
      </c>
      <c r="B2309" t="s">
        <v>4739</v>
      </c>
      <c r="C2309" t="s">
        <v>93</v>
      </c>
      <c r="D2309" t="s">
        <v>4764</v>
      </c>
      <c r="E2309" t="s">
        <v>4765</v>
      </c>
      <c r="F2309" t="s">
        <v>193</v>
      </c>
      <c r="G2309" t="s">
        <v>4766</v>
      </c>
      <c r="H2309" t="s">
        <v>4767</v>
      </c>
      <c r="J2309" t="str">
        <f>HYPERLINK("https://twitter.com/shoeblala1010/status/1754505396122013732","https://twitter.com/shoeblala1010/status/1754505396122013732")</f>
        <v>https://twitter.com/shoeblala1010/status/1754505396122013732</v>
      </c>
      <c r="K2309" t="s">
        <v>67</v>
      </c>
      <c r="O2309">
        <v>0</v>
      </c>
      <c r="P2309">
        <v>0</v>
      </c>
      <c r="Q2309">
        <v>62</v>
      </c>
      <c r="R2309" t="s">
        <v>4768</v>
      </c>
      <c r="S2309">
        <v>0</v>
      </c>
      <c r="T2309">
        <v>0</v>
      </c>
      <c r="U2309">
        <v>0</v>
      </c>
      <c r="W2309" t="s">
        <v>99</v>
      </c>
    </row>
    <row r="2310" spans="1:23" x14ac:dyDescent="0.35">
      <c r="A2310" t="s">
        <v>45</v>
      </c>
      <c r="B2310" t="s">
        <v>4739</v>
      </c>
      <c r="C2310" t="s">
        <v>60</v>
      </c>
      <c r="D2310" t="s">
        <v>61</v>
      </c>
      <c r="E2310" t="s">
        <v>61</v>
      </c>
      <c r="F2310" t="s">
        <v>49</v>
      </c>
      <c r="G2310">
        <v>9929918382</v>
      </c>
      <c r="H2310" t="s">
        <v>4769</v>
      </c>
      <c r="J2310" t="str">
        <f>HYPERLINK("https://www.facebook.com/634639855377280/posts/784211473753450?comment_id=350368534481984&amp;reply_comment_id=397031359547019","https://www.facebook.com/634639855377280/posts/784211473753450?comment_id=350368534481984&amp;reply_comment_id=397031359547019")</f>
        <v>https://www.facebook.com/634639855377280/posts/784211473753450?comment_id=350368534481984&amp;reply_comment_id=397031359547019</v>
      </c>
      <c r="O2310">
        <v>0</v>
      </c>
      <c r="P2310">
        <v>0</v>
      </c>
      <c r="Q2310">
        <v>0</v>
      </c>
      <c r="S2310">
        <v>0</v>
      </c>
      <c r="T2310">
        <v>0</v>
      </c>
      <c r="U2310">
        <v>0</v>
      </c>
      <c r="W2310" t="s">
        <v>52</v>
      </c>
    </row>
    <row r="2311" spans="1:23" x14ac:dyDescent="0.35">
      <c r="A2311" t="s">
        <v>45</v>
      </c>
      <c r="B2311" t="s">
        <v>4739</v>
      </c>
      <c r="C2311" t="s">
        <v>60</v>
      </c>
      <c r="D2311" t="s">
        <v>61</v>
      </c>
      <c r="E2311" t="s">
        <v>61</v>
      </c>
      <c r="F2311" t="s">
        <v>49</v>
      </c>
      <c r="G2311" t="s">
        <v>4770</v>
      </c>
      <c r="H2311" t="s">
        <v>4771</v>
      </c>
      <c r="J2311" t="str">
        <f>HYPERLINK("https://www.facebook.com/634639855377280/posts/785526160288648?comment_id=2172512676422975","https://www.facebook.com/634639855377280/posts/785526160288648?comment_id=2172512676422975")</f>
        <v>https://www.facebook.com/634639855377280/posts/785526160288648?comment_id=2172512676422975</v>
      </c>
      <c r="O2311">
        <v>0</v>
      </c>
      <c r="P2311">
        <v>0</v>
      </c>
      <c r="Q2311">
        <v>0</v>
      </c>
      <c r="S2311">
        <v>0</v>
      </c>
      <c r="T2311">
        <v>0</v>
      </c>
      <c r="U2311">
        <v>0</v>
      </c>
      <c r="W2311" t="s">
        <v>52</v>
      </c>
    </row>
    <row r="2312" spans="1:23" x14ac:dyDescent="0.35">
      <c r="A2312" t="s">
        <v>45</v>
      </c>
      <c r="B2312" t="s">
        <v>4739</v>
      </c>
      <c r="C2312" t="s">
        <v>47</v>
      </c>
      <c r="D2312" t="s">
        <v>45</v>
      </c>
      <c r="E2312" t="s">
        <v>45</v>
      </c>
      <c r="F2312" t="s">
        <v>49</v>
      </c>
      <c r="G2312" t="s">
        <v>4386</v>
      </c>
      <c r="H2312" t="s">
        <v>4772</v>
      </c>
      <c r="J2312" t="str">
        <f>HYPERLINK("https://www.youtube.com/watch?v=YQSdpP96l0U","https://www.youtube.com/watch?v=YQSdpP96l0U")</f>
        <v>https://www.youtube.com/watch?v=YQSdpP96l0U</v>
      </c>
      <c r="O2312">
        <v>0</v>
      </c>
      <c r="P2312">
        <v>0</v>
      </c>
      <c r="Q2312">
        <v>0</v>
      </c>
      <c r="S2312">
        <v>0</v>
      </c>
      <c r="T2312">
        <v>0</v>
      </c>
      <c r="U2312">
        <v>0</v>
      </c>
      <c r="W2312" t="s">
        <v>346</v>
      </c>
    </row>
    <row r="2313" spans="1:23" x14ac:dyDescent="0.35">
      <c r="A2313" t="s">
        <v>45</v>
      </c>
      <c r="B2313" t="s">
        <v>4739</v>
      </c>
      <c r="C2313" t="s">
        <v>93</v>
      </c>
      <c r="D2313" t="s">
        <v>4773</v>
      </c>
      <c r="E2313" t="s">
        <v>4774</v>
      </c>
      <c r="F2313" t="s">
        <v>193</v>
      </c>
      <c r="G2313" t="s">
        <v>4775</v>
      </c>
      <c r="H2313" t="s">
        <v>4776</v>
      </c>
      <c r="J2313" t="str">
        <f>HYPERLINK("https://twitter.com/PalManimohan/status/1754456661585236139","https://twitter.com/PalManimohan/status/1754456661585236139")</f>
        <v>https://twitter.com/PalManimohan/status/1754456661585236139</v>
      </c>
      <c r="K2313" t="s">
        <v>67</v>
      </c>
      <c r="O2313">
        <v>0</v>
      </c>
      <c r="P2313">
        <v>0</v>
      </c>
      <c r="Q2313">
        <v>5</v>
      </c>
      <c r="S2313">
        <v>0</v>
      </c>
      <c r="T2313">
        <v>0</v>
      </c>
      <c r="U2313">
        <v>0</v>
      </c>
      <c r="W2313" t="s">
        <v>99</v>
      </c>
    </row>
    <row r="2314" spans="1:23" x14ac:dyDescent="0.35">
      <c r="A2314" t="s">
        <v>45</v>
      </c>
      <c r="B2314" t="s">
        <v>4739</v>
      </c>
      <c r="C2314" t="s">
        <v>60</v>
      </c>
      <c r="D2314" t="s">
        <v>61</v>
      </c>
      <c r="E2314" t="s">
        <v>61</v>
      </c>
      <c r="F2314" t="s">
        <v>49</v>
      </c>
      <c r="G2314" t="s">
        <v>4777</v>
      </c>
      <c r="H2314" t="s">
        <v>4778</v>
      </c>
      <c r="J2314" t="str">
        <f>HYPERLINK("https://www.facebook.com/634639855377280/posts/785526160288648?comment_id=410358014848814","https://www.facebook.com/634639855377280/posts/785526160288648?comment_id=410358014848814")</f>
        <v>https://www.facebook.com/634639855377280/posts/785526160288648?comment_id=410358014848814</v>
      </c>
      <c r="O2314">
        <v>0</v>
      </c>
      <c r="P2314">
        <v>0</v>
      </c>
      <c r="Q2314">
        <v>0</v>
      </c>
      <c r="S2314">
        <v>0</v>
      </c>
      <c r="T2314">
        <v>0</v>
      </c>
      <c r="U2314">
        <v>0</v>
      </c>
      <c r="W2314" t="s">
        <v>52</v>
      </c>
    </row>
    <row r="2315" spans="1:23" x14ac:dyDescent="0.35">
      <c r="A2315" t="s">
        <v>45</v>
      </c>
      <c r="B2315" t="s">
        <v>4739</v>
      </c>
      <c r="C2315" t="s">
        <v>60</v>
      </c>
      <c r="D2315" t="s">
        <v>64</v>
      </c>
      <c r="E2315" t="s">
        <v>64</v>
      </c>
      <c r="F2315" t="s">
        <v>49</v>
      </c>
      <c r="G2315" t="s">
        <v>4779</v>
      </c>
      <c r="H2315" t="s">
        <v>4780</v>
      </c>
      <c r="J2315" t="str">
        <f>HYPERLINK("https://www.facebook.com/634639855377280/posts/785526160288648?comment_id=914424709971344&amp;reply_comment_id=1297089424293139","https://www.facebook.com/634639855377280/posts/785526160288648?comment_id=914424709971344&amp;reply_comment_id=1297089424293139")</f>
        <v>https://www.facebook.com/634639855377280/posts/785526160288648?comment_id=914424709971344&amp;reply_comment_id=1297089424293139</v>
      </c>
      <c r="K2315" t="s">
        <v>67</v>
      </c>
      <c r="O2315">
        <v>0</v>
      </c>
      <c r="P2315">
        <v>0</v>
      </c>
      <c r="Q2315">
        <v>0</v>
      </c>
      <c r="S2315">
        <v>0</v>
      </c>
      <c r="T2315">
        <v>0</v>
      </c>
      <c r="U2315">
        <v>0</v>
      </c>
      <c r="W2315" t="s">
        <v>52</v>
      </c>
    </row>
    <row r="2316" spans="1:23" x14ac:dyDescent="0.35">
      <c r="A2316" t="s">
        <v>45</v>
      </c>
      <c r="B2316" t="s">
        <v>4739</v>
      </c>
      <c r="C2316" t="s">
        <v>60</v>
      </c>
      <c r="D2316" t="s">
        <v>64</v>
      </c>
      <c r="E2316" t="s">
        <v>64</v>
      </c>
      <c r="F2316" t="s">
        <v>49</v>
      </c>
      <c r="G2316" t="s">
        <v>380</v>
      </c>
      <c r="H2316" t="s">
        <v>4781</v>
      </c>
      <c r="J2316" t="str">
        <f>HYPERLINK("https://www.facebook.com/634639855377280/posts/784211473753450?comment_id=350368534481984&amp;reply_comment_id=376205001721176","https://www.facebook.com/634639855377280/posts/784211473753450?comment_id=350368534481984&amp;reply_comment_id=376205001721176")</f>
        <v>https://www.facebook.com/634639855377280/posts/784211473753450?comment_id=350368534481984&amp;reply_comment_id=376205001721176</v>
      </c>
      <c r="K2316" t="s">
        <v>67</v>
      </c>
      <c r="O2316">
        <v>0</v>
      </c>
      <c r="P2316">
        <v>0</v>
      </c>
      <c r="Q2316">
        <v>0</v>
      </c>
      <c r="S2316">
        <v>0</v>
      </c>
      <c r="T2316">
        <v>0</v>
      </c>
      <c r="U2316">
        <v>0</v>
      </c>
      <c r="W2316" t="s">
        <v>52</v>
      </c>
    </row>
    <row r="2317" spans="1:23" x14ac:dyDescent="0.35">
      <c r="A2317" t="s">
        <v>45</v>
      </c>
      <c r="B2317" t="s">
        <v>4739</v>
      </c>
      <c r="C2317" t="s">
        <v>60</v>
      </c>
      <c r="D2317" t="s">
        <v>64</v>
      </c>
      <c r="E2317" t="s">
        <v>64</v>
      </c>
      <c r="F2317" t="s">
        <v>49</v>
      </c>
      <c r="G2317" t="s">
        <v>162</v>
      </c>
      <c r="H2317" t="s">
        <v>4782</v>
      </c>
      <c r="J2317" t="str">
        <f>HYPERLINK("https://www.facebook.com/634639855377280/posts/785526160288648?comment_id=283497561154830&amp;reply_comment_id=694526146184826","https://www.facebook.com/634639855377280/posts/785526160288648?comment_id=283497561154830&amp;reply_comment_id=694526146184826")</f>
        <v>https://www.facebook.com/634639855377280/posts/785526160288648?comment_id=283497561154830&amp;reply_comment_id=694526146184826</v>
      </c>
      <c r="K2317" t="s">
        <v>67</v>
      </c>
      <c r="O2317">
        <v>0</v>
      </c>
      <c r="P2317">
        <v>0</v>
      </c>
      <c r="Q2317">
        <v>0</v>
      </c>
      <c r="S2317">
        <v>0</v>
      </c>
      <c r="T2317">
        <v>0</v>
      </c>
      <c r="U2317">
        <v>0</v>
      </c>
      <c r="W2317" t="s">
        <v>52</v>
      </c>
    </row>
    <row r="2318" spans="1:23" x14ac:dyDescent="0.35">
      <c r="A2318" t="s">
        <v>45</v>
      </c>
      <c r="B2318" t="s">
        <v>4739</v>
      </c>
      <c r="C2318" t="s">
        <v>60</v>
      </c>
      <c r="D2318" t="s">
        <v>61</v>
      </c>
      <c r="E2318" t="s">
        <v>61</v>
      </c>
      <c r="F2318" t="s">
        <v>49</v>
      </c>
      <c r="G2318" t="s">
        <v>4783</v>
      </c>
      <c r="H2318" t="s">
        <v>4784</v>
      </c>
      <c r="J2318" t="str">
        <f>HYPERLINK("https://www.facebook.com/634639855377280/posts/784211473753450?comment_id=350368534481984","https://www.facebook.com/634639855377280/posts/784211473753450?comment_id=350368534481984")</f>
        <v>https://www.facebook.com/634639855377280/posts/784211473753450?comment_id=350368534481984</v>
      </c>
      <c r="O2318">
        <v>0</v>
      </c>
      <c r="P2318">
        <v>0</v>
      </c>
      <c r="Q2318">
        <v>0</v>
      </c>
      <c r="S2318">
        <v>0</v>
      </c>
      <c r="T2318">
        <v>0</v>
      </c>
      <c r="U2318">
        <v>0</v>
      </c>
      <c r="W2318" t="s">
        <v>52</v>
      </c>
    </row>
    <row r="2319" spans="1:23" x14ac:dyDescent="0.35">
      <c r="A2319" t="s">
        <v>45</v>
      </c>
      <c r="B2319" t="s">
        <v>4739</v>
      </c>
      <c r="C2319" t="s">
        <v>60</v>
      </c>
      <c r="D2319" t="s">
        <v>61</v>
      </c>
      <c r="E2319" t="s">
        <v>61</v>
      </c>
      <c r="F2319" t="s">
        <v>49</v>
      </c>
      <c r="G2319" t="s">
        <v>4785</v>
      </c>
      <c r="H2319" t="s">
        <v>4786</v>
      </c>
      <c r="J2319" t="str">
        <f>HYPERLINK("https://www.facebook.com/634639855377280/posts/785526160288648?comment_id=914424709971344","https://www.facebook.com/634639855377280/posts/785526160288648?comment_id=914424709971344")</f>
        <v>https://www.facebook.com/634639855377280/posts/785526160288648?comment_id=914424709971344</v>
      </c>
      <c r="O2319">
        <v>0</v>
      </c>
      <c r="P2319">
        <v>0</v>
      </c>
      <c r="Q2319">
        <v>0</v>
      </c>
      <c r="S2319">
        <v>0</v>
      </c>
      <c r="T2319">
        <v>0</v>
      </c>
      <c r="U2319">
        <v>0</v>
      </c>
      <c r="W2319" t="s">
        <v>52</v>
      </c>
    </row>
    <row r="2320" spans="1:23" x14ac:dyDescent="0.35">
      <c r="A2320" t="s">
        <v>45</v>
      </c>
      <c r="B2320" t="s">
        <v>4739</v>
      </c>
      <c r="C2320" t="s">
        <v>60</v>
      </c>
      <c r="D2320" t="s">
        <v>61</v>
      </c>
      <c r="E2320" t="s">
        <v>61</v>
      </c>
      <c r="F2320" t="s">
        <v>54</v>
      </c>
      <c r="G2320" t="s">
        <v>4787</v>
      </c>
      <c r="H2320" t="s">
        <v>4788</v>
      </c>
      <c r="J2320" t="str">
        <f>HYPERLINK("https://www.facebook.com/634639855377280/posts/785526160288648?comment_id=926318115783406","https://www.facebook.com/634639855377280/posts/785526160288648?comment_id=926318115783406")</f>
        <v>https://www.facebook.com/634639855377280/posts/785526160288648?comment_id=926318115783406</v>
      </c>
      <c r="O2320">
        <v>0</v>
      </c>
      <c r="P2320">
        <v>0</v>
      </c>
      <c r="Q2320">
        <v>0</v>
      </c>
      <c r="S2320">
        <v>0</v>
      </c>
      <c r="T2320">
        <v>0</v>
      </c>
      <c r="U2320">
        <v>0</v>
      </c>
      <c r="W2320" t="s">
        <v>52</v>
      </c>
    </row>
    <row r="2321" spans="1:23" x14ac:dyDescent="0.35">
      <c r="A2321" t="s">
        <v>45</v>
      </c>
      <c r="B2321" t="s">
        <v>4739</v>
      </c>
      <c r="C2321" t="s">
        <v>60</v>
      </c>
      <c r="D2321" t="s">
        <v>61</v>
      </c>
      <c r="E2321" t="s">
        <v>61</v>
      </c>
      <c r="F2321" t="s">
        <v>54</v>
      </c>
      <c r="G2321" t="s">
        <v>4789</v>
      </c>
      <c r="H2321" t="s">
        <v>4790</v>
      </c>
      <c r="J2321" t="str">
        <f>HYPERLINK("https://www.facebook.com/634639855377280/posts/785526160288648?comment_id=283497561154830","https://www.facebook.com/634639855377280/posts/785526160288648?comment_id=283497561154830")</f>
        <v>https://www.facebook.com/634639855377280/posts/785526160288648?comment_id=283497561154830</v>
      </c>
      <c r="O2321">
        <v>0</v>
      </c>
      <c r="P2321">
        <v>0</v>
      </c>
      <c r="Q2321">
        <v>0</v>
      </c>
      <c r="S2321">
        <v>0</v>
      </c>
      <c r="T2321">
        <v>0</v>
      </c>
      <c r="U2321">
        <v>0</v>
      </c>
      <c r="W2321" t="s">
        <v>52</v>
      </c>
    </row>
    <row r="2322" spans="1:23" x14ac:dyDescent="0.35">
      <c r="A2322" t="s">
        <v>45</v>
      </c>
      <c r="B2322" t="s">
        <v>4739</v>
      </c>
      <c r="C2322" t="s">
        <v>60</v>
      </c>
      <c r="D2322" t="s">
        <v>61</v>
      </c>
      <c r="E2322" t="s">
        <v>61</v>
      </c>
      <c r="F2322" t="s">
        <v>54</v>
      </c>
      <c r="G2322" t="s">
        <v>2440</v>
      </c>
      <c r="H2322" t="s">
        <v>4791</v>
      </c>
      <c r="J2322" t="str">
        <f>HYPERLINK("https://www.facebook.com/634639855377280/posts/785526160288648?comment_id=647488947419231","https://www.facebook.com/634639855377280/posts/785526160288648?comment_id=647488947419231")</f>
        <v>https://www.facebook.com/634639855377280/posts/785526160288648?comment_id=647488947419231</v>
      </c>
      <c r="O2322">
        <v>0</v>
      </c>
      <c r="P2322">
        <v>0</v>
      </c>
      <c r="Q2322">
        <v>0</v>
      </c>
      <c r="S2322">
        <v>0</v>
      </c>
      <c r="T2322">
        <v>0</v>
      </c>
      <c r="U2322">
        <v>0</v>
      </c>
      <c r="W2322" t="s">
        <v>52</v>
      </c>
    </row>
    <row r="2323" spans="1:23" x14ac:dyDescent="0.35">
      <c r="A2323" t="s">
        <v>45</v>
      </c>
      <c r="B2323" t="s">
        <v>4739</v>
      </c>
      <c r="C2323" t="s">
        <v>93</v>
      </c>
      <c r="D2323" t="s">
        <v>94</v>
      </c>
      <c r="E2323" t="s">
        <v>45</v>
      </c>
      <c r="F2323" t="s">
        <v>49</v>
      </c>
      <c r="G2323" t="s">
        <v>4792</v>
      </c>
      <c r="H2323" t="s">
        <v>4793</v>
      </c>
      <c r="J2323" t="str">
        <f>HYPERLINK("https://twitter.com/SpiceMoneyIndia/status/1754431655610298738","https://twitter.com/SpiceMoneyIndia/status/1754431655610298738")</f>
        <v>https://twitter.com/SpiceMoneyIndia/status/1754431655610298738</v>
      </c>
      <c r="K2323" t="s">
        <v>67</v>
      </c>
      <c r="O2323">
        <v>0</v>
      </c>
      <c r="P2323">
        <v>0</v>
      </c>
      <c r="Q2323">
        <v>6021</v>
      </c>
      <c r="R2323" t="s">
        <v>97</v>
      </c>
      <c r="S2323">
        <v>0</v>
      </c>
      <c r="T2323">
        <v>0</v>
      </c>
      <c r="U2323">
        <v>0</v>
      </c>
      <c r="V2323" t="s">
        <v>98</v>
      </c>
      <c r="W2323" t="s">
        <v>99</v>
      </c>
    </row>
    <row r="2324" spans="1:23" x14ac:dyDescent="0.35">
      <c r="A2324" t="s">
        <v>45</v>
      </c>
      <c r="B2324" t="s">
        <v>4739</v>
      </c>
      <c r="C2324" t="s">
        <v>60</v>
      </c>
      <c r="D2324" t="s">
        <v>64</v>
      </c>
      <c r="E2324" t="s">
        <v>64</v>
      </c>
      <c r="F2324" t="s">
        <v>49</v>
      </c>
      <c r="G2324" t="s">
        <v>4794</v>
      </c>
      <c r="H2324" t="s">
        <v>4795</v>
      </c>
      <c r="J2324" t="str">
        <f>HYPERLINK("https://www.facebook.com/634639855377280/posts/785526160288648","https://www.facebook.com/634639855377280/posts/785526160288648")</f>
        <v>https://www.facebook.com/634639855377280/posts/785526160288648</v>
      </c>
      <c r="O2324">
        <v>0</v>
      </c>
      <c r="P2324">
        <v>0</v>
      </c>
      <c r="Q2324">
        <v>0</v>
      </c>
      <c r="S2324">
        <v>9</v>
      </c>
      <c r="T2324">
        <v>73</v>
      </c>
      <c r="U2324">
        <v>3</v>
      </c>
      <c r="W2324" t="s">
        <v>346</v>
      </c>
    </row>
    <row r="2325" spans="1:23" x14ac:dyDescent="0.35">
      <c r="A2325" t="s">
        <v>45</v>
      </c>
      <c r="B2325" t="s">
        <v>4739</v>
      </c>
      <c r="C2325" t="s">
        <v>60</v>
      </c>
      <c r="D2325" t="s">
        <v>64</v>
      </c>
      <c r="E2325" t="s">
        <v>64</v>
      </c>
      <c r="F2325" t="s">
        <v>49</v>
      </c>
      <c r="G2325" t="s">
        <v>4796</v>
      </c>
      <c r="H2325" t="s">
        <v>4797</v>
      </c>
      <c r="J2325" t="str">
        <f>HYPERLINK("https://www.facebook.com/634639855377280/posts/784211473753450?comment_id=1009195410636117&amp;reply_comment_id=649643073878633","https://www.facebook.com/634639855377280/posts/784211473753450?comment_id=1009195410636117&amp;reply_comment_id=649643073878633")</f>
        <v>https://www.facebook.com/634639855377280/posts/784211473753450?comment_id=1009195410636117&amp;reply_comment_id=649643073878633</v>
      </c>
      <c r="K2325" t="s">
        <v>67</v>
      </c>
      <c r="O2325">
        <v>0</v>
      </c>
      <c r="P2325">
        <v>0</v>
      </c>
      <c r="Q2325">
        <v>0</v>
      </c>
      <c r="S2325">
        <v>0</v>
      </c>
      <c r="T2325">
        <v>0</v>
      </c>
      <c r="U2325">
        <v>0</v>
      </c>
      <c r="W2325" t="s">
        <v>52</v>
      </c>
    </row>
    <row r="2326" spans="1:23" x14ac:dyDescent="0.35">
      <c r="A2326" t="s">
        <v>45</v>
      </c>
      <c r="B2326" t="s">
        <v>4739</v>
      </c>
      <c r="C2326" t="s">
        <v>60</v>
      </c>
      <c r="D2326" t="s">
        <v>64</v>
      </c>
      <c r="E2326" t="s">
        <v>64</v>
      </c>
      <c r="F2326" t="s">
        <v>49</v>
      </c>
      <c r="G2326" t="s">
        <v>4798</v>
      </c>
      <c r="H2326" t="s">
        <v>4799</v>
      </c>
      <c r="J2326" t="str">
        <f>HYPERLINK("https://www.facebook.com/634639855377280/posts/784740367033894?comment_id=3699262676980605&amp;reply_comment_id=273063729137246","https://www.facebook.com/634639855377280/posts/784740367033894?comment_id=3699262676980605&amp;reply_comment_id=273063729137246")</f>
        <v>https://www.facebook.com/634639855377280/posts/784740367033894?comment_id=3699262676980605&amp;reply_comment_id=273063729137246</v>
      </c>
      <c r="K2326" t="s">
        <v>67</v>
      </c>
      <c r="O2326">
        <v>0</v>
      </c>
      <c r="P2326">
        <v>0</v>
      </c>
      <c r="Q2326">
        <v>0</v>
      </c>
      <c r="S2326">
        <v>0</v>
      </c>
      <c r="T2326">
        <v>0</v>
      </c>
      <c r="U2326">
        <v>0</v>
      </c>
      <c r="W2326" t="s">
        <v>52</v>
      </c>
    </row>
    <row r="2327" spans="1:23" x14ac:dyDescent="0.35">
      <c r="A2327" t="s">
        <v>45</v>
      </c>
      <c r="B2327" t="s">
        <v>4739</v>
      </c>
      <c r="C2327" t="s">
        <v>60</v>
      </c>
      <c r="D2327" t="s">
        <v>64</v>
      </c>
      <c r="E2327" t="s">
        <v>64</v>
      </c>
      <c r="F2327" t="s">
        <v>49</v>
      </c>
      <c r="G2327" t="s">
        <v>100</v>
      </c>
      <c r="H2327" t="s">
        <v>4800</v>
      </c>
      <c r="J2327" t="str">
        <f>HYPERLINK("https://www.facebook.com/634639855377280/posts/784211473753450?comment_id=1743491182830858&amp;reply_comment_id=1826293377822175","https://www.facebook.com/634639855377280/posts/784211473753450?comment_id=1743491182830858&amp;reply_comment_id=1826293377822175")</f>
        <v>https://www.facebook.com/634639855377280/posts/784211473753450?comment_id=1743491182830858&amp;reply_comment_id=1826293377822175</v>
      </c>
      <c r="K2327" t="s">
        <v>67</v>
      </c>
      <c r="O2327">
        <v>0</v>
      </c>
      <c r="P2327">
        <v>0</v>
      </c>
      <c r="Q2327">
        <v>0</v>
      </c>
      <c r="S2327">
        <v>0</v>
      </c>
      <c r="T2327">
        <v>0</v>
      </c>
      <c r="U2327">
        <v>0</v>
      </c>
      <c r="W2327" t="s">
        <v>52</v>
      </c>
    </row>
    <row r="2328" spans="1:23" x14ac:dyDescent="0.35">
      <c r="A2328" t="s">
        <v>45</v>
      </c>
      <c r="B2328" t="s">
        <v>4739</v>
      </c>
      <c r="C2328" t="s">
        <v>60</v>
      </c>
      <c r="D2328" t="s">
        <v>61</v>
      </c>
      <c r="E2328" t="s">
        <v>61</v>
      </c>
      <c r="F2328" t="s">
        <v>49</v>
      </c>
      <c r="G2328" t="s">
        <v>4801</v>
      </c>
      <c r="H2328" t="s">
        <v>4802</v>
      </c>
      <c r="J2328" t="str">
        <f>HYPERLINK("https://www.facebook.com/634639855377280/posts/784740367033894?comment_id=3699262676980605","https://www.facebook.com/634639855377280/posts/784740367033894?comment_id=3699262676980605")</f>
        <v>https://www.facebook.com/634639855377280/posts/784740367033894?comment_id=3699262676980605</v>
      </c>
      <c r="O2328">
        <v>0</v>
      </c>
      <c r="P2328">
        <v>0</v>
      </c>
      <c r="Q2328">
        <v>0</v>
      </c>
      <c r="S2328">
        <v>0</v>
      </c>
      <c r="T2328">
        <v>0</v>
      </c>
      <c r="U2328">
        <v>0</v>
      </c>
      <c r="W2328" t="s">
        <v>52</v>
      </c>
    </row>
    <row r="2329" spans="1:23" x14ac:dyDescent="0.35">
      <c r="A2329" t="s">
        <v>45</v>
      </c>
      <c r="B2329" t="s">
        <v>4739</v>
      </c>
      <c r="C2329" t="s">
        <v>60</v>
      </c>
      <c r="D2329" t="s">
        <v>61</v>
      </c>
      <c r="E2329" t="s">
        <v>61</v>
      </c>
      <c r="F2329" t="s">
        <v>193</v>
      </c>
      <c r="G2329" t="s">
        <v>4803</v>
      </c>
      <c r="H2329" t="s">
        <v>4804</v>
      </c>
      <c r="J2329" t="str">
        <f>HYPERLINK("https://www.facebook.com/634639855377280/posts/784211473753450?comment_id=1743491182830858","https://www.facebook.com/634639855377280/posts/784211473753450?comment_id=1743491182830858")</f>
        <v>https://www.facebook.com/634639855377280/posts/784211473753450?comment_id=1743491182830858</v>
      </c>
      <c r="O2329">
        <v>0</v>
      </c>
      <c r="P2329">
        <v>0</v>
      </c>
      <c r="Q2329">
        <v>0</v>
      </c>
      <c r="S2329">
        <v>0</v>
      </c>
      <c r="T2329">
        <v>0</v>
      </c>
      <c r="U2329">
        <v>0</v>
      </c>
      <c r="W2329" t="s">
        <v>52</v>
      </c>
    </row>
    <row r="2330" spans="1:23" x14ac:dyDescent="0.35">
      <c r="A2330" t="s">
        <v>45</v>
      </c>
      <c r="B2330" t="s">
        <v>4739</v>
      </c>
      <c r="C2330" t="s">
        <v>60</v>
      </c>
      <c r="D2330" t="s">
        <v>61</v>
      </c>
      <c r="E2330" t="s">
        <v>61</v>
      </c>
      <c r="F2330" t="s">
        <v>193</v>
      </c>
      <c r="G2330" t="s">
        <v>4803</v>
      </c>
      <c r="H2330" t="s">
        <v>4805</v>
      </c>
      <c r="J2330" t="str">
        <f>HYPERLINK("https://www.facebook.com/634639855377280/posts/784740367033894?comment_id=1353966166000922","https://www.facebook.com/634639855377280/posts/784740367033894?comment_id=1353966166000922")</f>
        <v>https://www.facebook.com/634639855377280/posts/784740367033894?comment_id=1353966166000922</v>
      </c>
      <c r="O2330">
        <v>0</v>
      </c>
      <c r="P2330">
        <v>0</v>
      </c>
      <c r="Q2330">
        <v>0</v>
      </c>
      <c r="S2330">
        <v>0</v>
      </c>
      <c r="T2330">
        <v>0</v>
      </c>
      <c r="U2330">
        <v>0</v>
      </c>
      <c r="W2330" t="s">
        <v>52</v>
      </c>
    </row>
    <row r="2331" spans="1:23" x14ac:dyDescent="0.35">
      <c r="A2331" t="s">
        <v>45</v>
      </c>
      <c r="B2331" t="s">
        <v>4739</v>
      </c>
      <c r="C2331" t="s">
        <v>60</v>
      </c>
      <c r="D2331" t="s">
        <v>61</v>
      </c>
      <c r="E2331" t="s">
        <v>61</v>
      </c>
      <c r="F2331" t="s">
        <v>49</v>
      </c>
      <c r="G2331" t="s">
        <v>4806</v>
      </c>
      <c r="H2331" t="s">
        <v>4807</v>
      </c>
      <c r="J2331" t="str">
        <f>HYPERLINK("https://www.facebook.com/634639855377280/posts/784211473753450?comment_id=345215185155855","https://www.facebook.com/634639855377280/posts/784211473753450?comment_id=345215185155855")</f>
        <v>https://www.facebook.com/634639855377280/posts/784211473753450?comment_id=345215185155855</v>
      </c>
      <c r="O2331">
        <v>0</v>
      </c>
      <c r="P2331">
        <v>0</v>
      </c>
      <c r="Q2331">
        <v>0</v>
      </c>
      <c r="S2331">
        <v>0</v>
      </c>
      <c r="T2331">
        <v>0</v>
      </c>
      <c r="U2331">
        <v>0</v>
      </c>
      <c r="W2331" t="s">
        <v>52</v>
      </c>
    </row>
    <row r="2332" spans="1:23" x14ac:dyDescent="0.35">
      <c r="A2332" t="s">
        <v>45</v>
      </c>
      <c r="B2332" t="s">
        <v>4739</v>
      </c>
      <c r="C2332" t="s">
        <v>60</v>
      </c>
      <c r="D2332" t="s">
        <v>61</v>
      </c>
      <c r="E2332" t="s">
        <v>61</v>
      </c>
      <c r="F2332" t="s">
        <v>49</v>
      </c>
      <c r="G2332" t="s">
        <v>4808</v>
      </c>
      <c r="H2332" t="s">
        <v>4809</v>
      </c>
      <c r="J2332" t="str">
        <f>HYPERLINK("https://www.facebook.com/634639855377280/posts/784211473753450?comment_id=1009195410636117","https://www.facebook.com/634639855377280/posts/784211473753450?comment_id=1009195410636117")</f>
        <v>https://www.facebook.com/634639855377280/posts/784211473753450?comment_id=1009195410636117</v>
      </c>
      <c r="O2332">
        <v>0</v>
      </c>
      <c r="P2332">
        <v>0</v>
      </c>
      <c r="Q2332">
        <v>0</v>
      </c>
      <c r="S2332">
        <v>0</v>
      </c>
      <c r="T2332">
        <v>0</v>
      </c>
      <c r="U2332">
        <v>0</v>
      </c>
      <c r="W2332" t="s">
        <v>52</v>
      </c>
    </row>
    <row r="2333" spans="1:23" x14ac:dyDescent="0.35">
      <c r="A2333" t="s">
        <v>45</v>
      </c>
      <c r="B2333" t="s">
        <v>4739</v>
      </c>
      <c r="C2333" t="s">
        <v>60</v>
      </c>
      <c r="D2333" t="s">
        <v>64</v>
      </c>
      <c r="E2333" t="s">
        <v>64</v>
      </c>
      <c r="F2333" t="s">
        <v>49</v>
      </c>
      <c r="G2333" t="s">
        <v>4043</v>
      </c>
      <c r="H2333" t="s">
        <v>4810</v>
      </c>
      <c r="J2333" t="str">
        <f>HYPERLINK("https://www.facebook.com/634639855377280/posts/784211473753450?comment_id=2694006020755565&amp;reply_comment_id=251554944559780","https://www.facebook.com/634639855377280/posts/784211473753450?comment_id=2694006020755565&amp;reply_comment_id=251554944559780")</f>
        <v>https://www.facebook.com/634639855377280/posts/784211473753450?comment_id=2694006020755565&amp;reply_comment_id=251554944559780</v>
      </c>
      <c r="K2333" t="s">
        <v>67</v>
      </c>
      <c r="O2333">
        <v>0</v>
      </c>
      <c r="P2333">
        <v>0</v>
      </c>
      <c r="Q2333">
        <v>0</v>
      </c>
      <c r="S2333">
        <v>0</v>
      </c>
      <c r="T2333">
        <v>0</v>
      </c>
      <c r="U2333">
        <v>0</v>
      </c>
      <c r="W2333" t="s">
        <v>52</v>
      </c>
    </row>
    <row r="2334" spans="1:23" x14ac:dyDescent="0.35">
      <c r="A2334" t="s">
        <v>45</v>
      </c>
      <c r="B2334" t="s">
        <v>4739</v>
      </c>
      <c r="C2334" t="s">
        <v>60</v>
      </c>
      <c r="D2334" t="s">
        <v>64</v>
      </c>
      <c r="E2334" t="s">
        <v>64</v>
      </c>
      <c r="F2334" t="s">
        <v>49</v>
      </c>
      <c r="G2334" t="s">
        <v>4043</v>
      </c>
      <c r="H2334" t="s">
        <v>4811</v>
      </c>
      <c r="J2334" t="str">
        <f>HYPERLINK("https://www.facebook.com/634639855377280/posts/784211473753450?comment_id=376624185065204&amp;reply_comment_id=889455462826374","https://www.facebook.com/634639855377280/posts/784211473753450?comment_id=376624185065204&amp;reply_comment_id=889455462826374")</f>
        <v>https://www.facebook.com/634639855377280/posts/784211473753450?comment_id=376624185065204&amp;reply_comment_id=889455462826374</v>
      </c>
      <c r="K2334" t="s">
        <v>67</v>
      </c>
      <c r="O2334">
        <v>0</v>
      </c>
      <c r="P2334">
        <v>0</v>
      </c>
      <c r="Q2334">
        <v>0</v>
      </c>
      <c r="S2334">
        <v>0</v>
      </c>
      <c r="T2334">
        <v>0</v>
      </c>
      <c r="U2334">
        <v>0</v>
      </c>
      <c r="W2334" t="s">
        <v>52</v>
      </c>
    </row>
    <row r="2335" spans="1:23" x14ac:dyDescent="0.35">
      <c r="A2335" t="s">
        <v>45</v>
      </c>
      <c r="B2335" t="s">
        <v>4739</v>
      </c>
      <c r="C2335" t="s">
        <v>93</v>
      </c>
      <c r="D2335" t="s">
        <v>94</v>
      </c>
      <c r="E2335" t="s">
        <v>45</v>
      </c>
      <c r="F2335" t="s">
        <v>49</v>
      </c>
      <c r="G2335" t="s">
        <v>4812</v>
      </c>
      <c r="H2335" t="s">
        <v>4813</v>
      </c>
      <c r="J2335" t="str">
        <f>HYPERLINK("https://twitter.com/SpiceMoneyIndia/status/1754357706738028617","https://twitter.com/SpiceMoneyIndia/status/1754357706738028617")</f>
        <v>https://twitter.com/SpiceMoneyIndia/status/1754357706738028617</v>
      </c>
      <c r="K2335" t="s">
        <v>67</v>
      </c>
      <c r="O2335">
        <v>0</v>
      </c>
      <c r="P2335">
        <v>0</v>
      </c>
      <c r="Q2335">
        <v>6020</v>
      </c>
      <c r="R2335" t="s">
        <v>97</v>
      </c>
      <c r="S2335">
        <v>0</v>
      </c>
      <c r="T2335">
        <v>0</v>
      </c>
      <c r="U2335">
        <v>0</v>
      </c>
      <c r="V2335" t="s">
        <v>98</v>
      </c>
      <c r="W2335" t="s">
        <v>99</v>
      </c>
    </row>
    <row r="2336" spans="1:23" x14ac:dyDescent="0.35">
      <c r="A2336" t="s">
        <v>45</v>
      </c>
      <c r="B2336" t="s">
        <v>4739</v>
      </c>
      <c r="C2336" t="s">
        <v>93</v>
      </c>
      <c r="D2336" t="s">
        <v>94</v>
      </c>
      <c r="E2336" t="s">
        <v>45</v>
      </c>
      <c r="F2336" t="s">
        <v>49</v>
      </c>
      <c r="G2336" t="s">
        <v>4814</v>
      </c>
      <c r="H2336" t="s">
        <v>4815</v>
      </c>
      <c r="J2336" t="str">
        <f>HYPERLINK("https://twitter.com/SpiceMoneyIndia/status/1754356939604082964","https://twitter.com/SpiceMoneyIndia/status/1754356939604082964")</f>
        <v>https://twitter.com/SpiceMoneyIndia/status/1754356939604082964</v>
      </c>
      <c r="K2336" t="s">
        <v>67</v>
      </c>
      <c r="O2336">
        <v>0</v>
      </c>
      <c r="P2336">
        <v>0</v>
      </c>
      <c r="Q2336">
        <v>6020</v>
      </c>
      <c r="R2336" t="s">
        <v>97</v>
      </c>
      <c r="S2336">
        <v>0</v>
      </c>
      <c r="T2336">
        <v>0</v>
      </c>
      <c r="U2336">
        <v>0</v>
      </c>
      <c r="V2336" t="s">
        <v>98</v>
      </c>
      <c r="W2336" t="s">
        <v>99</v>
      </c>
    </row>
    <row r="2337" spans="1:23" x14ac:dyDescent="0.35">
      <c r="A2337" t="s">
        <v>45</v>
      </c>
      <c r="B2337" t="s">
        <v>4739</v>
      </c>
      <c r="C2337" t="s">
        <v>60</v>
      </c>
      <c r="D2337" t="s">
        <v>64</v>
      </c>
      <c r="E2337" t="s">
        <v>64</v>
      </c>
      <c r="F2337" t="s">
        <v>49</v>
      </c>
      <c r="G2337" t="s">
        <v>1276</v>
      </c>
      <c r="H2337" t="s">
        <v>4816</v>
      </c>
      <c r="J2337" t="str">
        <f>HYPERLINK("https://www.facebook.com/634639855377280/posts/784211473753450?comment_id=707864331165088&amp;reply_comment_id=920884419701595","https://www.facebook.com/634639855377280/posts/784211473753450?comment_id=707864331165088&amp;reply_comment_id=920884419701595")</f>
        <v>https://www.facebook.com/634639855377280/posts/784211473753450?comment_id=707864331165088&amp;reply_comment_id=920884419701595</v>
      </c>
      <c r="K2337" t="s">
        <v>67</v>
      </c>
      <c r="O2337">
        <v>0</v>
      </c>
      <c r="P2337">
        <v>0</v>
      </c>
      <c r="Q2337">
        <v>0</v>
      </c>
      <c r="S2337">
        <v>0</v>
      </c>
      <c r="T2337">
        <v>0</v>
      </c>
      <c r="U2337">
        <v>0</v>
      </c>
      <c r="W2337" t="s">
        <v>52</v>
      </c>
    </row>
    <row r="2338" spans="1:23" x14ac:dyDescent="0.35">
      <c r="A2338" t="s">
        <v>45</v>
      </c>
      <c r="B2338" t="s">
        <v>4739</v>
      </c>
      <c r="C2338" t="s">
        <v>60</v>
      </c>
      <c r="D2338" t="s">
        <v>64</v>
      </c>
      <c r="E2338" t="s">
        <v>64</v>
      </c>
      <c r="F2338" t="s">
        <v>49</v>
      </c>
      <c r="G2338" t="s">
        <v>380</v>
      </c>
      <c r="H2338" t="s">
        <v>4817</v>
      </c>
      <c r="J2338" t="str">
        <f>HYPERLINK("https://www.facebook.com/634639855377280/posts/783619057146025?comment_id=1281475866589141&amp;reply_comment_id=3622680281383174","https://www.facebook.com/634639855377280/posts/783619057146025?comment_id=1281475866589141&amp;reply_comment_id=3622680281383174")</f>
        <v>https://www.facebook.com/634639855377280/posts/783619057146025?comment_id=1281475866589141&amp;reply_comment_id=3622680281383174</v>
      </c>
      <c r="K2338" t="s">
        <v>67</v>
      </c>
      <c r="O2338">
        <v>0</v>
      </c>
      <c r="P2338">
        <v>0</v>
      </c>
      <c r="Q2338">
        <v>0</v>
      </c>
      <c r="S2338">
        <v>0</v>
      </c>
      <c r="T2338">
        <v>0</v>
      </c>
      <c r="U2338">
        <v>0</v>
      </c>
      <c r="W2338" t="s">
        <v>52</v>
      </c>
    </row>
    <row r="2339" spans="1:23" x14ac:dyDescent="0.35">
      <c r="A2339" t="s">
        <v>45</v>
      </c>
      <c r="B2339" t="s">
        <v>4739</v>
      </c>
      <c r="C2339" t="s">
        <v>93</v>
      </c>
      <c r="D2339" t="s">
        <v>94</v>
      </c>
      <c r="E2339" t="s">
        <v>45</v>
      </c>
      <c r="F2339" t="s">
        <v>49</v>
      </c>
      <c r="G2339" t="s">
        <v>4818</v>
      </c>
      <c r="H2339" t="s">
        <v>4819</v>
      </c>
      <c r="J2339" t="str">
        <f>HYPERLINK("https://twitter.com/SpiceMoneyIndia/status/1754355323979153641","https://twitter.com/SpiceMoneyIndia/status/1754355323979153641")</f>
        <v>https://twitter.com/SpiceMoneyIndia/status/1754355323979153641</v>
      </c>
      <c r="K2339" t="s">
        <v>67</v>
      </c>
      <c r="O2339">
        <v>0</v>
      </c>
      <c r="P2339">
        <v>0</v>
      </c>
      <c r="Q2339">
        <v>6020</v>
      </c>
      <c r="R2339" t="s">
        <v>97</v>
      </c>
      <c r="S2339">
        <v>0</v>
      </c>
      <c r="T2339">
        <v>0</v>
      </c>
      <c r="U2339">
        <v>0</v>
      </c>
      <c r="V2339" t="s">
        <v>98</v>
      </c>
      <c r="W2339" t="s">
        <v>99</v>
      </c>
    </row>
    <row r="2340" spans="1:23" x14ac:dyDescent="0.35">
      <c r="A2340" t="s">
        <v>45</v>
      </c>
      <c r="B2340" t="s">
        <v>4739</v>
      </c>
      <c r="C2340" t="s">
        <v>60</v>
      </c>
      <c r="D2340" t="s">
        <v>64</v>
      </c>
      <c r="E2340" t="s">
        <v>64</v>
      </c>
      <c r="F2340" t="s">
        <v>49</v>
      </c>
      <c r="G2340" t="s">
        <v>380</v>
      </c>
      <c r="H2340" t="s">
        <v>4820</v>
      </c>
      <c r="J2340" t="str">
        <f>HYPERLINK("https://www.facebook.com/634639855377280/posts/784211473753450?comment_id=962346821905242&amp;reply_comment_id=1749487938893926","https://www.facebook.com/634639855377280/posts/784211473753450?comment_id=962346821905242&amp;reply_comment_id=1749487938893926")</f>
        <v>https://www.facebook.com/634639855377280/posts/784211473753450?comment_id=962346821905242&amp;reply_comment_id=1749487938893926</v>
      </c>
      <c r="K2340" t="s">
        <v>67</v>
      </c>
      <c r="O2340">
        <v>0</v>
      </c>
      <c r="P2340">
        <v>0</v>
      </c>
      <c r="Q2340">
        <v>0</v>
      </c>
      <c r="S2340">
        <v>0</v>
      </c>
      <c r="T2340">
        <v>0</v>
      </c>
      <c r="U2340">
        <v>0</v>
      </c>
      <c r="W2340" t="s">
        <v>52</v>
      </c>
    </row>
    <row r="2341" spans="1:23" x14ac:dyDescent="0.35">
      <c r="A2341" t="s">
        <v>45</v>
      </c>
      <c r="B2341" t="s">
        <v>4739</v>
      </c>
      <c r="C2341" t="s">
        <v>60</v>
      </c>
      <c r="D2341" t="s">
        <v>64</v>
      </c>
      <c r="E2341" t="s">
        <v>64</v>
      </c>
      <c r="F2341" t="s">
        <v>49</v>
      </c>
      <c r="G2341" t="s">
        <v>1595</v>
      </c>
      <c r="H2341" t="s">
        <v>4821</v>
      </c>
      <c r="J2341" t="str">
        <f>HYPERLINK("https://www.facebook.com/634639855377280/posts/784211473753450?comment_id=408460185077675&amp;reply_comment_id=1136825100819358","https://www.facebook.com/634639855377280/posts/784211473753450?comment_id=408460185077675&amp;reply_comment_id=1136825100819358")</f>
        <v>https://www.facebook.com/634639855377280/posts/784211473753450?comment_id=408460185077675&amp;reply_comment_id=1136825100819358</v>
      </c>
      <c r="K2341" t="s">
        <v>67</v>
      </c>
      <c r="O2341">
        <v>0</v>
      </c>
      <c r="P2341">
        <v>0</v>
      </c>
      <c r="Q2341">
        <v>0</v>
      </c>
      <c r="S2341">
        <v>0</v>
      </c>
      <c r="T2341">
        <v>0</v>
      </c>
      <c r="U2341">
        <v>0</v>
      </c>
      <c r="W2341" t="s">
        <v>52</v>
      </c>
    </row>
    <row r="2342" spans="1:23" x14ac:dyDescent="0.35">
      <c r="A2342" t="s">
        <v>45</v>
      </c>
      <c r="B2342" t="s">
        <v>4739</v>
      </c>
      <c r="C2342" t="s">
        <v>60</v>
      </c>
      <c r="D2342" t="s">
        <v>64</v>
      </c>
      <c r="E2342" t="s">
        <v>64</v>
      </c>
      <c r="F2342" t="s">
        <v>49</v>
      </c>
      <c r="G2342" t="s">
        <v>454</v>
      </c>
      <c r="H2342" t="s">
        <v>4822</v>
      </c>
      <c r="J2342" t="str">
        <f>HYPERLINK("https://www.facebook.com/634639855377280/posts/782513537256577?comment_id=933455615168032&amp;reply_comment_id=767182914829556","https://www.facebook.com/634639855377280/posts/782513537256577?comment_id=933455615168032&amp;reply_comment_id=767182914829556")</f>
        <v>https://www.facebook.com/634639855377280/posts/782513537256577?comment_id=933455615168032&amp;reply_comment_id=767182914829556</v>
      </c>
      <c r="K2342" t="s">
        <v>67</v>
      </c>
      <c r="O2342">
        <v>0</v>
      </c>
      <c r="P2342">
        <v>0</v>
      </c>
      <c r="Q2342">
        <v>0</v>
      </c>
      <c r="S2342">
        <v>0</v>
      </c>
      <c r="T2342">
        <v>0</v>
      </c>
      <c r="U2342">
        <v>0</v>
      </c>
      <c r="W2342" t="s">
        <v>52</v>
      </c>
    </row>
    <row r="2343" spans="1:23" x14ac:dyDescent="0.35">
      <c r="A2343" t="s">
        <v>45</v>
      </c>
      <c r="B2343" t="s">
        <v>4739</v>
      </c>
      <c r="C2343" t="s">
        <v>60</v>
      </c>
      <c r="D2343" t="s">
        <v>64</v>
      </c>
      <c r="E2343" t="s">
        <v>64</v>
      </c>
      <c r="F2343" t="s">
        <v>49</v>
      </c>
      <c r="G2343" t="s">
        <v>83</v>
      </c>
      <c r="H2343" t="s">
        <v>4823</v>
      </c>
      <c r="J2343" t="str">
        <f>HYPERLINK("https://www.facebook.com/634639855377280/posts/784211473753450?comment_id=1306543226668108&amp;reply_comment_id=1520561568738210","https://www.facebook.com/634639855377280/posts/784211473753450?comment_id=1306543226668108&amp;reply_comment_id=1520561568738210")</f>
        <v>https://www.facebook.com/634639855377280/posts/784211473753450?comment_id=1306543226668108&amp;reply_comment_id=1520561568738210</v>
      </c>
      <c r="K2343" t="s">
        <v>67</v>
      </c>
      <c r="O2343">
        <v>0</v>
      </c>
      <c r="P2343">
        <v>0</v>
      </c>
      <c r="Q2343">
        <v>0</v>
      </c>
      <c r="S2343">
        <v>0</v>
      </c>
      <c r="T2343">
        <v>0</v>
      </c>
      <c r="U2343">
        <v>0</v>
      </c>
      <c r="W2343" t="s">
        <v>52</v>
      </c>
    </row>
    <row r="2344" spans="1:23" x14ac:dyDescent="0.35">
      <c r="A2344" t="s">
        <v>45</v>
      </c>
      <c r="B2344" t="s">
        <v>4739</v>
      </c>
      <c r="C2344" t="s">
        <v>93</v>
      </c>
      <c r="D2344" t="s">
        <v>94</v>
      </c>
      <c r="E2344" t="s">
        <v>45</v>
      </c>
      <c r="F2344" t="s">
        <v>49</v>
      </c>
      <c r="G2344" t="s">
        <v>4824</v>
      </c>
      <c r="H2344" t="s">
        <v>4825</v>
      </c>
      <c r="J2344" t="str">
        <f>HYPERLINK("https://twitter.com/SpiceMoneyIndia/status/1754353769679081478","https://twitter.com/SpiceMoneyIndia/status/1754353769679081478")</f>
        <v>https://twitter.com/SpiceMoneyIndia/status/1754353769679081478</v>
      </c>
      <c r="K2344" t="s">
        <v>67</v>
      </c>
      <c r="O2344">
        <v>0</v>
      </c>
      <c r="P2344">
        <v>0</v>
      </c>
      <c r="Q2344">
        <v>6020</v>
      </c>
      <c r="R2344" t="s">
        <v>97</v>
      </c>
      <c r="S2344">
        <v>0</v>
      </c>
      <c r="T2344">
        <v>0</v>
      </c>
      <c r="U2344">
        <v>0</v>
      </c>
      <c r="V2344" t="s">
        <v>98</v>
      </c>
      <c r="W2344" t="s">
        <v>99</v>
      </c>
    </row>
    <row r="2345" spans="1:23" x14ac:dyDescent="0.35">
      <c r="A2345" t="s">
        <v>45</v>
      </c>
      <c r="B2345" t="s">
        <v>4739</v>
      </c>
      <c r="C2345" t="s">
        <v>47</v>
      </c>
      <c r="D2345" t="s">
        <v>68</v>
      </c>
      <c r="E2345" t="s">
        <v>68</v>
      </c>
      <c r="F2345" t="s">
        <v>49</v>
      </c>
      <c r="G2345" t="s">
        <v>102</v>
      </c>
      <c r="H2345" t="s">
        <v>4826</v>
      </c>
      <c r="J2345" t="str">
        <f>HYPERLINK("https://www.youtube.com/watch?v=WaMpsC52CdI&amp;lc=Ugxn2oujHWtOw_HBCQ94AaABAg.A-QF9_AXhusA-QOqQD24zM","https://www.youtube.com/watch?v=WaMpsC52CdI&amp;lc=Ugxn2oujHWtOw_HBCQ94AaABAg.A-QF9_AXhusA-QOqQD24zM")</f>
        <v>https://www.youtube.com/watch?v=WaMpsC52CdI&amp;lc=Ugxn2oujHWtOw_HBCQ94AaABAg.A-QF9_AXhusA-QOqQD24zM</v>
      </c>
      <c r="O2345">
        <v>0</v>
      </c>
      <c r="P2345">
        <v>0</v>
      </c>
      <c r="Q2345">
        <v>0</v>
      </c>
      <c r="S2345">
        <v>0</v>
      </c>
      <c r="T2345">
        <v>0</v>
      </c>
      <c r="U2345">
        <v>0</v>
      </c>
      <c r="W2345" t="s">
        <v>52</v>
      </c>
    </row>
    <row r="2346" spans="1:23" x14ac:dyDescent="0.35">
      <c r="A2346" t="s">
        <v>45</v>
      </c>
      <c r="B2346" t="s">
        <v>4739</v>
      </c>
      <c r="C2346" t="s">
        <v>47</v>
      </c>
      <c r="D2346" t="s">
        <v>68</v>
      </c>
      <c r="E2346" t="s">
        <v>68</v>
      </c>
      <c r="F2346" t="s">
        <v>49</v>
      </c>
      <c r="G2346" t="s">
        <v>102</v>
      </c>
      <c r="H2346" t="s">
        <v>4827</v>
      </c>
      <c r="J2346" t="str">
        <f>HYPERLINK("https://www.youtube.com/watch?v=2FEM1kunPCQ&amp;lc=UgwOEGq0HHsdHbZfjEd4AaABAg.A-PMu8mXQeiA-QOg3697tU","https://www.youtube.com/watch?v=2FEM1kunPCQ&amp;lc=UgwOEGq0HHsdHbZfjEd4AaABAg.A-PMu8mXQeiA-QOg3697tU")</f>
        <v>https://www.youtube.com/watch?v=2FEM1kunPCQ&amp;lc=UgwOEGq0HHsdHbZfjEd4AaABAg.A-PMu8mXQeiA-QOg3697tU</v>
      </c>
      <c r="O2346">
        <v>0</v>
      </c>
      <c r="P2346">
        <v>0</v>
      </c>
      <c r="Q2346">
        <v>0</v>
      </c>
      <c r="S2346">
        <v>0</v>
      </c>
      <c r="T2346">
        <v>0</v>
      </c>
      <c r="U2346">
        <v>0</v>
      </c>
      <c r="W2346" t="s">
        <v>52</v>
      </c>
    </row>
    <row r="2347" spans="1:23" x14ac:dyDescent="0.35">
      <c r="A2347" t="s">
        <v>45</v>
      </c>
      <c r="B2347" t="s">
        <v>4739</v>
      </c>
      <c r="C2347" t="s">
        <v>47</v>
      </c>
      <c r="D2347" t="s">
        <v>68</v>
      </c>
      <c r="E2347" t="s">
        <v>68</v>
      </c>
      <c r="F2347" t="s">
        <v>49</v>
      </c>
      <c r="G2347" t="s">
        <v>280</v>
      </c>
      <c r="H2347" t="s">
        <v>4828</v>
      </c>
      <c r="J2347" t="str">
        <f>HYPERLINK("https://www.youtube.com/watch?v=PXJLS73XiVw&amp;lc=UgzgzcDbIgoONUBs2eJ4AaABAg.A-OUNZQ15qUA-QOK9aBoii","https://www.youtube.com/watch?v=PXJLS73XiVw&amp;lc=UgzgzcDbIgoONUBs2eJ4AaABAg.A-OUNZQ15qUA-QOK9aBoii")</f>
        <v>https://www.youtube.com/watch?v=PXJLS73XiVw&amp;lc=UgzgzcDbIgoONUBs2eJ4AaABAg.A-OUNZQ15qUA-QOK9aBoii</v>
      </c>
      <c r="O2347">
        <v>0</v>
      </c>
      <c r="P2347">
        <v>0</v>
      </c>
      <c r="Q2347">
        <v>0</v>
      </c>
      <c r="S2347">
        <v>0</v>
      </c>
      <c r="T2347">
        <v>0</v>
      </c>
      <c r="U2347">
        <v>0</v>
      </c>
      <c r="W2347" t="s">
        <v>52</v>
      </c>
    </row>
    <row r="2348" spans="1:23" x14ac:dyDescent="0.35">
      <c r="A2348" t="s">
        <v>45</v>
      </c>
      <c r="B2348" t="s">
        <v>4739</v>
      </c>
      <c r="C2348" t="s">
        <v>60</v>
      </c>
      <c r="D2348" t="s">
        <v>61</v>
      </c>
      <c r="E2348" t="s">
        <v>61</v>
      </c>
      <c r="F2348" t="s">
        <v>49</v>
      </c>
      <c r="G2348" t="s">
        <v>4829</v>
      </c>
      <c r="H2348" t="s">
        <v>4830</v>
      </c>
      <c r="J2348" t="str">
        <f>HYPERLINK("https://www.facebook.com/634639855377280/posts/784211473753450?comment_id=330434849981168&amp;reply_comment_id=279002385200365","https://www.facebook.com/634639855377280/posts/784211473753450?comment_id=330434849981168&amp;reply_comment_id=279002385200365")</f>
        <v>https://www.facebook.com/634639855377280/posts/784211473753450?comment_id=330434849981168&amp;reply_comment_id=279002385200365</v>
      </c>
      <c r="O2348">
        <v>0</v>
      </c>
      <c r="P2348">
        <v>0</v>
      </c>
      <c r="Q2348">
        <v>0</v>
      </c>
      <c r="S2348">
        <v>0</v>
      </c>
      <c r="T2348">
        <v>0</v>
      </c>
      <c r="U2348">
        <v>0</v>
      </c>
      <c r="W2348" t="s">
        <v>52</v>
      </c>
    </row>
    <row r="2349" spans="1:23" x14ac:dyDescent="0.35">
      <c r="A2349" t="s">
        <v>45</v>
      </c>
      <c r="B2349" t="s">
        <v>4739</v>
      </c>
      <c r="C2349" t="s">
        <v>60</v>
      </c>
      <c r="D2349" t="s">
        <v>61</v>
      </c>
      <c r="E2349" t="s">
        <v>61</v>
      </c>
      <c r="F2349" t="s">
        <v>49</v>
      </c>
      <c r="G2349" t="s">
        <v>4831</v>
      </c>
      <c r="H2349" t="s">
        <v>4832</v>
      </c>
      <c r="J2349" t="str">
        <f>HYPERLINK("https://www.facebook.com/634639855377280/posts/784211473753450?comment_id=330434849981168&amp;reply_comment_id=1129961284840816","https://www.facebook.com/634639855377280/posts/784211473753450?comment_id=330434849981168&amp;reply_comment_id=1129961284840816")</f>
        <v>https://www.facebook.com/634639855377280/posts/784211473753450?comment_id=330434849981168&amp;reply_comment_id=1129961284840816</v>
      </c>
      <c r="O2349">
        <v>0</v>
      </c>
      <c r="P2349">
        <v>0</v>
      </c>
      <c r="Q2349">
        <v>0</v>
      </c>
      <c r="S2349">
        <v>0</v>
      </c>
      <c r="T2349">
        <v>0</v>
      </c>
      <c r="U2349">
        <v>0</v>
      </c>
      <c r="W2349" t="s">
        <v>52</v>
      </c>
    </row>
    <row r="2350" spans="1:23" x14ac:dyDescent="0.35">
      <c r="A2350" t="s">
        <v>45</v>
      </c>
      <c r="B2350" t="s">
        <v>4739</v>
      </c>
      <c r="C2350" t="s">
        <v>60</v>
      </c>
      <c r="D2350" t="s">
        <v>61</v>
      </c>
      <c r="E2350" t="s">
        <v>61</v>
      </c>
      <c r="F2350" t="s">
        <v>49</v>
      </c>
      <c r="G2350" t="s">
        <v>4833</v>
      </c>
      <c r="H2350" t="s">
        <v>4834</v>
      </c>
      <c r="J2350" t="str">
        <f>HYPERLINK("https://www.facebook.com/634639855377280/posts/784211473753450?comment_id=330434849981168&amp;reply_comment_id=1105470043913038","https://www.facebook.com/634639855377280/posts/784211473753450?comment_id=330434849981168&amp;reply_comment_id=1105470043913038")</f>
        <v>https://www.facebook.com/634639855377280/posts/784211473753450?comment_id=330434849981168&amp;reply_comment_id=1105470043913038</v>
      </c>
      <c r="O2350">
        <v>0</v>
      </c>
      <c r="P2350">
        <v>0</v>
      </c>
      <c r="Q2350">
        <v>0</v>
      </c>
      <c r="S2350">
        <v>0</v>
      </c>
      <c r="T2350">
        <v>0</v>
      </c>
      <c r="U2350">
        <v>0</v>
      </c>
      <c r="W2350" t="s">
        <v>52</v>
      </c>
    </row>
    <row r="2351" spans="1:23" x14ac:dyDescent="0.35">
      <c r="A2351" t="s">
        <v>45</v>
      </c>
      <c r="B2351" t="s">
        <v>4739</v>
      </c>
      <c r="C2351" t="s">
        <v>60</v>
      </c>
      <c r="D2351" t="s">
        <v>61</v>
      </c>
      <c r="E2351" t="s">
        <v>61</v>
      </c>
      <c r="F2351" t="s">
        <v>49</v>
      </c>
      <c r="G2351" t="s">
        <v>4835</v>
      </c>
      <c r="H2351" t="s">
        <v>4836</v>
      </c>
      <c r="J2351" t="str">
        <f>HYPERLINK("https://www.facebook.com/634639855377280/posts/784211473753450?comment_id=1306543226668108","https://www.facebook.com/634639855377280/posts/784211473753450?comment_id=1306543226668108")</f>
        <v>https://www.facebook.com/634639855377280/posts/784211473753450?comment_id=1306543226668108</v>
      </c>
      <c r="O2351">
        <v>0</v>
      </c>
      <c r="P2351">
        <v>0</v>
      </c>
      <c r="Q2351">
        <v>0</v>
      </c>
      <c r="S2351">
        <v>0</v>
      </c>
      <c r="T2351">
        <v>0</v>
      </c>
      <c r="U2351">
        <v>0</v>
      </c>
      <c r="W2351" t="s">
        <v>52</v>
      </c>
    </row>
    <row r="2352" spans="1:23" x14ac:dyDescent="0.35">
      <c r="A2352" t="s">
        <v>45</v>
      </c>
      <c r="B2352" t="s">
        <v>4739</v>
      </c>
      <c r="C2352" t="s">
        <v>47</v>
      </c>
      <c r="D2352" t="s">
        <v>4837</v>
      </c>
      <c r="E2352" t="s">
        <v>4837</v>
      </c>
      <c r="F2352" t="s">
        <v>49</v>
      </c>
      <c r="G2352" t="s">
        <v>4838</v>
      </c>
      <c r="H2352" t="s">
        <v>4839</v>
      </c>
      <c r="J2352" t="str">
        <f>HYPERLINK("https://www.youtube.com/watch?v=WaMpsC52CdI&amp;lc=Ugxn2oujHWtOw_HBCQ94AaABAg","https://www.youtube.com/watch?v=WaMpsC52CdI&amp;lc=Ugxn2oujHWtOw_HBCQ94AaABAg")</f>
        <v>https://www.youtube.com/watch?v=WaMpsC52CdI&amp;lc=Ugxn2oujHWtOw_HBCQ94AaABAg</v>
      </c>
      <c r="O2352">
        <v>0</v>
      </c>
      <c r="P2352">
        <v>0</v>
      </c>
      <c r="Q2352">
        <v>0</v>
      </c>
      <c r="S2352">
        <v>0</v>
      </c>
      <c r="T2352">
        <v>0</v>
      </c>
      <c r="U2352">
        <v>0</v>
      </c>
      <c r="W2352" t="s">
        <v>52</v>
      </c>
    </row>
    <row r="2353" spans="1:23" x14ac:dyDescent="0.35">
      <c r="A2353" t="s">
        <v>45</v>
      </c>
      <c r="B2353" t="s">
        <v>4739</v>
      </c>
      <c r="C2353" t="s">
        <v>60</v>
      </c>
      <c r="D2353" t="s">
        <v>61</v>
      </c>
      <c r="E2353" t="s">
        <v>61</v>
      </c>
      <c r="F2353" t="s">
        <v>49</v>
      </c>
      <c r="G2353" t="s">
        <v>4840</v>
      </c>
      <c r="H2353" t="s">
        <v>4841</v>
      </c>
      <c r="J2353" t="str">
        <f>HYPERLINK("https://www.facebook.com/634639855377280/posts/782513537256577?comment_id=6712208795551374","https://www.facebook.com/634639855377280/posts/782513537256577?comment_id=6712208795551374")</f>
        <v>https://www.facebook.com/634639855377280/posts/782513537256577?comment_id=6712208795551374</v>
      </c>
      <c r="O2353">
        <v>0</v>
      </c>
      <c r="P2353">
        <v>0</v>
      </c>
      <c r="Q2353">
        <v>0</v>
      </c>
      <c r="S2353">
        <v>0</v>
      </c>
      <c r="T2353">
        <v>0</v>
      </c>
      <c r="U2353">
        <v>0</v>
      </c>
      <c r="W2353" t="s">
        <v>52</v>
      </c>
    </row>
    <row r="2354" spans="1:23" x14ac:dyDescent="0.35">
      <c r="A2354" t="s">
        <v>45</v>
      </c>
      <c r="B2354" t="s">
        <v>4842</v>
      </c>
      <c r="C2354" t="s">
        <v>47</v>
      </c>
      <c r="D2354" t="s">
        <v>4843</v>
      </c>
      <c r="E2354" t="s">
        <v>4843</v>
      </c>
      <c r="F2354" t="s">
        <v>49</v>
      </c>
      <c r="G2354" t="s">
        <v>4844</v>
      </c>
      <c r="H2354" t="s">
        <v>4845</v>
      </c>
      <c r="J2354" t="str">
        <f>HYPERLINK("https://www.youtube.com/watch?v=2FEM1kunPCQ&amp;lc=UgwOEGq0HHsdHbZfjEd4AaABAg","https://www.youtube.com/watch?v=2FEM1kunPCQ&amp;lc=UgwOEGq0HHsdHbZfjEd4AaABAg")</f>
        <v>https://www.youtube.com/watch?v=2FEM1kunPCQ&amp;lc=UgwOEGq0HHsdHbZfjEd4AaABAg</v>
      </c>
      <c r="O2354">
        <v>0</v>
      </c>
      <c r="P2354">
        <v>0</v>
      </c>
      <c r="Q2354">
        <v>0</v>
      </c>
      <c r="S2354">
        <v>0</v>
      </c>
      <c r="T2354">
        <v>0</v>
      </c>
      <c r="U2354">
        <v>0</v>
      </c>
      <c r="W2354" t="s">
        <v>52</v>
      </c>
    </row>
    <row r="2355" spans="1:23" x14ac:dyDescent="0.35">
      <c r="A2355" t="s">
        <v>45</v>
      </c>
      <c r="B2355" t="s">
        <v>4842</v>
      </c>
      <c r="C2355" t="s">
        <v>93</v>
      </c>
      <c r="D2355" t="s">
        <v>4755</v>
      </c>
      <c r="E2355" t="s">
        <v>4756</v>
      </c>
      <c r="F2355" t="s">
        <v>193</v>
      </c>
      <c r="G2355" t="s">
        <v>4846</v>
      </c>
      <c r="H2355" t="s">
        <v>4847</v>
      </c>
      <c r="J2355" t="str">
        <f>HYPERLINK("https://twitter.com/InsAdvisormanoj/status/1754174110291173591","https://twitter.com/InsAdvisormanoj/status/1754174110291173591")</f>
        <v>https://twitter.com/InsAdvisormanoj/status/1754174110291173591</v>
      </c>
      <c r="K2355" t="s">
        <v>67</v>
      </c>
      <c r="O2355">
        <v>0</v>
      </c>
      <c r="P2355">
        <v>0</v>
      </c>
      <c r="Q2355">
        <v>4</v>
      </c>
      <c r="R2355" t="s">
        <v>4759</v>
      </c>
      <c r="S2355">
        <v>0</v>
      </c>
      <c r="T2355">
        <v>0</v>
      </c>
      <c r="U2355">
        <v>0</v>
      </c>
      <c r="W2355" t="s">
        <v>99</v>
      </c>
    </row>
    <row r="2356" spans="1:23" x14ac:dyDescent="0.35">
      <c r="A2356" t="s">
        <v>45</v>
      </c>
      <c r="B2356" t="s">
        <v>4842</v>
      </c>
      <c r="C2356" t="s">
        <v>60</v>
      </c>
      <c r="D2356" t="s">
        <v>61</v>
      </c>
      <c r="E2356" t="s">
        <v>61</v>
      </c>
      <c r="F2356" t="s">
        <v>49</v>
      </c>
      <c r="G2356" t="s">
        <v>4848</v>
      </c>
      <c r="H2356" t="s">
        <v>4849</v>
      </c>
      <c r="J2356" t="str">
        <f>HYPERLINK("https://www.facebook.com/634639855377280/posts/784211473753450?comment_id=1822579098256956","https://www.facebook.com/634639855377280/posts/784211473753450?comment_id=1822579098256956")</f>
        <v>https://www.facebook.com/634639855377280/posts/784211473753450?comment_id=1822579098256956</v>
      </c>
      <c r="O2356">
        <v>0</v>
      </c>
      <c r="P2356">
        <v>0</v>
      </c>
      <c r="Q2356">
        <v>0</v>
      </c>
      <c r="S2356">
        <v>0</v>
      </c>
      <c r="T2356">
        <v>0</v>
      </c>
      <c r="U2356">
        <v>0</v>
      </c>
      <c r="W2356" t="s">
        <v>52</v>
      </c>
    </row>
    <row r="2357" spans="1:23" x14ac:dyDescent="0.35">
      <c r="A2357" t="s">
        <v>45</v>
      </c>
      <c r="B2357" t="s">
        <v>4842</v>
      </c>
      <c r="C2357" t="s">
        <v>60</v>
      </c>
      <c r="D2357" t="s">
        <v>61</v>
      </c>
      <c r="E2357" t="s">
        <v>61</v>
      </c>
      <c r="F2357" t="s">
        <v>49</v>
      </c>
      <c r="G2357" t="s">
        <v>4850</v>
      </c>
      <c r="H2357" t="s">
        <v>4851</v>
      </c>
      <c r="J2357" t="str">
        <f>HYPERLINK("https://www.facebook.com/634639855377280/posts/784211473753450?comment_id=962346821905242","https://www.facebook.com/634639855377280/posts/784211473753450?comment_id=962346821905242")</f>
        <v>https://www.facebook.com/634639855377280/posts/784211473753450?comment_id=962346821905242</v>
      </c>
      <c r="O2357">
        <v>0</v>
      </c>
      <c r="P2357">
        <v>0</v>
      </c>
      <c r="Q2357">
        <v>0</v>
      </c>
      <c r="S2357">
        <v>0</v>
      </c>
      <c r="T2357">
        <v>0</v>
      </c>
      <c r="U2357">
        <v>0</v>
      </c>
      <c r="W2357" t="s">
        <v>52</v>
      </c>
    </row>
    <row r="2358" spans="1:23" x14ac:dyDescent="0.35">
      <c r="A2358" t="s">
        <v>45</v>
      </c>
      <c r="B2358" t="s">
        <v>4842</v>
      </c>
      <c r="C2358" t="s">
        <v>60</v>
      </c>
      <c r="D2358" t="s">
        <v>61</v>
      </c>
      <c r="E2358" t="s">
        <v>61</v>
      </c>
      <c r="F2358" t="s">
        <v>49</v>
      </c>
      <c r="G2358" t="s">
        <v>4852</v>
      </c>
      <c r="H2358" t="s">
        <v>4853</v>
      </c>
      <c r="J2358" t="str">
        <f>HYPERLINK("https://www.facebook.com/634639855377280/posts/784211473753450?comment_id=268814329568317","https://www.facebook.com/634639855377280/posts/784211473753450?comment_id=268814329568317")</f>
        <v>https://www.facebook.com/634639855377280/posts/784211473753450?comment_id=268814329568317</v>
      </c>
      <c r="O2358">
        <v>0</v>
      </c>
      <c r="P2358">
        <v>0</v>
      </c>
      <c r="Q2358">
        <v>0</v>
      </c>
      <c r="S2358">
        <v>0</v>
      </c>
      <c r="T2358">
        <v>0</v>
      </c>
      <c r="U2358">
        <v>0</v>
      </c>
      <c r="W2358" t="s">
        <v>52</v>
      </c>
    </row>
    <row r="2359" spans="1:23" x14ac:dyDescent="0.35">
      <c r="A2359" t="s">
        <v>45</v>
      </c>
      <c r="B2359" t="s">
        <v>4842</v>
      </c>
      <c r="C2359" t="s">
        <v>60</v>
      </c>
      <c r="D2359" t="s">
        <v>61</v>
      </c>
      <c r="E2359" t="s">
        <v>61</v>
      </c>
      <c r="F2359" t="s">
        <v>49</v>
      </c>
      <c r="G2359" t="s">
        <v>4854</v>
      </c>
      <c r="H2359" t="s">
        <v>4855</v>
      </c>
      <c r="J2359" t="str">
        <f>HYPERLINK("https://www.facebook.com/634639855377280/posts/784211473753450?comment_id=7019557878120949&amp;reply_comment_id=3831024660459451","https://www.facebook.com/634639855377280/posts/784211473753450?comment_id=7019557878120949&amp;reply_comment_id=3831024660459451")</f>
        <v>https://www.facebook.com/634639855377280/posts/784211473753450?comment_id=7019557878120949&amp;reply_comment_id=3831024660459451</v>
      </c>
      <c r="O2359">
        <v>0</v>
      </c>
      <c r="P2359">
        <v>0</v>
      </c>
      <c r="Q2359">
        <v>0</v>
      </c>
      <c r="S2359">
        <v>0</v>
      </c>
      <c r="T2359">
        <v>0</v>
      </c>
      <c r="U2359">
        <v>0</v>
      </c>
      <c r="W2359" t="s">
        <v>52</v>
      </c>
    </row>
    <row r="2360" spans="1:23" x14ac:dyDescent="0.35">
      <c r="A2360" t="s">
        <v>45</v>
      </c>
      <c r="B2360" t="s">
        <v>4842</v>
      </c>
      <c r="C2360" t="s">
        <v>60</v>
      </c>
      <c r="D2360" t="s">
        <v>61</v>
      </c>
      <c r="E2360" t="s">
        <v>61</v>
      </c>
      <c r="F2360" t="s">
        <v>49</v>
      </c>
      <c r="G2360" t="s">
        <v>4856</v>
      </c>
      <c r="H2360" t="s">
        <v>4857</v>
      </c>
      <c r="J2360" t="str">
        <f>HYPERLINK("https://www.facebook.com/634639855377280/posts/784211473753450?comment_id=408460185077675","https://www.facebook.com/634639855377280/posts/784211473753450?comment_id=408460185077675")</f>
        <v>https://www.facebook.com/634639855377280/posts/784211473753450?comment_id=408460185077675</v>
      </c>
      <c r="O2360">
        <v>0</v>
      </c>
      <c r="P2360">
        <v>0</v>
      </c>
      <c r="Q2360">
        <v>0</v>
      </c>
      <c r="S2360">
        <v>0</v>
      </c>
      <c r="T2360">
        <v>0</v>
      </c>
      <c r="U2360">
        <v>0</v>
      </c>
      <c r="W2360" t="s">
        <v>52</v>
      </c>
    </row>
    <row r="2361" spans="1:23" x14ac:dyDescent="0.35">
      <c r="A2361" t="s">
        <v>45</v>
      </c>
      <c r="B2361" t="s">
        <v>4842</v>
      </c>
      <c r="C2361" t="s">
        <v>60</v>
      </c>
      <c r="D2361" t="s">
        <v>61</v>
      </c>
      <c r="E2361" t="s">
        <v>61</v>
      </c>
      <c r="F2361" t="s">
        <v>49</v>
      </c>
      <c r="G2361" t="s">
        <v>4858</v>
      </c>
      <c r="H2361" t="s">
        <v>4859</v>
      </c>
      <c r="J2361" t="str">
        <f>HYPERLINK("https://www.facebook.com/634639855377280/posts/782513537256577?comment_id=933455615168032","https://www.facebook.com/634639855377280/posts/782513537256577?comment_id=933455615168032")</f>
        <v>https://www.facebook.com/634639855377280/posts/782513537256577?comment_id=933455615168032</v>
      </c>
      <c r="O2361">
        <v>0</v>
      </c>
      <c r="P2361">
        <v>0</v>
      </c>
      <c r="Q2361">
        <v>0</v>
      </c>
      <c r="S2361">
        <v>0</v>
      </c>
      <c r="T2361">
        <v>0</v>
      </c>
      <c r="U2361">
        <v>0</v>
      </c>
      <c r="W2361" t="s">
        <v>52</v>
      </c>
    </row>
    <row r="2362" spans="1:23" x14ac:dyDescent="0.35">
      <c r="A2362" t="s">
        <v>45</v>
      </c>
      <c r="B2362" t="s">
        <v>4842</v>
      </c>
      <c r="C2362" t="s">
        <v>60</v>
      </c>
      <c r="D2362" t="s">
        <v>61</v>
      </c>
      <c r="E2362" t="s">
        <v>61</v>
      </c>
      <c r="F2362" t="s">
        <v>49</v>
      </c>
      <c r="G2362" t="s">
        <v>4860</v>
      </c>
      <c r="H2362" t="s">
        <v>4861</v>
      </c>
      <c r="J2362" t="str">
        <f>HYPERLINK("https://www.facebook.com/634639855377280/posts/783619057146025?comment_id=1281475866589141","https://www.facebook.com/634639855377280/posts/783619057146025?comment_id=1281475866589141")</f>
        <v>https://www.facebook.com/634639855377280/posts/783619057146025?comment_id=1281475866589141</v>
      </c>
      <c r="O2362">
        <v>0</v>
      </c>
      <c r="P2362">
        <v>0</v>
      </c>
      <c r="Q2362">
        <v>0</v>
      </c>
      <c r="S2362">
        <v>0</v>
      </c>
      <c r="T2362">
        <v>0</v>
      </c>
      <c r="U2362">
        <v>0</v>
      </c>
      <c r="W2362" t="s">
        <v>52</v>
      </c>
    </row>
    <row r="2363" spans="1:23" x14ac:dyDescent="0.35">
      <c r="A2363" t="s">
        <v>45</v>
      </c>
      <c r="B2363" t="s">
        <v>4842</v>
      </c>
      <c r="C2363" t="s">
        <v>93</v>
      </c>
      <c r="D2363" t="s">
        <v>4862</v>
      </c>
      <c r="E2363" t="s">
        <v>4863</v>
      </c>
      <c r="F2363" t="s">
        <v>49</v>
      </c>
      <c r="G2363" t="s">
        <v>4864</v>
      </c>
      <c r="H2363" t="s">
        <v>4865</v>
      </c>
      <c r="J2363" t="str">
        <f>HYPERLINK("https://twitter.com/pappuku00732700/status/1754090628278009882","https://twitter.com/pappuku00732700/status/1754090628278009882")</f>
        <v>https://twitter.com/pappuku00732700/status/1754090628278009882</v>
      </c>
      <c r="K2363" t="s">
        <v>67</v>
      </c>
      <c r="O2363">
        <v>0</v>
      </c>
      <c r="P2363">
        <v>0</v>
      </c>
      <c r="Q2363">
        <v>16</v>
      </c>
      <c r="R2363" t="s">
        <v>4866</v>
      </c>
      <c r="S2363">
        <v>0</v>
      </c>
      <c r="T2363">
        <v>0</v>
      </c>
      <c r="U2363">
        <v>0</v>
      </c>
      <c r="W2363" t="s">
        <v>99</v>
      </c>
    </row>
    <row r="2364" spans="1:23" x14ac:dyDescent="0.35">
      <c r="A2364" t="s">
        <v>45</v>
      </c>
      <c r="B2364" t="s">
        <v>4842</v>
      </c>
      <c r="C2364" t="s">
        <v>47</v>
      </c>
      <c r="D2364" t="s">
        <v>4867</v>
      </c>
      <c r="E2364" t="s">
        <v>4867</v>
      </c>
      <c r="F2364" t="s">
        <v>49</v>
      </c>
      <c r="G2364" t="s">
        <v>4868</v>
      </c>
      <c r="H2364" t="s">
        <v>4869</v>
      </c>
      <c r="J2364" t="str">
        <f>HYPERLINK("https://www.youtube.com/watch?v=PXJLS73XiVw&amp;lc=UgzgzcDbIgoONUBs2eJ4AaABAg","https://www.youtube.com/watch?v=PXJLS73XiVw&amp;lc=UgzgzcDbIgoONUBs2eJ4AaABAg")</f>
        <v>https://www.youtube.com/watch?v=PXJLS73XiVw&amp;lc=UgzgzcDbIgoONUBs2eJ4AaABAg</v>
      </c>
      <c r="O2364">
        <v>0</v>
      </c>
      <c r="P2364">
        <v>0</v>
      </c>
      <c r="Q2364">
        <v>0</v>
      </c>
      <c r="S2364">
        <v>0</v>
      </c>
      <c r="T2364">
        <v>0</v>
      </c>
      <c r="U2364">
        <v>0</v>
      </c>
      <c r="W2364" t="s">
        <v>52</v>
      </c>
    </row>
    <row r="2365" spans="1:23" x14ac:dyDescent="0.35">
      <c r="A2365" t="s">
        <v>45</v>
      </c>
      <c r="B2365" t="s">
        <v>4842</v>
      </c>
      <c r="C2365" t="s">
        <v>93</v>
      </c>
      <c r="D2365" t="s">
        <v>4755</v>
      </c>
      <c r="E2365" t="s">
        <v>4756</v>
      </c>
      <c r="F2365" t="s">
        <v>49</v>
      </c>
      <c r="G2365" t="s">
        <v>4870</v>
      </c>
      <c r="H2365" t="s">
        <v>4871</v>
      </c>
      <c r="J2365" t="str">
        <f>HYPERLINK("https://twitter.com/InsAdvisormanoj/status/1754072892231561513","https://twitter.com/InsAdvisormanoj/status/1754072892231561513")</f>
        <v>https://twitter.com/InsAdvisormanoj/status/1754072892231561513</v>
      </c>
      <c r="K2365" t="s">
        <v>67</v>
      </c>
      <c r="O2365">
        <v>0</v>
      </c>
      <c r="P2365">
        <v>0</v>
      </c>
      <c r="Q2365">
        <v>3</v>
      </c>
      <c r="R2365" t="s">
        <v>4759</v>
      </c>
      <c r="S2365">
        <v>0</v>
      </c>
      <c r="T2365">
        <v>0</v>
      </c>
      <c r="U2365">
        <v>0</v>
      </c>
      <c r="W2365" t="s">
        <v>99</v>
      </c>
    </row>
    <row r="2366" spans="1:23" x14ac:dyDescent="0.35">
      <c r="A2366" t="s">
        <v>45</v>
      </c>
      <c r="B2366" t="s">
        <v>4842</v>
      </c>
      <c r="C2366" t="s">
        <v>60</v>
      </c>
      <c r="D2366" t="s">
        <v>61</v>
      </c>
      <c r="E2366" t="s">
        <v>61</v>
      </c>
      <c r="F2366" t="s">
        <v>49</v>
      </c>
      <c r="G2366" t="s">
        <v>4872</v>
      </c>
      <c r="H2366" t="s">
        <v>4873</v>
      </c>
      <c r="J2366" t="str">
        <f>HYPERLINK("https://www.facebook.com/634639855377280/posts/784211473753450?comment_id=707864331165088","https://www.facebook.com/634639855377280/posts/784211473753450?comment_id=707864331165088")</f>
        <v>https://www.facebook.com/634639855377280/posts/784211473753450?comment_id=707864331165088</v>
      </c>
      <c r="O2366">
        <v>0</v>
      </c>
      <c r="P2366">
        <v>0</v>
      </c>
      <c r="Q2366">
        <v>0</v>
      </c>
      <c r="S2366">
        <v>0</v>
      </c>
      <c r="T2366">
        <v>0</v>
      </c>
      <c r="U2366">
        <v>0</v>
      </c>
      <c r="W2366" t="s">
        <v>52</v>
      </c>
    </row>
    <row r="2367" spans="1:23" x14ac:dyDescent="0.35">
      <c r="A2367" t="s">
        <v>45</v>
      </c>
      <c r="B2367" t="s">
        <v>4842</v>
      </c>
      <c r="C2367" t="s">
        <v>60</v>
      </c>
      <c r="D2367" t="s">
        <v>61</v>
      </c>
      <c r="E2367" t="s">
        <v>61</v>
      </c>
      <c r="F2367" t="s">
        <v>193</v>
      </c>
      <c r="G2367" t="s">
        <v>4874</v>
      </c>
      <c r="H2367" t="s">
        <v>4875</v>
      </c>
      <c r="J2367" t="str">
        <f>HYPERLINK("https://www.facebook.com/634639855377280/posts/784211473753450?comment_id=7021630344599211","https://www.facebook.com/634639855377280/posts/784211473753450?comment_id=7021630344599211")</f>
        <v>https://www.facebook.com/634639855377280/posts/784211473753450?comment_id=7021630344599211</v>
      </c>
      <c r="O2367">
        <v>0</v>
      </c>
      <c r="P2367">
        <v>0</v>
      </c>
      <c r="Q2367">
        <v>0</v>
      </c>
      <c r="S2367">
        <v>0</v>
      </c>
      <c r="T2367">
        <v>0</v>
      </c>
      <c r="U2367">
        <v>0</v>
      </c>
      <c r="W2367" t="s">
        <v>52</v>
      </c>
    </row>
    <row r="2368" spans="1:23" x14ac:dyDescent="0.35">
      <c r="A2368" t="s">
        <v>45</v>
      </c>
      <c r="B2368" t="s">
        <v>4842</v>
      </c>
      <c r="C2368" t="s">
        <v>60</v>
      </c>
      <c r="D2368" t="s">
        <v>61</v>
      </c>
      <c r="E2368" t="s">
        <v>61</v>
      </c>
      <c r="F2368" t="s">
        <v>49</v>
      </c>
      <c r="G2368" t="s">
        <v>4876</v>
      </c>
      <c r="H2368" t="s">
        <v>4877</v>
      </c>
      <c r="J2368" t="str">
        <f>HYPERLINK("https://www.facebook.com/634639855377280/posts/783619057146025?comment_id=755870129777029&amp;reply_comment_id=210200818783030","https://www.facebook.com/634639855377280/posts/783619057146025?comment_id=755870129777029&amp;reply_comment_id=210200818783030")</f>
        <v>https://www.facebook.com/634639855377280/posts/783619057146025?comment_id=755870129777029&amp;reply_comment_id=210200818783030</v>
      </c>
      <c r="O2368">
        <v>0</v>
      </c>
      <c r="P2368">
        <v>0</v>
      </c>
      <c r="Q2368">
        <v>0</v>
      </c>
      <c r="S2368">
        <v>0</v>
      </c>
      <c r="T2368">
        <v>0</v>
      </c>
      <c r="U2368">
        <v>0</v>
      </c>
      <c r="W2368" t="s">
        <v>52</v>
      </c>
    </row>
    <row r="2369" spans="1:23" x14ac:dyDescent="0.35">
      <c r="A2369" t="s">
        <v>45</v>
      </c>
      <c r="B2369" t="s">
        <v>4842</v>
      </c>
      <c r="C2369" t="s">
        <v>93</v>
      </c>
      <c r="D2369" t="s">
        <v>4773</v>
      </c>
      <c r="E2369" t="s">
        <v>4774</v>
      </c>
      <c r="F2369" t="s">
        <v>49</v>
      </c>
      <c r="G2369" t="s">
        <v>4878</v>
      </c>
      <c r="H2369" t="s">
        <v>4879</v>
      </c>
      <c r="J2369" t="str">
        <f>HYPERLINK("https://twitter.com/PalManimohan/status/1754036670616555759","https://twitter.com/PalManimohan/status/1754036670616555759")</f>
        <v>https://twitter.com/PalManimohan/status/1754036670616555759</v>
      </c>
      <c r="K2369" t="s">
        <v>67</v>
      </c>
      <c r="O2369">
        <v>0</v>
      </c>
      <c r="P2369">
        <v>0</v>
      </c>
      <c r="Q2369">
        <v>4</v>
      </c>
      <c r="S2369">
        <v>0</v>
      </c>
      <c r="T2369">
        <v>0</v>
      </c>
      <c r="U2369">
        <v>0</v>
      </c>
      <c r="W2369" t="s">
        <v>99</v>
      </c>
    </row>
    <row r="2370" spans="1:23" x14ac:dyDescent="0.35">
      <c r="A2370" t="s">
        <v>45</v>
      </c>
      <c r="B2370" t="s">
        <v>4842</v>
      </c>
      <c r="C2370" t="s">
        <v>60</v>
      </c>
      <c r="D2370" t="s">
        <v>64</v>
      </c>
      <c r="E2370" t="s">
        <v>64</v>
      </c>
      <c r="F2370" t="s">
        <v>49</v>
      </c>
      <c r="G2370" t="s">
        <v>83</v>
      </c>
      <c r="H2370" t="s">
        <v>4880</v>
      </c>
      <c r="J2370" t="str">
        <f>HYPERLINK("https://www.facebook.com/634639855377280/posts/782513537256577?comment_id=348879531298940&amp;reply_comment_id=375423555225201","https://www.facebook.com/634639855377280/posts/782513537256577?comment_id=348879531298940&amp;reply_comment_id=375423555225201")</f>
        <v>https://www.facebook.com/634639855377280/posts/782513537256577?comment_id=348879531298940&amp;reply_comment_id=375423555225201</v>
      </c>
      <c r="K2370" t="s">
        <v>67</v>
      </c>
      <c r="O2370">
        <v>0</v>
      </c>
      <c r="P2370">
        <v>0</v>
      </c>
      <c r="Q2370">
        <v>0</v>
      </c>
      <c r="S2370">
        <v>0</v>
      </c>
      <c r="T2370">
        <v>0</v>
      </c>
      <c r="U2370">
        <v>0</v>
      </c>
      <c r="W2370" t="s">
        <v>52</v>
      </c>
    </row>
    <row r="2371" spans="1:23" x14ac:dyDescent="0.35">
      <c r="A2371" t="s">
        <v>45</v>
      </c>
      <c r="B2371" t="s">
        <v>4842</v>
      </c>
      <c r="C2371" t="s">
        <v>60</v>
      </c>
      <c r="D2371" t="s">
        <v>64</v>
      </c>
      <c r="E2371" t="s">
        <v>64</v>
      </c>
      <c r="F2371" t="s">
        <v>49</v>
      </c>
      <c r="G2371" t="s">
        <v>164</v>
      </c>
      <c r="H2371" t="s">
        <v>4881</v>
      </c>
      <c r="J2371" t="str">
        <f>HYPERLINK("https://www.facebook.com/634639855377280/posts/782513537256577?comment_id=1124436698565791&amp;reply_comment_id=791132362843340","https://www.facebook.com/634639855377280/posts/782513537256577?comment_id=1124436698565791&amp;reply_comment_id=791132362843340")</f>
        <v>https://www.facebook.com/634639855377280/posts/782513537256577?comment_id=1124436698565791&amp;reply_comment_id=791132362843340</v>
      </c>
      <c r="K2371" t="s">
        <v>67</v>
      </c>
      <c r="O2371">
        <v>0</v>
      </c>
      <c r="P2371">
        <v>0</v>
      </c>
      <c r="Q2371">
        <v>0</v>
      </c>
      <c r="S2371">
        <v>0</v>
      </c>
      <c r="T2371">
        <v>0</v>
      </c>
      <c r="U2371">
        <v>0</v>
      </c>
      <c r="W2371" t="s">
        <v>52</v>
      </c>
    </row>
    <row r="2372" spans="1:23" x14ac:dyDescent="0.35">
      <c r="A2372" t="s">
        <v>45</v>
      </c>
      <c r="B2372" t="s">
        <v>4842</v>
      </c>
      <c r="C2372" t="s">
        <v>60</v>
      </c>
      <c r="D2372" t="s">
        <v>61</v>
      </c>
      <c r="E2372" t="s">
        <v>61</v>
      </c>
      <c r="F2372" t="s">
        <v>49</v>
      </c>
      <c r="G2372" t="s">
        <v>4882</v>
      </c>
      <c r="H2372" t="s">
        <v>4883</v>
      </c>
      <c r="J2372" t="str">
        <f>HYPERLINK("https://www.facebook.com/634639855377280/posts/782513537256577?comment_id=1124436698565791&amp;reply_comment_id=925217245740237","https://www.facebook.com/634639855377280/posts/782513537256577?comment_id=1124436698565791&amp;reply_comment_id=925217245740237")</f>
        <v>https://www.facebook.com/634639855377280/posts/782513537256577?comment_id=1124436698565791&amp;reply_comment_id=925217245740237</v>
      </c>
      <c r="O2372">
        <v>0</v>
      </c>
      <c r="P2372">
        <v>0</v>
      </c>
      <c r="Q2372">
        <v>0</v>
      </c>
      <c r="S2372">
        <v>0</v>
      </c>
      <c r="T2372">
        <v>0</v>
      </c>
      <c r="U2372">
        <v>0</v>
      </c>
      <c r="W2372" t="s">
        <v>52</v>
      </c>
    </row>
    <row r="2373" spans="1:23" x14ac:dyDescent="0.35">
      <c r="A2373" t="s">
        <v>45</v>
      </c>
      <c r="B2373" t="s">
        <v>4842</v>
      </c>
      <c r="C2373" t="s">
        <v>93</v>
      </c>
      <c r="D2373" t="s">
        <v>94</v>
      </c>
      <c r="E2373" t="s">
        <v>45</v>
      </c>
      <c r="F2373" t="s">
        <v>49</v>
      </c>
      <c r="G2373" t="s">
        <v>4884</v>
      </c>
      <c r="H2373" t="s">
        <v>4885</v>
      </c>
      <c r="J2373" t="str">
        <f>HYPERLINK("https://twitter.com/SpiceMoneyIndia/status/1754024603934949596","https://twitter.com/SpiceMoneyIndia/status/1754024603934949596")</f>
        <v>https://twitter.com/SpiceMoneyIndia/status/1754024603934949596</v>
      </c>
      <c r="K2373" t="s">
        <v>67</v>
      </c>
      <c r="O2373">
        <v>0</v>
      </c>
      <c r="P2373">
        <v>0</v>
      </c>
      <c r="Q2373">
        <v>6023</v>
      </c>
      <c r="R2373" t="s">
        <v>97</v>
      </c>
      <c r="S2373">
        <v>0</v>
      </c>
      <c r="T2373">
        <v>0</v>
      </c>
      <c r="U2373">
        <v>0</v>
      </c>
      <c r="V2373" t="s">
        <v>98</v>
      </c>
      <c r="W2373" t="s">
        <v>99</v>
      </c>
    </row>
    <row r="2374" spans="1:23" x14ac:dyDescent="0.35">
      <c r="A2374" t="s">
        <v>45</v>
      </c>
      <c r="B2374" t="s">
        <v>4842</v>
      </c>
      <c r="C2374" t="s">
        <v>60</v>
      </c>
      <c r="D2374" t="s">
        <v>61</v>
      </c>
      <c r="E2374" t="s">
        <v>61</v>
      </c>
      <c r="F2374" t="s">
        <v>49</v>
      </c>
      <c r="G2374" t="s">
        <v>4886</v>
      </c>
      <c r="H2374" t="s">
        <v>4887</v>
      </c>
      <c r="J2374" t="str">
        <f>HYPERLINK("https://www.facebook.com/634639855377280/posts/782513537256577?comment_id=348879531298940","https://www.facebook.com/634639855377280/posts/782513537256577?comment_id=348879531298940")</f>
        <v>https://www.facebook.com/634639855377280/posts/782513537256577?comment_id=348879531298940</v>
      </c>
      <c r="O2374">
        <v>0</v>
      </c>
      <c r="P2374">
        <v>0</v>
      </c>
      <c r="Q2374">
        <v>0</v>
      </c>
      <c r="S2374">
        <v>0</v>
      </c>
      <c r="T2374">
        <v>0</v>
      </c>
      <c r="U2374">
        <v>0</v>
      </c>
      <c r="W2374" t="s">
        <v>52</v>
      </c>
    </row>
    <row r="2375" spans="1:23" x14ac:dyDescent="0.35">
      <c r="A2375" t="s">
        <v>45</v>
      </c>
      <c r="B2375" t="s">
        <v>4842</v>
      </c>
      <c r="C2375" t="s">
        <v>60</v>
      </c>
      <c r="D2375" t="s">
        <v>61</v>
      </c>
      <c r="E2375" t="s">
        <v>61</v>
      </c>
      <c r="F2375" t="s">
        <v>49</v>
      </c>
      <c r="G2375" t="s">
        <v>4888</v>
      </c>
      <c r="H2375" t="s">
        <v>4889</v>
      </c>
      <c r="J2375" t="str">
        <f>HYPERLINK("https://www.facebook.com/634639855377280/posts/782513537256577?comment_id=1124436698565791&amp;reply_comment_id=397290056017018","https://www.facebook.com/634639855377280/posts/782513537256577?comment_id=1124436698565791&amp;reply_comment_id=397290056017018")</f>
        <v>https://www.facebook.com/634639855377280/posts/782513537256577?comment_id=1124436698565791&amp;reply_comment_id=397290056017018</v>
      </c>
      <c r="O2375">
        <v>0</v>
      </c>
      <c r="P2375">
        <v>0</v>
      </c>
      <c r="Q2375">
        <v>0</v>
      </c>
      <c r="S2375">
        <v>0</v>
      </c>
      <c r="T2375">
        <v>0</v>
      </c>
      <c r="U2375">
        <v>0</v>
      </c>
      <c r="W2375" t="s">
        <v>52</v>
      </c>
    </row>
    <row r="2376" spans="1:23" x14ac:dyDescent="0.35">
      <c r="A2376" t="s">
        <v>45</v>
      </c>
      <c r="B2376" t="s">
        <v>4842</v>
      </c>
      <c r="C2376" t="s">
        <v>93</v>
      </c>
      <c r="D2376" t="s">
        <v>4755</v>
      </c>
      <c r="E2376" t="s">
        <v>4756</v>
      </c>
      <c r="F2376" t="s">
        <v>49</v>
      </c>
      <c r="G2376" t="s">
        <v>4890</v>
      </c>
      <c r="H2376" t="s">
        <v>4891</v>
      </c>
      <c r="J2376" t="str">
        <f>HYPERLINK("https://twitter.com/InsAdvisormanoj/status/1754023833718370479","https://twitter.com/InsAdvisormanoj/status/1754023833718370479")</f>
        <v>https://twitter.com/InsAdvisormanoj/status/1754023833718370479</v>
      </c>
      <c r="K2376" t="s">
        <v>67</v>
      </c>
      <c r="O2376">
        <v>0</v>
      </c>
      <c r="P2376">
        <v>0</v>
      </c>
      <c r="Q2376">
        <v>3</v>
      </c>
      <c r="R2376" t="s">
        <v>4759</v>
      </c>
      <c r="S2376">
        <v>0</v>
      </c>
      <c r="T2376">
        <v>0</v>
      </c>
      <c r="U2376">
        <v>0</v>
      </c>
      <c r="W2376" t="s">
        <v>99</v>
      </c>
    </row>
    <row r="2377" spans="1:23" x14ac:dyDescent="0.35">
      <c r="A2377" t="s">
        <v>45</v>
      </c>
      <c r="B2377" t="s">
        <v>4842</v>
      </c>
      <c r="C2377" t="s">
        <v>60</v>
      </c>
      <c r="D2377" t="s">
        <v>64</v>
      </c>
      <c r="E2377" t="s">
        <v>64</v>
      </c>
      <c r="F2377" t="s">
        <v>49</v>
      </c>
      <c r="G2377" t="s">
        <v>380</v>
      </c>
      <c r="H2377" t="s">
        <v>4892</v>
      </c>
      <c r="J2377" t="str">
        <f>HYPERLINK("https://www.facebook.com/634639855377280/posts/782513537256577?comment_id=1124436698565791&amp;reply_comment_id=366636139535166","https://www.facebook.com/634639855377280/posts/782513537256577?comment_id=1124436698565791&amp;reply_comment_id=366636139535166")</f>
        <v>https://www.facebook.com/634639855377280/posts/782513537256577?comment_id=1124436698565791&amp;reply_comment_id=366636139535166</v>
      </c>
      <c r="K2377" t="s">
        <v>67</v>
      </c>
      <c r="O2377">
        <v>0</v>
      </c>
      <c r="P2377">
        <v>0</v>
      </c>
      <c r="Q2377">
        <v>0</v>
      </c>
      <c r="S2377">
        <v>0</v>
      </c>
      <c r="T2377">
        <v>0</v>
      </c>
      <c r="U2377">
        <v>0</v>
      </c>
      <c r="W2377" t="s">
        <v>52</v>
      </c>
    </row>
    <row r="2378" spans="1:23" x14ac:dyDescent="0.35">
      <c r="A2378" t="s">
        <v>45</v>
      </c>
      <c r="B2378" t="s">
        <v>4842</v>
      </c>
      <c r="C2378" t="s">
        <v>93</v>
      </c>
      <c r="D2378" t="s">
        <v>4755</v>
      </c>
      <c r="E2378" t="s">
        <v>4756</v>
      </c>
      <c r="F2378" t="s">
        <v>49</v>
      </c>
      <c r="G2378" t="s">
        <v>4893</v>
      </c>
      <c r="H2378" t="s">
        <v>4894</v>
      </c>
      <c r="J2378" t="str">
        <f>HYPERLINK("https://twitter.com/InsAdvisormanoj/status/1754023646535004568","https://twitter.com/InsAdvisormanoj/status/1754023646535004568")</f>
        <v>https://twitter.com/InsAdvisormanoj/status/1754023646535004568</v>
      </c>
      <c r="K2378" t="s">
        <v>67</v>
      </c>
      <c r="O2378">
        <v>0</v>
      </c>
      <c r="P2378">
        <v>0</v>
      </c>
      <c r="Q2378">
        <v>3</v>
      </c>
      <c r="R2378" t="s">
        <v>4759</v>
      </c>
      <c r="S2378">
        <v>0</v>
      </c>
      <c r="T2378">
        <v>0</v>
      </c>
      <c r="U2378">
        <v>0</v>
      </c>
      <c r="W2378" t="s">
        <v>99</v>
      </c>
    </row>
    <row r="2379" spans="1:23" x14ac:dyDescent="0.35">
      <c r="A2379" t="s">
        <v>45</v>
      </c>
      <c r="B2379" t="s">
        <v>4842</v>
      </c>
      <c r="C2379" t="s">
        <v>93</v>
      </c>
      <c r="D2379" t="s">
        <v>94</v>
      </c>
      <c r="E2379" t="s">
        <v>45</v>
      </c>
      <c r="F2379" t="s">
        <v>49</v>
      </c>
      <c r="G2379" t="s">
        <v>4895</v>
      </c>
      <c r="H2379" t="s">
        <v>4896</v>
      </c>
      <c r="J2379" t="str">
        <f>HYPERLINK("https://twitter.com/SpiceMoneyIndia/status/1754023535176011853","https://twitter.com/SpiceMoneyIndia/status/1754023535176011853")</f>
        <v>https://twitter.com/SpiceMoneyIndia/status/1754023535176011853</v>
      </c>
      <c r="K2379" t="s">
        <v>67</v>
      </c>
      <c r="O2379">
        <v>0</v>
      </c>
      <c r="P2379">
        <v>0</v>
      </c>
      <c r="Q2379">
        <v>6023</v>
      </c>
      <c r="R2379" t="s">
        <v>97</v>
      </c>
      <c r="S2379">
        <v>0</v>
      </c>
      <c r="T2379">
        <v>0</v>
      </c>
      <c r="U2379">
        <v>0</v>
      </c>
      <c r="V2379" t="s">
        <v>98</v>
      </c>
      <c r="W2379" t="s">
        <v>99</v>
      </c>
    </row>
    <row r="2380" spans="1:23" x14ac:dyDescent="0.35">
      <c r="A2380" t="s">
        <v>45</v>
      </c>
      <c r="B2380" t="s">
        <v>4842</v>
      </c>
      <c r="C2380" t="s">
        <v>60</v>
      </c>
      <c r="D2380" t="s">
        <v>61</v>
      </c>
      <c r="E2380" t="s">
        <v>61</v>
      </c>
      <c r="F2380" t="s">
        <v>49</v>
      </c>
      <c r="G2380" t="s">
        <v>4897</v>
      </c>
      <c r="H2380" t="s">
        <v>4898</v>
      </c>
      <c r="J2380" t="str">
        <f>HYPERLINK("https://www.facebook.com/634639855377280/posts/782513537256577?comment_id=1124436698565791","https://www.facebook.com/634639855377280/posts/782513537256577?comment_id=1124436698565791")</f>
        <v>https://www.facebook.com/634639855377280/posts/782513537256577?comment_id=1124436698565791</v>
      </c>
      <c r="O2380">
        <v>0</v>
      </c>
      <c r="P2380">
        <v>0</v>
      </c>
      <c r="Q2380">
        <v>0</v>
      </c>
      <c r="S2380">
        <v>0</v>
      </c>
      <c r="T2380">
        <v>0</v>
      </c>
      <c r="U2380">
        <v>0</v>
      </c>
      <c r="W2380" t="s">
        <v>52</v>
      </c>
    </row>
    <row r="2381" spans="1:23" x14ac:dyDescent="0.35">
      <c r="A2381" t="s">
        <v>45</v>
      </c>
      <c r="B2381" t="s">
        <v>4842</v>
      </c>
      <c r="C2381" t="s">
        <v>60</v>
      </c>
      <c r="D2381" t="s">
        <v>64</v>
      </c>
      <c r="E2381" t="s">
        <v>64</v>
      </c>
      <c r="F2381" t="s">
        <v>49</v>
      </c>
      <c r="G2381" t="s">
        <v>164</v>
      </c>
      <c r="H2381" t="s">
        <v>4899</v>
      </c>
      <c r="J2381" t="str">
        <f>HYPERLINK("https://www.facebook.com/634639855377280/posts/782513537256577?comment_id=3825052481106175&amp;reply_comment_id=1534773867368023","https://www.facebook.com/634639855377280/posts/782513537256577?comment_id=3825052481106175&amp;reply_comment_id=1534773867368023")</f>
        <v>https://www.facebook.com/634639855377280/posts/782513537256577?comment_id=3825052481106175&amp;reply_comment_id=1534773867368023</v>
      </c>
      <c r="K2381" t="s">
        <v>67</v>
      </c>
      <c r="O2381">
        <v>0</v>
      </c>
      <c r="P2381">
        <v>0</v>
      </c>
      <c r="Q2381">
        <v>0</v>
      </c>
      <c r="S2381">
        <v>0</v>
      </c>
      <c r="T2381">
        <v>0</v>
      </c>
      <c r="U2381">
        <v>0</v>
      </c>
      <c r="W2381" t="s">
        <v>52</v>
      </c>
    </row>
    <row r="2382" spans="1:23" x14ac:dyDescent="0.35">
      <c r="A2382" t="s">
        <v>45</v>
      </c>
      <c r="B2382" t="s">
        <v>4842</v>
      </c>
      <c r="C2382" t="s">
        <v>60</v>
      </c>
      <c r="D2382" t="s">
        <v>64</v>
      </c>
      <c r="E2382" t="s">
        <v>64</v>
      </c>
      <c r="F2382" t="s">
        <v>49</v>
      </c>
      <c r="G2382" t="s">
        <v>100</v>
      </c>
      <c r="H2382" t="s">
        <v>4900</v>
      </c>
      <c r="J2382" t="str">
        <f>HYPERLINK("https://www.facebook.com/634639855377280/posts/782513537256577?comment_id=1351410405577663&amp;reply_comment_id=2026825347690083","https://www.facebook.com/634639855377280/posts/782513537256577?comment_id=1351410405577663&amp;reply_comment_id=2026825347690083")</f>
        <v>https://www.facebook.com/634639855377280/posts/782513537256577?comment_id=1351410405577663&amp;reply_comment_id=2026825347690083</v>
      </c>
      <c r="K2382" t="s">
        <v>67</v>
      </c>
      <c r="O2382">
        <v>0</v>
      </c>
      <c r="P2382">
        <v>0</v>
      </c>
      <c r="Q2382">
        <v>0</v>
      </c>
      <c r="S2382">
        <v>0</v>
      </c>
      <c r="T2382">
        <v>0</v>
      </c>
      <c r="U2382">
        <v>0</v>
      </c>
      <c r="W2382" t="s">
        <v>52</v>
      </c>
    </row>
    <row r="2383" spans="1:23" x14ac:dyDescent="0.35">
      <c r="A2383" t="s">
        <v>45</v>
      </c>
      <c r="B2383" t="s">
        <v>4842</v>
      </c>
      <c r="C2383" t="s">
        <v>60</v>
      </c>
      <c r="D2383" t="s">
        <v>64</v>
      </c>
      <c r="E2383" t="s">
        <v>64</v>
      </c>
      <c r="F2383" t="s">
        <v>49</v>
      </c>
      <c r="G2383" t="s">
        <v>164</v>
      </c>
      <c r="H2383" t="s">
        <v>4901</v>
      </c>
      <c r="J2383" t="str">
        <f>HYPERLINK("https://www.facebook.com/634639855377280/posts/783619057146025?comment_id=933576678412178&amp;reply_comment_id=887000939788944","https://www.facebook.com/634639855377280/posts/783619057146025?comment_id=933576678412178&amp;reply_comment_id=887000939788944")</f>
        <v>https://www.facebook.com/634639855377280/posts/783619057146025?comment_id=933576678412178&amp;reply_comment_id=887000939788944</v>
      </c>
      <c r="K2383" t="s">
        <v>67</v>
      </c>
      <c r="O2383">
        <v>0</v>
      </c>
      <c r="P2383">
        <v>0</v>
      </c>
      <c r="Q2383">
        <v>0</v>
      </c>
      <c r="S2383">
        <v>0</v>
      </c>
      <c r="T2383">
        <v>0</v>
      </c>
      <c r="U2383">
        <v>0</v>
      </c>
      <c r="W2383" t="s">
        <v>52</v>
      </c>
    </row>
    <row r="2384" spans="1:23" x14ac:dyDescent="0.35">
      <c r="A2384" t="s">
        <v>45</v>
      </c>
      <c r="B2384" t="s">
        <v>4842</v>
      </c>
      <c r="C2384" t="s">
        <v>47</v>
      </c>
      <c r="D2384" t="s">
        <v>4902</v>
      </c>
      <c r="E2384" t="s">
        <v>4902</v>
      </c>
      <c r="F2384" t="s">
        <v>49</v>
      </c>
      <c r="G2384" t="s">
        <v>4903</v>
      </c>
      <c r="H2384" t="s">
        <v>4904</v>
      </c>
      <c r="J2384" t="str">
        <f>HYPERLINK("https://www.youtube.com/watch?v=2FEM1kunPCQ&amp;lc=UgwjrSyxnObbnUZe2vN4AaABAg","https://www.youtube.com/watch?v=2FEM1kunPCQ&amp;lc=UgwjrSyxnObbnUZe2vN4AaABAg")</f>
        <v>https://www.youtube.com/watch?v=2FEM1kunPCQ&amp;lc=UgwjrSyxnObbnUZe2vN4AaABAg</v>
      </c>
      <c r="O2384">
        <v>0</v>
      </c>
      <c r="P2384">
        <v>0</v>
      </c>
      <c r="Q2384">
        <v>0</v>
      </c>
      <c r="S2384">
        <v>0</v>
      </c>
      <c r="T2384">
        <v>0</v>
      </c>
      <c r="U2384">
        <v>0</v>
      </c>
      <c r="W2384" t="s">
        <v>52</v>
      </c>
    </row>
    <row r="2385" spans="1:23" x14ac:dyDescent="0.35">
      <c r="A2385" t="s">
        <v>45</v>
      </c>
      <c r="B2385" t="s">
        <v>4842</v>
      </c>
      <c r="C2385" t="s">
        <v>47</v>
      </c>
      <c r="D2385" t="s">
        <v>68</v>
      </c>
      <c r="E2385" t="s">
        <v>68</v>
      </c>
      <c r="F2385" t="s">
        <v>49</v>
      </c>
      <c r="G2385" t="s">
        <v>4905</v>
      </c>
      <c r="H2385" t="s">
        <v>4906</v>
      </c>
      <c r="J2385" t="str">
        <f>HYPERLINK("https://www.youtube.com/watch?v=DMlpygM0MQM&amp;lc=UgxAUglPlIKRlOG_0pl4AaABAg.A-ExwUS7Jd8A-Ny8aNMUI-","https://www.youtube.com/watch?v=DMlpygM0MQM&amp;lc=UgxAUglPlIKRlOG_0pl4AaABAg.A-ExwUS7Jd8A-Ny8aNMUI-")</f>
        <v>https://www.youtube.com/watch?v=DMlpygM0MQM&amp;lc=UgxAUglPlIKRlOG_0pl4AaABAg.A-ExwUS7Jd8A-Ny8aNMUI-</v>
      </c>
      <c r="O2385">
        <v>0</v>
      </c>
      <c r="P2385">
        <v>0</v>
      </c>
      <c r="Q2385">
        <v>0</v>
      </c>
      <c r="S2385">
        <v>0</v>
      </c>
      <c r="T2385">
        <v>0</v>
      </c>
      <c r="U2385">
        <v>0</v>
      </c>
      <c r="W2385" t="s">
        <v>52</v>
      </c>
    </row>
    <row r="2386" spans="1:23" x14ac:dyDescent="0.35">
      <c r="A2386" t="s">
        <v>45</v>
      </c>
      <c r="B2386" t="s">
        <v>4842</v>
      </c>
      <c r="C2386" t="s">
        <v>93</v>
      </c>
      <c r="D2386" t="s">
        <v>4755</v>
      </c>
      <c r="E2386" t="s">
        <v>4756</v>
      </c>
      <c r="F2386" t="s">
        <v>49</v>
      </c>
      <c r="G2386" t="s">
        <v>4907</v>
      </c>
      <c r="H2386" t="s">
        <v>4908</v>
      </c>
      <c r="J2386" t="str">
        <f>HYPERLINK("https://twitter.com/InsAdvisormanoj/status/1754009696196055333","https://twitter.com/InsAdvisormanoj/status/1754009696196055333")</f>
        <v>https://twitter.com/InsAdvisormanoj/status/1754009696196055333</v>
      </c>
      <c r="K2386" t="s">
        <v>67</v>
      </c>
      <c r="O2386">
        <v>0</v>
      </c>
      <c r="P2386">
        <v>0</v>
      </c>
      <c r="Q2386">
        <v>3</v>
      </c>
      <c r="R2386" t="s">
        <v>4759</v>
      </c>
      <c r="S2386">
        <v>0</v>
      </c>
      <c r="T2386">
        <v>0</v>
      </c>
      <c r="U2386">
        <v>0</v>
      </c>
      <c r="W2386" t="s">
        <v>99</v>
      </c>
    </row>
    <row r="2387" spans="1:23" x14ac:dyDescent="0.35">
      <c r="A2387" t="s">
        <v>45</v>
      </c>
      <c r="B2387" t="s">
        <v>4842</v>
      </c>
      <c r="C2387" t="s">
        <v>60</v>
      </c>
      <c r="D2387" t="s">
        <v>61</v>
      </c>
      <c r="E2387" t="s">
        <v>61</v>
      </c>
      <c r="F2387" t="s">
        <v>49</v>
      </c>
      <c r="G2387" t="s">
        <v>4909</v>
      </c>
      <c r="H2387" t="s">
        <v>4910</v>
      </c>
      <c r="J2387" t="str">
        <f>HYPERLINK("https://www.facebook.com/634639855377280/posts/782513537256577?comment_id=3825052481106175","https://www.facebook.com/634639855377280/posts/782513537256577?comment_id=3825052481106175")</f>
        <v>https://www.facebook.com/634639855377280/posts/782513537256577?comment_id=3825052481106175</v>
      </c>
      <c r="O2387">
        <v>0</v>
      </c>
      <c r="P2387">
        <v>0</v>
      </c>
      <c r="Q2387">
        <v>0</v>
      </c>
      <c r="S2387">
        <v>0</v>
      </c>
      <c r="T2387">
        <v>0</v>
      </c>
      <c r="U2387">
        <v>0</v>
      </c>
      <c r="W2387" t="s">
        <v>52</v>
      </c>
    </row>
    <row r="2388" spans="1:23" x14ac:dyDescent="0.35">
      <c r="A2388" t="s">
        <v>45</v>
      </c>
      <c r="B2388" t="s">
        <v>4842</v>
      </c>
      <c r="C2388" t="s">
        <v>93</v>
      </c>
      <c r="D2388" t="s">
        <v>94</v>
      </c>
      <c r="E2388" t="s">
        <v>45</v>
      </c>
      <c r="F2388" t="s">
        <v>49</v>
      </c>
      <c r="G2388" t="s">
        <v>4911</v>
      </c>
      <c r="H2388" t="s">
        <v>4912</v>
      </c>
      <c r="J2388" t="str">
        <f>HYPERLINK("https://twitter.com/SpiceMoneyIndia/status/1754004157483098353","https://twitter.com/SpiceMoneyIndia/status/1754004157483098353")</f>
        <v>https://twitter.com/SpiceMoneyIndia/status/1754004157483098353</v>
      </c>
      <c r="K2388" t="s">
        <v>67</v>
      </c>
      <c r="O2388">
        <v>0</v>
      </c>
      <c r="P2388">
        <v>0</v>
      </c>
      <c r="Q2388">
        <v>6022</v>
      </c>
      <c r="R2388" t="s">
        <v>97</v>
      </c>
      <c r="S2388">
        <v>0</v>
      </c>
      <c r="T2388">
        <v>0</v>
      </c>
      <c r="U2388">
        <v>0</v>
      </c>
      <c r="V2388" t="s">
        <v>98</v>
      </c>
      <c r="W2388" t="s">
        <v>99</v>
      </c>
    </row>
    <row r="2389" spans="1:23" x14ac:dyDescent="0.35">
      <c r="A2389" t="s">
        <v>45</v>
      </c>
      <c r="B2389" t="s">
        <v>4842</v>
      </c>
      <c r="C2389" t="s">
        <v>60</v>
      </c>
      <c r="D2389" t="s">
        <v>61</v>
      </c>
      <c r="E2389" t="s">
        <v>61</v>
      </c>
      <c r="F2389" t="s">
        <v>49</v>
      </c>
      <c r="G2389" t="s">
        <v>4913</v>
      </c>
      <c r="H2389" t="s">
        <v>4914</v>
      </c>
      <c r="J2389" t="str">
        <f>HYPERLINK("https://www.facebook.com/634639855377280/posts/782513537256577?comment_id=1351410405577663&amp;reply_comment_id=353688760862715","https://www.facebook.com/634639855377280/posts/782513537256577?comment_id=1351410405577663&amp;reply_comment_id=353688760862715")</f>
        <v>https://www.facebook.com/634639855377280/posts/782513537256577?comment_id=1351410405577663&amp;reply_comment_id=353688760862715</v>
      </c>
      <c r="O2389">
        <v>0</v>
      </c>
      <c r="P2389">
        <v>0</v>
      </c>
      <c r="Q2389">
        <v>0</v>
      </c>
      <c r="S2389">
        <v>0</v>
      </c>
      <c r="T2389">
        <v>0</v>
      </c>
      <c r="U2389">
        <v>0</v>
      </c>
      <c r="W2389" t="s">
        <v>52</v>
      </c>
    </row>
    <row r="2390" spans="1:23" x14ac:dyDescent="0.35">
      <c r="A2390" t="s">
        <v>45</v>
      </c>
      <c r="B2390" t="s">
        <v>4842</v>
      </c>
      <c r="C2390" t="s">
        <v>60</v>
      </c>
      <c r="D2390" t="s">
        <v>61</v>
      </c>
      <c r="E2390" t="s">
        <v>61</v>
      </c>
      <c r="F2390" t="s">
        <v>49</v>
      </c>
      <c r="G2390" t="s">
        <v>4915</v>
      </c>
      <c r="H2390" t="s">
        <v>4916</v>
      </c>
      <c r="J2390" t="str">
        <f>HYPERLINK("https://www.facebook.com/634639855377280/posts/783619057146025?comment_id=933576678412178&amp;reply_comment_id=1424287025130197","https://www.facebook.com/634639855377280/posts/783619057146025?comment_id=933576678412178&amp;reply_comment_id=1424287025130197")</f>
        <v>https://www.facebook.com/634639855377280/posts/783619057146025?comment_id=933576678412178&amp;reply_comment_id=1424287025130197</v>
      </c>
      <c r="O2390">
        <v>0</v>
      </c>
      <c r="P2390">
        <v>0</v>
      </c>
      <c r="Q2390">
        <v>0</v>
      </c>
      <c r="S2390">
        <v>0</v>
      </c>
      <c r="T2390">
        <v>0</v>
      </c>
      <c r="U2390">
        <v>0</v>
      </c>
      <c r="W2390" t="s">
        <v>52</v>
      </c>
    </row>
    <row r="2391" spans="1:23" x14ac:dyDescent="0.35">
      <c r="A2391" t="s">
        <v>45</v>
      </c>
      <c r="B2391" t="s">
        <v>4842</v>
      </c>
      <c r="C2391" t="s">
        <v>60</v>
      </c>
      <c r="D2391" t="s">
        <v>64</v>
      </c>
      <c r="E2391" t="s">
        <v>64</v>
      </c>
      <c r="F2391" t="s">
        <v>49</v>
      </c>
      <c r="G2391" t="s">
        <v>100</v>
      </c>
      <c r="H2391" t="s">
        <v>4917</v>
      </c>
      <c r="J2391" t="str">
        <f>HYPERLINK("https://www.facebook.com/634639855377280/posts/784740367033894?comment_id=735783845290220&amp;reply_comment_id=1421440385135087","https://www.facebook.com/634639855377280/posts/784740367033894?comment_id=735783845290220&amp;reply_comment_id=1421440385135087")</f>
        <v>https://www.facebook.com/634639855377280/posts/784740367033894?comment_id=735783845290220&amp;reply_comment_id=1421440385135087</v>
      </c>
      <c r="K2391" t="s">
        <v>67</v>
      </c>
      <c r="O2391">
        <v>0</v>
      </c>
      <c r="P2391">
        <v>0</v>
      </c>
      <c r="Q2391">
        <v>0</v>
      </c>
      <c r="S2391">
        <v>0</v>
      </c>
      <c r="T2391">
        <v>0</v>
      </c>
      <c r="U2391">
        <v>0</v>
      </c>
      <c r="W2391" t="s">
        <v>52</v>
      </c>
    </row>
    <row r="2392" spans="1:23" x14ac:dyDescent="0.35">
      <c r="A2392" t="s">
        <v>45</v>
      </c>
      <c r="B2392" t="s">
        <v>4842</v>
      </c>
      <c r="C2392" t="s">
        <v>60</v>
      </c>
      <c r="D2392" t="s">
        <v>64</v>
      </c>
      <c r="E2392" t="s">
        <v>64</v>
      </c>
      <c r="F2392" t="s">
        <v>49</v>
      </c>
      <c r="G2392" t="s">
        <v>83</v>
      </c>
      <c r="H2392" t="s">
        <v>4918</v>
      </c>
      <c r="J2392" t="str">
        <f>HYPERLINK("https://www.facebook.com/634639855377280/posts/783619057146025?comment_id=755870129777029&amp;reply_comment_id=1391707498218575","https://www.facebook.com/634639855377280/posts/783619057146025?comment_id=755870129777029&amp;reply_comment_id=1391707498218575")</f>
        <v>https://www.facebook.com/634639855377280/posts/783619057146025?comment_id=755870129777029&amp;reply_comment_id=1391707498218575</v>
      </c>
      <c r="K2392" t="s">
        <v>67</v>
      </c>
      <c r="O2392">
        <v>0</v>
      </c>
      <c r="P2392">
        <v>0</v>
      </c>
      <c r="Q2392">
        <v>0</v>
      </c>
      <c r="S2392">
        <v>0</v>
      </c>
      <c r="T2392">
        <v>0</v>
      </c>
      <c r="U2392">
        <v>0</v>
      </c>
      <c r="W2392" t="s">
        <v>52</v>
      </c>
    </row>
    <row r="2393" spans="1:23" x14ac:dyDescent="0.35">
      <c r="A2393" t="s">
        <v>45</v>
      </c>
      <c r="B2393" t="s">
        <v>4842</v>
      </c>
      <c r="C2393" t="s">
        <v>60</v>
      </c>
      <c r="D2393" t="s">
        <v>64</v>
      </c>
      <c r="E2393" t="s">
        <v>64</v>
      </c>
      <c r="F2393" t="s">
        <v>49</v>
      </c>
      <c r="G2393" t="s">
        <v>454</v>
      </c>
      <c r="H2393" t="s">
        <v>4919</v>
      </c>
      <c r="J2393" t="str">
        <f>HYPERLINK("https://www.facebook.com/634639855377280/posts/782513537256577?comment_id=381804614495601&amp;reply_comment_id=1294921607871003","https://www.facebook.com/634639855377280/posts/782513537256577?comment_id=381804614495601&amp;reply_comment_id=1294921607871003")</f>
        <v>https://www.facebook.com/634639855377280/posts/782513537256577?comment_id=381804614495601&amp;reply_comment_id=1294921607871003</v>
      </c>
      <c r="K2393" t="s">
        <v>67</v>
      </c>
      <c r="O2393">
        <v>0</v>
      </c>
      <c r="P2393">
        <v>0</v>
      </c>
      <c r="Q2393">
        <v>0</v>
      </c>
      <c r="S2393">
        <v>0</v>
      </c>
      <c r="T2393">
        <v>0</v>
      </c>
      <c r="U2393">
        <v>0</v>
      </c>
      <c r="W2393" t="s">
        <v>52</v>
      </c>
    </row>
    <row r="2394" spans="1:23" x14ac:dyDescent="0.35">
      <c r="A2394" t="s">
        <v>45</v>
      </c>
      <c r="B2394" t="s">
        <v>4842</v>
      </c>
      <c r="C2394" t="s">
        <v>60</v>
      </c>
      <c r="D2394" t="s">
        <v>64</v>
      </c>
      <c r="E2394" t="s">
        <v>64</v>
      </c>
      <c r="F2394" t="s">
        <v>49</v>
      </c>
      <c r="G2394" t="s">
        <v>164</v>
      </c>
      <c r="H2394" t="s">
        <v>4920</v>
      </c>
      <c r="J2394" t="str">
        <f>HYPERLINK("https://www.facebook.com/634639855377280/posts/783619057146025?comment_id=1078113210065991&amp;reply_comment_id=225011897268895","https://www.facebook.com/634639855377280/posts/783619057146025?comment_id=1078113210065991&amp;reply_comment_id=225011897268895")</f>
        <v>https://www.facebook.com/634639855377280/posts/783619057146025?comment_id=1078113210065991&amp;reply_comment_id=225011897268895</v>
      </c>
      <c r="K2394" t="s">
        <v>67</v>
      </c>
      <c r="O2394">
        <v>0</v>
      </c>
      <c r="P2394">
        <v>0</v>
      </c>
      <c r="Q2394">
        <v>0</v>
      </c>
      <c r="S2394">
        <v>0</v>
      </c>
      <c r="T2394">
        <v>0</v>
      </c>
      <c r="U2394">
        <v>0</v>
      </c>
      <c r="W2394" t="s">
        <v>52</v>
      </c>
    </row>
    <row r="2395" spans="1:23" x14ac:dyDescent="0.35">
      <c r="A2395" t="s">
        <v>45</v>
      </c>
      <c r="B2395" t="s">
        <v>4842</v>
      </c>
      <c r="C2395" t="s">
        <v>60</v>
      </c>
      <c r="D2395" t="s">
        <v>64</v>
      </c>
      <c r="E2395" t="s">
        <v>64</v>
      </c>
      <c r="F2395" t="s">
        <v>49</v>
      </c>
      <c r="G2395" t="s">
        <v>380</v>
      </c>
      <c r="H2395" t="s">
        <v>4921</v>
      </c>
      <c r="J2395" t="str">
        <f>HYPERLINK("https://www.facebook.com/634639855377280/posts/783619057146025?comment_id=933576678412178&amp;reply_comment_id=755853303132774","https://www.facebook.com/634639855377280/posts/783619057146025?comment_id=933576678412178&amp;reply_comment_id=755853303132774")</f>
        <v>https://www.facebook.com/634639855377280/posts/783619057146025?comment_id=933576678412178&amp;reply_comment_id=755853303132774</v>
      </c>
      <c r="K2395" t="s">
        <v>67</v>
      </c>
      <c r="O2395">
        <v>0</v>
      </c>
      <c r="P2395">
        <v>0</v>
      </c>
      <c r="Q2395">
        <v>0</v>
      </c>
      <c r="S2395">
        <v>0</v>
      </c>
      <c r="T2395">
        <v>0</v>
      </c>
      <c r="U2395">
        <v>0</v>
      </c>
      <c r="W2395" t="s">
        <v>52</v>
      </c>
    </row>
    <row r="2396" spans="1:23" x14ac:dyDescent="0.35">
      <c r="A2396" t="s">
        <v>45</v>
      </c>
      <c r="B2396" t="s">
        <v>4842</v>
      </c>
      <c r="C2396" t="s">
        <v>60</v>
      </c>
      <c r="D2396" t="s">
        <v>61</v>
      </c>
      <c r="E2396" t="s">
        <v>61</v>
      </c>
      <c r="F2396" t="s">
        <v>49</v>
      </c>
      <c r="G2396" t="s">
        <v>4762</v>
      </c>
      <c r="H2396" t="s">
        <v>4922</v>
      </c>
      <c r="J2396" t="str">
        <f>HYPERLINK("https://www.facebook.com/634639855377280/posts/784740367033894?comment_id=735783845290220","https://www.facebook.com/634639855377280/posts/784740367033894?comment_id=735783845290220")</f>
        <v>https://www.facebook.com/634639855377280/posts/784740367033894?comment_id=735783845290220</v>
      </c>
      <c r="O2396">
        <v>0</v>
      </c>
      <c r="P2396">
        <v>0</v>
      </c>
      <c r="Q2396">
        <v>0</v>
      </c>
      <c r="S2396">
        <v>0</v>
      </c>
      <c r="T2396">
        <v>0</v>
      </c>
      <c r="U2396">
        <v>0</v>
      </c>
      <c r="W2396" t="s">
        <v>52</v>
      </c>
    </row>
    <row r="2397" spans="1:23" x14ac:dyDescent="0.35">
      <c r="A2397" t="s">
        <v>45</v>
      </c>
      <c r="B2397" t="s">
        <v>4842</v>
      </c>
      <c r="C2397" t="s">
        <v>93</v>
      </c>
      <c r="D2397" t="s">
        <v>4923</v>
      </c>
      <c r="E2397" t="s">
        <v>4924</v>
      </c>
      <c r="F2397" t="s">
        <v>49</v>
      </c>
      <c r="G2397" t="s">
        <v>4925</v>
      </c>
      <c r="H2397" t="s">
        <v>4926</v>
      </c>
      <c r="J2397" t="str">
        <f>HYPERLINK("https://twitter.com/SabeelSiddiqui8/status/1753984271822586365","https://twitter.com/SabeelSiddiqui8/status/1753984271822586365")</f>
        <v>https://twitter.com/SabeelSiddiqui8/status/1753984271822586365</v>
      </c>
      <c r="K2397" t="s">
        <v>67</v>
      </c>
      <c r="O2397">
        <v>0</v>
      </c>
      <c r="P2397">
        <v>0</v>
      </c>
      <c r="Q2397">
        <v>25</v>
      </c>
      <c r="R2397" t="s">
        <v>4927</v>
      </c>
      <c r="S2397">
        <v>0</v>
      </c>
      <c r="T2397">
        <v>0</v>
      </c>
      <c r="U2397">
        <v>0</v>
      </c>
      <c r="W2397" t="s">
        <v>433</v>
      </c>
    </row>
    <row r="2398" spans="1:23" x14ac:dyDescent="0.35">
      <c r="A2398" t="s">
        <v>45</v>
      </c>
      <c r="B2398" t="s">
        <v>4842</v>
      </c>
      <c r="C2398" t="s">
        <v>93</v>
      </c>
      <c r="D2398" t="s">
        <v>4923</v>
      </c>
      <c r="E2398" t="s">
        <v>4924</v>
      </c>
      <c r="F2398" t="s">
        <v>49</v>
      </c>
      <c r="G2398" t="s">
        <v>4928</v>
      </c>
      <c r="H2398" t="s">
        <v>4929</v>
      </c>
      <c r="J2398" t="str">
        <f>HYPERLINK("https://twitter.com/SabeelSiddiqui8/status/1753984091098427612","https://twitter.com/SabeelSiddiqui8/status/1753984091098427612")</f>
        <v>https://twitter.com/SabeelSiddiqui8/status/1753984091098427612</v>
      </c>
      <c r="K2398" t="s">
        <v>67</v>
      </c>
      <c r="O2398">
        <v>0</v>
      </c>
      <c r="P2398">
        <v>0</v>
      </c>
      <c r="Q2398">
        <v>25</v>
      </c>
      <c r="R2398" t="s">
        <v>4927</v>
      </c>
      <c r="S2398">
        <v>0</v>
      </c>
      <c r="T2398">
        <v>0</v>
      </c>
      <c r="U2398">
        <v>0</v>
      </c>
      <c r="W2398" t="s">
        <v>433</v>
      </c>
    </row>
    <row r="2399" spans="1:23" x14ac:dyDescent="0.35">
      <c r="A2399" t="s">
        <v>45</v>
      </c>
      <c r="B2399" t="s">
        <v>4842</v>
      </c>
      <c r="C2399" t="s">
        <v>60</v>
      </c>
      <c r="D2399" t="s">
        <v>64</v>
      </c>
      <c r="E2399" t="s">
        <v>64</v>
      </c>
      <c r="F2399" t="s">
        <v>49</v>
      </c>
      <c r="G2399" t="s">
        <v>4930</v>
      </c>
      <c r="H2399" t="s">
        <v>4931</v>
      </c>
      <c r="J2399" t="str">
        <f>HYPERLINK("https://www.facebook.com/634639855377280/posts/784211473753450?comment_id=410934704703211&amp;reply_comment_id=906265067540852","https://www.facebook.com/634639855377280/posts/784211473753450?comment_id=410934704703211&amp;reply_comment_id=906265067540852")</f>
        <v>https://www.facebook.com/634639855377280/posts/784211473753450?comment_id=410934704703211&amp;reply_comment_id=906265067540852</v>
      </c>
      <c r="K2399" t="s">
        <v>67</v>
      </c>
      <c r="O2399">
        <v>0</v>
      </c>
      <c r="P2399">
        <v>0</v>
      </c>
      <c r="Q2399">
        <v>0</v>
      </c>
      <c r="S2399">
        <v>0</v>
      </c>
      <c r="T2399">
        <v>0</v>
      </c>
      <c r="U2399">
        <v>0</v>
      </c>
      <c r="W2399" t="s">
        <v>52</v>
      </c>
    </row>
    <row r="2400" spans="1:23" x14ac:dyDescent="0.35">
      <c r="A2400" t="s">
        <v>45</v>
      </c>
      <c r="B2400" t="s">
        <v>4842</v>
      </c>
      <c r="C2400" t="s">
        <v>60</v>
      </c>
      <c r="D2400" t="s">
        <v>64</v>
      </c>
      <c r="E2400" t="s">
        <v>64</v>
      </c>
      <c r="F2400" t="s">
        <v>49</v>
      </c>
      <c r="G2400" t="s">
        <v>1276</v>
      </c>
      <c r="H2400" t="s">
        <v>4932</v>
      </c>
      <c r="J2400" t="str">
        <f>HYPERLINK("https://www.facebook.com/634639855377280/posts/784211473753450?comment_id=3593008890957740&amp;reply_comment_id=278729228348201","https://www.facebook.com/634639855377280/posts/784211473753450?comment_id=3593008890957740&amp;reply_comment_id=278729228348201")</f>
        <v>https://www.facebook.com/634639855377280/posts/784211473753450?comment_id=3593008890957740&amp;reply_comment_id=278729228348201</v>
      </c>
      <c r="K2400" t="s">
        <v>67</v>
      </c>
      <c r="O2400">
        <v>0</v>
      </c>
      <c r="P2400">
        <v>0</v>
      </c>
      <c r="Q2400">
        <v>0</v>
      </c>
      <c r="S2400">
        <v>0</v>
      </c>
      <c r="T2400">
        <v>0</v>
      </c>
      <c r="U2400">
        <v>0</v>
      </c>
      <c r="W2400" t="s">
        <v>52</v>
      </c>
    </row>
    <row r="2401" spans="1:23" x14ac:dyDescent="0.35">
      <c r="A2401" t="s">
        <v>45</v>
      </c>
      <c r="B2401" t="s">
        <v>4842</v>
      </c>
      <c r="C2401" t="s">
        <v>93</v>
      </c>
      <c r="D2401" t="s">
        <v>94</v>
      </c>
      <c r="E2401" t="s">
        <v>45</v>
      </c>
      <c r="F2401" t="s">
        <v>49</v>
      </c>
      <c r="G2401" t="s">
        <v>4933</v>
      </c>
      <c r="H2401" t="s">
        <v>4934</v>
      </c>
      <c r="J2401" t="str">
        <f>HYPERLINK("https://twitter.com/SpiceMoneyIndia/status/1753978521834111465","https://twitter.com/SpiceMoneyIndia/status/1753978521834111465")</f>
        <v>https://twitter.com/SpiceMoneyIndia/status/1753978521834111465</v>
      </c>
      <c r="K2401" t="s">
        <v>67</v>
      </c>
      <c r="O2401">
        <v>0</v>
      </c>
      <c r="P2401">
        <v>0</v>
      </c>
      <c r="Q2401">
        <v>6021</v>
      </c>
      <c r="R2401" t="s">
        <v>97</v>
      </c>
      <c r="S2401">
        <v>0</v>
      </c>
      <c r="T2401">
        <v>0</v>
      </c>
      <c r="U2401">
        <v>0</v>
      </c>
      <c r="V2401" t="s">
        <v>98</v>
      </c>
      <c r="W2401" t="s">
        <v>99</v>
      </c>
    </row>
    <row r="2402" spans="1:23" x14ac:dyDescent="0.35">
      <c r="A2402" t="s">
        <v>45</v>
      </c>
      <c r="B2402" t="s">
        <v>4842</v>
      </c>
      <c r="C2402" t="s">
        <v>47</v>
      </c>
      <c r="D2402" t="s">
        <v>68</v>
      </c>
      <c r="E2402" t="s">
        <v>68</v>
      </c>
      <c r="F2402" t="s">
        <v>49</v>
      </c>
      <c r="G2402" t="s">
        <v>3233</v>
      </c>
      <c r="H2402" t="s">
        <v>4935</v>
      </c>
      <c r="J2402" t="str">
        <f>HYPERLINK("https://www.youtube.com/watch?v=IHWzT2TNYKQ&amp;lc=Ugw2xAZlFrlvbK8f4FV4AaABAg.A-MaP25dYYbA-NjOrMzvvb","https://www.youtube.com/watch?v=IHWzT2TNYKQ&amp;lc=Ugw2xAZlFrlvbK8f4FV4AaABAg.A-MaP25dYYbA-NjOrMzvvb")</f>
        <v>https://www.youtube.com/watch?v=IHWzT2TNYKQ&amp;lc=Ugw2xAZlFrlvbK8f4FV4AaABAg.A-MaP25dYYbA-NjOrMzvvb</v>
      </c>
      <c r="O2402">
        <v>0</v>
      </c>
      <c r="P2402">
        <v>0</v>
      </c>
      <c r="Q2402">
        <v>0</v>
      </c>
      <c r="S2402">
        <v>0</v>
      </c>
      <c r="T2402">
        <v>0</v>
      </c>
      <c r="U2402">
        <v>0</v>
      </c>
      <c r="W2402" t="s">
        <v>52</v>
      </c>
    </row>
    <row r="2403" spans="1:23" x14ac:dyDescent="0.35">
      <c r="A2403" t="s">
        <v>45</v>
      </c>
      <c r="B2403" t="s">
        <v>4842</v>
      </c>
      <c r="C2403" t="s">
        <v>60</v>
      </c>
      <c r="D2403" t="s">
        <v>64</v>
      </c>
      <c r="E2403" t="s">
        <v>64</v>
      </c>
      <c r="F2403" t="s">
        <v>49</v>
      </c>
      <c r="G2403" t="s">
        <v>4936</v>
      </c>
      <c r="H2403" t="s">
        <v>4937</v>
      </c>
      <c r="J2403" t="str">
        <f>HYPERLINK("https://www.facebook.com/634639855377280/posts/784740367033894","https://www.facebook.com/634639855377280/posts/784740367033894")</f>
        <v>https://www.facebook.com/634639855377280/posts/784740367033894</v>
      </c>
      <c r="O2403">
        <v>0</v>
      </c>
      <c r="P2403">
        <v>0</v>
      </c>
      <c r="Q2403">
        <v>0</v>
      </c>
      <c r="S2403">
        <v>4</v>
      </c>
      <c r="T2403">
        <v>37</v>
      </c>
      <c r="U2403">
        <v>4</v>
      </c>
      <c r="W2403" t="s">
        <v>346</v>
      </c>
    </row>
    <row r="2404" spans="1:23" x14ac:dyDescent="0.35">
      <c r="A2404" t="s">
        <v>45</v>
      </c>
      <c r="B2404" t="s">
        <v>4842</v>
      </c>
      <c r="C2404" t="s">
        <v>93</v>
      </c>
      <c r="D2404" t="s">
        <v>4938</v>
      </c>
      <c r="E2404" t="s">
        <v>4939</v>
      </c>
      <c r="F2404" t="s">
        <v>49</v>
      </c>
      <c r="G2404" t="s">
        <v>4940</v>
      </c>
      <c r="H2404" t="s">
        <v>4941</v>
      </c>
      <c r="J2404" t="str">
        <f>HYPERLINK("https://twitter.com/JWeenft42065/status/1753969148517052793","https://twitter.com/JWeenft42065/status/1753969148517052793")</f>
        <v>https://twitter.com/JWeenft42065/status/1753969148517052793</v>
      </c>
      <c r="K2404" t="s">
        <v>471</v>
      </c>
      <c r="O2404">
        <v>0</v>
      </c>
      <c r="P2404">
        <v>0</v>
      </c>
      <c r="Q2404">
        <v>0</v>
      </c>
      <c r="R2404" t="s">
        <v>4942</v>
      </c>
      <c r="S2404">
        <v>0</v>
      </c>
      <c r="T2404">
        <v>0</v>
      </c>
      <c r="U2404">
        <v>0</v>
      </c>
      <c r="W2404" t="s">
        <v>99</v>
      </c>
    </row>
    <row r="2405" spans="1:23" x14ac:dyDescent="0.35">
      <c r="A2405" t="s">
        <v>45</v>
      </c>
      <c r="B2405" t="s">
        <v>4842</v>
      </c>
      <c r="C2405" t="s">
        <v>93</v>
      </c>
      <c r="D2405" t="s">
        <v>94</v>
      </c>
      <c r="E2405" t="s">
        <v>45</v>
      </c>
      <c r="F2405" t="s">
        <v>49</v>
      </c>
      <c r="G2405" t="s">
        <v>4928</v>
      </c>
      <c r="H2405" t="s">
        <v>4943</v>
      </c>
      <c r="J2405" t="str">
        <f>HYPERLINK("https://twitter.com/SpiceMoneyIndia/status/1753969122248208532","https://twitter.com/SpiceMoneyIndia/status/1753969122248208532")</f>
        <v>https://twitter.com/SpiceMoneyIndia/status/1753969122248208532</v>
      </c>
      <c r="K2405" t="s">
        <v>67</v>
      </c>
      <c r="O2405">
        <v>0</v>
      </c>
      <c r="P2405">
        <v>0</v>
      </c>
      <c r="Q2405">
        <v>6021</v>
      </c>
      <c r="R2405" t="s">
        <v>97</v>
      </c>
      <c r="S2405">
        <v>0</v>
      </c>
      <c r="T2405">
        <v>0</v>
      </c>
      <c r="U2405">
        <v>0</v>
      </c>
      <c r="V2405" t="s">
        <v>98</v>
      </c>
      <c r="W2405" t="s">
        <v>99</v>
      </c>
    </row>
    <row r="2406" spans="1:23" x14ac:dyDescent="0.35">
      <c r="A2406" t="s">
        <v>45</v>
      </c>
      <c r="B2406" t="s">
        <v>4944</v>
      </c>
      <c r="C2406" t="s">
        <v>60</v>
      </c>
      <c r="D2406" t="s">
        <v>61</v>
      </c>
      <c r="E2406" t="s">
        <v>61</v>
      </c>
      <c r="F2406" t="s">
        <v>54</v>
      </c>
      <c r="G2406" t="s">
        <v>4945</v>
      </c>
      <c r="H2406" t="s">
        <v>4946</v>
      </c>
      <c r="J2406" t="str">
        <f>HYPERLINK("https://www.facebook.com/634639855377280/posts/784211473753450?comment_id=3593008890957740","https://www.facebook.com/634639855377280/posts/784211473753450?comment_id=3593008890957740")</f>
        <v>https://www.facebook.com/634639855377280/posts/784211473753450?comment_id=3593008890957740</v>
      </c>
      <c r="O2406">
        <v>0</v>
      </c>
      <c r="P2406">
        <v>0</v>
      </c>
      <c r="Q2406">
        <v>0</v>
      </c>
      <c r="S2406">
        <v>0</v>
      </c>
      <c r="T2406">
        <v>0</v>
      </c>
      <c r="U2406">
        <v>0</v>
      </c>
      <c r="W2406" t="s">
        <v>52</v>
      </c>
    </row>
    <row r="2407" spans="1:23" x14ac:dyDescent="0.35">
      <c r="A2407" t="s">
        <v>45</v>
      </c>
      <c r="B2407" t="s">
        <v>4944</v>
      </c>
      <c r="C2407" t="s">
        <v>60</v>
      </c>
      <c r="D2407" t="s">
        <v>61</v>
      </c>
      <c r="E2407" t="s">
        <v>61</v>
      </c>
      <c r="F2407" t="s">
        <v>49</v>
      </c>
      <c r="G2407" t="s">
        <v>4947</v>
      </c>
      <c r="H2407" t="s">
        <v>4948</v>
      </c>
      <c r="J2407" t="str">
        <f>HYPERLINK("https://www.facebook.com/634639855377280/posts/783619057146025?comment_id=755870129777029","https://www.facebook.com/634639855377280/posts/783619057146025?comment_id=755870129777029")</f>
        <v>https://www.facebook.com/634639855377280/posts/783619057146025?comment_id=755870129777029</v>
      </c>
      <c r="O2407">
        <v>0</v>
      </c>
      <c r="P2407">
        <v>0</v>
      </c>
      <c r="Q2407">
        <v>0</v>
      </c>
      <c r="S2407">
        <v>0</v>
      </c>
      <c r="T2407">
        <v>0</v>
      </c>
      <c r="U2407">
        <v>0</v>
      </c>
      <c r="W2407" t="s">
        <v>52</v>
      </c>
    </row>
    <row r="2408" spans="1:23" x14ac:dyDescent="0.35">
      <c r="A2408" t="s">
        <v>45</v>
      </c>
      <c r="B2408" t="s">
        <v>4944</v>
      </c>
      <c r="C2408" t="s">
        <v>93</v>
      </c>
      <c r="D2408" t="s">
        <v>3262</v>
      </c>
      <c r="E2408" t="s">
        <v>3263</v>
      </c>
      <c r="F2408" t="s">
        <v>49</v>
      </c>
      <c r="G2408" t="s">
        <v>4949</v>
      </c>
      <c r="H2408" t="s">
        <v>4950</v>
      </c>
      <c r="J2408" t="str">
        <f>HYPERLINK("https://twitter.com/ShoaibAkhtertsk/status/1753829567574450389","https://twitter.com/ShoaibAkhtertsk/status/1753829567574450389")</f>
        <v>https://twitter.com/ShoaibAkhtertsk/status/1753829567574450389</v>
      </c>
      <c r="K2408" t="s">
        <v>67</v>
      </c>
      <c r="O2408">
        <v>0</v>
      </c>
      <c r="P2408">
        <v>0</v>
      </c>
      <c r="Q2408">
        <v>50</v>
      </c>
      <c r="R2408" t="s">
        <v>3266</v>
      </c>
      <c r="S2408">
        <v>0</v>
      </c>
      <c r="T2408">
        <v>0</v>
      </c>
      <c r="U2408">
        <v>0</v>
      </c>
      <c r="W2408" t="s">
        <v>99</v>
      </c>
    </row>
    <row r="2409" spans="1:23" x14ac:dyDescent="0.35">
      <c r="A2409" t="s">
        <v>45</v>
      </c>
      <c r="B2409" t="s">
        <v>4944</v>
      </c>
      <c r="C2409" t="s">
        <v>60</v>
      </c>
      <c r="D2409" t="s">
        <v>61</v>
      </c>
      <c r="E2409" t="s">
        <v>61</v>
      </c>
      <c r="F2409" t="s">
        <v>49</v>
      </c>
      <c r="G2409" t="s">
        <v>4951</v>
      </c>
      <c r="H2409" t="s">
        <v>4952</v>
      </c>
      <c r="J2409" t="str">
        <f>HYPERLINK("https://www.facebook.com/634639855377280/posts/784211473753450?comment_id=410934704703211","https://www.facebook.com/634639855377280/posts/784211473753450?comment_id=410934704703211")</f>
        <v>https://www.facebook.com/634639855377280/posts/784211473753450?comment_id=410934704703211</v>
      </c>
      <c r="O2409">
        <v>0</v>
      </c>
      <c r="P2409">
        <v>0</v>
      </c>
      <c r="Q2409">
        <v>0</v>
      </c>
      <c r="S2409">
        <v>0</v>
      </c>
      <c r="T2409">
        <v>0</v>
      </c>
      <c r="U2409">
        <v>0</v>
      </c>
      <c r="W2409" t="s">
        <v>52</v>
      </c>
    </row>
    <row r="2410" spans="1:23" x14ac:dyDescent="0.35">
      <c r="A2410" t="s">
        <v>45</v>
      </c>
      <c r="B2410" t="s">
        <v>4944</v>
      </c>
      <c r="C2410" t="s">
        <v>60</v>
      </c>
      <c r="D2410" t="s">
        <v>61</v>
      </c>
      <c r="E2410" t="s">
        <v>61</v>
      </c>
      <c r="F2410" t="s">
        <v>49</v>
      </c>
      <c r="G2410" t="s">
        <v>4953</v>
      </c>
      <c r="H2410" t="s">
        <v>4954</v>
      </c>
      <c r="J2410" t="str">
        <f>HYPERLINK("https://www.facebook.com/634639855377280/posts/783040850537179?comment_id=1127921748370858","https://www.facebook.com/634639855377280/posts/783040850537179?comment_id=1127921748370858")</f>
        <v>https://www.facebook.com/634639855377280/posts/783040850537179?comment_id=1127921748370858</v>
      </c>
      <c r="O2410">
        <v>0</v>
      </c>
      <c r="P2410">
        <v>0</v>
      </c>
      <c r="Q2410">
        <v>0</v>
      </c>
      <c r="S2410">
        <v>0</v>
      </c>
      <c r="T2410">
        <v>0</v>
      </c>
      <c r="U2410">
        <v>0</v>
      </c>
      <c r="W2410" t="s">
        <v>52</v>
      </c>
    </row>
    <row r="2411" spans="1:23" x14ac:dyDescent="0.35">
      <c r="A2411" t="s">
        <v>45</v>
      </c>
      <c r="B2411" t="s">
        <v>4944</v>
      </c>
      <c r="C2411" t="s">
        <v>60</v>
      </c>
      <c r="D2411" t="s">
        <v>61</v>
      </c>
      <c r="E2411" t="s">
        <v>61</v>
      </c>
      <c r="F2411" t="s">
        <v>49</v>
      </c>
      <c r="G2411" t="s">
        <v>4953</v>
      </c>
      <c r="H2411" t="s">
        <v>4955</v>
      </c>
      <c r="J2411" t="str">
        <f>HYPERLINK("https://www.facebook.com/634639855377280/posts/784211473753450?comment_id=7019557878120949","https://www.facebook.com/634639855377280/posts/784211473753450?comment_id=7019557878120949")</f>
        <v>https://www.facebook.com/634639855377280/posts/784211473753450?comment_id=7019557878120949</v>
      </c>
      <c r="O2411">
        <v>0</v>
      </c>
      <c r="P2411">
        <v>0</v>
      </c>
      <c r="Q2411">
        <v>0</v>
      </c>
      <c r="S2411">
        <v>0</v>
      </c>
      <c r="T2411">
        <v>0</v>
      </c>
      <c r="U2411">
        <v>0</v>
      </c>
      <c r="W2411" t="s">
        <v>52</v>
      </c>
    </row>
    <row r="2412" spans="1:23" x14ac:dyDescent="0.35">
      <c r="A2412" t="s">
        <v>45</v>
      </c>
      <c r="B2412" t="s">
        <v>4944</v>
      </c>
      <c r="C2412" t="s">
        <v>47</v>
      </c>
      <c r="D2412" t="s">
        <v>4272</v>
      </c>
      <c r="E2412" t="s">
        <v>4272</v>
      </c>
      <c r="F2412" t="s">
        <v>49</v>
      </c>
      <c r="G2412" t="s">
        <v>4956</v>
      </c>
      <c r="H2412" t="s">
        <v>4957</v>
      </c>
      <c r="J2412" t="str">
        <f>HYPERLINK("https://www.youtube.com/watch?v=IHWzT2TNYKQ&amp;lc=Ugw2xAZlFrlvbK8f4FV4AaABAg","https://www.youtube.com/watch?v=IHWzT2TNYKQ&amp;lc=Ugw2xAZlFrlvbK8f4FV4AaABAg")</f>
        <v>https://www.youtube.com/watch?v=IHWzT2TNYKQ&amp;lc=Ugw2xAZlFrlvbK8f4FV4AaABAg</v>
      </c>
      <c r="O2412">
        <v>0</v>
      </c>
      <c r="P2412">
        <v>0</v>
      </c>
      <c r="Q2412">
        <v>0</v>
      </c>
      <c r="S2412">
        <v>0</v>
      </c>
      <c r="T2412">
        <v>0</v>
      </c>
      <c r="U2412">
        <v>0</v>
      </c>
      <c r="W2412" t="s">
        <v>52</v>
      </c>
    </row>
    <row r="2413" spans="1:23" x14ac:dyDescent="0.35">
      <c r="A2413" t="s">
        <v>45</v>
      </c>
      <c r="B2413" t="s">
        <v>4944</v>
      </c>
      <c r="C2413" t="s">
        <v>60</v>
      </c>
      <c r="D2413" t="s">
        <v>61</v>
      </c>
      <c r="E2413" t="s">
        <v>61</v>
      </c>
      <c r="F2413" t="s">
        <v>49</v>
      </c>
      <c r="G2413" t="s">
        <v>4958</v>
      </c>
      <c r="H2413" t="s">
        <v>4959</v>
      </c>
      <c r="J2413" t="str">
        <f>HYPERLINK("https://www.facebook.com/634639855377280/posts/784211473753450?comment_id=330434849981168&amp;reply_comment_id=274901045614865","https://www.facebook.com/634639855377280/posts/784211473753450?comment_id=330434849981168&amp;reply_comment_id=274901045614865")</f>
        <v>https://www.facebook.com/634639855377280/posts/784211473753450?comment_id=330434849981168&amp;reply_comment_id=274901045614865</v>
      </c>
      <c r="O2413">
        <v>0</v>
      </c>
      <c r="P2413">
        <v>0</v>
      </c>
      <c r="Q2413">
        <v>0</v>
      </c>
      <c r="S2413">
        <v>0</v>
      </c>
      <c r="T2413">
        <v>0</v>
      </c>
      <c r="U2413">
        <v>0</v>
      </c>
      <c r="W2413" t="s">
        <v>52</v>
      </c>
    </row>
    <row r="2414" spans="1:23" x14ac:dyDescent="0.35">
      <c r="A2414" t="s">
        <v>45</v>
      </c>
      <c r="B2414" t="s">
        <v>4944</v>
      </c>
      <c r="C2414" t="s">
        <v>60</v>
      </c>
      <c r="D2414" t="s">
        <v>61</v>
      </c>
      <c r="E2414" t="s">
        <v>61</v>
      </c>
      <c r="F2414" t="s">
        <v>49</v>
      </c>
      <c r="G2414" t="s">
        <v>4960</v>
      </c>
      <c r="H2414" t="s">
        <v>4961</v>
      </c>
      <c r="J2414" t="str">
        <f>HYPERLINK("https://www.facebook.com/634639855377280/posts/784211473753450?comment_id=755084556158141&amp;reply_comment_id=267080716274488","https://www.facebook.com/634639855377280/posts/784211473753450?comment_id=755084556158141&amp;reply_comment_id=267080716274488")</f>
        <v>https://www.facebook.com/634639855377280/posts/784211473753450?comment_id=755084556158141&amp;reply_comment_id=267080716274488</v>
      </c>
      <c r="O2414">
        <v>0</v>
      </c>
      <c r="P2414">
        <v>0</v>
      </c>
      <c r="Q2414">
        <v>0</v>
      </c>
      <c r="S2414">
        <v>0</v>
      </c>
      <c r="T2414">
        <v>0</v>
      </c>
      <c r="U2414">
        <v>0</v>
      </c>
      <c r="W2414" t="s">
        <v>52</v>
      </c>
    </row>
    <row r="2415" spans="1:23" x14ac:dyDescent="0.35">
      <c r="A2415" t="s">
        <v>45</v>
      </c>
      <c r="B2415" t="s">
        <v>4944</v>
      </c>
      <c r="C2415" t="s">
        <v>47</v>
      </c>
      <c r="D2415" t="s">
        <v>4962</v>
      </c>
      <c r="E2415" t="s">
        <v>4962</v>
      </c>
      <c r="F2415" t="s">
        <v>49</v>
      </c>
      <c r="G2415" t="s">
        <v>4963</v>
      </c>
      <c r="H2415" t="s">
        <v>4964</v>
      </c>
      <c r="J2415" t="str">
        <f>HYPERLINK("https://www.youtube.com/watch?v=ThXQf6FaaYw&amp;lc=Ugwczdl9K1ukC-iEwsN4AaABAg","https://www.youtube.com/watch?v=ThXQf6FaaYw&amp;lc=Ugwczdl9K1ukC-iEwsN4AaABAg")</f>
        <v>https://www.youtube.com/watch?v=ThXQf6FaaYw&amp;lc=Ugwczdl9K1ukC-iEwsN4AaABAg</v>
      </c>
      <c r="O2415">
        <v>0</v>
      </c>
      <c r="P2415">
        <v>0</v>
      </c>
      <c r="Q2415">
        <v>0</v>
      </c>
      <c r="S2415">
        <v>0</v>
      </c>
      <c r="T2415">
        <v>0</v>
      </c>
      <c r="U2415">
        <v>0</v>
      </c>
      <c r="W2415" t="s">
        <v>52</v>
      </c>
    </row>
    <row r="2416" spans="1:23" x14ac:dyDescent="0.35">
      <c r="A2416" t="s">
        <v>45</v>
      </c>
      <c r="B2416" t="s">
        <v>4944</v>
      </c>
      <c r="C2416" t="s">
        <v>60</v>
      </c>
      <c r="D2416" t="s">
        <v>61</v>
      </c>
      <c r="E2416" t="s">
        <v>61</v>
      </c>
      <c r="F2416" t="s">
        <v>49</v>
      </c>
      <c r="G2416">
        <v>9887906685</v>
      </c>
      <c r="H2416" t="s">
        <v>4965</v>
      </c>
      <c r="J2416" t="str">
        <f>HYPERLINK("https://www.facebook.com/634639855377280/posts/782513537256577?comment_id=381804614495601","https://www.facebook.com/634639855377280/posts/782513537256577?comment_id=381804614495601")</f>
        <v>https://www.facebook.com/634639855377280/posts/782513537256577?comment_id=381804614495601</v>
      </c>
      <c r="O2416">
        <v>0</v>
      </c>
      <c r="P2416">
        <v>0</v>
      </c>
      <c r="Q2416">
        <v>0</v>
      </c>
      <c r="S2416">
        <v>0</v>
      </c>
      <c r="T2416">
        <v>0</v>
      </c>
      <c r="U2416">
        <v>0</v>
      </c>
      <c r="W2416" t="s">
        <v>52</v>
      </c>
    </row>
    <row r="2417" spans="1:23" x14ac:dyDescent="0.35">
      <c r="A2417" t="s">
        <v>45</v>
      </c>
      <c r="B2417" t="s">
        <v>4944</v>
      </c>
      <c r="C2417" t="s">
        <v>60</v>
      </c>
      <c r="D2417" t="s">
        <v>61</v>
      </c>
      <c r="E2417" t="s">
        <v>61</v>
      </c>
      <c r="F2417" t="s">
        <v>49</v>
      </c>
      <c r="G2417" t="s">
        <v>4966</v>
      </c>
      <c r="H2417" t="s">
        <v>4967</v>
      </c>
      <c r="J2417" t="str">
        <f>HYPERLINK("https://www.facebook.com/634639855377280/posts/783619057146025?comment_id=933576678412178","https://www.facebook.com/634639855377280/posts/783619057146025?comment_id=933576678412178")</f>
        <v>https://www.facebook.com/634639855377280/posts/783619057146025?comment_id=933576678412178</v>
      </c>
      <c r="O2417">
        <v>0</v>
      </c>
      <c r="P2417">
        <v>0</v>
      </c>
      <c r="Q2417">
        <v>0</v>
      </c>
      <c r="S2417">
        <v>0</v>
      </c>
      <c r="T2417">
        <v>0</v>
      </c>
      <c r="U2417">
        <v>0</v>
      </c>
      <c r="W2417" t="s">
        <v>52</v>
      </c>
    </row>
    <row r="2418" spans="1:23" x14ac:dyDescent="0.35">
      <c r="A2418" t="s">
        <v>45</v>
      </c>
      <c r="B2418" t="s">
        <v>4944</v>
      </c>
      <c r="C2418" t="s">
        <v>60</v>
      </c>
      <c r="D2418" t="s">
        <v>61</v>
      </c>
      <c r="E2418" t="s">
        <v>61</v>
      </c>
      <c r="F2418" t="s">
        <v>49</v>
      </c>
      <c r="G2418" t="s">
        <v>4968</v>
      </c>
      <c r="H2418" t="s">
        <v>4969</v>
      </c>
      <c r="J2418" t="str">
        <f>HYPERLINK("https://www.facebook.com/634639855377280/posts/783619057146025?comment_id=1078113210065991&amp;reply_comment_id=1055477112325976","https://www.facebook.com/634639855377280/posts/783619057146025?comment_id=1078113210065991&amp;reply_comment_id=1055477112325976")</f>
        <v>https://www.facebook.com/634639855377280/posts/783619057146025?comment_id=1078113210065991&amp;reply_comment_id=1055477112325976</v>
      </c>
      <c r="O2418">
        <v>0</v>
      </c>
      <c r="P2418">
        <v>0</v>
      </c>
      <c r="Q2418">
        <v>0</v>
      </c>
      <c r="S2418">
        <v>0</v>
      </c>
      <c r="T2418">
        <v>0</v>
      </c>
      <c r="U2418">
        <v>0</v>
      </c>
      <c r="W2418" t="s">
        <v>52</v>
      </c>
    </row>
    <row r="2419" spans="1:23" x14ac:dyDescent="0.35">
      <c r="A2419" t="s">
        <v>45</v>
      </c>
      <c r="B2419" t="s">
        <v>4944</v>
      </c>
      <c r="C2419" t="s">
        <v>93</v>
      </c>
      <c r="D2419" t="s">
        <v>94</v>
      </c>
      <c r="E2419" t="s">
        <v>45</v>
      </c>
      <c r="F2419" t="s">
        <v>49</v>
      </c>
      <c r="G2419" t="s">
        <v>4970</v>
      </c>
      <c r="H2419" t="s">
        <v>4971</v>
      </c>
      <c r="J2419" t="str">
        <f>HYPERLINK("https://twitter.com/SpiceMoneyIndia/status/1753753692614897725","https://twitter.com/SpiceMoneyIndia/status/1753753692614897725")</f>
        <v>https://twitter.com/SpiceMoneyIndia/status/1753753692614897725</v>
      </c>
      <c r="K2419" t="s">
        <v>67</v>
      </c>
      <c r="O2419">
        <v>0</v>
      </c>
      <c r="P2419">
        <v>0</v>
      </c>
      <c r="Q2419">
        <v>6021</v>
      </c>
      <c r="R2419" t="s">
        <v>97</v>
      </c>
      <c r="S2419">
        <v>0</v>
      </c>
      <c r="T2419">
        <v>0</v>
      </c>
      <c r="U2419">
        <v>0</v>
      </c>
      <c r="V2419" t="s">
        <v>98</v>
      </c>
      <c r="W2419" t="s">
        <v>99</v>
      </c>
    </row>
    <row r="2420" spans="1:23" x14ac:dyDescent="0.35">
      <c r="A2420" t="s">
        <v>45</v>
      </c>
      <c r="B2420" t="s">
        <v>4944</v>
      </c>
      <c r="C2420" t="s">
        <v>60</v>
      </c>
      <c r="D2420" t="s">
        <v>64</v>
      </c>
      <c r="E2420" t="s">
        <v>64</v>
      </c>
      <c r="F2420" t="s">
        <v>49</v>
      </c>
      <c r="G2420" t="s">
        <v>3537</v>
      </c>
      <c r="H2420" t="s">
        <v>4972</v>
      </c>
      <c r="J2420" t="str">
        <f>HYPERLINK("https://www.facebook.com/634639855377280/posts/783619057146025?comment_id=1078113210065991&amp;reply_comment_id=928960608665100","https://www.facebook.com/634639855377280/posts/783619057146025?comment_id=1078113210065991&amp;reply_comment_id=928960608665100")</f>
        <v>https://www.facebook.com/634639855377280/posts/783619057146025?comment_id=1078113210065991&amp;reply_comment_id=928960608665100</v>
      </c>
      <c r="K2420" t="s">
        <v>67</v>
      </c>
      <c r="O2420">
        <v>0</v>
      </c>
      <c r="P2420">
        <v>0</v>
      </c>
      <c r="Q2420">
        <v>0</v>
      </c>
      <c r="S2420">
        <v>0</v>
      </c>
      <c r="T2420">
        <v>0</v>
      </c>
      <c r="U2420">
        <v>0</v>
      </c>
      <c r="W2420" t="s">
        <v>52</v>
      </c>
    </row>
    <row r="2421" spans="1:23" x14ac:dyDescent="0.35">
      <c r="A2421" t="s">
        <v>45</v>
      </c>
      <c r="B2421" t="s">
        <v>4944</v>
      </c>
      <c r="C2421" t="s">
        <v>93</v>
      </c>
      <c r="D2421" t="s">
        <v>94</v>
      </c>
      <c r="E2421" t="s">
        <v>45</v>
      </c>
      <c r="F2421" t="s">
        <v>49</v>
      </c>
      <c r="G2421" t="s">
        <v>4973</v>
      </c>
      <c r="H2421" t="s">
        <v>4974</v>
      </c>
      <c r="J2421" t="str">
        <f>HYPERLINK("https://twitter.com/SpiceMoneyIndia/status/1753752838658822427","https://twitter.com/SpiceMoneyIndia/status/1753752838658822427")</f>
        <v>https://twitter.com/SpiceMoneyIndia/status/1753752838658822427</v>
      </c>
      <c r="K2421" t="s">
        <v>67</v>
      </c>
      <c r="O2421">
        <v>0</v>
      </c>
      <c r="P2421">
        <v>0</v>
      </c>
      <c r="Q2421">
        <v>6021</v>
      </c>
      <c r="R2421" t="s">
        <v>97</v>
      </c>
      <c r="S2421">
        <v>0</v>
      </c>
      <c r="T2421">
        <v>0</v>
      </c>
      <c r="U2421">
        <v>0</v>
      </c>
      <c r="V2421" t="s">
        <v>98</v>
      </c>
      <c r="W2421" t="s">
        <v>99</v>
      </c>
    </row>
    <row r="2422" spans="1:23" x14ac:dyDescent="0.35">
      <c r="A2422" t="s">
        <v>45</v>
      </c>
      <c r="B2422" t="s">
        <v>4944</v>
      </c>
      <c r="C2422" t="s">
        <v>60</v>
      </c>
      <c r="D2422" t="s">
        <v>61</v>
      </c>
      <c r="E2422" t="s">
        <v>61</v>
      </c>
      <c r="F2422" t="s">
        <v>193</v>
      </c>
      <c r="G2422" t="s">
        <v>4975</v>
      </c>
      <c r="H2422" t="s">
        <v>4976</v>
      </c>
      <c r="J2422" t="str">
        <f>HYPERLINK("https://www.facebook.com/634639855377280/posts/783619057146025?comment_id=1078113210065991","https://www.facebook.com/634639855377280/posts/783619057146025?comment_id=1078113210065991")</f>
        <v>https://www.facebook.com/634639855377280/posts/783619057146025?comment_id=1078113210065991</v>
      </c>
      <c r="O2422">
        <v>0</v>
      </c>
      <c r="P2422">
        <v>0</v>
      </c>
      <c r="Q2422">
        <v>0</v>
      </c>
      <c r="S2422">
        <v>0</v>
      </c>
      <c r="T2422">
        <v>0</v>
      </c>
      <c r="U2422">
        <v>0</v>
      </c>
      <c r="W2422" t="s">
        <v>52</v>
      </c>
    </row>
    <row r="2423" spans="1:23" x14ac:dyDescent="0.35">
      <c r="A2423" t="s">
        <v>45</v>
      </c>
      <c r="B2423" t="s">
        <v>4944</v>
      </c>
      <c r="C2423" t="s">
        <v>93</v>
      </c>
      <c r="D2423" t="s">
        <v>4977</v>
      </c>
      <c r="E2423" t="s">
        <v>4978</v>
      </c>
      <c r="F2423" t="s">
        <v>49</v>
      </c>
      <c r="G2423" t="s">
        <v>4979</v>
      </c>
      <c r="H2423" t="s">
        <v>4980</v>
      </c>
      <c r="J2423" t="str">
        <f>HYPERLINK("https://twitter.com/SUJITKUMARBHA7/status/1753749947718176812","https://twitter.com/SUJITKUMARBHA7/status/1753749947718176812")</f>
        <v>https://twitter.com/SUJITKUMARBHA7/status/1753749947718176812</v>
      </c>
      <c r="K2423" t="s">
        <v>67</v>
      </c>
      <c r="O2423">
        <v>0</v>
      </c>
      <c r="P2423">
        <v>0</v>
      </c>
      <c r="Q2423">
        <v>43</v>
      </c>
      <c r="R2423" t="s">
        <v>4981</v>
      </c>
      <c r="S2423">
        <v>0</v>
      </c>
      <c r="T2423">
        <v>0</v>
      </c>
      <c r="U2423">
        <v>0</v>
      </c>
      <c r="W2423" t="s">
        <v>99</v>
      </c>
    </row>
    <row r="2424" spans="1:23" x14ac:dyDescent="0.35">
      <c r="A2424" t="s">
        <v>45</v>
      </c>
      <c r="B2424" t="s">
        <v>4944</v>
      </c>
      <c r="C2424" t="s">
        <v>93</v>
      </c>
      <c r="D2424" t="s">
        <v>4755</v>
      </c>
      <c r="E2424" t="s">
        <v>4756</v>
      </c>
      <c r="F2424" t="s">
        <v>49</v>
      </c>
      <c r="G2424" t="s">
        <v>4982</v>
      </c>
      <c r="H2424" t="s">
        <v>4983</v>
      </c>
      <c r="J2424" t="str">
        <f>HYPERLINK("https://twitter.com/InsAdvisormanoj/status/1753748265810686247","https://twitter.com/InsAdvisormanoj/status/1753748265810686247")</f>
        <v>https://twitter.com/InsAdvisormanoj/status/1753748265810686247</v>
      </c>
      <c r="K2424" t="s">
        <v>67</v>
      </c>
      <c r="O2424">
        <v>0</v>
      </c>
      <c r="P2424">
        <v>0</v>
      </c>
      <c r="Q2424">
        <v>3</v>
      </c>
      <c r="R2424" t="s">
        <v>4759</v>
      </c>
      <c r="S2424">
        <v>0</v>
      </c>
      <c r="T2424">
        <v>0</v>
      </c>
      <c r="U2424">
        <v>0</v>
      </c>
      <c r="W2424" t="s">
        <v>99</v>
      </c>
    </row>
    <row r="2425" spans="1:23" x14ac:dyDescent="0.35">
      <c r="A2425" t="s">
        <v>45</v>
      </c>
      <c r="B2425" t="s">
        <v>4944</v>
      </c>
      <c r="C2425" t="s">
        <v>93</v>
      </c>
      <c r="D2425" t="s">
        <v>4977</v>
      </c>
      <c r="E2425" t="s">
        <v>4978</v>
      </c>
      <c r="F2425" t="s">
        <v>49</v>
      </c>
      <c r="G2425" t="s">
        <v>4984</v>
      </c>
      <c r="H2425" t="s">
        <v>4985</v>
      </c>
      <c r="J2425" t="str">
        <f>HYPERLINK("https://twitter.com/SUJITKUMARBHA7/status/1753748191307235813","https://twitter.com/SUJITKUMARBHA7/status/1753748191307235813")</f>
        <v>https://twitter.com/SUJITKUMARBHA7/status/1753748191307235813</v>
      </c>
      <c r="K2425" t="s">
        <v>67</v>
      </c>
      <c r="O2425">
        <v>0</v>
      </c>
      <c r="P2425">
        <v>0</v>
      </c>
      <c r="Q2425">
        <v>43</v>
      </c>
      <c r="R2425" t="s">
        <v>4981</v>
      </c>
      <c r="S2425">
        <v>0</v>
      </c>
      <c r="T2425">
        <v>0</v>
      </c>
      <c r="U2425">
        <v>0</v>
      </c>
      <c r="W2425" t="s">
        <v>99</v>
      </c>
    </row>
    <row r="2426" spans="1:23" x14ac:dyDescent="0.35">
      <c r="A2426" t="s">
        <v>45</v>
      </c>
      <c r="B2426" t="s">
        <v>4944</v>
      </c>
      <c r="C2426" t="s">
        <v>93</v>
      </c>
      <c r="D2426" t="s">
        <v>4977</v>
      </c>
      <c r="E2426" t="s">
        <v>4978</v>
      </c>
      <c r="F2426" t="s">
        <v>49</v>
      </c>
      <c r="G2426" t="s">
        <v>4986</v>
      </c>
      <c r="H2426" t="s">
        <v>4987</v>
      </c>
      <c r="J2426" t="str">
        <f>HYPERLINK("https://twitter.com/SUJITKUMARBHA7/status/1753747634882531618","https://twitter.com/SUJITKUMARBHA7/status/1753747634882531618")</f>
        <v>https://twitter.com/SUJITKUMARBHA7/status/1753747634882531618</v>
      </c>
      <c r="K2426" t="s">
        <v>67</v>
      </c>
      <c r="O2426">
        <v>0</v>
      </c>
      <c r="P2426">
        <v>0</v>
      </c>
      <c r="Q2426">
        <v>43</v>
      </c>
      <c r="R2426" t="s">
        <v>4981</v>
      </c>
      <c r="S2426">
        <v>0</v>
      </c>
      <c r="T2426">
        <v>0</v>
      </c>
      <c r="U2426">
        <v>0</v>
      </c>
      <c r="W2426" t="s">
        <v>99</v>
      </c>
    </row>
    <row r="2427" spans="1:23" x14ac:dyDescent="0.35">
      <c r="A2427" t="s">
        <v>45</v>
      </c>
      <c r="B2427" t="s">
        <v>4944</v>
      </c>
      <c r="C2427" t="s">
        <v>60</v>
      </c>
      <c r="D2427" t="s">
        <v>64</v>
      </c>
      <c r="E2427" t="s">
        <v>64</v>
      </c>
      <c r="F2427" t="s">
        <v>49</v>
      </c>
      <c r="G2427" t="s">
        <v>83</v>
      </c>
      <c r="H2427" t="s">
        <v>4988</v>
      </c>
      <c r="J2427" t="str">
        <f>HYPERLINK("https://www.facebook.com/634639855377280/posts/783040850537179?comment_id=271771589266077&amp;reply_comment_id=743763604352388","https://www.facebook.com/634639855377280/posts/783040850537179?comment_id=271771589266077&amp;reply_comment_id=743763604352388")</f>
        <v>https://www.facebook.com/634639855377280/posts/783040850537179?comment_id=271771589266077&amp;reply_comment_id=743763604352388</v>
      </c>
      <c r="K2427" t="s">
        <v>67</v>
      </c>
      <c r="O2427">
        <v>0</v>
      </c>
      <c r="P2427">
        <v>0</v>
      </c>
      <c r="Q2427">
        <v>0</v>
      </c>
      <c r="S2427">
        <v>0</v>
      </c>
      <c r="T2427">
        <v>0</v>
      </c>
      <c r="U2427">
        <v>0</v>
      </c>
      <c r="W2427" t="s">
        <v>52</v>
      </c>
    </row>
    <row r="2428" spans="1:23" x14ac:dyDescent="0.35">
      <c r="A2428" t="s">
        <v>45</v>
      </c>
      <c r="B2428" t="s">
        <v>4944</v>
      </c>
      <c r="C2428" t="s">
        <v>60</v>
      </c>
      <c r="D2428" t="s">
        <v>64</v>
      </c>
      <c r="E2428" t="s">
        <v>64</v>
      </c>
      <c r="F2428" t="s">
        <v>49</v>
      </c>
      <c r="G2428" t="s">
        <v>1011</v>
      </c>
      <c r="H2428" t="s">
        <v>4989</v>
      </c>
      <c r="J2428" t="str">
        <f>HYPERLINK("https://www.facebook.com/634639855377280/posts/784211473753450?comment_id=755084556158141&amp;reply_comment_id=1535497777250910","https://www.facebook.com/634639855377280/posts/784211473753450?comment_id=755084556158141&amp;reply_comment_id=1535497777250910")</f>
        <v>https://www.facebook.com/634639855377280/posts/784211473753450?comment_id=755084556158141&amp;reply_comment_id=1535497777250910</v>
      </c>
      <c r="K2428" t="s">
        <v>67</v>
      </c>
      <c r="O2428">
        <v>0</v>
      </c>
      <c r="P2428">
        <v>0</v>
      </c>
      <c r="Q2428">
        <v>0</v>
      </c>
      <c r="S2428">
        <v>0</v>
      </c>
      <c r="T2428">
        <v>0</v>
      </c>
      <c r="U2428">
        <v>0</v>
      </c>
      <c r="W2428" t="s">
        <v>52</v>
      </c>
    </row>
    <row r="2429" spans="1:23" x14ac:dyDescent="0.35">
      <c r="A2429" t="s">
        <v>45</v>
      </c>
      <c r="B2429" t="s">
        <v>4944</v>
      </c>
      <c r="C2429" t="s">
        <v>93</v>
      </c>
      <c r="D2429" t="s">
        <v>94</v>
      </c>
      <c r="E2429" t="s">
        <v>45</v>
      </c>
      <c r="F2429" t="s">
        <v>49</v>
      </c>
      <c r="G2429" t="s">
        <v>4990</v>
      </c>
      <c r="H2429" t="s">
        <v>4991</v>
      </c>
      <c r="J2429" t="str">
        <f>HYPERLINK("https://twitter.com/SpiceMoneyIndia/status/1753746581738680699","https://twitter.com/SpiceMoneyIndia/status/1753746581738680699")</f>
        <v>https://twitter.com/SpiceMoneyIndia/status/1753746581738680699</v>
      </c>
      <c r="K2429" t="s">
        <v>67</v>
      </c>
      <c r="O2429">
        <v>0</v>
      </c>
      <c r="P2429">
        <v>0</v>
      </c>
      <c r="Q2429">
        <v>6020</v>
      </c>
      <c r="R2429" t="s">
        <v>97</v>
      </c>
      <c r="S2429">
        <v>0</v>
      </c>
      <c r="T2429">
        <v>0</v>
      </c>
      <c r="U2429">
        <v>0</v>
      </c>
      <c r="V2429" t="s">
        <v>98</v>
      </c>
      <c r="W2429" t="s">
        <v>99</v>
      </c>
    </row>
    <row r="2430" spans="1:23" x14ac:dyDescent="0.35">
      <c r="A2430" t="s">
        <v>45</v>
      </c>
      <c r="B2430" t="s">
        <v>4944</v>
      </c>
      <c r="C2430" t="s">
        <v>60</v>
      </c>
      <c r="D2430" t="s">
        <v>64</v>
      </c>
      <c r="E2430" t="s">
        <v>64</v>
      </c>
      <c r="F2430" t="s">
        <v>49</v>
      </c>
      <c r="G2430" t="s">
        <v>2766</v>
      </c>
      <c r="H2430" t="s">
        <v>4992</v>
      </c>
      <c r="J2430" t="str">
        <f>HYPERLINK("https://www.facebook.com/634639855377280/posts/784211473753450?comment_id=915710136468809&amp;reply_comment_id=765497122121402","https://www.facebook.com/634639855377280/posts/784211473753450?comment_id=915710136468809&amp;reply_comment_id=765497122121402")</f>
        <v>https://www.facebook.com/634639855377280/posts/784211473753450?comment_id=915710136468809&amp;reply_comment_id=765497122121402</v>
      </c>
      <c r="K2430" t="s">
        <v>67</v>
      </c>
      <c r="O2430">
        <v>0</v>
      </c>
      <c r="P2430">
        <v>0</v>
      </c>
      <c r="Q2430">
        <v>0</v>
      </c>
      <c r="S2430">
        <v>0</v>
      </c>
      <c r="T2430">
        <v>0</v>
      </c>
      <c r="U2430">
        <v>0</v>
      </c>
      <c r="W2430" t="s">
        <v>52</v>
      </c>
    </row>
    <row r="2431" spans="1:23" x14ac:dyDescent="0.35">
      <c r="A2431" t="s">
        <v>45</v>
      </c>
      <c r="B2431" t="s">
        <v>4944</v>
      </c>
      <c r="C2431" t="s">
        <v>60</v>
      </c>
      <c r="D2431" t="s">
        <v>64</v>
      </c>
      <c r="E2431" t="s">
        <v>64</v>
      </c>
      <c r="F2431" t="s">
        <v>49</v>
      </c>
      <c r="G2431" t="s">
        <v>380</v>
      </c>
      <c r="H2431" t="s">
        <v>4993</v>
      </c>
      <c r="J2431" t="str">
        <f>HYPERLINK("https://www.facebook.com/634639855377280/posts/783619057146025?comment_id=355111683957437&amp;reply_comment_id=2368912043294582","https://www.facebook.com/634639855377280/posts/783619057146025?comment_id=355111683957437&amp;reply_comment_id=2368912043294582")</f>
        <v>https://www.facebook.com/634639855377280/posts/783619057146025?comment_id=355111683957437&amp;reply_comment_id=2368912043294582</v>
      </c>
      <c r="K2431" t="s">
        <v>67</v>
      </c>
      <c r="O2431">
        <v>0</v>
      </c>
      <c r="P2431">
        <v>0</v>
      </c>
      <c r="Q2431">
        <v>0</v>
      </c>
      <c r="S2431">
        <v>0</v>
      </c>
      <c r="T2431">
        <v>0</v>
      </c>
      <c r="U2431">
        <v>0</v>
      </c>
      <c r="W2431" t="s">
        <v>52</v>
      </c>
    </row>
    <row r="2432" spans="1:23" x14ac:dyDescent="0.35">
      <c r="A2432" t="s">
        <v>45</v>
      </c>
      <c r="B2432" t="s">
        <v>4944</v>
      </c>
      <c r="C2432" t="s">
        <v>60</v>
      </c>
      <c r="D2432" t="s">
        <v>64</v>
      </c>
      <c r="E2432" t="s">
        <v>64</v>
      </c>
      <c r="F2432" t="s">
        <v>49</v>
      </c>
      <c r="G2432" t="s">
        <v>4994</v>
      </c>
      <c r="H2432" t="s">
        <v>4995</v>
      </c>
      <c r="J2432" t="str">
        <f>HYPERLINK("https://www.facebook.com/634639855377280/posts/784211473753450?comment_id=772821511365336&amp;reply_comment_id=795325065968050","https://www.facebook.com/634639855377280/posts/784211473753450?comment_id=772821511365336&amp;reply_comment_id=795325065968050")</f>
        <v>https://www.facebook.com/634639855377280/posts/784211473753450?comment_id=772821511365336&amp;reply_comment_id=795325065968050</v>
      </c>
      <c r="K2432" t="s">
        <v>67</v>
      </c>
      <c r="O2432">
        <v>0</v>
      </c>
      <c r="P2432">
        <v>0</v>
      </c>
      <c r="Q2432">
        <v>0</v>
      </c>
      <c r="S2432">
        <v>0</v>
      </c>
      <c r="T2432">
        <v>0</v>
      </c>
      <c r="U2432">
        <v>0</v>
      </c>
      <c r="W2432" t="s">
        <v>52</v>
      </c>
    </row>
    <row r="2433" spans="1:23" x14ac:dyDescent="0.35">
      <c r="A2433" t="s">
        <v>45</v>
      </c>
      <c r="B2433" t="s">
        <v>4944</v>
      </c>
      <c r="C2433" t="s">
        <v>60</v>
      </c>
      <c r="D2433" t="s">
        <v>64</v>
      </c>
      <c r="E2433" t="s">
        <v>64</v>
      </c>
      <c r="F2433" t="s">
        <v>49</v>
      </c>
      <c r="G2433" t="s">
        <v>1595</v>
      </c>
      <c r="H2433" t="s">
        <v>4996</v>
      </c>
      <c r="J2433" t="str">
        <f>HYPERLINK("https://www.facebook.com/634639855377280/posts/784211473753450?comment_id=1078292676778192&amp;reply_comment_id=1441139513464322","https://www.facebook.com/634639855377280/posts/784211473753450?comment_id=1078292676778192&amp;reply_comment_id=1441139513464322")</f>
        <v>https://www.facebook.com/634639855377280/posts/784211473753450?comment_id=1078292676778192&amp;reply_comment_id=1441139513464322</v>
      </c>
      <c r="K2433" t="s">
        <v>67</v>
      </c>
      <c r="O2433">
        <v>0</v>
      </c>
      <c r="P2433">
        <v>0</v>
      </c>
      <c r="Q2433">
        <v>0</v>
      </c>
      <c r="S2433">
        <v>0</v>
      </c>
      <c r="T2433">
        <v>0</v>
      </c>
      <c r="U2433">
        <v>0</v>
      </c>
      <c r="W2433" t="s">
        <v>52</v>
      </c>
    </row>
    <row r="2434" spans="1:23" x14ac:dyDescent="0.35">
      <c r="A2434" t="s">
        <v>45</v>
      </c>
      <c r="B2434" t="s">
        <v>4944</v>
      </c>
      <c r="C2434" t="s">
        <v>60</v>
      </c>
      <c r="D2434" t="s">
        <v>64</v>
      </c>
      <c r="E2434" t="s">
        <v>64</v>
      </c>
      <c r="F2434" t="s">
        <v>49</v>
      </c>
      <c r="G2434" t="s">
        <v>2766</v>
      </c>
      <c r="H2434" t="s">
        <v>4997</v>
      </c>
      <c r="J2434" t="str">
        <f>HYPERLINK("https://www.facebook.com/634639855377280/posts/784211473753450?comment_id=410522728112296&amp;reply_comment_id=994583245414046","https://www.facebook.com/634639855377280/posts/784211473753450?comment_id=410522728112296&amp;reply_comment_id=994583245414046")</f>
        <v>https://www.facebook.com/634639855377280/posts/784211473753450?comment_id=410522728112296&amp;reply_comment_id=994583245414046</v>
      </c>
      <c r="K2434" t="s">
        <v>67</v>
      </c>
      <c r="O2434">
        <v>0</v>
      </c>
      <c r="P2434">
        <v>0</v>
      </c>
      <c r="Q2434">
        <v>0</v>
      </c>
      <c r="S2434">
        <v>0</v>
      </c>
      <c r="T2434">
        <v>0</v>
      </c>
      <c r="U2434">
        <v>0</v>
      </c>
      <c r="W2434" t="s">
        <v>52</v>
      </c>
    </row>
    <row r="2435" spans="1:23" x14ac:dyDescent="0.35">
      <c r="A2435" t="s">
        <v>45</v>
      </c>
      <c r="B2435" t="s">
        <v>4944</v>
      </c>
      <c r="C2435" t="s">
        <v>60</v>
      </c>
      <c r="D2435" t="s">
        <v>61</v>
      </c>
      <c r="E2435" t="s">
        <v>61</v>
      </c>
      <c r="F2435" t="s">
        <v>49</v>
      </c>
      <c r="G2435" t="s">
        <v>4998</v>
      </c>
      <c r="H2435" t="s">
        <v>4999</v>
      </c>
      <c r="J2435" t="str">
        <f>HYPERLINK("https://www.facebook.com/634639855377280/posts/783040850537179?comment_id=271771589266077&amp;reply_comment_id=902816704914109","https://www.facebook.com/634639855377280/posts/783040850537179?comment_id=271771589266077&amp;reply_comment_id=902816704914109")</f>
        <v>https://www.facebook.com/634639855377280/posts/783040850537179?comment_id=271771589266077&amp;reply_comment_id=902816704914109</v>
      </c>
      <c r="O2435">
        <v>0</v>
      </c>
      <c r="P2435">
        <v>0</v>
      </c>
      <c r="Q2435">
        <v>0</v>
      </c>
      <c r="S2435">
        <v>0</v>
      </c>
      <c r="T2435">
        <v>0</v>
      </c>
      <c r="U2435">
        <v>0</v>
      </c>
      <c r="W2435" t="s">
        <v>52</v>
      </c>
    </row>
    <row r="2436" spans="1:23" x14ac:dyDescent="0.35">
      <c r="A2436" t="s">
        <v>45</v>
      </c>
      <c r="B2436" t="s">
        <v>4944</v>
      </c>
      <c r="C2436" t="s">
        <v>60</v>
      </c>
      <c r="D2436" t="s">
        <v>64</v>
      </c>
      <c r="E2436" t="s">
        <v>64</v>
      </c>
      <c r="F2436" t="s">
        <v>49</v>
      </c>
      <c r="G2436" t="s">
        <v>83</v>
      </c>
      <c r="H2436" t="s">
        <v>5000</v>
      </c>
      <c r="J2436" t="str">
        <f>HYPERLINK("https://www.facebook.com/634639855377280/posts/782438767264054?comment_id=1039251860640261&amp;reply_comment_id=289219710518858","https://www.facebook.com/634639855377280/posts/782438767264054?comment_id=1039251860640261&amp;reply_comment_id=289219710518858")</f>
        <v>https://www.facebook.com/634639855377280/posts/782438767264054?comment_id=1039251860640261&amp;reply_comment_id=289219710518858</v>
      </c>
      <c r="K2436" t="s">
        <v>67</v>
      </c>
      <c r="O2436">
        <v>0</v>
      </c>
      <c r="P2436">
        <v>0</v>
      </c>
      <c r="Q2436">
        <v>0</v>
      </c>
      <c r="S2436">
        <v>0</v>
      </c>
      <c r="T2436">
        <v>0</v>
      </c>
      <c r="U2436">
        <v>0</v>
      </c>
      <c r="W2436" t="s">
        <v>52</v>
      </c>
    </row>
    <row r="2437" spans="1:23" x14ac:dyDescent="0.35">
      <c r="A2437" t="s">
        <v>45</v>
      </c>
      <c r="B2437" t="s">
        <v>4944</v>
      </c>
      <c r="C2437" t="s">
        <v>60</v>
      </c>
      <c r="D2437" t="s">
        <v>64</v>
      </c>
      <c r="E2437" t="s">
        <v>64</v>
      </c>
      <c r="F2437" t="s">
        <v>49</v>
      </c>
      <c r="G2437" t="s">
        <v>164</v>
      </c>
      <c r="H2437" t="s">
        <v>5001</v>
      </c>
      <c r="J2437" t="str">
        <f>HYPERLINK("https://www.facebook.com/634639855377280/posts/784211473753450?comment_id=330434849981168&amp;reply_comment_id=372149662184010","https://www.facebook.com/634639855377280/posts/784211473753450?comment_id=330434849981168&amp;reply_comment_id=372149662184010")</f>
        <v>https://www.facebook.com/634639855377280/posts/784211473753450?comment_id=330434849981168&amp;reply_comment_id=372149662184010</v>
      </c>
      <c r="K2437" t="s">
        <v>67</v>
      </c>
      <c r="O2437">
        <v>0</v>
      </c>
      <c r="P2437">
        <v>0</v>
      </c>
      <c r="Q2437">
        <v>0</v>
      </c>
      <c r="S2437">
        <v>0</v>
      </c>
      <c r="T2437">
        <v>0</v>
      </c>
      <c r="U2437">
        <v>0</v>
      </c>
      <c r="W2437" t="s">
        <v>52</v>
      </c>
    </row>
    <row r="2438" spans="1:23" x14ac:dyDescent="0.35">
      <c r="A2438" t="s">
        <v>45</v>
      </c>
      <c r="B2438" t="s">
        <v>4944</v>
      </c>
      <c r="C2438" t="s">
        <v>60</v>
      </c>
      <c r="D2438" t="s">
        <v>64</v>
      </c>
      <c r="E2438" t="s">
        <v>64</v>
      </c>
      <c r="F2438" t="s">
        <v>49</v>
      </c>
      <c r="G2438" t="s">
        <v>1276</v>
      </c>
      <c r="H2438" t="s">
        <v>5002</v>
      </c>
      <c r="J2438" t="str">
        <f>HYPERLINK("https://www.facebook.com/634639855377280/posts/784211473753450?comment_id=723135589917977&amp;reply_comment_id=1579898829490937","https://www.facebook.com/634639855377280/posts/784211473753450?comment_id=723135589917977&amp;reply_comment_id=1579898829490937")</f>
        <v>https://www.facebook.com/634639855377280/posts/784211473753450?comment_id=723135589917977&amp;reply_comment_id=1579898829490937</v>
      </c>
      <c r="K2438" t="s">
        <v>67</v>
      </c>
      <c r="O2438">
        <v>0</v>
      </c>
      <c r="P2438">
        <v>0</v>
      </c>
      <c r="Q2438">
        <v>0</v>
      </c>
      <c r="S2438">
        <v>0</v>
      </c>
      <c r="T2438">
        <v>0</v>
      </c>
      <c r="U2438">
        <v>0</v>
      </c>
      <c r="W2438" t="s">
        <v>52</v>
      </c>
    </row>
    <row r="2439" spans="1:23" x14ac:dyDescent="0.35">
      <c r="A2439" t="s">
        <v>45</v>
      </c>
      <c r="B2439" t="s">
        <v>4944</v>
      </c>
      <c r="C2439" t="s">
        <v>93</v>
      </c>
      <c r="D2439" t="s">
        <v>94</v>
      </c>
      <c r="E2439" t="s">
        <v>45</v>
      </c>
      <c r="F2439" t="s">
        <v>49</v>
      </c>
      <c r="G2439" t="s">
        <v>5003</v>
      </c>
      <c r="H2439" t="s">
        <v>5004</v>
      </c>
      <c r="J2439" t="str">
        <f>HYPERLINK("https://twitter.com/SpiceMoneyIndia/status/1753735897378423053","https://twitter.com/SpiceMoneyIndia/status/1753735897378423053")</f>
        <v>https://twitter.com/SpiceMoneyIndia/status/1753735897378423053</v>
      </c>
      <c r="K2439" t="s">
        <v>67</v>
      </c>
      <c r="O2439">
        <v>0</v>
      </c>
      <c r="P2439">
        <v>0</v>
      </c>
      <c r="Q2439">
        <v>6020</v>
      </c>
      <c r="R2439" t="s">
        <v>97</v>
      </c>
      <c r="S2439">
        <v>0</v>
      </c>
      <c r="T2439">
        <v>0</v>
      </c>
      <c r="U2439">
        <v>0</v>
      </c>
      <c r="V2439" t="s">
        <v>98</v>
      </c>
      <c r="W2439" t="s">
        <v>99</v>
      </c>
    </row>
    <row r="2440" spans="1:23" x14ac:dyDescent="0.35">
      <c r="A2440" t="s">
        <v>45</v>
      </c>
      <c r="B2440" t="s">
        <v>4944</v>
      </c>
      <c r="C2440" t="s">
        <v>60</v>
      </c>
      <c r="D2440" t="s">
        <v>61</v>
      </c>
      <c r="E2440" t="s">
        <v>61</v>
      </c>
      <c r="F2440" t="s">
        <v>49</v>
      </c>
      <c r="G2440" t="s">
        <v>5005</v>
      </c>
      <c r="H2440" t="s">
        <v>5006</v>
      </c>
      <c r="J2440" t="str">
        <f>HYPERLINK("https://www.facebook.com/634639855377280/posts/784211473753450?comment_id=330434849981168&amp;reply_comment_id=1525871281535384","https://www.facebook.com/634639855377280/posts/784211473753450?comment_id=330434849981168&amp;reply_comment_id=1525871281535384")</f>
        <v>https://www.facebook.com/634639855377280/posts/784211473753450?comment_id=330434849981168&amp;reply_comment_id=1525871281535384</v>
      </c>
      <c r="O2440">
        <v>0</v>
      </c>
      <c r="P2440">
        <v>0</v>
      </c>
      <c r="Q2440">
        <v>0</v>
      </c>
      <c r="S2440">
        <v>0</v>
      </c>
      <c r="T2440">
        <v>0</v>
      </c>
      <c r="U2440">
        <v>0</v>
      </c>
      <c r="W2440" t="s">
        <v>52</v>
      </c>
    </row>
    <row r="2441" spans="1:23" x14ac:dyDescent="0.35">
      <c r="A2441" t="s">
        <v>45</v>
      </c>
      <c r="B2441" t="s">
        <v>4944</v>
      </c>
      <c r="C2441" t="s">
        <v>60</v>
      </c>
      <c r="D2441" t="s">
        <v>64</v>
      </c>
      <c r="E2441" t="s">
        <v>64</v>
      </c>
      <c r="F2441" t="s">
        <v>49</v>
      </c>
      <c r="G2441" t="s">
        <v>100</v>
      </c>
      <c r="H2441" t="s">
        <v>5007</v>
      </c>
      <c r="J2441" t="str">
        <f>HYPERLINK("https://www.facebook.com/634639855377280/posts/784211473753450?comment_id=376624185065204&amp;reply_comment_id=717898957153407","https://www.facebook.com/634639855377280/posts/784211473753450?comment_id=376624185065204&amp;reply_comment_id=717898957153407")</f>
        <v>https://www.facebook.com/634639855377280/posts/784211473753450?comment_id=376624185065204&amp;reply_comment_id=717898957153407</v>
      </c>
      <c r="K2441" t="s">
        <v>67</v>
      </c>
      <c r="O2441">
        <v>0</v>
      </c>
      <c r="P2441">
        <v>0</v>
      </c>
      <c r="Q2441">
        <v>0</v>
      </c>
      <c r="S2441">
        <v>0</v>
      </c>
      <c r="T2441">
        <v>0</v>
      </c>
      <c r="U2441">
        <v>0</v>
      </c>
      <c r="W2441" t="s">
        <v>52</v>
      </c>
    </row>
    <row r="2442" spans="1:23" x14ac:dyDescent="0.35">
      <c r="A2442" t="s">
        <v>45</v>
      </c>
      <c r="B2442" t="s">
        <v>4944</v>
      </c>
      <c r="C2442" t="s">
        <v>60</v>
      </c>
      <c r="D2442" t="s">
        <v>64</v>
      </c>
      <c r="E2442" t="s">
        <v>64</v>
      </c>
      <c r="F2442" t="s">
        <v>49</v>
      </c>
      <c r="G2442" t="s">
        <v>266</v>
      </c>
      <c r="H2442" t="s">
        <v>5008</v>
      </c>
      <c r="J2442" t="str">
        <f>HYPERLINK("https://www.facebook.com/634639855377280/posts/784211473753450?comment_id=2013589829011058&amp;reply_comment_id=926141732454981","https://www.facebook.com/634639855377280/posts/784211473753450?comment_id=2013589829011058&amp;reply_comment_id=926141732454981")</f>
        <v>https://www.facebook.com/634639855377280/posts/784211473753450?comment_id=2013589829011058&amp;reply_comment_id=926141732454981</v>
      </c>
      <c r="K2442" t="s">
        <v>67</v>
      </c>
      <c r="O2442">
        <v>0</v>
      </c>
      <c r="P2442">
        <v>0</v>
      </c>
      <c r="Q2442">
        <v>0</v>
      </c>
      <c r="S2442">
        <v>0</v>
      </c>
      <c r="T2442">
        <v>0</v>
      </c>
      <c r="U2442">
        <v>0</v>
      </c>
      <c r="W2442" t="s">
        <v>52</v>
      </c>
    </row>
    <row r="2443" spans="1:23" x14ac:dyDescent="0.35">
      <c r="A2443" t="s">
        <v>45</v>
      </c>
      <c r="B2443" t="s">
        <v>4944</v>
      </c>
      <c r="C2443" t="s">
        <v>60</v>
      </c>
      <c r="D2443" t="s">
        <v>64</v>
      </c>
      <c r="E2443" t="s">
        <v>64</v>
      </c>
      <c r="F2443" t="s">
        <v>49</v>
      </c>
      <c r="G2443" t="s">
        <v>164</v>
      </c>
      <c r="H2443" t="s">
        <v>5009</v>
      </c>
      <c r="J2443" t="str">
        <f>HYPERLINK("https://www.facebook.com/634639855377280/posts/784211473753450?comment_id=766930041501052&amp;reply_comment_id=2052571421786863","https://www.facebook.com/634639855377280/posts/784211473753450?comment_id=766930041501052&amp;reply_comment_id=2052571421786863")</f>
        <v>https://www.facebook.com/634639855377280/posts/784211473753450?comment_id=766930041501052&amp;reply_comment_id=2052571421786863</v>
      </c>
      <c r="K2443" t="s">
        <v>67</v>
      </c>
      <c r="O2443">
        <v>0</v>
      </c>
      <c r="P2443">
        <v>0</v>
      </c>
      <c r="Q2443">
        <v>0</v>
      </c>
      <c r="S2443">
        <v>0</v>
      </c>
      <c r="T2443">
        <v>0</v>
      </c>
      <c r="U2443">
        <v>0</v>
      </c>
      <c r="W2443" t="s">
        <v>52</v>
      </c>
    </row>
    <row r="2444" spans="1:23" x14ac:dyDescent="0.35">
      <c r="A2444" t="s">
        <v>45</v>
      </c>
      <c r="B2444" t="s">
        <v>4944</v>
      </c>
      <c r="C2444" t="s">
        <v>93</v>
      </c>
      <c r="D2444" t="s">
        <v>94</v>
      </c>
      <c r="E2444" t="s">
        <v>45</v>
      </c>
      <c r="F2444" t="s">
        <v>49</v>
      </c>
      <c r="G2444" t="s">
        <v>5010</v>
      </c>
      <c r="H2444" t="s">
        <v>5011</v>
      </c>
      <c r="J2444" t="str">
        <f>HYPERLINK("https://twitter.com/SpiceMoneyIndia/status/1753733768693617123","https://twitter.com/SpiceMoneyIndia/status/1753733768693617123")</f>
        <v>https://twitter.com/SpiceMoneyIndia/status/1753733768693617123</v>
      </c>
      <c r="K2444" t="s">
        <v>67</v>
      </c>
      <c r="O2444">
        <v>0</v>
      </c>
      <c r="P2444">
        <v>0</v>
      </c>
      <c r="Q2444">
        <v>6020</v>
      </c>
      <c r="R2444" t="s">
        <v>97</v>
      </c>
      <c r="S2444">
        <v>0</v>
      </c>
      <c r="T2444">
        <v>0</v>
      </c>
      <c r="U2444">
        <v>0</v>
      </c>
      <c r="V2444" t="s">
        <v>98</v>
      </c>
      <c r="W2444" t="s">
        <v>99</v>
      </c>
    </row>
    <row r="2445" spans="1:23" x14ac:dyDescent="0.35">
      <c r="A2445" t="s">
        <v>45</v>
      </c>
      <c r="B2445" t="s">
        <v>4944</v>
      </c>
      <c r="C2445" t="s">
        <v>60</v>
      </c>
      <c r="D2445" t="s">
        <v>64</v>
      </c>
      <c r="E2445" t="s">
        <v>64</v>
      </c>
      <c r="F2445" t="s">
        <v>49</v>
      </c>
      <c r="G2445" t="s">
        <v>244</v>
      </c>
      <c r="H2445" t="s">
        <v>5012</v>
      </c>
      <c r="J2445" t="str">
        <f>HYPERLINK("https://www.facebook.com/634639855377280/posts/784211473753450?comment_id=330434849981168&amp;reply_comment_id=1642503853153950","https://www.facebook.com/634639855377280/posts/784211473753450?comment_id=330434849981168&amp;reply_comment_id=1642503853153950")</f>
        <v>https://www.facebook.com/634639855377280/posts/784211473753450?comment_id=330434849981168&amp;reply_comment_id=1642503853153950</v>
      </c>
      <c r="K2445" t="s">
        <v>67</v>
      </c>
      <c r="O2445">
        <v>0</v>
      </c>
      <c r="P2445">
        <v>0</v>
      </c>
      <c r="Q2445">
        <v>0</v>
      </c>
      <c r="S2445">
        <v>0</v>
      </c>
      <c r="T2445">
        <v>0</v>
      </c>
      <c r="U2445">
        <v>0</v>
      </c>
      <c r="W2445" t="s">
        <v>52</v>
      </c>
    </row>
    <row r="2446" spans="1:23" x14ac:dyDescent="0.35">
      <c r="A2446" t="s">
        <v>45</v>
      </c>
      <c r="B2446" t="s">
        <v>4944</v>
      </c>
      <c r="C2446" t="s">
        <v>60</v>
      </c>
      <c r="D2446" t="s">
        <v>61</v>
      </c>
      <c r="E2446" t="s">
        <v>61</v>
      </c>
      <c r="F2446" t="s">
        <v>49</v>
      </c>
      <c r="G2446" t="s">
        <v>5013</v>
      </c>
      <c r="H2446" t="s">
        <v>5014</v>
      </c>
      <c r="J2446" t="str">
        <f>HYPERLINK("https://www.facebook.com/634639855377280/posts/784211473753450?comment_id=330434849981168","https://www.facebook.com/634639855377280/posts/784211473753450?comment_id=330434849981168")</f>
        <v>https://www.facebook.com/634639855377280/posts/784211473753450?comment_id=330434849981168</v>
      </c>
      <c r="O2446">
        <v>0</v>
      </c>
      <c r="P2446">
        <v>0</v>
      </c>
      <c r="Q2446">
        <v>0</v>
      </c>
      <c r="S2446">
        <v>0</v>
      </c>
      <c r="T2446">
        <v>0</v>
      </c>
      <c r="U2446">
        <v>0</v>
      </c>
      <c r="W2446" t="s">
        <v>52</v>
      </c>
    </row>
    <row r="2447" spans="1:23" x14ac:dyDescent="0.35">
      <c r="A2447" t="s">
        <v>45</v>
      </c>
      <c r="B2447" t="s">
        <v>4944</v>
      </c>
      <c r="C2447" t="s">
        <v>93</v>
      </c>
      <c r="D2447" t="s">
        <v>5015</v>
      </c>
      <c r="E2447" t="s">
        <v>5016</v>
      </c>
      <c r="F2447" t="s">
        <v>49</v>
      </c>
      <c r="G2447" t="s">
        <v>5017</v>
      </c>
      <c r="H2447" t="s">
        <v>5018</v>
      </c>
      <c r="J2447" t="str">
        <f>HYPERLINK("https://twitter.com/lovingvishwas24/status/1753725888284516707","https://twitter.com/lovingvishwas24/status/1753725888284516707")</f>
        <v>https://twitter.com/lovingvishwas24/status/1753725888284516707</v>
      </c>
      <c r="K2447" t="s">
        <v>67</v>
      </c>
      <c r="O2447">
        <v>0</v>
      </c>
      <c r="P2447">
        <v>0</v>
      </c>
      <c r="Q2447">
        <v>6</v>
      </c>
      <c r="S2447">
        <v>0</v>
      </c>
      <c r="T2447">
        <v>0</v>
      </c>
      <c r="U2447">
        <v>0</v>
      </c>
      <c r="W2447" t="s">
        <v>99</v>
      </c>
    </row>
    <row r="2448" spans="1:23" x14ac:dyDescent="0.35">
      <c r="A2448" t="s">
        <v>45</v>
      </c>
      <c r="B2448" t="s">
        <v>4944</v>
      </c>
      <c r="C2448" t="s">
        <v>93</v>
      </c>
      <c r="D2448" t="s">
        <v>4755</v>
      </c>
      <c r="E2448" t="s">
        <v>4756</v>
      </c>
      <c r="F2448" t="s">
        <v>49</v>
      </c>
      <c r="G2448" t="s">
        <v>5019</v>
      </c>
      <c r="H2448" t="s">
        <v>5020</v>
      </c>
      <c r="J2448" t="str">
        <f>HYPERLINK("https://twitter.com/InsAdvisormanoj/status/1753721152856584551","https://twitter.com/InsAdvisormanoj/status/1753721152856584551")</f>
        <v>https://twitter.com/InsAdvisormanoj/status/1753721152856584551</v>
      </c>
      <c r="K2448" t="s">
        <v>67</v>
      </c>
      <c r="O2448">
        <v>0</v>
      </c>
      <c r="P2448">
        <v>0</v>
      </c>
      <c r="Q2448">
        <v>3</v>
      </c>
      <c r="R2448" t="s">
        <v>4759</v>
      </c>
      <c r="S2448">
        <v>0</v>
      </c>
      <c r="T2448">
        <v>0</v>
      </c>
      <c r="U2448">
        <v>0</v>
      </c>
      <c r="W2448" t="s">
        <v>99</v>
      </c>
    </row>
    <row r="2449" spans="1:23" x14ac:dyDescent="0.35">
      <c r="A2449" t="s">
        <v>45</v>
      </c>
      <c r="B2449" t="s">
        <v>4944</v>
      </c>
      <c r="C2449" t="s">
        <v>60</v>
      </c>
      <c r="D2449" t="s">
        <v>61</v>
      </c>
      <c r="E2449" t="s">
        <v>61</v>
      </c>
      <c r="F2449" t="s">
        <v>49</v>
      </c>
      <c r="G2449" t="s">
        <v>4707</v>
      </c>
      <c r="H2449" t="s">
        <v>5021</v>
      </c>
      <c r="J2449" t="str">
        <f>HYPERLINK("https://www.facebook.com/634639855377280/posts/784211473753450?comment_id=723135589917977","https://www.facebook.com/634639855377280/posts/784211473753450?comment_id=723135589917977")</f>
        <v>https://www.facebook.com/634639855377280/posts/784211473753450?comment_id=723135589917977</v>
      </c>
      <c r="O2449">
        <v>0</v>
      </c>
      <c r="P2449">
        <v>0</v>
      </c>
      <c r="Q2449">
        <v>0</v>
      </c>
      <c r="S2449">
        <v>0</v>
      </c>
      <c r="T2449">
        <v>0</v>
      </c>
      <c r="U2449">
        <v>0</v>
      </c>
      <c r="W2449" t="s">
        <v>52</v>
      </c>
    </row>
    <row r="2450" spans="1:23" x14ac:dyDescent="0.35">
      <c r="A2450" t="s">
        <v>45</v>
      </c>
      <c r="B2450" t="s">
        <v>4944</v>
      </c>
      <c r="C2450" t="s">
        <v>60</v>
      </c>
      <c r="D2450" t="s">
        <v>61</v>
      </c>
      <c r="E2450" t="s">
        <v>61</v>
      </c>
      <c r="F2450" t="s">
        <v>49</v>
      </c>
      <c r="G2450" t="s">
        <v>5022</v>
      </c>
      <c r="H2450" t="s">
        <v>5023</v>
      </c>
      <c r="J2450" t="str">
        <f>HYPERLINK("https://www.facebook.com/634639855377280/posts/784211473753450?comment_id=766930041501052","https://www.facebook.com/634639855377280/posts/784211473753450?comment_id=766930041501052")</f>
        <v>https://www.facebook.com/634639855377280/posts/784211473753450?comment_id=766930041501052</v>
      </c>
      <c r="O2450">
        <v>0</v>
      </c>
      <c r="P2450">
        <v>0</v>
      </c>
      <c r="Q2450">
        <v>0</v>
      </c>
      <c r="S2450">
        <v>0</v>
      </c>
      <c r="T2450">
        <v>0</v>
      </c>
      <c r="U2450">
        <v>0</v>
      </c>
      <c r="W2450" t="s">
        <v>52</v>
      </c>
    </row>
    <row r="2451" spans="1:23" x14ac:dyDescent="0.35">
      <c r="A2451" t="s">
        <v>45</v>
      </c>
      <c r="B2451" t="s">
        <v>4944</v>
      </c>
      <c r="C2451" t="s">
        <v>60</v>
      </c>
      <c r="D2451" t="s">
        <v>61</v>
      </c>
      <c r="E2451" t="s">
        <v>61</v>
      </c>
      <c r="F2451" t="s">
        <v>193</v>
      </c>
      <c r="G2451" t="s">
        <v>5024</v>
      </c>
      <c r="H2451" t="s">
        <v>5025</v>
      </c>
      <c r="J2451" t="str">
        <f>HYPERLINK("https://www.facebook.com/634639855377280/posts/784211473753450?comment_id=2013589829011058","https://www.facebook.com/634639855377280/posts/784211473753450?comment_id=2013589829011058")</f>
        <v>https://www.facebook.com/634639855377280/posts/784211473753450?comment_id=2013589829011058</v>
      </c>
      <c r="O2451">
        <v>0</v>
      </c>
      <c r="P2451">
        <v>0</v>
      </c>
      <c r="Q2451">
        <v>0</v>
      </c>
      <c r="S2451">
        <v>0</v>
      </c>
      <c r="T2451">
        <v>0</v>
      </c>
      <c r="U2451">
        <v>0</v>
      </c>
      <c r="W2451" t="s">
        <v>52</v>
      </c>
    </row>
    <row r="2452" spans="1:23" x14ac:dyDescent="0.35">
      <c r="A2452" t="s">
        <v>45</v>
      </c>
      <c r="B2452" t="s">
        <v>4944</v>
      </c>
      <c r="C2452" t="s">
        <v>60</v>
      </c>
      <c r="D2452" t="s">
        <v>61</v>
      </c>
      <c r="E2452" t="s">
        <v>61</v>
      </c>
      <c r="F2452" t="s">
        <v>49</v>
      </c>
      <c r="G2452" t="s">
        <v>5026</v>
      </c>
      <c r="H2452" t="s">
        <v>5027</v>
      </c>
      <c r="J2452" t="str">
        <f>HYPERLINK("https://www.facebook.com/634639855377280/posts/784211473753450?comment_id=376624185065204","https://www.facebook.com/634639855377280/posts/784211473753450?comment_id=376624185065204")</f>
        <v>https://www.facebook.com/634639855377280/posts/784211473753450?comment_id=376624185065204</v>
      </c>
      <c r="O2452">
        <v>0</v>
      </c>
      <c r="P2452">
        <v>0</v>
      </c>
      <c r="Q2452">
        <v>0</v>
      </c>
      <c r="S2452">
        <v>0</v>
      </c>
      <c r="T2452">
        <v>0</v>
      </c>
      <c r="U2452">
        <v>0</v>
      </c>
      <c r="W2452" t="s">
        <v>52</v>
      </c>
    </row>
    <row r="2453" spans="1:23" x14ac:dyDescent="0.35">
      <c r="A2453" t="s">
        <v>45</v>
      </c>
      <c r="B2453" t="s">
        <v>4944</v>
      </c>
      <c r="C2453" t="s">
        <v>60</v>
      </c>
      <c r="D2453" t="s">
        <v>61</v>
      </c>
      <c r="E2453" t="s">
        <v>61</v>
      </c>
      <c r="F2453" t="s">
        <v>49</v>
      </c>
      <c r="G2453" t="s">
        <v>5028</v>
      </c>
      <c r="H2453" t="s">
        <v>5029</v>
      </c>
      <c r="J2453" t="str">
        <f>HYPERLINK("https://www.facebook.com/634639855377280/posts/782438767264054?comment_id=1039251860640261","https://www.facebook.com/634639855377280/posts/782438767264054?comment_id=1039251860640261")</f>
        <v>https://www.facebook.com/634639855377280/posts/782438767264054?comment_id=1039251860640261</v>
      </c>
      <c r="O2453">
        <v>0</v>
      </c>
      <c r="P2453">
        <v>0</v>
      </c>
      <c r="Q2453">
        <v>0</v>
      </c>
      <c r="S2453">
        <v>0</v>
      </c>
      <c r="T2453">
        <v>0</v>
      </c>
      <c r="U2453">
        <v>0</v>
      </c>
      <c r="W2453" t="s">
        <v>52</v>
      </c>
    </row>
    <row r="2454" spans="1:23" x14ac:dyDescent="0.35">
      <c r="A2454" t="s">
        <v>45</v>
      </c>
      <c r="B2454" t="s">
        <v>4944</v>
      </c>
      <c r="C2454" t="s">
        <v>60</v>
      </c>
      <c r="D2454" t="s">
        <v>61</v>
      </c>
      <c r="E2454" t="s">
        <v>61</v>
      </c>
      <c r="F2454" t="s">
        <v>193</v>
      </c>
      <c r="G2454" t="s">
        <v>5030</v>
      </c>
      <c r="H2454" t="s">
        <v>5031</v>
      </c>
      <c r="J2454" t="str">
        <f>HYPERLINK("https://www.facebook.com/634639855377280/posts/784211473753450?comment_id=410522728112296","https://www.facebook.com/634639855377280/posts/784211473753450?comment_id=410522728112296")</f>
        <v>https://www.facebook.com/634639855377280/posts/784211473753450?comment_id=410522728112296</v>
      </c>
      <c r="O2454">
        <v>0</v>
      </c>
      <c r="P2454">
        <v>0</v>
      </c>
      <c r="Q2454">
        <v>0</v>
      </c>
      <c r="S2454">
        <v>0</v>
      </c>
      <c r="T2454">
        <v>0</v>
      </c>
      <c r="U2454">
        <v>0</v>
      </c>
      <c r="W2454" t="s">
        <v>52</v>
      </c>
    </row>
    <row r="2455" spans="1:23" x14ac:dyDescent="0.35">
      <c r="A2455" t="s">
        <v>45</v>
      </c>
      <c r="B2455" t="s">
        <v>4944</v>
      </c>
      <c r="C2455" t="s">
        <v>60</v>
      </c>
      <c r="D2455" t="s">
        <v>61</v>
      </c>
      <c r="E2455" t="s">
        <v>61</v>
      </c>
      <c r="F2455" t="s">
        <v>49</v>
      </c>
      <c r="G2455" t="s">
        <v>5032</v>
      </c>
      <c r="H2455" t="s">
        <v>5033</v>
      </c>
      <c r="J2455" t="str">
        <f>HYPERLINK("https://www.facebook.com/634639855377280/posts/784211473753450?comment_id=1078292676778192","https://www.facebook.com/634639855377280/posts/784211473753450?comment_id=1078292676778192")</f>
        <v>https://www.facebook.com/634639855377280/posts/784211473753450?comment_id=1078292676778192</v>
      </c>
      <c r="O2455">
        <v>0</v>
      </c>
      <c r="P2455">
        <v>0</v>
      </c>
      <c r="Q2455">
        <v>0</v>
      </c>
      <c r="S2455">
        <v>0</v>
      </c>
      <c r="T2455">
        <v>0</v>
      </c>
      <c r="U2455">
        <v>0</v>
      </c>
      <c r="W2455" t="s">
        <v>52</v>
      </c>
    </row>
    <row r="2456" spans="1:23" x14ac:dyDescent="0.35">
      <c r="A2456" t="s">
        <v>45</v>
      </c>
      <c r="B2456" t="s">
        <v>4944</v>
      </c>
      <c r="C2456" t="s">
        <v>60</v>
      </c>
      <c r="D2456" t="s">
        <v>61</v>
      </c>
      <c r="E2456" t="s">
        <v>61</v>
      </c>
      <c r="F2456" t="s">
        <v>49</v>
      </c>
      <c r="G2456" t="s">
        <v>5034</v>
      </c>
      <c r="H2456" t="s">
        <v>5035</v>
      </c>
      <c r="J2456" t="str">
        <f>HYPERLINK("https://www.facebook.com/634639855377280/posts/784211473753450?comment_id=772821511365336","https://www.facebook.com/634639855377280/posts/784211473753450?comment_id=772821511365336")</f>
        <v>https://www.facebook.com/634639855377280/posts/784211473753450?comment_id=772821511365336</v>
      </c>
      <c r="O2456">
        <v>0</v>
      </c>
      <c r="P2456">
        <v>0</v>
      </c>
      <c r="Q2456">
        <v>0</v>
      </c>
      <c r="S2456">
        <v>0</v>
      </c>
      <c r="T2456">
        <v>0</v>
      </c>
      <c r="U2456">
        <v>0</v>
      </c>
      <c r="W2456" t="s">
        <v>52</v>
      </c>
    </row>
    <row r="2457" spans="1:23" x14ac:dyDescent="0.35">
      <c r="A2457" t="s">
        <v>45</v>
      </c>
      <c r="B2457" t="s">
        <v>4944</v>
      </c>
      <c r="C2457" t="s">
        <v>60</v>
      </c>
      <c r="D2457" t="s">
        <v>61</v>
      </c>
      <c r="E2457" t="s">
        <v>61</v>
      </c>
      <c r="F2457" t="s">
        <v>49</v>
      </c>
      <c r="G2457" t="s">
        <v>5036</v>
      </c>
      <c r="H2457" t="s">
        <v>5037</v>
      </c>
      <c r="J2457" t="str">
        <f>HYPERLINK("https://www.facebook.com/634639855377280/posts/784211473753450?comment_id=755084556158141","https://www.facebook.com/634639855377280/posts/784211473753450?comment_id=755084556158141")</f>
        <v>https://www.facebook.com/634639855377280/posts/784211473753450?comment_id=755084556158141</v>
      </c>
      <c r="O2457">
        <v>0</v>
      </c>
      <c r="P2457">
        <v>0</v>
      </c>
      <c r="Q2457">
        <v>0</v>
      </c>
      <c r="S2457">
        <v>0</v>
      </c>
      <c r="T2457">
        <v>0</v>
      </c>
      <c r="U2457">
        <v>0</v>
      </c>
      <c r="W2457" t="s">
        <v>52</v>
      </c>
    </row>
    <row r="2458" spans="1:23" x14ac:dyDescent="0.35">
      <c r="A2458" t="s">
        <v>45</v>
      </c>
      <c r="B2458" t="s">
        <v>4944</v>
      </c>
      <c r="C2458" t="s">
        <v>60</v>
      </c>
      <c r="D2458" t="s">
        <v>61</v>
      </c>
      <c r="E2458" t="s">
        <v>61</v>
      </c>
      <c r="F2458" t="s">
        <v>49</v>
      </c>
      <c r="G2458" t="s">
        <v>5038</v>
      </c>
      <c r="H2458" t="s">
        <v>5039</v>
      </c>
      <c r="J2458" t="str">
        <f>HYPERLINK("https://www.facebook.com/634639855377280/posts/783619057146025?comment_id=355111683957437","https://www.facebook.com/634639855377280/posts/783619057146025?comment_id=355111683957437")</f>
        <v>https://www.facebook.com/634639855377280/posts/783619057146025?comment_id=355111683957437</v>
      </c>
      <c r="O2458">
        <v>0</v>
      </c>
      <c r="P2458">
        <v>0</v>
      </c>
      <c r="Q2458">
        <v>0</v>
      </c>
      <c r="S2458">
        <v>0</v>
      </c>
      <c r="T2458">
        <v>0</v>
      </c>
      <c r="U2458">
        <v>0</v>
      </c>
      <c r="W2458" t="s">
        <v>52</v>
      </c>
    </row>
    <row r="2459" spans="1:23" x14ac:dyDescent="0.35">
      <c r="A2459" t="s">
        <v>45</v>
      </c>
      <c r="B2459" t="s">
        <v>4944</v>
      </c>
      <c r="C2459" t="s">
        <v>60</v>
      </c>
      <c r="D2459" t="s">
        <v>61</v>
      </c>
      <c r="E2459" t="s">
        <v>61</v>
      </c>
      <c r="F2459" t="s">
        <v>193</v>
      </c>
      <c r="G2459" t="s">
        <v>5030</v>
      </c>
      <c r="H2459" t="s">
        <v>5040</v>
      </c>
      <c r="J2459" t="str">
        <f>HYPERLINK("https://www.facebook.com/634639855377280/posts/784211473753450?comment_id=915710136468809","https://www.facebook.com/634639855377280/posts/784211473753450?comment_id=915710136468809")</f>
        <v>https://www.facebook.com/634639855377280/posts/784211473753450?comment_id=915710136468809</v>
      </c>
      <c r="O2459">
        <v>0</v>
      </c>
      <c r="P2459">
        <v>0</v>
      </c>
      <c r="Q2459">
        <v>0</v>
      </c>
      <c r="S2459">
        <v>0</v>
      </c>
      <c r="T2459">
        <v>0</v>
      </c>
      <c r="U2459">
        <v>0</v>
      </c>
      <c r="W2459" t="s">
        <v>52</v>
      </c>
    </row>
    <row r="2460" spans="1:23" x14ac:dyDescent="0.35">
      <c r="A2460" t="s">
        <v>45</v>
      </c>
      <c r="B2460" t="s">
        <v>4944</v>
      </c>
      <c r="C2460" t="s">
        <v>60</v>
      </c>
      <c r="D2460" t="s">
        <v>61</v>
      </c>
      <c r="E2460" t="s">
        <v>61</v>
      </c>
      <c r="F2460" t="s">
        <v>49</v>
      </c>
      <c r="G2460" t="s">
        <v>5041</v>
      </c>
      <c r="H2460" t="s">
        <v>5042</v>
      </c>
      <c r="J2460" t="str">
        <f>HYPERLINK("https://www.facebook.com/634639855377280/posts/784211473753450?comment_id=2694006020755565","https://www.facebook.com/634639855377280/posts/784211473753450?comment_id=2694006020755565")</f>
        <v>https://www.facebook.com/634639855377280/posts/784211473753450?comment_id=2694006020755565</v>
      </c>
      <c r="O2460">
        <v>0</v>
      </c>
      <c r="P2460">
        <v>0</v>
      </c>
      <c r="Q2460">
        <v>0</v>
      </c>
      <c r="S2460">
        <v>0</v>
      </c>
      <c r="T2460">
        <v>0</v>
      </c>
      <c r="U2460">
        <v>0</v>
      </c>
      <c r="W2460" t="s">
        <v>52</v>
      </c>
    </row>
    <row r="2461" spans="1:23" x14ac:dyDescent="0.35">
      <c r="A2461" t="s">
        <v>45</v>
      </c>
      <c r="B2461" t="s">
        <v>4944</v>
      </c>
      <c r="C2461" t="s">
        <v>60</v>
      </c>
      <c r="D2461" t="s">
        <v>61</v>
      </c>
      <c r="E2461" t="s">
        <v>61</v>
      </c>
      <c r="F2461" t="s">
        <v>49</v>
      </c>
      <c r="G2461" t="s">
        <v>4951</v>
      </c>
      <c r="H2461" t="s">
        <v>5043</v>
      </c>
      <c r="J2461" t="str">
        <f>HYPERLINK("https://www.facebook.com/634639855377280/posts/784211473753450?comment_id=354965084128580","https://www.facebook.com/634639855377280/posts/784211473753450?comment_id=354965084128580")</f>
        <v>https://www.facebook.com/634639855377280/posts/784211473753450?comment_id=354965084128580</v>
      </c>
      <c r="O2461">
        <v>0</v>
      </c>
      <c r="P2461">
        <v>0</v>
      </c>
      <c r="Q2461">
        <v>0</v>
      </c>
      <c r="S2461">
        <v>0</v>
      </c>
      <c r="T2461">
        <v>0</v>
      </c>
      <c r="U2461">
        <v>0</v>
      </c>
      <c r="W2461" t="s">
        <v>52</v>
      </c>
    </row>
    <row r="2462" spans="1:23" x14ac:dyDescent="0.35">
      <c r="A2462" t="s">
        <v>45</v>
      </c>
      <c r="B2462" t="s">
        <v>4944</v>
      </c>
      <c r="C2462" t="s">
        <v>93</v>
      </c>
      <c r="D2462" t="s">
        <v>94</v>
      </c>
      <c r="E2462" t="s">
        <v>45</v>
      </c>
      <c r="F2462" t="s">
        <v>49</v>
      </c>
      <c r="G2462" t="s">
        <v>4925</v>
      </c>
      <c r="H2462" t="s">
        <v>5044</v>
      </c>
      <c r="J2462" t="str">
        <f>HYPERLINK("https://twitter.com/SpiceMoneyIndia/status/1753655575928619024","https://twitter.com/SpiceMoneyIndia/status/1753655575928619024")</f>
        <v>https://twitter.com/SpiceMoneyIndia/status/1753655575928619024</v>
      </c>
      <c r="K2462" t="s">
        <v>67</v>
      </c>
      <c r="O2462">
        <v>0</v>
      </c>
      <c r="P2462">
        <v>0</v>
      </c>
      <c r="Q2462">
        <v>6020</v>
      </c>
      <c r="R2462" t="s">
        <v>97</v>
      </c>
      <c r="S2462">
        <v>0</v>
      </c>
      <c r="T2462">
        <v>0</v>
      </c>
      <c r="U2462">
        <v>0</v>
      </c>
      <c r="V2462" t="s">
        <v>98</v>
      </c>
      <c r="W2462" t="s">
        <v>99</v>
      </c>
    </row>
    <row r="2463" spans="1:23" x14ac:dyDescent="0.35">
      <c r="A2463" t="s">
        <v>45</v>
      </c>
      <c r="B2463" t="s">
        <v>4944</v>
      </c>
      <c r="C2463" t="s">
        <v>60</v>
      </c>
      <c r="D2463" t="s">
        <v>64</v>
      </c>
      <c r="E2463" t="s">
        <v>64</v>
      </c>
      <c r="F2463" t="s">
        <v>49</v>
      </c>
      <c r="G2463" t="s">
        <v>5045</v>
      </c>
      <c r="H2463" t="s">
        <v>5046</v>
      </c>
      <c r="J2463" t="str">
        <f>HYPERLINK("https://www.facebook.com/634639855377280/posts/784211473753450","https://www.facebook.com/634639855377280/posts/784211473753450")</f>
        <v>https://www.facebook.com/634639855377280/posts/784211473753450</v>
      </c>
      <c r="O2463">
        <v>0</v>
      </c>
      <c r="P2463">
        <v>0</v>
      </c>
      <c r="Q2463">
        <v>0</v>
      </c>
      <c r="S2463">
        <v>30</v>
      </c>
      <c r="T2463">
        <v>106</v>
      </c>
      <c r="U2463">
        <v>5</v>
      </c>
      <c r="W2463" t="s">
        <v>346</v>
      </c>
    </row>
    <row r="2464" spans="1:23" x14ac:dyDescent="0.35">
      <c r="A2464" t="s">
        <v>45</v>
      </c>
      <c r="B2464" t="s">
        <v>4944</v>
      </c>
      <c r="C2464" t="s">
        <v>93</v>
      </c>
      <c r="D2464" t="s">
        <v>5047</v>
      </c>
      <c r="E2464" t="s">
        <v>5048</v>
      </c>
      <c r="F2464" t="s">
        <v>49</v>
      </c>
      <c r="G2464" t="s">
        <v>5049</v>
      </c>
      <c r="H2464" t="s">
        <v>5050</v>
      </c>
      <c r="J2464" t="str">
        <f>HYPERLINK("https://twitter.com/aryanmalik99/status/1753640308481601794","https://twitter.com/aryanmalik99/status/1753640308481601794")</f>
        <v>https://twitter.com/aryanmalik99/status/1753640308481601794</v>
      </c>
      <c r="K2464" t="s">
        <v>67</v>
      </c>
      <c r="O2464">
        <v>0</v>
      </c>
      <c r="P2464">
        <v>0</v>
      </c>
      <c r="Q2464">
        <v>3</v>
      </c>
      <c r="S2464">
        <v>0</v>
      </c>
      <c r="T2464">
        <v>0</v>
      </c>
      <c r="U2464">
        <v>0</v>
      </c>
      <c r="W2464" t="s">
        <v>99</v>
      </c>
    </row>
    <row r="2465" spans="1:23" x14ac:dyDescent="0.35">
      <c r="A2465" t="s">
        <v>45</v>
      </c>
      <c r="B2465" t="s">
        <v>4944</v>
      </c>
      <c r="C2465" t="s">
        <v>60</v>
      </c>
      <c r="D2465" t="s">
        <v>64</v>
      </c>
      <c r="E2465" t="s">
        <v>64</v>
      </c>
      <c r="F2465" t="s">
        <v>49</v>
      </c>
      <c r="G2465" t="s">
        <v>164</v>
      </c>
      <c r="H2465" t="s">
        <v>5051</v>
      </c>
      <c r="J2465" t="str">
        <f>HYPERLINK("https://www.facebook.com/634639855377280/posts/783040850537179?comment_id=911166573796383&amp;reply_comment_id=839481121221830","https://www.facebook.com/634639855377280/posts/783040850537179?comment_id=911166573796383&amp;reply_comment_id=839481121221830")</f>
        <v>https://www.facebook.com/634639855377280/posts/783040850537179?comment_id=911166573796383&amp;reply_comment_id=839481121221830</v>
      </c>
      <c r="K2465" t="s">
        <v>67</v>
      </c>
      <c r="O2465">
        <v>0</v>
      </c>
      <c r="P2465">
        <v>0</v>
      </c>
      <c r="Q2465">
        <v>0</v>
      </c>
      <c r="S2465">
        <v>0</v>
      </c>
      <c r="T2465">
        <v>0</v>
      </c>
      <c r="U2465">
        <v>0</v>
      </c>
      <c r="W2465" t="s">
        <v>52</v>
      </c>
    </row>
    <row r="2466" spans="1:23" x14ac:dyDescent="0.35">
      <c r="A2466" t="s">
        <v>45</v>
      </c>
      <c r="B2466" t="s">
        <v>4944</v>
      </c>
      <c r="C2466" t="s">
        <v>60</v>
      </c>
      <c r="D2466" t="s">
        <v>64</v>
      </c>
      <c r="E2466" t="s">
        <v>64</v>
      </c>
      <c r="F2466" t="s">
        <v>49</v>
      </c>
      <c r="G2466" t="s">
        <v>83</v>
      </c>
      <c r="H2466" t="s">
        <v>5052</v>
      </c>
      <c r="J2466" t="str">
        <f>HYPERLINK("https://www.facebook.com/634639855377280/posts/782513537256577?comment_id=1351410405577663&amp;reply_comment_id=1596080044534923","https://www.facebook.com/634639855377280/posts/782513537256577?comment_id=1351410405577663&amp;reply_comment_id=1596080044534923")</f>
        <v>https://www.facebook.com/634639855377280/posts/782513537256577?comment_id=1351410405577663&amp;reply_comment_id=1596080044534923</v>
      </c>
      <c r="K2466" t="s">
        <v>67</v>
      </c>
      <c r="O2466">
        <v>0</v>
      </c>
      <c r="P2466">
        <v>0</v>
      </c>
      <c r="Q2466">
        <v>0</v>
      </c>
      <c r="S2466">
        <v>0</v>
      </c>
      <c r="T2466">
        <v>0</v>
      </c>
      <c r="U2466">
        <v>0</v>
      </c>
      <c r="W2466" t="s">
        <v>52</v>
      </c>
    </row>
    <row r="2467" spans="1:23" x14ac:dyDescent="0.35">
      <c r="A2467" t="s">
        <v>45</v>
      </c>
      <c r="B2467" t="s">
        <v>4944</v>
      </c>
      <c r="C2467" t="s">
        <v>60</v>
      </c>
      <c r="D2467" t="s">
        <v>64</v>
      </c>
      <c r="E2467" t="s">
        <v>64</v>
      </c>
      <c r="F2467" t="s">
        <v>49</v>
      </c>
      <c r="G2467" t="s">
        <v>83</v>
      </c>
      <c r="H2467" t="s">
        <v>5053</v>
      </c>
      <c r="J2467" t="str">
        <f>HYPERLINK("https://www.facebook.com/634639855377280/posts/783619057146025?comment_id=6992061610910249&amp;reply_comment_id=1130046761321230","https://www.facebook.com/634639855377280/posts/783619057146025?comment_id=6992061610910249&amp;reply_comment_id=1130046761321230")</f>
        <v>https://www.facebook.com/634639855377280/posts/783619057146025?comment_id=6992061610910249&amp;reply_comment_id=1130046761321230</v>
      </c>
      <c r="K2467" t="s">
        <v>67</v>
      </c>
      <c r="O2467">
        <v>0</v>
      </c>
      <c r="P2467">
        <v>0</v>
      </c>
      <c r="Q2467">
        <v>0</v>
      </c>
      <c r="S2467">
        <v>0</v>
      </c>
      <c r="T2467">
        <v>0</v>
      </c>
      <c r="U2467">
        <v>0</v>
      </c>
      <c r="W2467" t="s">
        <v>52</v>
      </c>
    </row>
    <row r="2468" spans="1:23" x14ac:dyDescent="0.35">
      <c r="A2468" t="s">
        <v>45</v>
      </c>
      <c r="B2468" t="s">
        <v>4944</v>
      </c>
      <c r="C2468" t="s">
        <v>60</v>
      </c>
      <c r="D2468" t="s">
        <v>64</v>
      </c>
      <c r="E2468" t="s">
        <v>64</v>
      </c>
      <c r="F2468" t="s">
        <v>49</v>
      </c>
      <c r="G2468" t="s">
        <v>3537</v>
      </c>
      <c r="H2468" t="s">
        <v>5054</v>
      </c>
      <c r="J2468" t="str">
        <f>HYPERLINK("https://www.facebook.com/634639855377280/posts/783619057146025?comment_id=907394644326770&amp;reply_comment_id=910746800769958","https://www.facebook.com/634639855377280/posts/783619057146025?comment_id=907394644326770&amp;reply_comment_id=910746800769958")</f>
        <v>https://www.facebook.com/634639855377280/posts/783619057146025?comment_id=907394644326770&amp;reply_comment_id=910746800769958</v>
      </c>
      <c r="K2468" t="s">
        <v>67</v>
      </c>
      <c r="O2468">
        <v>0</v>
      </c>
      <c r="P2468">
        <v>0</v>
      </c>
      <c r="Q2468">
        <v>0</v>
      </c>
      <c r="S2468">
        <v>0</v>
      </c>
      <c r="T2468">
        <v>0</v>
      </c>
      <c r="U2468">
        <v>0</v>
      </c>
      <c r="W2468" t="s">
        <v>52</v>
      </c>
    </row>
    <row r="2469" spans="1:23" x14ac:dyDescent="0.35">
      <c r="A2469" t="s">
        <v>45</v>
      </c>
      <c r="B2469" t="s">
        <v>4944</v>
      </c>
      <c r="C2469" t="s">
        <v>60</v>
      </c>
      <c r="D2469" t="s">
        <v>64</v>
      </c>
      <c r="E2469" t="s">
        <v>64</v>
      </c>
      <c r="F2469" t="s">
        <v>49</v>
      </c>
      <c r="G2469" t="s">
        <v>3537</v>
      </c>
      <c r="H2469" t="s">
        <v>5055</v>
      </c>
      <c r="J2469" t="str">
        <f>HYPERLINK("https://www.facebook.com/634639855377280/posts/783619057146025?comment_id=684485587180369&amp;reply_comment_id=2127253690953286","https://www.facebook.com/634639855377280/posts/783619057146025?comment_id=684485587180369&amp;reply_comment_id=2127253690953286")</f>
        <v>https://www.facebook.com/634639855377280/posts/783619057146025?comment_id=684485587180369&amp;reply_comment_id=2127253690953286</v>
      </c>
      <c r="K2469" t="s">
        <v>67</v>
      </c>
      <c r="O2469">
        <v>0</v>
      </c>
      <c r="P2469">
        <v>0</v>
      </c>
      <c r="Q2469">
        <v>0</v>
      </c>
      <c r="S2469">
        <v>0</v>
      </c>
      <c r="T2469">
        <v>0</v>
      </c>
      <c r="U2469">
        <v>0</v>
      </c>
      <c r="W2469" t="s">
        <v>52</v>
      </c>
    </row>
    <row r="2470" spans="1:23" x14ac:dyDescent="0.35">
      <c r="A2470" t="s">
        <v>45</v>
      </c>
      <c r="B2470" t="s">
        <v>4944</v>
      </c>
      <c r="C2470" t="s">
        <v>93</v>
      </c>
      <c r="D2470" t="s">
        <v>94</v>
      </c>
      <c r="E2470" t="s">
        <v>45</v>
      </c>
      <c r="F2470" t="s">
        <v>49</v>
      </c>
      <c r="G2470" t="s">
        <v>5056</v>
      </c>
      <c r="H2470" t="s">
        <v>5057</v>
      </c>
      <c r="J2470" t="str">
        <f>HYPERLINK("https://twitter.com/SpiceMoneyIndia/status/1753633520507912399","https://twitter.com/SpiceMoneyIndia/status/1753633520507912399")</f>
        <v>https://twitter.com/SpiceMoneyIndia/status/1753633520507912399</v>
      </c>
      <c r="K2470" t="s">
        <v>67</v>
      </c>
      <c r="O2470">
        <v>0</v>
      </c>
      <c r="P2470">
        <v>0</v>
      </c>
      <c r="Q2470">
        <v>6021</v>
      </c>
      <c r="R2470" t="s">
        <v>97</v>
      </c>
      <c r="S2470">
        <v>0</v>
      </c>
      <c r="T2470">
        <v>0</v>
      </c>
      <c r="U2470">
        <v>0</v>
      </c>
      <c r="V2470" t="s">
        <v>98</v>
      </c>
      <c r="W2470" t="s">
        <v>99</v>
      </c>
    </row>
    <row r="2471" spans="1:23" x14ac:dyDescent="0.35">
      <c r="A2471" t="s">
        <v>45</v>
      </c>
      <c r="B2471" t="s">
        <v>4944</v>
      </c>
      <c r="C2471" t="s">
        <v>93</v>
      </c>
      <c r="D2471" t="s">
        <v>94</v>
      </c>
      <c r="E2471" t="s">
        <v>45</v>
      </c>
      <c r="F2471" t="s">
        <v>49</v>
      </c>
      <c r="G2471" t="s">
        <v>5058</v>
      </c>
      <c r="H2471" t="s">
        <v>5059</v>
      </c>
      <c r="J2471" t="str">
        <f>HYPERLINK("https://twitter.com/SpiceMoneyIndia/status/1753632590873981432","https://twitter.com/SpiceMoneyIndia/status/1753632590873981432")</f>
        <v>https://twitter.com/SpiceMoneyIndia/status/1753632590873981432</v>
      </c>
      <c r="K2471" t="s">
        <v>67</v>
      </c>
      <c r="O2471">
        <v>0</v>
      </c>
      <c r="P2471">
        <v>0</v>
      </c>
      <c r="Q2471">
        <v>6021</v>
      </c>
      <c r="R2471" t="s">
        <v>97</v>
      </c>
      <c r="S2471">
        <v>0</v>
      </c>
      <c r="T2471">
        <v>0</v>
      </c>
      <c r="U2471">
        <v>0</v>
      </c>
      <c r="V2471" t="s">
        <v>98</v>
      </c>
      <c r="W2471" t="s">
        <v>99</v>
      </c>
    </row>
    <row r="2472" spans="1:23" x14ac:dyDescent="0.35">
      <c r="A2472" t="s">
        <v>45</v>
      </c>
      <c r="B2472" t="s">
        <v>4944</v>
      </c>
      <c r="C2472" t="s">
        <v>60</v>
      </c>
      <c r="D2472" t="s">
        <v>61</v>
      </c>
      <c r="E2472" t="s">
        <v>61</v>
      </c>
      <c r="F2472" t="s">
        <v>49</v>
      </c>
      <c r="G2472" t="s">
        <v>5060</v>
      </c>
      <c r="H2472" t="s">
        <v>5061</v>
      </c>
      <c r="J2472" t="str">
        <f>HYPERLINK("https://www.facebook.com/634639855377280/posts/783040850537179?comment_id=911166573796383&amp;reply_comment_id=1467560094109325","https://www.facebook.com/634639855377280/posts/783040850537179?comment_id=911166573796383&amp;reply_comment_id=1467560094109325")</f>
        <v>https://www.facebook.com/634639855377280/posts/783040850537179?comment_id=911166573796383&amp;reply_comment_id=1467560094109325</v>
      </c>
      <c r="O2472">
        <v>0</v>
      </c>
      <c r="P2472">
        <v>0</v>
      </c>
      <c r="Q2472">
        <v>0</v>
      </c>
      <c r="S2472">
        <v>0</v>
      </c>
      <c r="T2472">
        <v>0</v>
      </c>
      <c r="U2472">
        <v>0</v>
      </c>
      <c r="W2472" t="s">
        <v>52</v>
      </c>
    </row>
    <row r="2473" spans="1:23" x14ac:dyDescent="0.35">
      <c r="A2473" t="s">
        <v>45</v>
      </c>
      <c r="B2473" t="s">
        <v>4944</v>
      </c>
      <c r="C2473" t="s">
        <v>60</v>
      </c>
      <c r="D2473" t="s">
        <v>64</v>
      </c>
      <c r="E2473" t="s">
        <v>64</v>
      </c>
      <c r="F2473" t="s">
        <v>49</v>
      </c>
      <c r="G2473" t="s">
        <v>380</v>
      </c>
      <c r="H2473" t="s">
        <v>5062</v>
      </c>
      <c r="J2473" t="str">
        <f>HYPERLINK("https://www.facebook.com/634639855377280/posts/783040850537179?comment_id=911166573796383&amp;reply_comment_id=906636654236242","https://www.facebook.com/634639855377280/posts/783040850537179?comment_id=911166573796383&amp;reply_comment_id=906636654236242")</f>
        <v>https://www.facebook.com/634639855377280/posts/783040850537179?comment_id=911166573796383&amp;reply_comment_id=906636654236242</v>
      </c>
      <c r="K2473" t="s">
        <v>67</v>
      </c>
      <c r="O2473">
        <v>0</v>
      </c>
      <c r="P2473">
        <v>0</v>
      </c>
      <c r="Q2473">
        <v>0</v>
      </c>
      <c r="S2473">
        <v>0</v>
      </c>
      <c r="T2473">
        <v>0</v>
      </c>
      <c r="U2473">
        <v>0</v>
      </c>
      <c r="W2473" t="s">
        <v>52</v>
      </c>
    </row>
    <row r="2474" spans="1:23" x14ac:dyDescent="0.35">
      <c r="A2474" t="s">
        <v>45</v>
      </c>
      <c r="B2474" t="s">
        <v>4944</v>
      </c>
      <c r="C2474" t="s">
        <v>47</v>
      </c>
      <c r="D2474" t="s">
        <v>68</v>
      </c>
      <c r="E2474" t="s">
        <v>68</v>
      </c>
      <c r="F2474" t="s">
        <v>49</v>
      </c>
      <c r="G2474" t="s">
        <v>1595</v>
      </c>
      <c r="H2474" t="s">
        <v>5063</v>
      </c>
      <c r="J2474" t="str">
        <f>HYPERLINK("https://www.youtube.com/watch?v=z58WzdIZIO8&amp;lc=Ugz7pO2t4spQkp5Qzkd4AaABAg.A-KBtYLwJz1A-LFaS8pI3L","https://www.youtube.com/watch?v=z58WzdIZIO8&amp;lc=Ugz7pO2t4spQkp5Qzkd4AaABAg.A-KBtYLwJz1A-LFaS8pI3L")</f>
        <v>https://www.youtube.com/watch?v=z58WzdIZIO8&amp;lc=Ugz7pO2t4spQkp5Qzkd4AaABAg.A-KBtYLwJz1A-LFaS8pI3L</v>
      </c>
      <c r="O2474">
        <v>0</v>
      </c>
      <c r="P2474">
        <v>0</v>
      </c>
      <c r="Q2474">
        <v>0</v>
      </c>
      <c r="S2474">
        <v>0</v>
      </c>
      <c r="T2474">
        <v>0</v>
      </c>
      <c r="U2474">
        <v>0</v>
      </c>
      <c r="W2474" t="s">
        <v>52</v>
      </c>
    </row>
    <row r="2475" spans="1:23" x14ac:dyDescent="0.35">
      <c r="A2475" t="s">
        <v>45</v>
      </c>
      <c r="B2475" t="s">
        <v>4944</v>
      </c>
      <c r="C2475" t="s">
        <v>93</v>
      </c>
      <c r="D2475" t="s">
        <v>94</v>
      </c>
      <c r="E2475" t="s">
        <v>45</v>
      </c>
      <c r="F2475" t="s">
        <v>49</v>
      </c>
      <c r="G2475" t="s">
        <v>5064</v>
      </c>
      <c r="H2475" t="s">
        <v>5065</v>
      </c>
      <c r="J2475" t="str">
        <f>HYPERLINK("https://twitter.com/SpiceMoneyIndia/status/1753628007007175057","https://twitter.com/SpiceMoneyIndia/status/1753628007007175057")</f>
        <v>https://twitter.com/SpiceMoneyIndia/status/1753628007007175057</v>
      </c>
      <c r="K2475" t="s">
        <v>67</v>
      </c>
      <c r="O2475">
        <v>0</v>
      </c>
      <c r="P2475">
        <v>0</v>
      </c>
      <c r="Q2475">
        <v>6021</v>
      </c>
      <c r="R2475" t="s">
        <v>97</v>
      </c>
      <c r="S2475">
        <v>0</v>
      </c>
      <c r="T2475">
        <v>0</v>
      </c>
      <c r="U2475">
        <v>0</v>
      </c>
      <c r="V2475" t="s">
        <v>98</v>
      </c>
      <c r="W2475" t="s">
        <v>99</v>
      </c>
    </row>
    <row r="2476" spans="1:23" x14ac:dyDescent="0.35">
      <c r="A2476" t="s">
        <v>45</v>
      </c>
      <c r="B2476" t="s">
        <v>4944</v>
      </c>
      <c r="C2476" t="s">
        <v>47</v>
      </c>
      <c r="D2476" t="s">
        <v>5066</v>
      </c>
      <c r="E2476" t="s">
        <v>5066</v>
      </c>
      <c r="F2476" t="s">
        <v>54</v>
      </c>
      <c r="G2476" t="s">
        <v>5067</v>
      </c>
      <c r="H2476" t="s">
        <v>5068</v>
      </c>
      <c r="J2476" t="str">
        <f>HYPERLINK("https://www.youtube.com/watch?v=dmFA5J01XxQ&amp;lc=UgwSIcgVloGuJ45D-kl4AaABAg","https://www.youtube.com/watch?v=dmFA5J01XxQ&amp;lc=UgwSIcgVloGuJ45D-kl4AaABAg")</f>
        <v>https://www.youtube.com/watch?v=dmFA5J01XxQ&amp;lc=UgwSIcgVloGuJ45D-kl4AaABAg</v>
      </c>
      <c r="O2476">
        <v>0</v>
      </c>
      <c r="P2476">
        <v>0</v>
      </c>
      <c r="Q2476">
        <v>0</v>
      </c>
      <c r="S2476">
        <v>0</v>
      </c>
      <c r="T2476">
        <v>0</v>
      </c>
      <c r="U2476">
        <v>0</v>
      </c>
      <c r="W2476" t="s">
        <v>52</v>
      </c>
    </row>
    <row r="2477" spans="1:23" x14ac:dyDescent="0.35">
      <c r="A2477" t="s">
        <v>45</v>
      </c>
      <c r="B2477" t="s">
        <v>4944</v>
      </c>
      <c r="C2477" t="s">
        <v>60</v>
      </c>
      <c r="D2477" t="s">
        <v>61</v>
      </c>
      <c r="E2477" t="s">
        <v>61</v>
      </c>
      <c r="F2477" t="s">
        <v>49</v>
      </c>
      <c r="G2477" t="s">
        <v>5069</v>
      </c>
      <c r="H2477" t="s">
        <v>5070</v>
      </c>
      <c r="J2477" t="str">
        <f>HYPERLINK("https://www.facebook.com/634639855377280/posts/783619057146025?comment_id=6992061610910249","https://www.facebook.com/634639855377280/posts/783619057146025?comment_id=6992061610910249")</f>
        <v>https://www.facebook.com/634639855377280/posts/783619057146025?comment_id=6992061610910249</v>
      </c>
      <c r="O2477">
        <v>0</v>
      </c>
      <c r="P2477">
        <v>0</v>
      </c>
      <c r="Q2477">
        <v>0</v>
      </c>
      <c r="S2477">
        <v>0</v>
      </c>
      <c r="T2477">
        <v>0</v>
      </c>
      <c r="U2477">
        <v>0</v>
      </c>
      <c r="W2477" t="s">
        <v>52</v>
      </c>
    </row>
    <row r="2478" spans="1:23" x14ac:dyDescent="0.35">
      <c r="A2478" t="s">
        <v>45</v>
      </c>
      <c r="B2478" t="s">
        <v>5071</v>
      </c>
      <c r="C2478" t="s">
        <v>47</v>
      </c>
      <c r="D2478" t="s">
        <v>5072</v>
      </c>
      <c r="E2478" t="s">
        <v>5072</v>
      </c>
      <c r="F2478" t="s">
        <v>49</v>
      </c>
      <c r="G2478" t="s">
        <v>5073</v>
      </c>
      <c r="H2478" t="s">
        <v>5074</v>
      </c>
      <c r="J2478" t="str">
        <f>HYPERLINK("https://www.youtube.com/watch?v=z58WzdIZIO8&amp;lc=Ugz7pO2t4spQkp5Qzkd4AaABAg","https://www.youtube.com/watch?v=z58WzdIZIO8&amp;lc=Ugz7pO2t4spQkp5Qzkd4AaABAg")</f>
        <v>https://www.youtube.com/watch?v=z58WzdIZIO8&amp;lc=Ugz7pO2t4spQkp5Qzkd4AaABAg</v>
      </c>
      <c r="O2478">
        <v>0</v>
      </c>
      <c r="P2478">
        <v>0</v>
      </c>
      <c r="Q2478">
        <v>0</v>
      </c>
      <c r="S2478">
        <v>0</v>
      </c>
      <c r="T2478">
        <v>0</v>
      </c>
      <c r="U2478">
        <v>0</v>
      </c>
      <c r="W2478" t="s">
        <v>52</v>
      </c>
    </row>
    <row r="2479" spans="1:23" x14ac:dyDescent="0.35">
      <c r="A2479" t="s">
        <v>45</v>
      </c>
      <c r="B2479" t="s">
        <v>5071</v>
      </c>
      <c r="C2479" t="s">
        <v>60</v>
      </c>
      <c r="D2479" t="s">
        <v>61</v>
      </c>
      <c r="E2479" t="s">
        <v>61</v>
      </c>
      <c r="F2479" t="s">
        <v>49</v>
      </c>
      <c r="G2479" t="s">
        <v>5075</v>
      </c>
      <c r="H2479" t="s">
        <v>5076</v>
      </c>
      <c r="J2479" t="str">
        <f>HYPERLINK("https://www.facebook.com/634639855377280/posts/783619057146025?comment_id=372278685668055","https://www.facebook.com/634639855377280/posts/783619057146025?comment_id=372278685668055")</f>
        <v>https://www.facebook.com/634639855377280/posts/783619057146025?comment_id=372278685668055</v>
      </c>
      <c r="O2479">
        <v>0</v>
      </c>
      <c r="P2479">
        <v>0</v>
      </c>
      <c r="Q2479">
        <v>0</v>
      </c>
      <c r="S2479">
        <v>0</v>
      </c>
      <c r="T2479">
        <v>0</v>
      </c>
      <c r="U2479">
        <v>0</v>
      </c>
      <c r="W2479" t="s">
        <v>52</v>
      </c>
    </row>
    <row r="2480" spans="1:23" x14ac:dyDescent="0.35">
      <c r="A2480" t="s">
        <v>45</v>
      </c>
      <c r="B2480" t="s">
        <v>5071</v>
      </c>
      <c r="C2480" t="s">
        <v>60</v>
      </c>
      <c r="D2480" t="s">
        <v>61</v>
      </c>
      <c r="E2480" t="s">
        <v>61</v>
      </c>
      <c r="F2480" t="s">
        <v>49</v>
      </c>
      <c r="G2480" t="s">
        <v>5077</v>
      </c>
      <c r="H2480" t="s">
        <v>5078</v>
      </c>
      <c r="J2480" t="str">
        <f>HYPERLINK("https://www.facebook.com/634639855377280/posts/783619057146025?comment_id=684485587180369","https://www.facebook.com/634639855377280/posts/783619057146025?comment_id=684485587180369")</f>
        <v>https://www.facebook.com/634639855377280/posts/783619057146025?comment_id=684485587180369</v>
      </c>
      <c r="O2480">
        <v>0</v>
      </c>
      <c r="P2480">
        <v>0</v>
      </c>
      <c r="Q2480">
        <v>0</v>
      </c>
      <c r="S2480">
        <v>0</v>
      </c>
      <c r="T2480">
        <v>0</v>
      </c>
      <c r="U2480">
        <v>0</v>
      </c>
      <c r="W2480" t="s">
        <v>52</v>
      </c>
    </row>
    <row r="2481" spans="1:23" x14ac:dyDescent="0.35">
      <c r="A2481" t="s">
        <v>45</v>
      </c>
      <c r="B2481" t="s">
        <v>5071</v>
      </c>
      <c r="C2481" t="s">
        <v>93</v>
      </c>
      <c r="D2481" t="s">
        <v>3957</v>
      </c>
      <c r="E2481" t="s">
        <v>3958</v>
      </c>
      <c r="F2481" t="s">
        <v>49</v>
      </c>
      <c r="G2481" t="s">
        <v>5079</v>
      </c>
      <c r="H2481" t="s">
        <v>5080</v>
      </c>
      <c r="J2481" t="str">
        <f>HYPERLINK("https://twitter.com/ParwinderS82656/status/1753447623565156517","https://twitter.com/ParwinderS82656/status/1753447623565156517")</f>
        <v>https://twitter.com/ParwinderS82656/status/1753447623565156517</v>
      </c>
      <c r="K2481" t="s">
        <v>67</v>
      </c>
      <c r="O2481">
        <v>0</v>
      </c>
      <c r="P2481">
        <v>0</v>
      </c>
      <c r="Q2481">
        <v>3</v>
      </c>
      <c r="S2481">
        <v>0</v>
      </c>
      <c r="T2481">
        <v>0</v>
      </c>
      <c r="U2481">
        <v>0</v>
      </c>
      <c r="W2481" t="s">
        <v>99</v>
      </c>
    </row>
    <row r="2482" spans="1:23" x14ac:dyDescent="0.35">
      <c r="A2482" t="s">
        <v>45</v>
      </c>
      <c r="B2482" t="s">
        <v>5071</v>
      </c>
      <c r="C2482" t="s">
        <v>93</v>
      </c>
      <c r="D2482" t="s">
        <v>3957</v>
      </c>
      <c r="E2482" t="s">
        <v>3958</v>
      </c>
      <c r="F2482" t="s">
        <v>49</v>
      </c>
      <c r="G2482" t="s">
        <v>5081</v>
      </c>
      <c r="H2482" t="s">
        <v>5082</v>
      </c>
      <c r="J2482" t="str">
        <f>HYPERLINK("https://twitter.com/ParwinderS82656/status/1753447289421725741","https://twitter.com/ParwinderS82656/status/1753447289421725741")</f>
        <v>https://twitter.com/ParwinderS82656/status/1753447289421725741</v>
      </c>
      <c r="K2482" t="s">
        <v>67</v>
      </c>
      <c r="O2482">
        <v>0</v>
      </c>
      <c r="P2482">
        <v>0</v>
      </c>
      <c r="Q2482">
        <v>3</v>
      </c>
      <c r="S2482">
        <v>0</v>
      </c>
      <c r="T2482">
        <v>0</v>
      </c>
      <c r="U2482">
        <v>0</v>
      </c>
      <c r="W2482" t="s">
        <v>99</v>
      </c>
    </row>
    <row r="2483" spans="1:23" x14ac:dyDescent="0.35">
      <c r="A2483" t="s">
        <v>45</v>
      </c>
      <c r="B2483" t="s">
        <v>5071</v>
      </c>
      <c r="C2483" t="s">
        <v>93</v>
      </c>
      <c r="D2483" t="s">
        <v>4724</v>
      </c>
      <c r="E2483" t="s">
        <v>4725</v>
      </c>
      <c r="F2483" t="s">
        <v>193</v>
      </c>
      <c r="G2483" t="s">
        <v>5083</v>
      </c>
      <c r="H2483" t="s">
        <v>5084</v>
      </c>
      <c r="J2483" t="str">
        <f>HYPERLINK("https://twitter.com/SaurabhRam6/status/1753438897554796816","https://twitter.com/SaurabhRam6/status/1753438897554796816")</f>
        <v>https://twitter.com/SaurabhRam6/status/1753438897554796816</v>
      </c>
      <c r="K2483" t="s">
        <v>67</v>
      </c>
      <c r="O2483">
        <v>0</v>
      </c>
      <c r="P2483">
        <v>0</v>
      </c>
      <c r="Q2483">
        <v>17</v>
      </c>
      <c r="R2483" t="s">
        <v>4728</v>
      </c>
      <c r="S2483">
        <v>0</v>
      </c>
      <c r="T2483">
        <v>0</v>
      </c>
      <c r="U2483">
        <v>0</v>
      </c>
      <c r="W2483" t="s">
        <v>433</v>
      </c>
    </row>
    <row r="2484" spans="1:23" x14ac:dyDescent="0.35">
      <c r="A2484" t="s">
        <v>45</v>
      </c>
      <c r="B2484" t="s">
        <v>5071</v>
      </c>
      <c r="C2484" t="s">
        <v>93</v>
      </c>
      <c r="D2484" t="s">
        <v>5085</v>
      </c>
      <c r="E2484" t="s">
        <v>5086</v>
      </c>
      <c r="F2484" t="s">
        <v>49</v>
      </c>
      <c r="G2484" t="s">
        <v>5087</v>
      </c>
      <c r="H2484" t="s">
        <v>5088</v>
      </c>
      <c r="J2484" t="str">
        <f>HYPERLINK("https://twitter.com/mayanks94102610/status/1753435716540076399","https://twitter.com/mayanks94102610/status/1753435716540076399")</f>
        <v>https://twitter.com/mayanks94102610/status/1753435716540076399</v>
      </c>
      <c r="K2484" t="s">
        <v>67</v>
      </c>
      <c r="O2484">
        <v>0</v>
      </c>
      <c r="P2484">
        <v>0</v>
      </c>
      <c r="Q2484">
        <v>15</v>
      </c>
      <c r="R2484" t="s">
        <v>5089</v>
      </c>
      <c r="S2484">
        <v>0</v>
      </c>
      <c r="T2484">
        <v>0</v>
      </c>
      <c r="U2484">
        <v>0</v>
      </c>
      <c r="W2484" t="s">
        <v>99</v>
      </c>
    </row>
    <row r="2485" spans="1:23" x14ac:dyDescent="0.35">
      <c r="A2485" t="s">
        <v>45</v>
      </c>
      <c r="B2485" t="s">
        <v>5071</v>
      </c>
      <c r="C2485" t="s">
        <v>93</v>
      </c>
      <c r="D2485" t="s">
        <v>5085</v>
      </c>
      <c r="E2485" t="s">
        <v>5086</v>
      </c>
      <c r="F2485" t="s">
        <v>193</v>
      </c>
      <c r="G2485" t="s">
        <v>5090</v>
      </c>
      <c r="H2485" t="s">
        <v>5091</v>
      </c>
      <c r="J2485" t="str">
        <f>HYPERLINK("https://twitter.com/mayanks94102610/status/1753430877282177487","https://twitter.com/mayanks94102610/status/1753430877282177487")</f>
        <v>https://twitter.com/mayanks94102610/status/1753430877282177487</v>
      </c>
      <c r="K2485" t="s">
        <v>67</v>
      </c>
      <c r="O2485">
        <v>0</v>
      </c>
      <c r="P2485">
        <v>0</v>
      </c>
      <c r="Q2485">
        <v>15</v>
      </c>
      <c r="R2485" t="s">
        <v>5089</v>
      </c>
      <c r="S2485">
        <v>0</v>
      </c>
      <c r="T2485">
        <v>0</v>
      </c>
      <c r="U2485">
        <v>0</v>
      </c>
      <c r="W2485" t="s">
        <v>99</v>
      </c>
    </row>
    <row r="2486" spans="1:23" x14ac:dyDescent="0.35">
      <c r="A2486" t="s">
        <v>45</v>
      </c>
      <c r="B2486" t="s">
        <v>5071</v>
      </c>
      <c r="C2486" t="s">
        <v>93</v>
      </c>
      <c r="D2486" t="s">
        <v>4616</v>
      </c>
      <c r="E2486" t="s">
        <v>4617</v>
      </c>
      <c r="F2486" t="s">
        <v>49</v>
      </c>
      <c r="G2486" t="s">
        <v>5092</v>
      </c>
      <c r="H2486" t="s">
        <v>5093</v>
      </c>
      <c r="J2486" t="str">
        <f>HYPERLINK("https://twitter.com/ArvindK94137404/status/1753430534527865002","https://twitter.com/ArvindK94137404/status/1753430534527865002")</f>
        <v>https://twitter.com/ArvindK94137404/status/1753430534527865002</v>
      </c>
      <c r="K2486" t="s">
        <v>67</v>
      </c>
      <c r="O2486">
        <v>0</v>
      </c>
      <c r="P2486">
        <v>0</v>
      </c>
      <c r="Q2486">
        <v>1</v>
      </c>
      <c r="R2486" t="s">
        <v>871</v>
      </c>
      <c r="S2486">
        <v>0</v>
      </c>
      <c r="T2486">
        <v>0</v>
      </c>
      <c r="U2486">
        <v>0</v>
      </c>
      <c r="W2486" t="s">
        <v>99</v>
      </c>
    </row>
    <row r="2487" spans="1:23" x14ac:dyDescent="0.35">
      <c r="A2487" t="s">
        <v>45</v>
      </c>
      <c r="B2487" t="s">
        <v>5071</v>
      </c>
      <c r="C2487" t="s">
        <v>93</v>
      </c>
      <c r="D2487" t="s">
        <v>4755</v>
      </c>
      <c r="E2487" t="s">
        <v>4756</v>
      </c>
      <c r="F2487" t="s">
        <v>49</v>
      </c>
      <c r="G2487" t="s">
        <v>5094</v>
      </c>
      <c r="H2487" t="s">
        <v>5095</v>
      </c>
      <c r="J2487" t="str">
        <f>HYPERLINK("https://twitter.com/InsAdvisormanoj/status/1753425684293390740","https://twitter.com/InsAdvisormanoj/status/1753425684293390740")</f>
        <v>https://twitter.com/InsAdvisormanoj/status/1753425684293390740</v>
      </c>
      <c r="K2487" t="s">
        <v>67</v>
      </c>
      <c r="O2487">
        <v>0</v>
      </c>
      <c r="P2487">
        <v>0</v>
      </c>
      <c r="Q2487">
        <v>3</v>
      </c>
      <c r="R2487" t="s">
        <v>4759</v>
      </c>
      <c r="S2487">
        <v>0</v>
      </c>
      <c r="T2487">
        <v>0</v>
      </c>
      <c r="U2487">
        <v>0</v>
      </c>
      <c r="W2487" t="s">
        <v>99</v>
      </c>
    </row>
    <row r="2488" spans="1:23" x14ac:dyDescent="0.35">
      <c r="A2488" t="s">
        <v>45</v>
      </c>
      <c r="B2488" t="s">
        <v>5071</v>
      </c>
      <c r="C2488" t="s">
        <v>60</v>
      </c>
      <c r="D2488" t="s">
        <v>61</v>
      </c>
      <c r="E2488" t="s">
        <v>61</v>
      </c>
      <c r="F2488" t="s">
        <v>49</v>
      </c>
      <c r="G2488" t="s">
        <v>5096</v>
      </c>
      <c r="H2488" t="s">
        <v>5097</v>
      </c>
      <c r="J2488" t="str">
        <f>HYPERLINK("https://www.facebook.com/634639855377280/posts/783040850537179?comment_id=911166573796383","https://www.facebook.com/634639855377280/posts/783040850537179?comment_id=911166573796383")</f>
        <v>https://www.facebook.com/634639855377280/posts/783040850537179?comment_id=911166573796383</v>
      </c>
      <c r="O2488">
        <v>0</v>
      </c>
      <c r="P2488">
        <v>0</v>
      </c>
      <c r="Q2488">
        <v>0</v>
      </c>
      <c r="S2488">
        <v>0</v>
      </c>
      <c r="T2488">
        <v>0</v>
      </c>
      <c r="U2488">
        <v>0</v>
      </c>
      <c r="W2488" t="s">
        <v>52</v>
      </c>
    </row>
    <row r="2489" spans="1:23" x14ac:dyDescent="0.35">
      <c r="A2489" t="s">
        <v>45</v>
      </c>
      <c r="B2489" t="s">
        <v>5071</v>
      </c>
      <c r="C2489" t="s">
        <v>60</v>
      </c>
      <c r="D2489" t="s">
        <v>61</v>
      </c>
      <c r="E2489" t="s">
        <v>61</v>
      </c>
      <c r="F2489" t="s">
        <v>49</v>
      </c>
      <c r="G2489" t="s">
        <v>5098</v>
      </c>
      <c r="H2489" t="s">
        <v>5099</v>
      </c>
      <c r="J2489" t="str">
        <f>HYPERLINK("https://www.facebook.com/634639855377280/posts/783619057146025?comment_id=907394644326770","https://www.facebook.com/634639855377280/posts/783619057146025?comment_id=907394644326770")</f>
        <v>https://www.facebook.com/634639855377280/posts/783619057146025?comment_id=907394644326770</v>
      </c>
      <c r="O2489">
        <v>0</v>
      </c>
      <c r="P2489">
        <v>0</v>
      </c>
      <c r="Q2489">
        <v>0</v>
      </c>
      <c r="S2489">
        <v>0</v>
      </c>
      <c r="T2489">
        <v>0</v>
      </c>
      <c r="U2489">
        <v>0</v>
      </c>
      <c r="W2489" t="s">
        <v>52</v>
      </c>
    </row>
    <row r="2490" spans="1:23" x14ac:dyDescent="0.35">
      <c r="A2490" t="s">
        <v>45</v>
      </c>
      <c r="B2490" t="s">
        <v>5071</v>
      </c>
      <c r="C2490" t="s">
        <v>93</v>
      </c>
      <c r="D2490" t="s">
        <v>5100</v>
      </c>
      <c r="E2490" t="s">
        <v>5101</v>
      </c>
      <c r="F2490" t="s">
        <v>49</v>
      </c>
      <c r="G2490" t="s">
        <v>5102</v>
      </c>
      <c r="H2490" t="s">
        <v>5103</v>
      </c>
      <c r="J2490" t="str">
        <f>HYPERLINK("https://twitter.com/rohitshukla7252/status/1753398036661936526","https://twitter.com/rohitshukla7252/status/1753398036661936526")</f>
        <v>https://twitter.com/rohitshukla7252/status/1753398036661936526</v>
      </c>
      <c r="K2490" t="s">
        <v>67</v>
      </c>
      <c r="O2490">
        <v>0</v>
      </c>
      <c r="P2490">
        <v>0</v>
      </c>
      <c r="Q2490">
        <v>42</v>
      </c>
      <c r="R2490" t="s">
        <v>871</v>
      </c>
      <c r="S2490">
        <v>0</v>
      </c>
      <c r="T2490">
        <v>0</v>
      </c>
      <c r="U2490">
        <v>0</v>
      </c>
      <c r="W2490" t="s">
        <v>99</v>
      </c>
    </row>
    <row r="2491" spans="1:23" x14ac:dyDescent="0.35">
      <c r="A2491" t="s">
        <v>45</v>
      </c>
      <c r="B2491" t="s">
        <v>5071</v>
      </c>
      <c r="C2491" t="s">
        <v>60</v>
      </c>
      <c r="D2491" t="s">
        <v>61</v>
      </c>
      <c r="E2491" t="s">
        <v>61</v>
      </c>
      <c r="F2491" t="s">
        <v>49</v>
      </c>
      <c r="G2491" t="s">
        <v>5104</v>
      </c>
      <c r="H2491" t="s">
        <v>5105</v>
      </c>
      <c r="J2491" t="str">
        <f>HYPERLINK("https://www.facebook.com/634639855377280/posts/782513537256577?comment_id=1351410405577663","https://www.facebook.com/634639855377280/posts/782513537256577?comment_id=1351410405577663")</f>
        <v>https://www.facebook.com/634639855377280/posts/782513537256577?comment_id=1351410405577663</v>
      </c>
      <c r="O2491">
        <v>0</v>
      </c>
      <c r="P2491">
        <v>0</v>
      </c>
      <c r="Q2491">
        <v>0</v>
      </c>
      <c r="S2491">
        <v>0</v>
      </c>
      <c r="T2491">
        <v>0</v>
      </c>
      <c r="U2491">
        <v>0</v>
      </c>
      <c r="W2491" t="s">
        <v>52</v>
      </c>
    </row>
    <row r="2492" spans="1:23" x14ac:dyDescent="0.35">
      <c r="A2492" t="s">
        <v>45</v>
      </c>
      <c r="B2492" t="s">
        <v>5071</v>
      </c>
      <c r="C2492" t="s">
        <v>60</v>
      </c>
      <c r="D2492" t="s">
        <v>64</v>
      </c>
      <c r="E2492" t="s">
        <v>64</v>
      </c>
      <c r="F2492" t="s">
        <v>49</v>
      </c>
      <c r="G2492" t="s">
        <v>100</v>
      </c>
      <c r="H2492" t="s">
        <v>5106</v>
      </c>
      <c r="J2492" t="str">
        <f>HYPERLINK("https://www.facebook.com/634639855377280/posts/782513537256577?comment_id=805724484648435&amp;reply_comment_id=1480399316158761","https://www.facebook.com/634639855377280/posts/782513537256577?comment_id=805724484648435&amp;reply_comment_id=1480399316158761")</f>
        <v>https://www.facebook.com/634639855377280/posts/782513537256577?comment_id=805724484648435&amp;reply_comment_id=1480399316158761</v>
      </c>
      <c r="K2492" t="s">
        <v>67</v>
      </c>
      <c r="O2492">
        <v>0</v>
      </c>
      <c r="P2492">
        <v>0</v>
      </c>
      <c r="Q2492">
        <v>0</v>
      </c>
      <c r="S2492">
        <v>0</v>
      </c>
      <c r="T2492">
        <v>0</v>
      </c>
      <c r="U2492">
        <v>0</v>
      </c>
      <c r="W2492" t="s">
        <v>52</v>
      </c>
    </row>
    <row r="2493" spans="1:23" x14ac:dyDescent="0.35">
      <c r="A2493" t="s">
        <v>45</v>
      </c>
      <c r="B2493" t="s">
        <v>5071</v>
      </c>
      <c r="C2493" t="s">
        <v>47</v>
      </c>
      <c r="D2493" t="s">
        <v>68</v>
      </c>
      <c r="E2493" t="s">
        <v>68</v>
      </c>
      <c r="F2493" t="s">
        <v>49</v>
      </c>
      <c r="G2493" t="s">
        <v>102</v>
      </c>
      <c r="H2493" t="s">
        <v>5107</v>
      </c>
      <c r="J2493" t="str">
        <f>HYPERLINK("https://www.youtube.com/watch?v=wDVpKG8jfSo&amp;lc=Ugz_vXPEgH5sEeuiqRh4AaABAg.A-H6yABIio_A-J_yav7-Qv","https://www.youtube.com/watch?v=wDVpKG8jfSo&amp;lc=Ugz_vXPEgH5sEeuiqRh4AaABAg.A-H6yABIio_A-J_yav7-Qv")</f>
        <v>https://www.youtube.com/watch?v=wDVpKG8jfSo&amp;lc=Ugz_vXPEgH5sEeuiqRh4AaABAg.A-H6yABIio_A-J_yav7-Qv</v>
      </c>
      <c r="O2493">
        <v>0</v>
      </c>
      <c r="P2493">
        <v>0</v>
      </c>
      <c r="Q2493">
        <v>0</v>
      </c>
      <c r="S2493">
        <v>0</v>
      </c>
      <c r="T2493">
        <v>0</v>
      </c>
      <c r="U2493">
        <v>0</v>
      </c>
      <c r="W2493" t="s">
        <v>52</v>
      </c>
    </row>
    <row r="2494" spans="1:23" x14ac:dyDescent="0.35">
      <c r="A2494" t="s">
        <v>45</v>
      </c>
      <c r="B2494" t="s">
        <v>5071</v>
      </c>
      <c r="C2494" t="s">
        <v>93</v>
      </c>
      <c r="D2494" t="s">
        <v>94</v>
      </c>
      <c r="E2494" t="s">
        <v>45</v>
      </c>
      <c r="F2494" t="s">
        <v>49</v>
      </c>
      <c r="G2494" t="s">
        <v>5108</v>
      </c>
      <c r="H2494" t="s">
        <v>5109</v>
      </c>
      <c r="J2494" t="str">
        <f>HYPERLINK("https://twitter.com/SpiceMoneyIndia/status/1753393834292081039","https://twitter.com/SpiceMoneyIndia/status/1753393834292081039")</f>
        <v>https://twitter.com/SpiceMoneyIndia/status/1753393834292081039</v>
      </c>
      <c r="K2494" t="s">
        <v>67</v>
      </c>
      <c r="O2494">
        <v>0</v>
      </c>
      <c r="P2494">
        <v>0</v>
      </c>
      <c r="Q2494">
        <v>6017</v>
      </c>
      <c r="R2494" t="s">
        <v>97</v>
      </c>
      <c r="S2494">
        <v>0</v>
      </c>
      <c r="T2494">
        <v>0</v>
      </c>
      <c r="U2494">
        <v>0</v>
      </c>
      <c r="V2494" t="s">
        <v>98</v>
      </c>
      <c r="W2494" t="s">
        <v>99</v>
      </c>
    </row>
    <row r="2495" spans="1:23" x14ac:dyDescent="0.35">
      <c r="A2495" t="s">
        <v>45</v>
      </c>
      <c r="B2495" t="s">
        <v>5071</v>
      </c>
      <c r="C2495" t="s">
        <v>93</v>
      </c>
      <c r="D2495" t="s">
        <v>94</v>
      </c>
      <c r="E2495" t="s">
        <v>45</v>
      </c>
      <c r="F2495" t="s">
        <v>49</v>
      </c>
      <c r="G2495" t="s">
        <v>5110</v>
      </c>
      <c r="H2495" t="s">
        <v>5109</v>
      </c>
      <c r="J2495" t="str">
        <f>HYPERLINK("https://twitter.com/SpiceMoneyIndia/status/1753393834875113835","https://twitter.com/SpiceMoneyIndia/status/1753393834875113835")</f>
        <v>https://twitter.com/SpiceMoneyIndia/status/1753393834875113835</v>
      </c>
      <c r="K2495" t="s">
        <v>67</v>
      </c>
      <c r="O2495">
        <v>0</v>
      </c>
      <c r="P2495">
        <v>0</v>
      </c>
      <c r="Q2495">
        <v>6017</v>
      </c>
      <c r="R2495" t="s">
        <v>97</v>
      </c>
      <c r="S2495">
        <v>0</v>
      </c>
      <c r="T2495">
        <v>0</v>
      </c>
      <c r="U2495">
        <v>0</v>
      </c>
      <c r="V2495" t="s">
        <v>98</v>
      </c>
      <c r="W2495" t="s">
        <v>99</v>
      </c>
    </row>
    <row r="2496" spans="1:23" x14ac:dyDescent="0.35">
      <c r="A2496" t="s">
        <v>45</v>
      </c>
      <c r="B2496" t="s">
        <v>5071</v>
      </c>
      <c r="C2496" t="s">
        <v>60</v>
      </c>
      <c r="D2496" t="s">
        <v>64</v>
      </c>
      <c r="E2496" t="s">
        <v>64</v>
      </c>
      <c r="F2496" t="s">
        <v>49</v>
      </c>
      <c r="G2496" t="s">
        <v>83</v>
      </c>
      <c r="H2496" t="s">
        <v>5111</v>
      </c>
      <c r="J2496" t="str">
        <f>HYPERLINK("https://www.facebook.com/634639855377280/posts/783040850537179?comment_id=831094752109951&amp;reply_comment_id=1824234201357904","https://www.facebook.com/634639855377280/posts/783040850537179?comment_id=831094752109951&amp;reply_comment_id=1824234201357904")</f>
        <v>https://www.facebook.com/634639855377280/posts/783040850537179?comment_id=831094752109951&amp;reply_comment_id=1824234201357904</v>
      </c>
      <c r="K2496" t="s">
        <v>67</v>
      </c>
      <c r="O2496">
        <v>0</v>
      </c>
      <c r="P2496">
        <v>0</v>
      </c>
      <c r="Q2496">
        <v>0</v>
      </c>
      <c r="S2496">
        <v>0</v>
      </c>
      <c r="T2496">
        <v>0</v>
      </c>
      <c r="U2496">
        <v>0</v>
      </c>
      <c r="W2496" t="s">
        <v>52</v>
      </c>
    </row>
    <row r="2497" spans="1:23" x14ac:dyDescent="0.35">
      <c r="A2497" t="s">
        <v>45</v>
      </c>
      <c r="B2497" t="s">
        <v>5071</v>
      </c>
      <c r="C2497" t="s">
        <v>60</v>
      </c>
      <c r="D2497" t="s">
        <v>64</v>
      </c>
      <c r="E2497" t="s">
        <v>64</v>
      </c>
      <c r="F2497" t="s">
        <v>49</v>
      </c>
      <c r="G2497" t="s">
        <v>266</v>
      </c>
      <c r="H2497" t="s">
        <v>5112</v>
      </c>
      <c r="J2497" t="str">
        <f>HYPERLINK("https://www.facebook.com/634639855377280/posts/783040850537179?comment_id=1136168577541761&amp;reply_comment_id=407565908354013","https://www.facebook.com/634639855377280/posts/783040850537179?comment_id=1136168577541761&amp;reply_comment_id=407565908354013")</f>
        <v>https://www.facebook.com/634639855377280/posts/783040850537179?comment_id=1136168577541761&amp;reply_comment_id=407565908354013</v>
      </c>
      <c r="K2497" t="s">
        <v>67</v>
      </c>
      <c r="O2497">
        <v>0</v>
      </c>
      <c r="P2497">
        <v>0</v>
      </c>
      <c r="Q2497">
        <v>0</v>
      </c>
      <c r="S2497">
        <v>0</v>
      </c>
      <c r="T2497">
        <v>0</v>
      </c>
      <c r="U2497">
        <v>0</v>
      </c>
      <c r="W2497" t="s">
        <v>52</v>
      </c>
    </row>
    <row r="2498" spans="1:23" x14ac:dyDescent="0.35">
      <c r="A2498" t="s">
        <v>45</v>
      </c>
      <c r="B2498" t="s">
        <v>5071</v>
      </c>
      <c r="C2498" t="s">
        <v>60</v>
      </c>
      <c r="D2498" t="s">
        <v>64</v>
      </c>
      <c r="E2498" t="s">
        <v>64</v>
      </c>
      <c r="F2498" t="s">
        <v>49</v>
      </c>
      <c r="G2498" t="s">
        <v>83</v>
      </c>
      <c r="H2498" t="s">
        <v>5113</v>
      </c>
      <c r="J2498" t="str">
        <f>HYPERLINK("https://www.facebook.com/634639855377280/posts/782513537256577?comment_id=367428989386516&amp;reply_comment_id=922524815887621","https://www.facebook.com/634639855377280/posts/782513537256577?comment_id=367428989386516&amp;reply_comment_id=922524815887621")</f>
        <v>https://www.facebook.com/634639855377280/posts/782513537256577?comment_id=367428989386516&amp;reply_comment_id=922524815887621</v>
      </c>
      <c r="K2498" t="s">
        <v>67</v>
      </c>
      <c r="O2498">
        <v>0</v>
      </c>
      <c r="P2498">
        <v>0</v>
      </c>
      <c r="Q2498">
        <v>0</v>
      </c>
      <c r="S2498">
        <v>0</v>
      </c>
      <c r="T2498">
        <v>0</v>
      </c>
      <c r="U2498">
        <v>0</v>
      </c>
      <c r="W2498" t="s">
        <v>52</v>
      </c>
    </row>
    <row r="2499" spans="1:23" x14ac:dyDescent="0.35">
      <c r="A2499" t="s">
        <v>45</v>
      </c>
      <c r="B2499" t="s">
        <v>5071</v>
      </c>
      <c r="C2499" t="s">
        <v>60</v>
      </c>
      <c r="D2499" t="s">
        <v>64</v>
      </c>
      <c r="E2499" t="s">
        <v>64</v>
      </c>
      <c r="F2499" t="s">
        <v>49</v>
      </c>
      <c r="G2499" t="s">
        <v>83</v>
      </c>
      <c r="H2499" t="s">
        <v>5114</v>
      </c>
      <c r="J2499" t="str">
        <f>HYPERLINK("https://www.facebook.com/634639855377280/posts/782513537256577?comment_id=929535295551991&amp;reply_comment_id=696006082700331","https://www.facebook.com/634639855377280/posts/782513537256577?comment_id=929535295551991&amp;reply_comment_id=696006082700331")</f>
        <v>https://www.facebook.com/634639855377280/posts/782513537256577?comment_id=929535295551991&amp;reply_comment_id=696006082700331</v>
      </c>
      <c r="K2499" t="s">
        <v>67</v>
      </c>
      <c r="O2499">
        <v>0</v>
      </c>
      <c r="P2499">
        <v>0</v>
      </c>
      <c r="Q2499">
        <v>0</v>
      </c>
      <c r="S2499">
        <v>0</v>
      </c>
      <c r="T2499">
        <v>0</v>
      </c>
      <c r="U2499">
        <v>0</v>
      </c>
      <c r="W2499" t="s">
        <v>52</v>
      </c>
    </row>
    <row r="2500" spans="1:23" x14ac:dyDescent="0.35">
      <c r="A2500" t="s">
        <v>45</v>
      </c>
      <c r="B2500" t="s">
        <v>5071</v>
      </c>
      <c r="C2500" t="s">
        <v>60</v>
      </c>
      <c r="D2500" t="s">
        <v>64</v>
      </c>
      <c r="E2500" t="s">
        <v>64</v>
      </c>
      <c r="F2500" t="s">
        <v>49</v>
      </c>
      <c r="G2500" t="s">
        <v>83</v>
      </c>
      <c r="H2500" t="s">
        <v>5115</v>
      </c>
      <c r="J2500" t="str">
        <f>HYPERLINK("https://www.facebook.com/634639855377280/posts/782513537256577?comment_id=935152101302821&amp;reply_comment_id=1161965561836474","https://www.facebook.com/634639855377280/posts/782513537256577?comment_id=935152101302821&amp;reply_comment_id=1161965561836474")</f>
        <v>https://www.facebook.com/634639855377280/posts/782513537256577?comment_id=935152101302821&amp;reply_comment_id=1161965561836474</v>
      </c>
      <c r="K2500" t="s">
        <v>67</v>
      </c>
      <c r="O2500">
        <v>0</v>
      </c>
      <c r="P2500">
        <v>0</v>
      </c>
      <c r="Q2500">
        <v>0</v>
      </c>
      <c r="S2500">
        <v>0</v>
      </c>
      <c r="T2500">
        <v>0</v>
      </c>
      <c r="U2500">
        <v>0</v>
      </c>
      <c r="W2500" t="s">
        <v>52</v>
      </c>
    </row>
    <row r="2501" spans="1:23" x14ac:dyDescent="0.35">
      <c r="A2501" t="s">
        <v>45</v>
      </c>
      <c r="B2501" t="s">
        <v>5071</v>
      </c>
      <c r="C2501" t="s">
        <v>60</v>
      </c>
      <c r="D2501" t="s">
        <v>64</v>
      </c>
      <c r="E2501" t="s">
        <v>64</v>
      </c>
      <c r="F2501" t="s">
        <v>49</v>
      </c>
      <c r="G2501" t="s">
        <v>83</v>
      </c>
      <c r="H2501" t="s">
        <v>5116</v>
      </c>
      <c r="J2501" t="str">
        <f>HYPERLINK("https://www.facebook.com/634639855377280/posts/782513537256577?comment_id=805724484648435&amp;reply_comment_id=777315384215898","https://www.facebook.com/634639855377280/posts/782513537256577?comment_id=805724484648435&amp;reply_comment_id=777315384215898")</f>
        <v>https://www.facebook.com/634639855377280/posts/782513537256577?comment_id=805724484648435&amp;reply_comment_id=777315384215898</v>
      </c>
      <c r="K2501" t="s">
        <v>67</v>
      </c>
      <c r="O2501">
        <v>0</v>
      </c>
      <c r="P2501">
        <v>0</v>
      </c>
      <c r="Q2501">
        <v>0</v>
      </c>
      <c r="S2501">
        <v>0</v>
      </c>
      <c r="T2501">
        <v>0</v>
      </c>
      <c r="U2501">
        <v>0</v>
      </c>
      <c r="W2501" t="s">
        <v>52</v>
      </c>
    </row>
    <row r="2502" spans="1:23" x14ac:dyDescent="0.35">
      <c r="A2502" t="s">
        <v>45</v>
      </c>
      <c r="B2502" t="s">
        <v>5071</v>
      </c>
      <c r="C2502" t="s">
        <v>60</v>
      </c>
      <c r="D2502" t="s">
        <v>64</v>
      </c>
      <c r="E2502" t="s">
        <v>64</v>
      </c>
      <c r="F2502" t="s">
        <v>49</v>
      </c>
      <c r="G2502" t="s">
        <v>1595</v>
      </c>
      <c r="H2502" t="s">
        <v>5117</v>
      </c>
      <c r="J2502" t="str">
        <f>HYPERLINK("https://www.facebook.com/634639855377280/posts/783040850537179?comment_id=271771589266077&amp;reply_comment_id=324155416677960","https://www.facebook.com/634639855377280/posts/783040850537179?comment_id=271771589266077&amp;reply_comment_id=324155416677960")</f>
        <v>https://www.facebook.com/634639855377280/posts/783040850537179?comment_id=271771589266077&amp;reply_comment_id=324155416677960</v>
      </c>
      <c r="K2502" t="s">
        <v>67</v>
      </c>
      <c r="O2502">
        <v>0</v>
      </c>
      <c r="P2502">
        <v>0</v>
      </c>
      <c r="Q2502">
        <v>0</v>
      </c>
      <c r="S2502">
        <v>0</v>
      </c>
      <c r="T2502">
        <v>0</v>
      </c>
      <c r="U2502">
        <v>0</v>
      </c>
      <c r="W2502" t="s">
        <v>52</v>
      </c>
    </row>
    <row r="2503" spans="1:23" x14ac:dyDescent="0.35">
      <c r="A2503" t="s">
        <v>45</v>
      </c>
      <c r="B2503" t="s">
        <v>5071</v>
      </c>
      <c r="C2503" t="s">
        <v>93</v>
      </c>
      <c r="D2503" t="s">
        <v>94</v>
      </c>
      <c r="E2503" t="s">
        <v>45</v>
      </c>
      <c r="F2503" t="s">
        <v>49</v>
      </c>
      <c r="G2503" t="s">
        <v>5118</v>
      </c>
      <c r="H2503" t="s">
        <v>5119</v>
      </c>
      <c r="J2503" t="str">
        <f>HYPERLINK("https://twitter.com/SpiceMoneyIndia/status/1753390970052223025","https://twitter.com/SpiceMoneyIndia/status/1753390970052223025")</f>
        <v>https://twitter.com/SpiceMoneyIndia/status/1753390970052223025</v>
      </c>
      <c r="K2503" t="s">
        <v>67</v>
      </c>
      <c r="O2503">
        <v>0</v>
      </c>
      <c r="P2503">
        <v>0</v>
      </c>
      <c r="Q2503">
        <v>6017</v>
      </c>
      <c r="R2503" t="s">
        <v>97</v>
      </c>
      <c r="S2503">
        <v>0</v>
      </c>
      <c r="T2503">
        <v>0</v>
      </c>
      <c r="U2503">
        <v>0</v>
      </c>
      <c r="V2503" t="s">
        <v>98</v>
      </c>
      <c r="W2503" t="s">
        <v>99</v>
      </c>
    </row>
    <row r="2504" spans="1:23" x14ac:dyDescent="0.35">
      <c r="A2504" t="s">
        <v>45</v>
      </c>
      <c r="B2504" t="s">
        <v>5071</v>
      </c>
      <c r="C2504" t="s">
        <v>93</v>
      </c>
      <c r="D2504" t="s">
        <v>94</v>
      </c>
      <c r="E2504" t="s">
        <v>45</v>
      </c>
      <c r="F2504" t="s">
        <v>49</v>
      </c>
      <c r="G2504" t="s">
        <v>5120</v>
      </c>
      <c r="H2504" t="s">
        <v>5121</v>
      </c>
      <c r="J2504" t="str">
        <f>HYPERLINK("https://twitter.com/SpiceMoneyIndia/status/1753390756532727865","https://twitter.com/SpiceMoneyIndia/status/1753390756532727865")</f>
        <v>https://twitter.com/SpiceMoneyIndia/status/1753390756532727865</v>
      </c>
      <c r="K2504" t="s">
        <v>67</v>
      </c>
      <c r="O2504">
        <v>0</v>
      </c>
      <c r="P2504">
        <v>0</v>
      </c>
      <c r="Q2504">
        <v>6017</v>
      </c>
      <c r="R2504" t="s">
        <v>97</v>
      </c>
      <c r="S2504">
        <v>0</v>
      </c>
      <c r="T2504">
        <v>0</v>
      </c>
      <c r="U2504">
        <v>0</v>
      </c>
      <c r="V2504" t="s">
        <v>98</v>
      </c>
      <c r="W2504" t="s">
        <v>99</v>
      </c>
    </row>
    <row r="2505" spans="1:23" x14ac:dyDescent="0.35">
      <c r="A2505" t="s">
        <v>45</v>
      </c>
      <c r="B2505" t="s">
        <v>5071</v>
      </c>
      <c r="C2505" t="s">
        <v>93</v>
      </c>
      <c r="D2505" t="s">
        <v>94</v>
      </c>
      <c r="E2505" t="s">
        <v>45</v>
      </c>
      <c r="F2505" t="s">
        <v>49</v>
      </c>
      <c r="G2505" t="s">
        <v>5122</v>
      </c>
      <c r="H2505" t="s">
        <v>5123</v>
      </c>
      <c r="J2505" t="str">
        <f>HYPERLINK("https://twitter.com/SpiceMoneyIndia/status/1753390123503280502","https://twitter.com/SpiceMoneyIndia/status/1753390123503280502")</f>
        <v>https://twitter.com/SpiceMoneyIndia/status/1753390123503280502</v>
      </c>
      <c r="K2505" t="s">
        <v>67</v>
      </c>
      <c r="O2505">
        <v>0</v>
      </c>
      <c r="P2505">
        <v>0</v>
      </c>
      <c r="Q2505">
        <v>6017</v>
      </c>
      <c r="R2505" t="s">
        <v>97</v>
      </c>
      <c r="S2505">
        <v>0</v>
      </c>
      <c r="T2505">
        <v>0</v>
      </c>
      <c r="U2505">
        <v>0</v>
      </c>
      <c r="V2505" t="s">
        <v>98</v>
      </c>
      <c r="W2505" t="s">
        <v>99</v>
      </c>
    </row>
    <row r="2506" spans="1:23" x14ac:dyDescent="0.35">
      <c r="A2506" t="s">
        <v>45</v>
      </c>
      <c r="B2506" t="s">
        <v>5071</v>
      </c>
      <c r="C2506" t="s">
        <v>47</v>
      </c>
      <c r="D2506" t="s">
        <v>68</v>
      </c>
      <c r="E2506" t="s">
        <v>68</v>
      </c>
      <c r="F2506" t="s">
        <v>49</v>
      </c>
      <c r="G2506" t="s">
        <v>102</v>
      </c>
      <c r="H2506" t="s">
        <v>5124</v>
      </c>
      <c r="J2506" t="str">
        <f>HYPERLINK("https://www.youtube.com/watch?v=DMlpygM0MQM&amp;lc=UgwuY0na9x1L5BOnuHN4AaABAg.A-HNeC9c7QsA-JXs5yB8pH","https://www.youtube.com/watch?v=DMlpygM0MQM&amp;lc=UgwuY0na9x1L5BOnuHN4AaABAg.A-HNeC9c7QsA-JXs5yB8pH")</f>
        <v>https://www.youtube.com/watch?v=DMlpygM0MQM&amp;lc=UgwuY0na9x1L5BOnuHN4AaABAg.A-HNeC9c7QsA-JXs5yB8pH</v>
      </c>
      <c r="O2506">
        <v>0</v>
      </c>
      <c r="P2506">
        <v>0</v>
      </c>
      <c r="Q2506">
        <v>0</v>
      </c>
      <c r="S2506">
        <v>0</v>
      </c>
      <c r="T2506">
        <v>0</v>
      </c>
      <c r="U2506">
        <v>0</v>
      </c>
      <c r="W2506" t="s">
        <v>52</v>
      </c>
    </row>
    <row r="2507" spans="1:23" x14ac:dyDescent="0.35">
      <c r="A2507" t="s">
        <v>45</v>
      </c>
      <c r="B2507" t="s">
        <v>5071</v>
      </c>
      <c r="C2507" t="s">
        <v>47</v>
      </c>
      <c r="D2507" t="s">
        <v>5125</v>
      </c>
      <c r="E2507" t="s">
        <v>5125</v>
      </c>
      <c r="F2507" t="s">
        <v>54</v>
      </c>
      <c r="G2507" t="s">
        <v>5126</v>
      </c>
      <c r="H2507" t="s">
        <v>5127</v>
      </c>
      <c r="J2507" t="str">
        <f>HYPERLINK("https://www.youtube.com/watch?v=k4Jk2Nl60tE&amp;lc=UgxGPs8HZ6MMY4kYFCB4AaABAg","https://www.youtube.com/watch?v=k4Jk2Nl60tE&amp;lc=UgxGPs8HZ6MMY4kYFCB4AaABAg")</f>
        <v>https://www.youtube.com/watch?v=k4Jk2Nl60tE&amp;lc=UgxGPs8HZ6MMY4kYFCB4AaABAg</v>
      </c>
      <c r="O2507">
        <v>0</v>
      </c>
      <c r="P2507">
        <v>0</v>
      </c>
      <c r="Q2507">
        <v>0</v>
      </c>
      <c r="S2507">
        <v>0</v>
      </c>
      <c r="T2507">
        <v>0</v>
      </c>
      <c r="U2507">
        <v>0</v>
      </c>
      <c r="W2507" t="s">
        <v>52</v>
      </c>
    </row>
    <row r="2508" spans="1:23" x14ac:dyDescent="0.35">
      <c r="A2508" t="s">
        <v>45</v>
      </c>
      <c r="B2508" t="s">
        <v>5071</v>
      </c>
      <c r="C2508" t="s">
        <v>93</v>
      </c>
      <c r="D2508" t="s">
        <v>3262</v>
      </c>
      <c r="E2508" t="s">
        <v>3263</v>
      </c>
      <c r="F2508" t="s">
        <v>49</v>
      </c>
      <c r="G2508" t="s">
        <v>5128</v>
      </c>
      <c r="H2508" t="s">
        <v>5129</v>
      </c>
      <c r="J2508" t="str">
        <f>HYPERLINK("https://twitter.com/ShoaibAkhtertsk/status/1753378460473655459","https://twitter.com/ShoaibAkhtertsk/status/1753378460473655459")</f>
        <v>https://twitter.com/ShoaibAkhtertsk/status/1753378460473655459</v>
      </c>
      <c r="K2508" t="s">
        <v>67</v>
      </c>
      <c r="O2508">
        <v>0</v>
      </c>
      <c r="P2508">
        <v>0</v>
      </c>
      <c r="Q2508">
        <v>50</v>
      </c>
      <c r="R2508" t="s">
        <v>3266</v>
      </c>
      <c r="S2508">
        <v>0</v>
      </c>
      <c r="T2508">
        <v>0</v>
      </c>
      <c r="U2508">
        <v>0</v>
      </c>
      <c r="W2508" t="s">
        <v>99</v>
      </c>
    </row>
    <row r="2509" spans="1:23" x14ac:dyDescent="0.35">
      <c r="A2509" t="s">
        <v>45</v>
      </c>
      <c r="B2509" t="s">
        <v>5071</v>
      </c>
      <c r="C2509" t="s">
        <v>93</v>
      </c>
      <c r="D2509" t="s">
        <v>4755</v>
      </c>
      <c r="E2509" t="s">
        <v>4756</v>
      </c>
      <c r="F2509" t="s">
        <v>49</v>
      </c>
      <c r="G2509" t="s">
        <v>5130</v>
      </c>
      <c r="H2509" t="s">
        <v>5131</v>
      </c>
      <c r="J2509" t="str">
        <f>HYPERLINK("https://twitter.com/InsAdvisormanoj/status/1753356013166542851","https://twitter.com/InsAdvisormanoj/status/1753356013166542851")</f>
        <v>https://twitter.com/InsAdvisormanoj/status/1753356013166542851</v>
      </c>
      <c r="K2509" t="s">
        <v>67</v>
      </c>
      <c r="O2509">
        <v>0</v>
      </c>
      <c r="P2509">
        <v>0</v>
      </c>
      <c r="Q2509">
        <v>3</v>
      </c>
      <c r="R2509" t="s">
        <v>4759</v>
      </c>
      <c r="S2509">
        <v>0</v>
      </c>
      <c r="T2509">
        <v>0</v>
      </c>
      <c r="U2509">
        <v>0</v>
      </c>
      <c r="W2509" t="s">
        <v>99</v>
      </c>
    </row>
    <row r="2510" spans="1:23" x14ac:dyDescent="0.35">
      <c r="A2510" t="s">
        <v>45</v>
      </c>
      <c r="B2510" t="s">
        <v>5071</v>
      </c>
      <c r="C2510" t="s">
        <v>93</v>
      </c>
      <c r="D2510" t="s">
        <v>5100</v>
      </c>
      <c r="E2510" t="s">
        <v>5101</v>
      </c>
      <c r="F2510" t="s">
        <v>49</v>
      </c>
      <c r="G2510" t="s">
        <v>5132</v>
      </c>
      <c r="H2510" t="s">
        <v>5133</v>
      </c>
      <c r="J2510" t="str">
        <f>HYPERLINK("https://twitter.com/rohitshukla7252/status/1753330438352028028","https://twitter.com/rohitshukla7252/status/1753330438352028028")</f>
        <v>https://twitter.com/rohitshukla7252/status/1753330438352028028</v>
      </c>
      <c r="K2510" t="s">
        <v>67</v>
      </c>
      <c r="O2510">
        <v>0</v>
      </c>
      <c r="P2510">
        <v>0</v>
      </c>
      <c r="Q2510">
        <v>42</v>
      </c>
      <c r="R2510" t="s">
        <v>871</v>
      </c>
      <c r="S2510">
        <v>0</v>
      </c>
      <c r="T2510">
        <v>0</v>
      </c>
      <c r="U2510">
        <v>0</v>
      </c>
      <c r="W2510" t="s">
        <v>99</v>
      </c>
    </row>
    <row r="2511" spans="1:23" x14ac:dyDescent="0.35">
      <c r="A2511" t="s">
        <v>45</v>
      </c>
      <c r="B2511" t="s">
        <v>5071</v>
      </c>
      <c r="C2511" t="s">
        <v>93</v>
      </c>
      <c r="D2511" t="s">
        <v>5100</v>
      </c>
      <c r="E2511" t="s">
        <v>5101</v>
      </c>
      <c r="F2511" t="s">
        <v>54</v>
      </c>
      <c r="G2511" t="s">
        <v>5134</v>
      </c>
      <c r="H2511" t="s">
        <v>5135</v>
      </c>
      <c r="J2511" t="str">
        <f>HYPERLINK("https://twitter.com/rohitshukla7252/status/1753315487562559910","https://twitter.com/rohitshukla7252/status/1753315487562559910")</f>
        <v>https://twitter.com/rohitshukla7252/status/1753315487562559910</v>
      </c>
      <c r="K2511" t="s">
        <v>67</v>
      </c>
      <c r="O2511">
        <v>0</v>
      </c>
      <c r="P2511">
        <v>0</v>
      </c>
      <c r="Q2511">
        <v>42</v>
      </c>
      <c r="R2511" t="s">
        <v>871</v>
      </c>
      <c r="S2511">
        <v>0</v>
      </c>
      <c r="T2511">
        <v>0</v>
      </c>
      <c r="U2511">
        <v>0</v>
      </c>
      <c r="W2511" t="s">
        <v>99</v>
      </c>
    </row>
    <row r="2512" spans="1:23" x14ac:dyDescent="0.35">
      <c r="A2512" t="s">
        <v>45</v>
      </c>
      <c r="B2512" t="s">
        <v>5071</v>
      </c>
      <c r="C2512" t="s">
        <v>93</v>
      </c>
      <c r="D2512" t="s">
        <v>3957</v>
      </c>
      <c r="E2512" t="s">
        <v>3958</v>
      </c>
      <c r="F2512" t="s">
        <v>193</v>
      </c>
      <c r="G2512" t="s">
        <v>5136</v>
      </c>
      <c r="H2512" t="s">
        <v>5137</v>
      </c>
      <c r="J2512" t="str">
        <f>HYPERLINK("https://twitter.com/ParwinderS82656/status/1753305893129867308","https://twitter.com/ParwinderS82656/status/1753305893129867308")</f>
        <v>https://twitter.com/ParwinderS82656/status/1753305893129867308</v>
      </c>
      <c r="K2512" t="s">
        <v>67</v>
      </c>
      <c r="O2512">
        <v>0</v>
      </c>
      <c r="P2512">
        <v>0</v>
      </c>
      <c r="Q2512">
        <v>3</v>
      </c>
      <c r="S2512">
        <v>0</v>
      </c>
      <c r="T2512">
        <v>0</v>
      </c>
      <c r="U2512">
        <v>0</v>
      </c>
      <c r="W2512" t="s">
        <v>99</v>
      </c>
    </row>
    <row r="2513" spans="1:23" x14ac:dyDescent="0.35">
      <c r="A2513" t="s">
        <v>45</v>
      </c>
      <c r="B2513" t="s">
        <v>5071</v>
      </c>
      <c r="C2513" t="s">
        <v>93</v>
      </c>
      <c r="D2513" t="s">
        <v>5138</v>
      </c>
      <c r="E2513" t="s">
        <v>5139</v>
      </c>
      <c r="F2513" t="s">
        <v>49</v>
      </c>
      <c r="G2513" t="s">
        <v>5140</v>
      </c>
      <c r="H2513" t="s">
        <v>5141</v>
      </c>
      <c r="J2513" t="str">
        <f>HYPERLINK("https://twitter.com/SteeshE81206/status/1753297726349943048","https://twitter.com/SteeshE81206/status/1753297726349943048")</f>
        <v>https://twitter.com/SteeshE81206/status/1753297726349943048</v>
      </c>
      <c r="O2513">
        <v>0</v>
      </c>
      <c r="P2513">
        <v>0</v>
      </c>
      <c r="Q2513">
        <v>0</v>
      </c>
      <c r="R2513" t="s">
        <v>5142</v>
      </c>
      <c r="S2513">
        <v>0</v>
      </c>
      <c r="T2513">
        <v>0</v>
      </c>
      <c r="U2513">
        <v>0</v>
      </c>
      <c r="W2513" t="s">
        <v>99</v>
      </c>
    </row>
    <row r="2514" spans="1:23" x14ac:dyDescent="0.35">
      <c r="A2514" t="s">
        <v>45</v>
      </c>
      <c r="B2514" t="s">
        <v>5071</v>
      </c>
      <c r="C2514" t="s">
        <v>93</v>
      </c>
      <c r="D2514" t="s">
        <v>94</v>
      </c>
      <c r="E2514" t="s">
        <v>45</v>
      </c>
      <c r="F2514" t="s">
        <v>49</v>
      </c>
      <c r="G2514" t="s">
        <v>5143</v>
      </c>
      <c r="H2514" t="s">
        <v>5144</v>
      </c>
      <c r="J2514" t="str">
        <f>HYPERLINK("https://twitter.com/SpiceMoneyIndia/status/1753297709057126679","https://twitter.com/SpiceMoneyIndia/status/1753297709057126679")</f>
        <v>https://twitter.com/SpiceMoneyIndia/status/1753297709057126679</v>
      </c>
      <c r="K2514" t="s">
        <v>67</v>
      </c>
      <c r="O2514">
        <v>0</v>
      </c>
      <c r="P2514">
        <v>0</v>
      </c>
      <c r="Q2514">
        <v>6015</v>
      </c>
      <c r="R2514" t="s">
        <v>97</v>
      </c>
      <c r="S2514">
        <v>0</v>
      </c>
      <c r="T2514">
        <v>0</v>
      </c>
      <c r="U2514">
        <v>0</v>
      </c>
      <c r="V2514" t="s">
        <v>98</v>
      </c>
      <c r="W2514" t="s">
        <v>99</v>
      </c>
    </row>
    <row r="2515" spans="1:23" x14ac:dyDescent="0.35">
      <c r="A2515" t="s">
        <v>45</v>
      </c>
      <c r="B2515" t="s">
        <v>5071</v>
      </c>
      <c r="C2515" t="s">
        <v>60</v>
      </c>
      <c r="D2515" t="s">
        <v>64</v>
      </c>
      <c r="E2515" t="s">
        <v>64</v>
      </c>
      <c r="F2515" t="s">
        <v>49</v>
      </c>
      <c r="G2515" t="s">
        <v>5145</v>
      </c>
      <c r="H2515" t="s">
        <v>5146</v>
      </c>
      <c r="J2515" t="str">
        <f>HYPERLINK("https://www.facebook.com/634639855377280/posts/783619057146025","https://www.facebook.com/634639855377280/posts/783619057146025")</f>
        <v>https://www.facebook.com/634639855377280/posts/783619057146025</v>
      </c>
      <c r="O2515">
        <v>0</v>
      </c>
      <c r="P2515">
        <v>0</v>
      </c>
      <c r="Q2515">
        <v>0</v>
      </c>
      <c r="S2515">
        <v>11</v>
      </c>
      <c r="T2515">
        <v>75</v>
      </c>
      <c r="U2515">
        <v>2</v>
      </c>
      <c r="W2515" t="s">
        <v>346</v>
      </c>
    </row>
    <row r="2516" spans="1:23" x14ac:dyDescent="0.35">
      <c r="A2516" t="s">
        <v>45</v>
      </c>
      <c r="B2516" t="s">
        <v>5071</v>
      </c>
      <c r="C2516" t="s">
        <v>93</v>
      </c>
      <c r="D2516" t="s">
        <v>5147</v>
      </c>
      <c r="E2516" t="s">
        <v>5148</v>
      </c>
      <c r="F2516" t="s">
        <v>49</v>
      </c>
      <c r="G2516" t="s">
        <v>5149</v>
      </c>
      <c r="H2516" t="s">
        <v>5150</v>
      </c>
      <c r="J2516" t="str">
        <f>HYPERLINK("https://twitter.com/BIJAY2050/status/1753293988319347009","https://twitter.com/BIJAY2050/status/1753293988319347009")</f>
        <v>https://twitter.com/BIJAY2050/status/1753293988319347009</v>
      </c>
      <c r="K2516" t="s">
        <v>67</v>
      </c>
      <c r="O2516">
        <v>0</v>
      </c>
      <c r="P2516">
        <v>0</v>
      </c>
      <c r="Q2516">
        <v>20</v>
      </c>
      <c r="R2516" t="s">
        <v>5151</v>
      </c>
      <c r="S2516">
        <v>0</v>
      </c>
      <c r="T2516">
        <v>0</v>
      </c>
      <c r="U2516">
        <v>0</v>
      </c>
      <c r="W2516" t="s">
        <v>99</v>
      </c>
    </row>
    <row r="2517" spans="1:23" x14ac:dyDescent="0.35">
      <c r="A2517" t="s">
        <v>45</v>
      </c>
      <c r="B2517" t="s">
        <v>5071</v>
      </c>
      <c r="C2517" t="s">
        <v>60</v>
      </c>
      <c r="D2517" t="s">
        <v>61</v>
      </c>
      <c r="E2517" t="s">
        <v>61</v>
      </c>
      <c r="F2517" t="s">
        <v>49</v>
      </c>
      <c r="G2517" t="s">
        <v>5152</v>
      </c>
      <c r="H2517" t="s">
        <v>5153</v>
      </c>
      <c r="J2517" t="str">
        <f>HYPERLINK("https://www.facebook.com/634639855377280/posts/783040850537179?comment_id=271771589266077","https://www.facebook.com/634639855377280/posts/783040850537179?comment_id=271771589266077")</f>
        <v>https://www.facebook.com/634639855377280/posts/783040850537179?comment_id=271771589266077</v>
      </c>
      <c r="O2517">
        <v>0</v>
      </c>
      <c r="P2517">
        <v>0</v>
      </c>
      <c r="Q2517">
        <v>0</v>
      </c>
      <c r="S2517">
        <v>0</v>
      </c>
      <c r="T2517">
        <v>0</v>
      </c>
      <c r="U2517">
        <v>0</v>
      </c>
      <c r="W2517" t="s">
        <v>52</v>
      </c>
    </row>
    <row r="2518" spans="1:23" x14ac:dyDescent="0.35">
      <c r="A2518" t="s">
        <v>45</v>
      </c>
      <c r="B2518" t="s">
        <v>5071</v>
      </c>
      <c r="C2518" t="s">
        <v>93</v>
      </c>
      <c r="D2518" t="s">
        <v>4755</v>
      </c>
      <c r="E2518" t="s">
        <v>4756</v>
      </c>
      <c r="F2518" t="s">
        <v>49</v>
      </c>
      <c r="G2518" t="s">
        <v>5154</v>
      </c>
      <c r="H2518" t="s">
        <v>5155</v>
      </c>
      <c r="J2518" t="str">
        <f>HYPERLINK("https://twitter.com/InsAdvisormanoj/status/1753268627594260904","https://twitter.com/InsAdvisormanoj/status/1753268627594260904")</f>
        <v>https://twitter.com/InsAdvisormanoj/status/1753268627594260904</v>
      </c>
      <c r="K2518" t="s">
        <v>67</v>
      </c>
      <c r="O2518">
        <v>0</v>
      </c>
      <c r="P2518">
        <v>0</v>
      </c>
      <c r="Q2518">
        <v>3</v>
      </c>
      <c r="R2518" t="s">
        <v>4759</v>
      </c>
      <c r="S2518">
        <v>0</v>
      </c>
      <c r="T2518">
        <v>0</v>
      </c>
      <c r="U2518">
        <v>0</v>
      </c>
      <c r="W2518" t="s">
        <v>99</v>
      </c>
    </row>
    <row r="2519" spans="1:23" x14ac:dyDescent="0.35">
      <c r="A2519" t="s">
        <v>45</v>
      </c>
      <c r="B2519" t="s">
        <v>5071</v>
      </c>
      <c r="C2519" t="s">
        <v>60</v>
      </c>
      <c r="D2519" t="s">
        <v>61</v>
      </c>
      <c r="E2519" t="s">
        <v>61</v>
      </c>
      <c r="F2519" t="s">
        <v>49</v>
      </c>
      <c r="G2519" t="s">
        <v>5156</v>
      </c>
      <c r="H2519" t="s">
        <v>5157</v>
      </c>
      <c r="J2519" t="str">
        <f>HYPERLINK("https://www.facebook.com/634639855377280/posts/783040850537179?comment_id=693980909606766&amp;reply_comment_id=350778781095102","https://www.facebook.com/634639855377280/posts/783040850537179?comment_id=693980909606766&amp;reply_comment_id=350778781095102")</f>
        <v>https://www.facebook.com/634639855377280/posts/783040850537179?comment_id=693980909606766&amp;reply_comment_id=350778781095102</v>
      </c>
      <c r="O2519">
        <v>0</v>
      </c>
      <c r="P2519">
        <v>0</v>
      </c>
      <c r="Q2519">
        <v>0</v>
      </c>
      <c r="S2519">
        <v>0</v>
      </c>
      <c r="T2519">
        <v>0</v>
      </c>
      <c r="U2519">
        <v>0</v>
      </c>
      <c r="W2519" t="s">
        <v>52</v>
      </c>
    </row>
    <row r="2520" spans="1:23" x14ac:dyDescent="0.35">
      <c r="A2520" t="s">
        <v>45</v>
      </c>
      <c r="B2520" t="s">
        <v>5071</v>
      </c>
      <c r="C2520" t="s">
        <v>60</v>
      </c>
      <c r="D2520" t="s">
        <v>61</v>
      </c>
      <c r="E2520" t="s">
        <v>61</v>
      </c>
      <c r="F2520" t="s">
        <v>49</v>
      </c>
      <c r="G2520" t="s">
        <v>5158</v>
      </c>
      <c r="H2520" t="s">
        <v>5159</v>
      </c>
      <c r="J2520" t="str">
        <f>HYPERLINK("https://www.facebook.com/634639855377280/posts/783040850537179?comment_id=308821071684278&amp;reply_comment_id=1336787013706964","https://www.facebook.com/634639855377280/posts/783040850537179?comment_id=308821071684278&amp;reply_comment_id=1336787013706964")</f>
        <v>https://www.facebook.com/634639855377280/posts/783040850537179?comment_id=308821071684278&amp;reply_comment_id=1336787013706964</v>
      </c>
      <c r="O2520">
        <v>0</v>
      </c>
      <c r="P2520">
        <v>0</v>
      </c>
      <c r="Q2520">
        <v>0</v>
      </c>
      <c r="S2520">
        <v>0</v>
      </c>
      <c r="T2520">
        <v>0</v>
      </c>
      <c r="U2520">
        <v>0</v>
      </c>
      <c r="W2520" t="s">
        <v>52</v>
      </c>
    </row>
    <row r="2521" spans="1:23" x14ac:dyDescent="0.35">
      <c r="A2521" t="s">
        <v>45</v>
      </c>
      <c r="B2521" t="s">
        <v>5071</v>
      </c>
      <c r="C2521" t="s">
        <v>60</v>
      </c>
      <c r="D2521" t="s">
        <v>61</v>
      </c>
      <c r="E2521" t="s">
        <v>61</v>
      </c>
      <c r="F2521" t="s">
        <v>49</v>
      </c>
      <c r="G2521" t="s">
        <v>5160</v>
      </c>
      <c r="H2521" t="s">
        <v>5161</v>
      </c>
      <c r="J2521" t="str">
        <f>HYPERLINK("https://www.facebook.com/634639855377280/posts/782513537256577?comment_id=7475876355790252&amp;reply_comment_id=761326852514416","https://www.facebook.com/634639855377280/posts/782513537256577?comment_id=7475876355790252&amp;reply_comment_id=761326852514416")</f>
        <v>https://www.facebook.com/634639855377280/posts/782513537256577?comment_id=7475876355790252&amp;reply_comment_id=761326852514416</v>
      </c>
      <c r="O2521">
        <v>0</v>
      </c>
      <c r="P2521">
        <v>0</v>
      </c>
      <c r="Q2521">
        <v>0</v>
      </c>
      <c r="S2521">
        <v>0</v>
      </c>
      <c r="T2521">
        <v>0</v>
      </c>
      <c r="U2521">
        <v>0</v>
      </c>
      <c r="W2521" t="s">
        <v>52</v>
      </c>
    </row>
    <row r="2522" spans="1:23" x14ac:dyDescent="0.35">
      <c r="A2522" t="s">
        <v>45</v>
      </c>
      <c r="B2522" t="s">
        <v>5071</v>
      </c>
      <c r="C2522" t="s">
        <v>60</v>
      </c>
      <c r="D2522" t="s">
        <v>61</v>
      </c>
      <c r="E2522" t="s">
        <v>61</v>
      </c>
      <c r="F2522" t="s">
        <v>49</v>
      </c>
      <c r="G2522" t="s">
        <v>5156</v>
      </c>
      <c r="H2522" t="s">
        <v>5162</v>
      </c>
      <c r="J2522" t="str">
        <f>HYPERLINK("https://www.facebook.com/634639855377280/posts/782513537256577?comment_id=765730434890012&amp;reply_comment_id=240543772466174","https://www.facebook.com/634639855377280/posts/782513537256577?comment_id=765730434890012&amp;reply_comment_id=240543772466174")</f>
        <v>https://www.facebook.com/634639855377280/posts/782513537256577?comment_id=765730434890012&amp;reply_comment_id=240543772466174</v>
      </c>
      <c r="O2522">
        <v>0</v>
      </c>
      <c r="P2522">
        <v>0</v>
      </c>
      <c r="Q2522">
        <v>0</v>
      </c>
      <c r="S2522">
        <v>0</v>
      </c>
      <c r="T2522">
        <v>0</v>
      </c>
      <c r="U2522">
        <v>0</v>
      </c>
      <c r="W2522" t="s">
        <v>52</v>
      </c>
    </row>
    <row r="2523" spans="1:23" x14ac:dyDescent="0.35">
      <c r="A2523" t="s">
        <v>45</v>
      </c>
      <c r="B2523" t="s">
        <v>5163</v>
      </c>
      <c r="C2523" t="s">
        <v>60</v>
      </c>
      <c r="D2523" t="s">
        <v>61</v>
      </c>
      <c r="E2523" t="s">
        <v>61</v>
      </c>
      <c r="F2523" t="s">
        <v>49</v>
      </c>
      <c r="G2523" t="s">
        <v>5164</v>
      </c>
      <c r="H2523" t="s">
        <v>5165</v>
      </c>
      <c r="J2523" t="str">
        <f>HYPERLINK("https://www.facebook.com/634639855377280/posts/783040850537179?comment_id=1098353447967346&amp;reply_comment_id=1810175612763566","https://www.facebook.com/634639855377280/posts/783040850537179?comment_id=1098353447967346&amp;reply_comment_id=1810175612763566")</f>
        <v>https://www.facebook.com/634639855377280/posts/783040850537179?comment_id=1098353447967346&amp;reply_comment_id=1810175612763566</v>
      </c>
      <c r="O2523">
        <v>0</v>
      </c>
      <c r="P2523">
        <v>0</v>
      </c>
      <c r="Q2523">
        <v>0</v>
      </c>
      <c r="S2523">
        <v>0</v>
      </c>
      <c r="T2523">
        <v>0</v>
      </c>
      <c r="U2523">
        <v>0</v>
      </c>
      <c r="W2523" t="s">
        <v>52</v>
      </c>
    </row>
    <row r="2524" spans="1:23" x14ac:dyDescent="0.35">
      <c r="A2524" t="s">
        <v>45</v>
      </c>
      <c r="B2524" t="s">
        <v>5163</v>
      </c>
      <c r="C2524" t="s">
        <v>60</v>
      </c>
      <c r="D2524" t="s">
        <v>61</v>
      </c>
      <c r="E2524" t="s">
        <v>61</v>
      </c>
      <c r="F2524" t="s">
        <v>49</v>
      </c>
      <c r="G2524" t="s">
        <v>5166</v>
      </c>
      <c r="H2524" t="s">
        <v>5167</v>
      </c>
      <c r="J2524" t="str">
        <f>HYPERLINK("https://www.facebook.com/634639855377280/posts/783040850537179?comment_id=1098353447967346&amp;reply_comment_id=411948631362152","https://www.facebook.com/634639855377280/posts/783040850537179?comment_id=1098353447967346&amp;reply_comment_id=411948631362152")</f>
        <v>https://www.facebook.com/634639855377280/posts/783040850537179?comment_id=1098353447967346&amp;reply_comment_id=411948631362152</v>
      </c>
      <c r="O2524">
        <v>0</v>
      </c>
      <c r="P2524">
        <v>0</v>
      </c>
      <c r="Q2524">
        <v>0</v>
      </c>
      <c r="S2524">
        <v>0</v>
      </c>
      <c r="T2524">
        <v>0</v>
      </c>
      <c r="U2524">
        <v>0</v>
      </c>
      <c r="W2524" t="s">
        <v>52</v>
      </c>
    </row>
    <row r="2525" spans="1:23" x14ac:dyDescent="0.35">
      <c r="A2525" t="s">
        <v>45</v>
      </c>
      <c r="B2525" t="s">
        <v>5163</v>
      </c>
      <c r="C2525" t="s">
        <v>60</v>
      </c>
      <c r="D2525" t="s">
        <v>61</v>
      </c>
      <c r="E2525" t="s">
        <v>61</v>
      </c>
      <c r="F2525" t="s">
        <v>49</v>
      </c>
      <c r="G2525" t="s">
        <v>5168</v>
      </c>
      <c r="H2525" t="s">
        <v>5169</v>
      </c>
      <c r="J2525" t="str">
        <f>HYPERLINK("https://www.facebook.com/634639855377280/posts/783040850537179?comment_id=1098353447967346&amp;reply_comment_id=3209921795811522","https://www.facebook.com/634639855377280/posts/783040850537179?comment_id=1098353447967346&amp;reply_comment_id=3209921795811522")</f>
        <v>https://www.facebook.com/634639855377280/posts/783040850537179?comment_id=1098353447967346&amp;reply_comment_id=3209921795811522</v>
      </c>
      <c r="O2525">
        <v>0</v>
      </c>
      <c r="P2525">
        <v>0</v>
      </c>
      <c r="Q2525">
        <v>0</v>
      </c>
      <c r="S2525">
        <v>0</v>
      </c>
      <c r="T2525">
        <v>0</v>
      </c>
      <c r="U2525">
        <v>0</v>
      </c>
      <c r="W2525" t="s">
        <v>52</v>
      </c>
    </row>
    <row r="2526" spans="1:23" x14ac:dyDescent="0.35">
      <c r="A2526" t="s">
        <v>45</v>
      </c>
      <c r="B2526" t="s">
        <v>5163</v>
      </c>
      <c r="C2526" t="s">
        <v>60</v>
      </c>
      <c r="D2526" t="s">
        <v>61</v>
      </c>
      <c r="E2526" t="s">
        <v>61</v>
      </c>
      <c r="F2526" t="s">
        <v>49</v>
      </c>
      <c r="G2526" t="s">
        <v>5170</v>
      </c>
      <c r="H2526" t="s">
        <v>5171</v>
      </c>
      <c r="J2526" t="str">
        <f>HYPERLINK("https://www.facebook.com/634639855377280/posts/782513537256577?comment_id=1138342137155379","https://www.facebook.com/634639855377280/posts/782513537256577?comment_id=1138342137155379")</f>
        <v>https://www.facebook.com/634639855377280/posts/782513537256577?comment_id=1138342137155379</v>
      </c>
      <c r="O2526">
        <v>0</v>
      </c>
      <c r="P2526">
        <v>0</v>
      </c>
      <c r="Q2526">
        <v>0</v>
      </c>
      <c r="S2526">
        <v>0</v>
      </c>
      <c r="T2526">
        <v>0</v>
      </c>
      <c r="U2526">
        <v>0</v>
      </c>
      <c r="W2526" t="s">
        <v>52</v>
      </c>
    </row>
    <row r="2527" spans="1:23" x14ac:dyDescent="0.35">
      <c r="A2527" t="s">
        <v>45</v>
      </c>
      <c r="B2527" t="s">
        <v>5163</v>
      </c>
      <c r="C2527" t="s">
        <v>60</v>
      </c>
      <c r="D2527" t="s">
        <v>61</v>
      </c>
      <c r="E2527" t="s">
        <v>61</v>
      </c>
      <c r="F2527" t="s">
        <v>49</v>
      </c>
      <c r="G2527" t="s">
        <v>5172</v>
      </c>
      <c r="H2527" t="s">
        <v>5173</v>
      </c>
      <c r="J2527" t="str">
        <f>HYPERLINK("https://www.facebook.com/634639855377280/posts/782513537256577?comment_id=308925368347873","https://www.facebook.com/634639855377280/posts/782513537256577?comment_id=308925368347873")</f>
        <v>https://www.facebook.com/634639855377280/posts/782513537256577?comment_id=308925368347873</v>
      </c>
      <c r="O2527">
        <v>0</v>
      </c>
      <c r="P2527">
        <v>0</v>
      </c>
      <c r="Q2527">
        <v>0</v>
      </c>
      <c r="S2527">
        <v>0</v>
      </c>
      <c r="T2527">
        <v>0</v>
      </c>
      <c r="U2527">
        <v>0</v>
      </c>
      <c r="W2527" t="s">
        <v>52</v>
      </c>
    </row>
    <row r="2528" spans="1:23" x14ac:dyDescent="0.35">
      <c r="A2528" t="s">
        <v>45</v>
      </c>
      <c r="B2528" t="s">
        <v>5163</v>
      </c>
      <c r="C2528" t="s">
        <v>60</v>
      </c>
      <c r="D2528" t="s">
        <v>61</v>
      </c>
      <c r="E2528" t="s">
        <v>61</v>
      </c>
      <c r="F2528" t="s">
        <v>49</v>
      </c>
      <c r="G2528" t="s">
        <v>5174</v>
      </c>
      <c r="H2528" t="s">
        <v>5175</v>
      </c>
      <c r="J2528" t="str">
        <f>HYPERLINK("https://www.facebook.com/634639855377280/posts/783040850537179?comment_id=1098353447967346&amp;reply_comment_id=405638978610837","https://www.facebook.com/634639855377280/posts/783040850537179?comment_id=1098353447967346&amp;reply_comment_id=405638978610837")</f>
        <v>https://www.facebook.com/634639855377280/posts/783040850537179?comment_id=1098353447967346&amp;reply_comment_id=405638978610837</v>
      </c>
      <c r="O2528">
        <v>0</v>
      </c>
      <c r="P2528">
        <v>0</v>
      </c>
      <c r="Q2528">
        <v>0</v>
      </c>
      <c r="S2528">
        <v>0</v>
      </c>
      <c r="T2528">
        <v>0</v>
      </c>
      <c r="U2528">
        <v>0</v>
      </c>
      <c r="W2528" t="s">
        <v>52</v>
      </c>
    </row>
    <row r="2529" spans="1:23" x14ac:dyDescent="0.35">
      <c r="A2529" t="s">
        <v>45</v>
      </c>
      <c r="B2529" t="s">
        <v>5163</v>
      </c>
      <c r="C2529" t="s">
        <v>60</v>
      </c>
      <c r="D2529" t="s">
        <v>61</v>
      </c>
      <c r="E2529" t="s">
        <v>61</v>
      </c>
      <c r="F2529" t="s">
        <v>49</v>
      </c>
      <c r="G2529" t="s">
        <v>5176</v>
      </c>
      <c r="H2529" t="s">
        <v>5177</v>
      </c>
      <c r="J2529" t="str">
        <f>HYPERLINK("https://www.facebook.com/634639855377280/posts/783040850537179?comment_id=1098353447967346&amp;reply_comment_id=734849001956869","https://www.facebook.com/634639855377280/posts/783040850537179?comment_id=1098353447967346&amp;reply_comment_id=734849001956869")</f>
        <v>https://www.facebook.com/634639855377280/posts/783040850537179?comment_id=1098353447967346&amp;reply_comment_id=734849001956869</v>
      </c>
      <c r="O2529">
        <v>0</v>
      </c>
      <c r="P2529">
        <v>0</v>
      </c>
      <c r="Q2529">
        <v>0</v>
      </c>
      <c r="S2529">
        <v>0</v>
      </c>
      <c r="T2529">
        <v>0</v>
      </c>
      <c r="U2529">
        <v>0</v>
      </c>
      <c r="W2529" t="s">
        <v>52</v>
      </c>
    </row>
    <row r="2530" spans="1:23" x14ac:dyDescent="0.35">
      <c r="A2530" t="s">
        <v>45</v>
      </c>
      <c r="B2530" t="s">
        <v>5163</v>
      </c>
      <c r="C2530" t="s">
        <v>47</v>
      </c>
      <c r="D2530" t="s">
        <v>2063</v>
      </c>
      <c r="E2530" t="s">
        <v>2063</v>
      </c>
      <c r="F2530" t="s">
        <v>49</v>
      </c>
      <c r="G2530" t="s">
        <v>5178</v>
      </c>
      <c r="H2530" t="s">
        <v>5179</v>
      </c>
      <c r="J2530" t="str">
        <f>HYPERLINK("https://www.youtube.com/watch?v=DMlpygM0MQM&amp;lc=UgwuY0na9x1L5BOnuHN4AaABAg","https://www.youtube.com/watch?v=DMlpygM0MQM&amp;lc=UgwuY0na9x1L5BOnuHN4AaABAg")</f>
        <v>https://www.youtube.com/watch?v=DMlpygM0MQM&amp;lc=UgwuY0na9x1L5BOnuHN4AaABAg</v>
      </c>
      <c r="O2530">
        <v>0</v>
      </c>
      <c r="P2530">
        <v>0</v>
      </c>
      <c r="Q2530">
        <v>0</v>
      </c>
      <c r="S2530">
        <v>0</v>
      </c>
      <c r="T2530">
        <v>0</v>
      </c>
      <c r="U2530">
        <v>0</v>
      </c>
      <c r="W2530" t="s">
        <v>52</v>
      </c>
    </row>
    <row r="2531" spans="1:23" x14ac:dyDescent="0.35">
      <c r="A2531" t="s">
        <v>45</v>
      </c>
      <c r="B2531" t="s">
        <v>5163</v>
      </c>
      <c r="C2531" t="s">
        <v>60</v>
      </c>
      <c r="D2531" t="s">
        <v>61</v>
      </c>
      <c r="E2531" t="s">
        <v>61</v>
      </c>
      <c r="F2531" t="s">
        <v>49</v>
      </c>
      <c r="G2531" t="s">
        <v>5180</v>
      </c>
      <c r="H2531" t="s">
        <v>5181</v>
      </c>
      <c r="J2531" t="str">
        <f>HYPERLINK("https://www.facebook.com/634639855377280/posts/783040850537179?comment_id=376619601664336","https://www.facebook.com/634639855377280/posts/783040850537179?comment_id=376619601664336")</f>
        <v>https://www.facebook.com/634639855377280/posts/783040850537179?comment_id=376619601664336</v>
      </c>
      <c r="O2531">
        <v>0</v>
      </c>
      <c r="P2531">
        <v>0</v>
      </c>
      <c r="Q2531">
        <v>0</v>
      </c>
      <c r="S2531">
        <v>0</v>
      </c>
      <c r="T2531">
        <v>0</v>
      </c>
      <c r="U2531">
        <v>0</v>
      </c>
      <c r="W2531" t="s">
        <v>52</v>
      </c>
    </row>
    <row r="2532" spans="1:23" x14ac:dyDescent="0.35">
      <c r="A2532" t="s">
        <v>45</v>
      </c>
      <c r="B2532" t="s">
        <v>5163</v>
      </c>
      <c r="C2532" t="s">
        <v>60</v>
      </c>
      <c r="D2532" t="s">
        <v>61</v>
      </c>
      <c r="E2532" t="s">
        <v>61</v>
      </c>
      <c r="F2532" t="s">
        <v>49</v>
      </c>
      <c r="G2532" t="s">
        <v>5182</v>
      </c>
      <c r="H2532" t="s">
        <v>5183</v>
      </c>
      <c r="J2532" t="str">
        <f>HYPERLINK("https://www.facebook.com/634639855377280/posts/782513537256577?comment_id=396563412733032&amp;reply_comment_id=1033028554467429","https://www.facebook.com/634639855377280/posts/782513537256577?comment_id=396563412733032&amp;reply_comment_id=1033028554467429")</f>
        <v>https://www.facebook.com/634639855377280/posts/782513537256577?comment_id=396563412733032&amp;reply_comment_id=1033028554467429</v>
      </c>
      <c r="O2532">
        <v>0</v>
      </c>
      <c r="P2532">
        <v>0</v>
      </c>
      <c r="Q2532">
        <v>0</v>
      </c>
      <c r="S2532">
        <v>0</v>
      </c>
      <c r="T2532">
        <v>0</v>
      </c>
      <c r="U2532">
        <v>0</v>
      </c>
      <c r="W2532" t="s">
        <v>52</v>
      </c>
    </row>
    <row r="2533" spans="1:23" x14ac:dyDescent="0.35">
      <c r="A2533" t="s">
        <v>45</v>
      </c>
      <c r="B2533" t="s">
        <v>5163</v>
      </c>
      <c r="C2533" t="s">
        <v>60</v>
      </c>
      <c r="D2533" t="s">
        <v>61</v>
      </c>
      <c r="E2533" t="s">
        <v>61</v>
      </c>
      <c r="F2533" t="s">
        <v>49</v>
      </c>
      <c r="G2533" t="s">
        <v>5184</v>
      </c>
      <c r="H2533" t="s">
        <v>5185</v>
      </c>
      <c r="J2533" t="str">
        <f>HYPERLINK("https://www.facebook.com/634639855377280/posts/782513537256577?comment_id=805724484648435","https://www.facebook.com/634639855377280/posts/782513537256577?comment_id=805724484648435")</f>
        <v>https://www.facebook.com/634639855377280/posts/782513537256577?comment_id=805724484648435</v>
      </c>
      <c r="O2533">
        <v>0</v>
      </c>
      <c r="P2533">
        <v>0</v>
      </c>
      <c r="Q2533">
        <v>0</v>
      </c>
      <c r="S2533">
        <v>0</v>
      </c>
      <c r="T2533">
        <v>0</v>
      </c>
      <c r="U2533">
        <v>0</v>
      </c>
      <c r="W2533" t="s">
        <v>52</v>
      </c>
    </row>
    <row r="2534" spans="1:23" x14ac:dyDescent="0.35">
      <c r="A2534" t="s">
        <v>45</v>
      </c>
      <c r="B2534" t="s">
        <v>5163</v>
      </c>
      <c r="C2534" t="s">
        <v>60</v>
      </c>
      <c r="D2534" t="s">
        <v>61</v>
      </c>
      <c r="E2534" t="s">
        <v>61</v>
      </c>
      <c r="F2534" t="s">
        <v>49</v>
      </c>
      <c r="G2534" t="s">
        <v>5186</v>
      </c>
      <c r="H2534" t="s">
        <v>5187</v>
      </c>
      <c r="J2534" t="str">
        <f>HYPERLINK("https://www.facebook.com/634639855377280/posts/783040850537179?comment_id=308821071684278&amp;reply_comment_id=1556323771858736","https://www.facebook.com/634639855377280/posts/783040850537179?comment_id=308821071684278&amp;reply_comment_id=1556323771858736")</f>
        <v>https://www.facebook.com/634639855377280/posts/783040850537179?comment_id=308821071684278&amp;reply_comment_id=1556323771858736</v>
      </c>
      <c r="O2534">
        <v>0</v>
      </c>
      <c r="P2534">
        <v>0</v>
      </c>
      <c r="Q2534">
        <v>0</v>
      </c>
      <c r="S2534">
        <v>0</v>
      </c>
      <c r="T2534">
        <v>0</v>
      </c>
      <c r="U2534">
        <v>0</v>
      </c>
      <c r="W2534" t="s">
        <v>52</v>
      </c>
    </row>
    <row r="2535" spans="1:23" x14ac:dyDescent="0.35">
      <c r="A2535" t="s">
        <v>45</v>
      </c>
      <c r="B2535" t="s">
        <v>5163</v>
      </c>
      <c r="C2535" t="s">
        <v>60</v>
      </c>
      <c r="D2535" t="s">
        <v>61</v>
      </c>
      <c r="E2535" t="s">
        <v>61</v>
      </c>
      <c r="F2535" t="s">
        <v>54</v>
      </c>
      <c r="G2535" t="s">
        <v>5188</v>
      </c>
      <c r="H2535" t="s">
        <v>5189</v>
      </c>
      <c r="J2535" t="str">
        <f>HYPERLINK("https://www.facebook.com/634639855377280/posts/782513537256577?comment_id=935152101302821","https://www.facebook.com/634639855377280/posts/782513537256577?comment_id=935152101302821")</f>
        <v>https://www.facebook.com/634639855377280/posts/782513537256577?comment_id=935152101302821</v>
      </c>
      <c r="O2535">
        <v>0</v>
      </c>
      <c r="P2535">
        <v>0</v>
      </c>
      <c r="Q2535">
        <v>0</v>
      </c>
      <c r="S2535">
        <v>0</v>
      </c>
      <c r="T2535">
        <v>0</v>
      </c>
      <c r="U2535">
        <v>0</v>
      </c>
      <c r="W2535" t="s">
        <v>52</v>
      </c>
    </row>
    <row r="2536" spans="1:23" x14ac:dyDescent="0.35">
      <c r="A2536" t="s">
        <v>45</v>
      </c>
      <c r="B2536" t="s">
        <v>5163</v>
      </c>
      <c r="C2536" t="s">
        <v>60</v>
      </c>
      <c r="D2536" t="s">
        <v>61</v>
      </c>
      <c r="E2536" t="s">
        <v>61</v>
      </c>
      <c r="F2536" t="s">
        <v>49</v>
      </c>
      <c r="G2536" t="s">
        <v>5190</v>
      </c>
      <c r="H2536" t="s">
        <v>5191</v>
      </c>
      <c r="J2536" t="str">
        <f>HYPERLINK("https://www.facebook.com/634639855377280/posts/782513537256577?comment_id=929535295551991&amp;reply_comment_id=3605142493147451","https://www.facebook.com/634639855377280/posts/782513537256577?comment_id=929535295551991&amp;reply_comment_id=3605142493147451")</f>
        <v>https://www.facebook.com/634639855377280/posts/782513537256577?comment_id=929535295551991&amp;reply_comment_id=3605142493147451</v>
      </c>
      <c r="O2536">
        <v>0</v>
      </c>
      <c r="P2536">
        <v>0</v>
      </c>
      <c r="Q2536">
        <v>0</v>
      </c>
      <c r="S2536">
        <v>0</v>
      </c>
      <c r="T2536">
        <v>0</v>
      </c>
      <c r="U2536">
        <v>0</v>
      </c>
      <c r="W2536" t="s">
        <v>52</v>
      </c>
    </row>
    <row r="2537" spans="1:23" x14ac:dyDescent="0.35">
      <c r="A2537" t="s">
        <v>45</v>
      </c>
      <c r="B2537" t="s">
        <v>5163</v>
      </c>
      <c r="C2537" t="s">
        <v>60</v>
      </c>
      <c r="D2537" t="s">
        <v>61</v>
      </c>
      <c r="E2537" t="s">
        <v>61</v>
      </c>
      <c r="F2537" t="s">
        <v>49</v>
      </c>
      <c r="G2537" t="s">
        <v>5192</v>
      </c>
      <c r="H2537" t="s">
        <v>5193</v>
      </c>
      <c r="J2537" t="str">
        <f>HYPERLINK("https://www.facebook.com/634639855377280/posts/782513537256577?comment_id=929535295551991&amp;reply_comment_id=1057663665512053","https://www.facebook.com/634639855377280/posts/782513537256577?comment_id=929535295551991&amp;reply_comment_id=1057663665512053")</f>
        <v>https://www.facebook.com/634639855377280/posts/782513537256577?comment_id=929535295551991&amp;reply_comment_id=1057663665512053</v>
      </c>
      <c r="O2537">
        <v>0</v>
      </c>
      <c r="P2537">
        <v>0</v>
      </c>
      <c r="Q2537">
        <v>0</v>
      </c>
      <c r="S2537">
        <v>0</v>
      </c>
      <c r="T2537">
        <v>0</v>
      </c>
      <c r="U2537">
        <v>0</v>
      </c>
      <c r="W2537" t="s">
        <v>52</v>
      </c>
    </row>
    <row r="2538" spans="1:23" x14ac:dyDescent="0.35">
      <c r="A2538" t="s">
        <v>45</v>
      </c>
      <c r="B2538" t="s">
        <v>5163</v>
      </c>
      <c r="C2538" t="s">
        <v>60</v>
      </c>
      <c r="D2538" t="s">
        <v>61</v>
      </c>
      <c r="E2538" t="s">
        <v>61</v>
      </c>
      <c r="F2538" t="s">
        <v>49</v>
      </c>
      <c r="G2538" t="s">
        <v>5194</v>
      </c>
      <c r="H2538" t="s">
        <v>5195</v>
      </c>
      <c r="J2538" t="str">
        <f>HYPERLINK("https://www.facebook.com/634639855377280/posts/782513537256577?comment_id=929535295551991&amp;reply_comment_id=1167653201267208","https://www.facebook.com/634639855377280/posts/782513537256577?comment_id=929535295551991&amp;reply_comment_id=1167653201267208")</f>
        <v>https://www.facebook.com/634639855377280/posts/782513537256577?comment_id=929535295551991&amp;reply_comment_id=1167653201267208</v>
      </c>
      <c r="O2538">
        <v>0</v>
      </c>
      <c r="P2538">
        <v>0</v>
      </c>
      <c r="Q2538">
        <v>0</v>
      </c>
      <c r="S2538">
        <v>0</v>
      </c>
      <c r="T2538">
        <v>0</v>
      </c>
      <c r="U2538">
        <v>0</v>
      </c>
      <c r="W2538" t="s">
        <v>52</v>
      </c>
    </row>
    <row r="2539" spans="1:23" x14ac:dyDescent="0.35">
      <c r="A2539" t="s">
        <v>45</v>
      </c>
      <c r="B2539" t="s">
        <v>5163</v>
      </c>
      <c r="C2539" t="s">
        <v>60</v>
      </c>
      <c r="D2539" t="s">
        <v>61</v>
      </c>
      <c r="E2539" t="s">
        <v>61</v>
      </c>
      <c r="F2539" t="s">
        <v>49</v>
      </c>
      <c r="G2539" t="s">
        <v>5196</v>
      </c>
      <c r="H2539" t="s">
        <v>5197</v>
      </c>
      <c r="J2539" t="str">
        <f>HYPERLINK("https://www.facebook.com/634639855377280/posts/782513537256577?comment_id=367428989386516","https://www.facebook.com/634639855377280/posts/782513537256577?comment_id=367428989386516")</f>
        <v>https://www.facebook.com/634639855377280/posts/782513537256577?comment_id=367428989386516</v>
      </c>
      <c r="O2539">
        <v>0</v>
      </c>
      <c r="P2539">
        <v>0</v>
      </c>
      <c r="Q2539">
        <v>0</v>
      </c>
      <c r="S2539">
        <v>0</v>
      </c>
      <c r="T2539">
        <v>0</v>
      </c>
      <c r="U2539">
        <v>0</v>
      </c>
      <c r="W2539" t="s">
        <v>52</v>
      </c>
    </row>
    <row r="2540" spans="1:23" x14ac:dyDescent="0.35">
      <c r="A2540" t="s">
        <v>45</v>
      </c>
      <c r="B2540" t="s">
        <v>5163</v>
      </c>
      <c r="C2540" t="s">
        <v>93</v>
      </c>
      <c r="D2540" t="s">
        <v>4755</v>
      </c>
      <c r="E2540" t="s">
        <v>4756</v>
      </c>
      <c r="F2540" t="s">
        <v>49</v>
      </c>
      <c r="G2540" t="s">
        <v>5198</v>
      </c>
      <c r="H2540" t="s">
        <v>5199</v>
      </c>
      <c r="J2540" t="str">
        <f>HYPERLINK("https://twitter.com/InsAdvisormanoj/status/1753060891837468682","https://twitter.com/InsAdvisormanoj/status/1753060891837468682")</f>
        <v>https://twitter.com/InsAdvisormanoj/status/1753060891837468682</v>
      </c>
      <c r="K2540" t="s">
        <v>67</v>
      </c>
      <c r="O2540">
        <v>0</v>
      </c>
      <c r="P2540">
        <v>0</v>
      </c>
      <c r="Q2540">
        <v>3</v>
      </c>
      <c r="R2540" t="s">
        <v>4759</v>
      </c>
      <c r="S2540">
        <v>0</v>
      </c>
      <c r="T2540">
        <v>0</v>
      </c>
      <c r="U2540">
        <v>0</v>
      </c>
      <c r="W2540" t="s">
        <v>99</v>
      </c>
    </row>
    <row r="2541" spans="1:23" x14ac:dyDescent="0.35">
      <c r="A2541" t="s">
        <v>45</v>
      </c>
      <c r="B2541" t="s">
        <v>5163</v>
      </c>
      <c r="C2541" t="s">
        <v>47</v>
      </c>
      <c r="D2541" t="s">
        <v>5200</v>
      </c>
      <c r="E2541" t="s">
        <v>5200</v>
      </c>
      <c r="F2541" t="s">
        <v>49</v>
      </c>
      <c r="G2541" t="s">
        <v>5201</v>
      </c>
      <c r="H2541" t="s">
        <v>5202</v>
      </c>
      <c r="J2541" t="str">
        <f>HYPERLINK("https://www.youtube.com/watch?v=wDVpKG8jfSo&amp;lc=Ugz_vXPEgH5sEeuiqRh4AaABAg","https://www.youtube.com/watch?v=wDVpKG8jfSo&amp;lc=Ugz_vXPEgH5sEeuiqRh4AaABAg")</f>
        <v>https://www.youtube.com/watch?v=wDVpKG8jfSo&amp;lc=Ugz_vXPEgH5sEeuiqRh4AaABAg</v>
      </c>
      <c r="O2541">
        <v>0</v>
      </c>
      <c r="P2541">
        <v>0</v>
      </c>
      <c r="Q2541">
        <v>0</v>
      </c>
      <c r="S2541">
        <v>0</v>
      </c>
      <c r="T2541">
        <v>0</v>
      </c>
      <c r="U2541">
        <v>0</v>
      </c>
      <c r="W2541" t="s">
        <v>52</v>
      </c>
    </row>
    <row r="2542" spans="1:23" x14ac:dyDescent="0.35">
      <c r="A2542" t="s">
        <v>45</v>
      </c>
      <c r="B2542" t="s">
        <v>5163</v>
      </c>
      <c r="C2542" t="s">
        <v>60</v>
      </c>
      <c r="D2542" t="s">
        <v>61</v>
      </c>
      <c r="E2542" t="s">
        <v>61</v>
      </c>
      <c r="F2542" t="s">
        <v>49</v>
      </c>
      <c r="G2542" t="s">
        <v>5203</v>
      </c>
      <c r="H2542" t="s">
        <v>5204</v>
      </c>
      <c r="J2542" t="str">
        <f>HYPERLINK("https://www.facebook.com/634639855377280/posts/783040850537179?comment_id=316616990848685&amp;reply_comment_id=3231193280519046","https://www.facebook.com/634639855377280/posts/783040850537179?comment_id=316616990848685&amp;reply_comment_id=3231193280519046")</f>
        <v>https://www.facebook.com/634639855377280/posts/783040850537179?comment_id=316616990848685&amp;reply_comment_id=3231193280519046</v>
      </c>
      <c r="O2542">
        <v>0</v>
      </c>
      <c r="P2542">
        <v>0</v>
      </c>
      <c r="Q2542">
        <v>0</v>
      </c>
      <c r="S2542">
        <v>0</v>
      </c>
      <c r="T2542">
        <v>0</v>
      </c>
      <c r="U2542">
        <v>0</v>
      </c>
      <c r="W2542" t="s">
        <v>52</v>
      </c>
    </row>
    <row r="2543" spans="1:23" x14ac:dyDescent="0.35">
      <c r="A2543" t="s">
        <v>45</v>
      </c>
      <c r="B2543" t="s">
        <v>5163</v>
      </c>
      <c r="C2543" t="s">
        <v>60</v>
      </c>
      <c r="D2543" t="s">
        <v>61</v>
      </c>
      <c r="E2543" t="s">
        <v>61</v>
      </c>
      <c r="F2543" t="s">
        <v>49</v>
      </c>
      <c r="G2543" t="s">
        <v>5205</v>
      </c>
      <c r="H2543" t="s">
        <v>5206</v>
      </c>
      <c r="J2543" t="str">
        <f>HYPERLINK("https://www.facebook.com/634639855377280/posts/783040850537179?comment_id=1098353447967346&amp;reply_comment_id=1117206943041802","https://www.facebook.com/634639855377280/posts/783040850537179?comment_id=1098353447967346&amp;reply_comment_id=1117206943041802")</f>
        <v>https://www.facebook.com/634639855377280/posts/783040850537179?comment_id=1098353447967346&amp;reply_comment_id=1117206943041802</v>
      </c>
      <c r="O2543">
        <v>0</v>
      </c>
      <c r="P2543">
        <v>0</v>
      </c>
      <c r="Q2543">
        <v>0</v>
      </c>
      <c r="S2543">
        <v>0</v>
      </c>
      <c r="T2543">
        <v>0</v>
      </c>
      <c r="U2543">
        <v>0</v>
      </c>
      <c r="W2543" t="s">
        <v>52</v>
      </c>
    </row>
    <row r="2544" spans="1:23" x14ac:dyDescent="0.35">
      <c r="A2544" t="s">
        <v>45</v>
      </c>
      <c r="B2544" t="s">
        <v>5163</v>
      </c>
      <c r="C2544" t="s">
        <v>60</v>
      </c>
      <c r="D2544" t="s">
        <v>61</v>
      </c>
      <c r="E2544" t="s">
        <v>61</v>
      </c>
      <c r="F2544" t="s">
        <v>49</v>
      </c>
      <c r="G2544" t="s">
        <v>5207</v>
      </c>
      <c r="H2544" t="s">
        <v>5208</v>
      </c>
      <c r="J2544" t="str">
        <f>HYPERLINK("https://www.facebook.com/634639855377280/posts/783040850537179?comment_id=323960680625175&amp;reply_comment_id=408267661558434","https://www.facebook.com/634639855377280/posts/783040850537179?comment_id=323960680625175&amp;reply_comment_id=408267661558434")</f>
        <v>https://www.facebook.com/634639855377280/posts/783040850537179?comment_id=323960680625175&amp;reply_comment_id=408267661558434</v>
      </c>
      <c r="O2544">
        <v>0</v>
      </c>
      <c r="P2544">
        <v>0</v>
      </c>
      <c r="Q2544">
        <v>0</v>
      </c>
      <c r="S2544">
        <v>0</v>
      </c>
      <c r="T2544">
        <v>0</v>
      </c>
      <c r="U2544">
        <v>0</v>
      </c>
      <c r="W2544" t="s">
        <v>52</v>
      </c>
    </row>
    <row r="2545" spans="1:23" x14ac:dyDescent="0.35">
      <c r="A2545" t="s">
        <v>45</v>
      </c>
      <c r="B2545" t="s">
        <v>5163</v>
      </c>
      <c r="C2545" t="s">
        <v>60</v>
      </c>
      <c r="D2545" t="s">
        <v>61</v>
      </c>
      <c r="E2545" t="s">
        <v>61</v>
      </c>
      <c r="F2545" t="s">
        <v>49</v>
      </c>
      <c r="G2545" t="s">
        <v>5209</v>
      </c>
      <c r="H2545" t="s">
        <v>5210</v>
      </c>
      <c r="J2545" t="str">
        <f>HYPERLINK("https://www.facebook.com/634639855377280/posts/783040850537179?comment_id=323960680625175&amp;reply_comment_id=748035197388155","https://www.facebook.com/634639855377280/posts/783040850537179?comment_id=323960680625175&amp;reply_comment_id=748035197388155")</f>
        <v>https://www.facebook.com/634639855377280/posts/783040850537179?comment_id=323960680625175&amp;reply_comment_id=748035197388155</v>
      </c>
      <c r="O2545">
        <v>0</v>
      </c>
      <c r="P2545">
        <v>0</v>
      </c>
      <c r="Q2545">
        <v>0</v>
      </c>
      <c r="S2545">
        <v>0</v>
      </c>
      <c r="T2545">
        <v>0</v>
      </c>
      <c r="U2545">
        <v>0</v>
      </c>
      <c r="W2545" t="s">
        <v>52</v>
      </c>
    </row>
    <row r="2546" spans="1:23" x14ac:dyDescent="0.35">
      <c r="A2546" t="s">
        <v>45</v>
      </c>
      <c r="B2546" t="s">
        <v>5163</v>
      </c>
      <c r="C2546" t="s">
        <v>60</v>
      </c>
      <c r="D2546" t="s">
        <v>61</v>
      </c>
      <c r="E2546" t="s">
        <v>61</v>
      </c>
      <c r="F2546" t="s">
        <v>49</v>
      </c>
      <c r="G2546" t="s">
        <v>5211</v>
      </c>
      <c r="H2546" t="s">
        <v>5212</v>
      </c>
      <c r="J2546" t="str">
        <f>HYPERLINK("https://www.facebook.com/634639855377280/posts/783040850537179?comment_id=1136168577541761","https://www.facebook.com/634639855377280/posts/783040850537179?comment_id=1136168577541761")</f>
        <v>https://www.facebook.com/634639855377280/posts/783040850537179?comment_id=1136168577541761</v>
      </c>
      <c r="O2546">
        <v>0</v>
      </c>
      <c r="P2546">
        <v>0</v>
      </c>
      <c r="Q2546">
        <v>0</v>
      </c>
      <c r="S2546">
        <v>0</v>
      </c>
      <c r="T2546">
        <v>0</v>
      </c>
      <c r="U2546">
        <v>0</v>
      </c>
      <c r="W2546" t="s">
        <v>52</v>
      </c>
    </row>
    <row r="2547" spans="1:23" x14ac:dyDescent="0.35">
      <c r="A2547" t="s">
        <v>45</v>
      </c>
      <c r="B2547" t="s">
        <v>5163</v>
      </c>
      <c r="C2547" t="s">
        <v>60</v>
      </c>
      <c r="D2547" t="s">
        <v>61</v>
      </c>
      <c r="E2547" t="s">
        <v>61</v>
      </c>
      <c r="F2547" t="s">
        <v>49</v>
      </c>
      <c r="G2547" t="s">
        <v>5213</v>
      </c>
      <c r="H2547" t="s">
        <v>5214</v>
      </c>
      <c r="J2547" t="str">
        <f>HYPERLINK("https://www.facebook.com/634639855377280/posts/783040850537179?comment_id=831094752109951","https://www.facebook.com/634639855377280/posts/783040850537179?comment_id=831094752109951")</f>
        <v>https://www.facebook.com/634639855377280/posts/783040850537179?comment_id=831094752109951</v>
      </c>
      <c r="O2547">
        <v>0</v>
      </c>
      <c r="P2547">
        <v>0</v>
      </c>
      <c r="Q2547">
        <v>0</v>
      </c>
      <c r="S2547">
        <v>0</v>
      </c>
      <c r="T2547">
        <v>0</v>
      </c>
      <c r="U2547">
        <v>0</v>
      </c>
      <c r="W2547" t="s">
        <v>52</v>
      </c>
    </row>
    <row r="2548" spans="1:23" x14ac:dyDescent="0.35">
      <c r="A2548" t="s">
        <v>45</v>
      </c>
      <c r="B2548" t="s">
        <v>5163</v>
      </c>
      <c r="C2548" t="s">
        <v>93</v>
      </c>
      <c r="D2548" t="s">
        <v>4755</v>
      </c>
      <c r="E2548" t="s">
        <v>4756</v>
      </c>
      <c r="F2548" t="s">
        <v>49</v>
      </c>
      <c r="G2548" t="s">
        <v>5215</v>
      </c>
      <c r="H2548" t="s">
        <v>5216</v>
      </c>
      <c r="J2548" t="str">
        <f>HYPERLINK("https://twitter.com/InsAdvisormanoj/status/1753028872088777010","https://twitter.com/InsAdvisormanoj/status/1753028872088777010")</f>
        <v>https://twitter.com/InsAdvisormanoj/status/1753028872088777010</v>
      </c>
      <c r="K2548" t="s">
        <v>67</v>
      </c>
      <c r="O2548">
        <v>0</v>
      </c>
      <c r="P2548">
        <v>0</v>
      </c>
      <c r="Q2548">
        <v>3</v>
      </c>
      <c r="R2548" t="s">
        <v>4759</v>
      </c>
      <c r="S2548">
        <v>0</v>
      </c>
      <c r="T2548">
        <v>0</v>
      </c>
      <c r="U2548">
        <v>0</v>
      </c>
      <c r="W2548" t="s">
        <v>99</v>
      </c>
    </row>
    <row r="2549" spans="1:23" x14ac:dyDescent="0.35">
      <c r="A2549" t="s">
        <v>45</v>
      </c>
      <c r="B2549" t="s">
        <v>5163</v>
      </c>
      <c r="C2549" t="s">
        <v>93</v>
      </c>
      <c r="D2549" t="s">
        <v>94</v>
      </c>
      <c r="E2549" t="s">
        <v>45</v>
      </c>
      <c r="F2549" t="s">
        <v>49</v>
      </c>
      <c r="G2549" t="s">
        <v>5217</v>
      </c>
      <c r="H2549" t="s">
        <v>5218</v>
      </c>
      <c r="J2549" t="str">
        <f>HYPERLINK("https://twitter.com/SpiceMoneyIndia/status/1753027485111902676","https://twitter.com/SpiceMoneyIndia/status/1753027485111902676")</f>
        <v>https://twitter.com/SpiceMoneyIndia/status/1753027485111902676</v>
      </c>
      <c r="K2549" t="s">
        <v>67</v>
      </c>
      <c r="O2549">
        <v>0</v>
      </c>
      <c r="P2549">
        <v>0</v>
      </c>
      <c r="Q2549">
        <v>6017</v>
      </c>
      <c r="R2549" t="s">
        <v>97</v>
      </c>
      <c r="S2549">
        <v>0</v>
      </c>
      <c r="T2549">
        <v>0</v>
      </c>
      <c r="U2549">
        <v>0</v>
      </c>
      <c r="V2549" t="s">
        <v>98</v>
      </c>
      <c r="W2549" t="s">
        <v>99</v>
      </c>
    </row>
    <row r="2550" spans="1:23" x14ac:dyDescent="0.35">
      <c r="A2550" t="s">
        <v>45</v>
      </c>
      <c r="B2550" t="s">
        <v>5163</v>
      </c>
      <c r="C2550" t="s">
        <v>93</v>
      </c>
      <c r="D2550" t="s">
        <v>94</v>
      </c>
      <c r="E2550" t="s">
        <v>45</v>
      </c>
      <c r="F2550" t="s">
        <v>49</v>
      </c>
      <c r="G2550" t="s">
        <v>5219</v>
      </c>
      <c r="H2550" t="s">
        <v>5220</v>
      </c>
      <c r="J2550" t="str">
        <f>HYPERLINK("https://twitter.com/SpiceMoneyIndia/status/1753027323492774158","https://twitter.com/SpiceMoneyIndia/status/1753027323492774158")</f>
        <v>https://twitter.com/SpiceMoneyIndia/status/1753027323492774158</v>
      </c>
      <c r="K2550" t="s">
        <v>67</v>
      </c>
      <c r="O2550">
        <v>0</v>
      </c>
      <c r="P2550">
        <v>0</v>
      </c>
      <c r="Q2550">
        <v>6017</v>
      </c>
      <c r="R2550" t="s">
        <v>97</v>
      </c>
      <c r="S2550">
        <v>0</v>
      </c>
      <c r="T2550">
        <v>0</v>
      </c>
      <c r="U2550">
        <v>0</v>
      </c>
      <c r="V2550" t="s">
        <v>98</v>
      </c>
      <c r="W2550" t="s">
        <v>99</v>
      </c>
    </row>
    <row r="2551" spans="1:23" x14ac:dyDescent="0.35">
      <c r="A2551" t="s">
        <v>45</v>
      </c>
      <c r="B2551" t="s">
        <v>5163</v>
      </c>
      <c r="C2551" t="s">
        <v>60</v>
      </c>
      <c r="D2551" t="s">
        <v>64</v>
      </c>
      <c r="E2551" t="s">
        <v>64</v>
      </c>
      <c r="F2551" t="s">
        <v>49</v>
      </c>
      <c r="G2551" t="s">
        <v>100</v>
      </c>
      <c r="H2551" t="s">
        <v>5221</v>
      </c>
      <c r="J2551" t="str">
        <f>HYPERLINK("https://www.facebook.com/634639855377280/posts/783040850537179?comment_id=323960680625175&amp;reply_comment_id=849704913638038","https://www.facebook.com/634639855377280/posts/783040850537179?comment_id=323960680625175&amp;reply_comment_id=849704913638038")</f>
        <v>https://www.facebook.com/634639855377280/posts/783040850537179?comment_id=323960680625175&amp;reply_comment_id=849704913638038</v>
      </c>
      <c r="K2551" t="s">
        <v>67</v>
      </c>
      <c r="O2551">
        <v>0</v>
      </c>
      <c r="P2551">
        <v>0</v>
      </c>
      <c r="Q2551">
        <v>0</v>
      </c>
      <c r="S2551">
        <v>0</v>
      </c>
      <c r="T2551">
        <v>0</v>
      </c>
      <c r="U2551">
        <v>0</v>
      </c>
      <c r="W2551" t="s">
        <v>52</v>
      </c>
    </row>
    <row r="2552" spans="1:23" x14ac:dyDescent="0.35">
      <c r="A2552" t="s">
        <v>45</v>
      </c>
      <c r="B2552" t="s">
        <v>5163</v>
      </c>
      <c r="C2552" t="s">
        <v>60</v>
      </c>
      <c r="D2552" t="s">
        <v>64</v>
      </c>
      <c r="E2552" t="s">
        <v>64</v>
      </c>
      <c r="F2552" t="s">
        <v>49</v>
      </c>
      <c r="G2552" t="s">
        <v>83</v>
      </c>
      <c r="H2552" t="s">
        <v>5222</v>
      </c>
      <c r="J2552" t="str">
        <f>HYPERLINK("https://www.facebook.com/634639855377280/posts/783040850537179?comment_id=1098353447967346&amp;reply_comment_id=278166258382354","https://www.facebook.com/634639855377280/posts/783040850537179?comment_id=1098353447967346&amp;reply_comment_id=278166258382354")</f>
        <v>https://www.facebook.com/634639855377280/posts/783040850537179?comment_id=1098353447967346&amp;reply_comment_id=278166258382354</v>
      </c>
      <c r="K2552" t="s">
        <v>67</v>
      </c>
      <c r="O2552">
        <v>0</v>
      </c>
      <c r="P2552">
        <v>0</v>
      </c>
      <c r="Q2552">
        <v>0</v>
      </c>
      <c r="S2552">
        <v>0</v>
      </c>
      <c r="T2552">
        <v>0</v>
      </c>
      <c r="U2552">
        <v>0</v>
      </c>
      <c r="W2552" t="s">
        <v>52</v>
      </c>
    </row>
    <row r="2553" spans="1:23" x14ac:dyDescent="0.35">
      <c r="A2553" t="s">
        <v>45</v>
      </c>
      <c r="B2553" t="s">
        <v>5163</v>
      </c>
      <c r="C2553" t="s">
        <v>60</v>
      </c>
      <c r="D2553" t="s">
        <v>64</v>
      </c>
      <c r="E2553" t="s">
        <v>64</v>
      </c>
      <c r="F2553" t="s">
        <v>49</v>
      </c>
      <c r="G2553" t="s">
        <v>492</v>
      </c>
      <c r="H2553" t="s">
        <v>5223</v>
      </c>
      <c r="J2553" t="str">
        <f>HYPERLINK("https://www.facebook.com/634639855377280/posts/783040850537179?comment_id=693980909606766&amp;reply_comment_id=313418881190400","https://www.facebook.com/634639855377280/posts/783040850537179?comment_id=693980909606766&amp;reply_comment_id=313418881190400")</f>
        <v>https://www.facebook.com/634639855377280/posts/783040850537179?comment_id=693980909606766&amp;reply_comment_id=313418881190400</v>
      </c>
      <c r="K2553" t="s">
        <v>67</v>
      </c>
      <c r="O2553">
        <v>0</v>
      </c>
      <c r="P2553">
        <v>0</v>
      </c>
      <c r="Q2553">
        <v>0</v>
      </c>
      <c r="S2553">
        <v>0</v>
      </c>
      <c r="T2553">
        <v>0</v>
      </c>
      <c r="U2553">
        <v>0</v>
      </c>
      <c r="W2553" t="s">
        <v>52</v>
      </c>
    </row>
    <row r="2554" spans="1:23" x14ac:dyDescent="0.35">
      <c r="A2554" t="s">
        <v>45</v>
      </c>
      <c r="B2554" t="s">
        <v>5163</v>
      </c>
      <c r="C2554" t="s">
        <v>60</v>
      </c>
      <c r="D2554" t="s">
        <v>64</v>
      </c>
      <c r="E2554" t="s">
        <v>64</v>
      </c>
      <c r="F2554" t="s">
        <v>49</v>
      </c>
      <c r="G2554" t="s">
        <v>100</v>
      </c>
      <c r="H2554" t="s">
        <v>5224</v>
      </c>
      <c r="J2554" t="str">
        <f>HYPERLINK("https://www.facebook.com/634639855377280/posts/782513537256577?comment_id=396563412733032&amp;reply_comment_id=1462770167670673","https://www.facebook.com/634639855377280/posts/782513537256577?comment_id=396563412733032&amp;reply_comment_id=1462770167670673")</f>
        <v>https://www.facebook.com/634639855377280/posts/782513537256577?comment_id=396563412733032&amp;reply_comment_id=1462770167670673</v>
      </c>
      <c r="K2554" t="s">
        <v>67</v>
      </c>
      <c r="O2554">
        <v>0</v>
      </c>
      <c r="P2554">
        <v>0</v>
      </c>
      <c r="Q2554">
        <v>0</v>
      </c>
      <c r="S2554">
        <v>0</v>
      </c>
      <c r="T2554">
        <v>0</v>
      </c>
      <c r="U2554">
        <v>0</v>
      </c>
      <c r="W2554" t="s">
        <v>52</v>
      </c>
    </row>
    <row r="2555" spans="1:23" x14ac:dyDescent="0.35">
      <c r="A2555" t="s">
        <v>45</v>
      </c>
      <c r="B2555" t="s">
        <v>5163</v>
      </c>
      <c r="C2555" t="s">
        <v>93</v>
      </c>
      <c r="D2555" t="s">
        <v>5225</v>
      </c>
      <c r="E2555" t="s">
        <v>5226</v>
      </c>
      <c r="F2555" t="s">
        <v>49</v>
      </c>
      <c r="G2555" t="s">
        <v>5227</v>
      </c>
      <c r="H2555" t="s">
        <v>5228</v>
      </c>
      <c r="J2555" t="str">
        <f>HYPERLINK("https://twitter.com/CPLODHII/status/1753023866723860649","https://twitter.com/CPLODHII/status/1753023866723860649")</f>
        <v>https://twitter.com/CPLODHII/status/1753023866723860649</v>
      </c>
      <c r="O2555">
        <v>0</v>
      </c>
      <c r="P2555">
        <v>0</v>
      </c>
      <c r="Q2555">
        <v>256</v>
      </c>
      <c r="R2555" t="s">
        <v>5229</v>
      </c>
      <c r="S2555">
        <v>0</v>
      </c>
      <c r="T2555">
        <v>0</v>
      </c>
      <c r="U2555">
        <v>0</v>
      </c>
      <c r="W2555" t="s">
        <v>99</v>
      </c>
    </row>
    <row r="2556" spans="1:23" x14ac:dyDescent="0.35">
      <c r="A2556" t="s">
        <v>45</v>
      </c>
      <c r="B2556" t="s">
        <v>5163</v>
      </c>
      <c r="C2556" t="s">
        <v>93</v>
      </c>
      <c r="D2556" t="s">
        <v>94</v>
      </c>
      <c r="E2556" t="s">
        <v>45</v>
      </c>
      <c r="F2556" t="s">
        <v>49</v>
      </c>
      <c r="G2556" t="s">
        <v>5230</v>
      </c>
      <c r="H2556" t="s">
        <v>5231</v>
      </c>
      <c r="J2556" t="str">
        <f>HYPERLINK("https://twitter.com/SpiceMoneyIndia/status/1753022990906790385","https://twitter.com/SpiceMoneyIndia/status/1753022990906790385")</f>
        <v>https://twitter.com/SpiceMoneyIndia/status/1753022990906790385</v>
      </c>
      <c r="K2556" t="s">
        <v>67</v>
      </c>
      <c r="O2556">
        <v>0</v>
      </c>
      <c r="P2556">
        <v>0</v>
      </c>
      <c r="Q2556">
        <v>6017</v>
      </c>
      <c r="R2556" t="s">
        <v>97</v>
      </c>
      <c r="S2556">
        <v>0</v>
      </c>
      <c r="T2556">
        <v>0</v>
      </c>
      <c r="U2556">
        <v>0</v>
      </c>
      <c r="V2556" t="s">
        <v>98</v>
      </c>
      <c r="W2556" t="s">
        <v>99</v>
      </c>
    </row>
    <row r="2557" spans="1:23" x14ac:dyDescent="0.35">
      <c r="A2557" t="s">
        <v>45</v>
      </c>
      <c r="B2557" t="s">
        <v>5163</v>
      </c>
      <c r="C2557" t="s">
        <v>60</v>
      </c>
      <c r="D2557" t="s">
        <v>61</v>
      </c>
      <c r="E2557" t="s">
        <v>61</v>
      </c>
      <c r="F2557" t="s">
        <v>49</v>
      </c>
      <c r="G2557" t="s">
        <v>5232</v>
      </c>
      <c r="H2557" t="s">
        <v>5233</v>
      </c>
      <c r="J2557" t="str">
        <f>HYPERLINK("https://www.facebook.com/634639855377280/posts/783040850537179?comment_id=706222724967258","https://www.facebook.com/634639855377280/posts/783040850537179?comment_id=706222724967258")</f>
        <v>https://www.facebook.com/634639855377280/posts/783040850537179?comment_id=706222724967258</v>
      </c>
      <c r="O2557">
        <v>0</v>
      </c>
      <c r="P2557">
        <v>0</v>
      </c>
      <c r="Q2557">
        <v>0</v>
      </c>
      <c r="S2557">
        <v>0</v>
      </c>
      <c r="T2557">
        <v>0</v>
      </c>
      <c r="U2557">
        <v>0</v>
      </c>
      <c r="W2557" t="s">
        <v>52</v>
      </c>
    </row>
    <row r="2558" spans="1:23" x14ac:dyDescent="0.35">
      <c r="A2558" t="s">
        <v>45</v>
      </c>
      <c r="B2558" t="s">
        <v>5163</v>
      </c>
      <c r="C2558" t="s">
        <v>60</v>
      </c>
      <c r="D2558" t="s">
        <v>61</v>
      </c>
      <c r="E2558" t="s">
        <v>61</v>
      </c>
      <c r="F2558" t="s">
        <v>49</v>
      </c>
      <c r="G2558" t="s">
        <v>5234</v>
      </c>
      <c r="H2558" t="s">
        <v>5235</v>
      </c>
      <c r="J2558" t="str">
        <f>HYPERLINK("https://www.facebook.com/634639855377280/posts/782513537256577?comment_id=396563412733032&amp;reply_comment_id=1564913097684647","https://www.facebook.com/634639855377280/posts/782513537256577?comment_id=396563412733032&amp;reply_comment_id=1564913097684647")</f>
        <v>https://www.facebook.com/634639855377280/posts/782513537256577?comment_id=396563412733032&amp;reply_comment_id=1564913097684647</v>
      </c>
      <c r="O2558">
        <v>0</v>
      </c>
      <c r="P2558">
        <v>0</v>
      </c>
      <c r="Q2558">
        <v>0</v>
      </c>
      <c r="S2558">
        <v>0</v>
      </c>
      <c r="T2558">
        <v>0</v>
      </c>
      <c r="U2558">
        <v>0</v>
      </c>
      <c r="W2558" t="s">
        <v>52</v>
      </c>
    </row>
    <row r="2559" spans="1:23" x14ac:dyDescent="0.35">
      <c r="A2559" t="s">
        <v>45</v>
      </c>
      <c r="B2559" t="s">
        <v>5163</v>
      </c>
      <c r="C2559" t="s">
        <v>60</v>
      </c>
      <c r="D2559" t="s">
        <v>61</v>
      </c>
      <c r="E2559" t="s">
        <v>61</v>
      </c>
      <c r="F2559" t="s">
        <v>49</v>
      </c>
      <c r="G2559" t="s">
        <v>5236</v>
      </c>
      <c r="H2559" t="s">
        <v>5237</v>
      </c>
      <c r="J2559" t="str">
        <f>HYPERLINK("https://www.facebook.com/634639855377280/posts/782513537256577?comment_id=396563412733032&amp;reply_comment_id=3644116295843737","https://www.facebook.com/634639855377280/posts/782513537256577?comment_id=396563412733032&amp;reply_comment_id=3644116295843737")</f>
        <v>https://www.facebook.com/634639855377280/posts/782513537256577?comment_id=396563412733032&amp;reply_comment_id=3644116295843737</v>
      </c>
      <c r="O2559">
        <v>0</v>
      </c>
      <c r="P2559">
        <v>0</v>
      </c>
      <c r="Q2559">
        <v>0</v>
      </c>
      <c r="S2559">
        <v>0</v>
      </c>
      <c r="T2559">
        <v>0</v>
      </c>
      <c r="U2559">
        <v>0</v>
      </c>
      <c r="W2559" t="s">
        <v>52</v>
      </c>
    </row>
    <row r="2560" spans="1:23" x14ac:dyDescent="0.35">
      <c r="A2560" t="s">
        <v>45</v>
      </c>
      <c r="B2560" t="s">
        <v>5163</v>
      </c>
      <c r="C2560" t="s">
        <v>47</v>
      </c>
      <c r="D2560" t="s">
        <v>351</v>
      </c>
      <c r="E2560" t="s">
        <v>351</v>
      </c>
      <c r="F2560" t="s">
        <v>49</v>
      </c>
      <c r="G2560" t="s">
        <v>5238</v>
      </c>
      <c r="H2560" t="s">
        <v>5239</v>
      </c>
      <c r="J2560" t="str">
        <f>HYPERLINK("https://www.youtube.com/watch?v=-l0zuXgllLA&amp;lc=UgzlCh6E2LSS-_EvCL94AaABAg.A-DMttDxdQJA-GrGj5YNml","https://www.youtube.com/watch?v=-l0zuXgllLA&amp;lc=UgzlCh6E2LSS-_EvCL94AaABAg.A-DMttDxdQJA-GrGj5YNml")</f>
        <v>https://www.youtube.com/watch?v=-l0zuXgllLA&amp;lc=UgzlCh6E2LSS-_EvCL94AaABAg.A-DMttDxdQJA-GrGj5YNml</v>
      </c>
      <c r="O2560">
        <v>0</v>
      </c>
      <c r="P2560">
        <v>0</v>
      </c>
      <c r="Q2560">
        <v>0</v>
      </c>
      <c r="S2560">
        <v>0</v>
      </c>
      <c r="T2560">
        <v>0</v>
      </c>
      <c r="U2560">
        <v>0</v>
      </c>
      <c r="W2560" t="s">
        <v>52</v>
      </c>
    </row>
    <row r="2561" spans="1:23" x14ac:dyDescent="0.35">
      <c r="A2561" t="s">
        <v>45</v>
      </c>
      <c r="B2561" t="s">
        <v>5163</v>
      </c>
      <c r="C2561" t="s">
        <v>93</v>
      </c>
      <c r="D2561" t="s">
        <v>94</v>
      </c>
      <c r="E2561" t="s">
        <v>45</v>
      </c>
      <c r="F2561" t="s">
        <v>49</v>
      </c>
      <c r="G2561" t="s">
        <v>5240</v>
      </c>
      <c r="H2561" t="s">
        <v>5241</v>
      </c>
      <c r="J2561" t="str">
        <f>HYPERLINK("https://twitter.com/SpiceMoneyIndia/status/1753008190671696224","https://twitter.com/SpiceMoneyIndia/status/1753008190671696224")</f>
        <v>https://twitter.com/SpiceMoneyIndia/status/1753008190671696224</v>
      </c>
      <c r="K2561" t="s">
        <v>67</v>
      </c>
      <c r="O2561">
        <v>0</v>
      </c>
      <c r="P2561">
        <v>0</v>
      </c>
      <c r="Q2561">
        <v>6017</v>
      </c>
      <c r="R2561" t="s">
        <v>97</v>
      </c>
      <c r="S2561">
        <v>0</v>
      </c>
      <c r="T2561">
        <v>0</v>
      </c>
      <c r="U2561">
        <v>0</v>
      </c>
      <c r="V2561" t="s">
        <v>98</v>
      </c>
      <c r="W2561" t="s">
        <v>99</v>
      </c>
    </row>
    <row r="2562" spans="1:23" x14ac:dyDescent="0.35">
      <c r="A2562" t="s">
        <v>45</v>
      </c>
      <c r="B2562" t="s">
        <v>5163</v>
      </c>
      <c r="C2562" t="s">
        <v>93</v>
      </c>
      <c r="D2562" t="s">
        <v>5242</v>
      </c>
      <c r="E2562" t="s">
        <v>5243</v>
      </c>
      <c r="F2562" t="s">
        <v>49</v>
      </c>
      <c r="G2562" t="s">
        <v>4979</v>
      </c>
      <c r="H2562" t="s">
        <v>5244</v>
      </c>
      <c r="J2562" t="str">
        <f>HYPERLINK("https://twitter.com/TecnologyS15089/status/1753004040030679258","https://twitter.com/TecnologyS15089/status/1753004040030679258")</f>
        <v>https://twitter.com/TecnologyS15089/status/1753004040030679258</v>
      </c>
      <c r="K2562" t="s">
        <v>67</v>
      </c>
      <c r="O2562">
        <v>0</v>
      </c>
      <c r="P2562">
        <v>0</v>
      </c>
      <c r="Q2562">
        <v>0</v>
      </c>
      <c r="S2562">
        <v>0</v>
      </c>
      <c r="T2562">
        <v>0</v>
      </c>
      <c r="U2562">
        <v>0</v>
      </c>
      <c r="W2562" t="s">
        <v>99</v>
      </c>
    </row>
    <row r="2563" spans="1:23" x14ac:dyDescent="0.35">
      <c r="A2563" t="s">
        <v>45</v>
      </c>
      <c r="B2563" t="s">
        <v>5163</v>
      </c>
      <c r="C2563" t="s">
        <v>60</v>
      </c>
      <c r="D2563" t="s">
        <v>61</v>
      </c>
      <c r="E2563" t="s">
        <v>61</v>
      </c>
      <c r="F2563" t="s">
        <v>49</v>
      </c>
      <c r="G2563" t="s">
        <v>5245</v>
      </c>
      <c r="H2563" t="s">
        <v>5246</v>
      </c>
      <c r="J2563" t="str">
        <f>HYPERLINK("https://www.facebook.com/634639855377280/posts/783040850537179?comment_id=316616990848685&amp;reply_comment_id=1467058937223802","https://www.facebook.com/634639855377280/posts/783040850537179?comment_id=316616990848685&amp;reply_comment_id=1467058937223802")</f>
        <v>https://www.facebook.com/634639855377280/posts/783040850537179?comment_id=316616990848685&amp;reply_comment_id=1467058937223802</v>
      </c>
      <c r="O2563">
        <v>0</v>
      </c>
      <c r="P2563">
        <v>0</v>
      </c>
      <c r="Q2563">
        <v>0</v>
      </c>
      <c r="S2563">
        <v>0</v>
      </c>
      <c r="T2563">
        <v>0</v>
      </c>
      <c r="U2563">
        <v>0</v>
      </c>
      <c r="W2563" t="s">
        <v>52</v>
      </c>
    </row>
    <row r="2564" spans="1:23" x14ac:dyDescent="0.35">
      <c r="A2564" t="s">
        <v>45</v>
      </c>
      <c r="B2564" t="s">
        <v>5163</v>
      </c>
      <c r="C2564" t="s">
        <v>93</v>
      </c>
      <c r="D2564" t="s">
        <v>94</v>
      </c>
      <c r="E2564" t="s">
        <v>45</v>
      </c>
      <c r="F2564" t="s">
        <v>49</v>
      </c>
      <c r="G2564" t="s">
        <v>5247</v>
      </c>
      <c r="H2564" t="s">
        <v>5248</v>
      </c>
      <c r="J2564" t="str">
        <f>HYPERLINK("https://twitter.com/SpiceMoneyIndia/status/1753001934586335592","https://twitter.com/SpiceMoneyIndia/status/1753001934586335592")</f>
        <v>https://twitter.com/SpiceMoneyIndia/status/1753001934586335592</v>
      </c>
      <c r="K2564" t="s">
        <v>67</v>
      </c>
      <c r="O2564">
        <v>0</v>
      </c>
      <c r="P2564">
        <v>0</v>
      </c>
      <c r="Q2564">
        <v>6016</v>
      </c>
      <c r="R2564" t="s">
        <v>97</v>
      </c>
      <c r="S2564">
        <v>0</v>
      </c>
      <c r="T2564">
        <v>0</v>
      </c>
      <c r="U2564">
        <v>0</v>
      </c>
      <c r="V2564" t="s">
        <v>98</v>
      </c>
      <c r="W2564" t="s">
        <v>99</v>
      </c>
    </row>
    <row r="2565" spans="1:23" x14ac:dyDescent="0.35">
      <c r="A2565" t="s">
        <v>45</v>
      </c>
      <c r="B2565" t="s">
        <v>5163</v>
      </c>
      <c r="C2565" t="s">
        <v>60</v>
      </c>
      <c r="D2565" t="s">
        <v>64</v>
      </c>
      <c r="E2565" t="s">
        <v>64</v>
      </c>
      <c r="F2565" t="s">
        <v>49</v>
      </c>
      <c r="G2565" t="s">
        <v>5249</v>
      </c>
      <c r="H2565" t="s">
        <v>5250</v>
      </c>
      <c r="J2565" t="str">
        <f>HYPERLINK("https://www.facebook.com/634639855377280/posts/780650374109560?comment_id=1052607232481994&amp;reply_comment_id=415598777582887","https://www.facebook.com/634639855377280/posts/780650374109560?comment_id=1052607232481994&amp;reply_comment_id=415598777582887")</f>
        <v>https://www.facebook.com/634639855377280/posts/780650374109560?comment_id=1052607232481994&amp;reply_comment_id=415598777582887</v>
      </c>
      <c r="K2565" t="s">
        <v>67</v>
      </c>
      <c r="O2565">
        <v>0</v>
      </c>
      <c r="P2565">
        <v>0</v>
      </c>
      <c r="Q2565">
        <v>0</v>
      </c>
      <c r="S2565">
        <v>0</v>
      </c>
      <c r="T2565">
        <v>0</v>
      </c>
      <c r="U2565">
        <v>0</v>
      </c>
      <c r="W2565" t="s">
        <v>52</v>
      </c>
    </row>
    <row r="2566" spans="1:23" x14ac:dyDescent="0.35">
      <c r="A2566" t="s">
        <v>45</v>
      </c>
      <c r="B2566" t="s">
        <v>5163</v>
      </c>
      <c r="C2566" t="s">
        <v>60</v>
      </c>
      <c r="D2566" t="s">
        <v>61</v>
      </c>
      <c r="E2566" t="s">
        <v>61</v>
      </c>
      <c r="F2566" t="s">
        <v>49</v>
      </c>
      <c r="G2566" t="s">
        <v>5251</v>
      </c>
      <c r="H2566" t="s">
        <v>5252</v>
      </c>
      <c r="J2566" t="str">
        <f>HYPERLINK("https://www.facebook.com/634639855377280/posts/783040850537179?comment_id=693980909606766","https://www.facebook.com/634639855377280/posts/783040850537179?comment_id=693980909606766")</f>
        <v>https://www.facebook.com/634639855377280/posts/783040850537179?comment_id=693980909606766</v>
      </c>
      <c r="O2566">
        <v>0</v>
      </c>
      <c r="P2566">
        <v>0</v>
      </c>
      <c r="Q2566">
        <v>0</v>
      </c>
      <c r="S2566">
        <v>0</v>
      </c>
      <c r="T2566">
        <v>0</v>
      </c>
      <c r="U2566">
        <v>0</v>
      </c>
      <c r="W2566" t="s">
        <v>52</v>
      </c>
    </row>
    <row r="2567" spans="1:23" x14ac:dyDescent="0.35">
      <c r="A2567" t="s">
        <v>45</v>
      </c>
      <c r="B2567" t="s">
        <v>5163</v>
      </c>
      <c r="C2567" t="s">
        <v>93</v>
      </c>
      <c r="D2567" t="s">
        <v>94</v>
      </c>
      <c r="E2567" t="s">
        <v>45</v>
      </c>
      <c r="F2567" t="s">
        <v>49</v>
      </c>
      <c r="G2567" t="s">
        <v>5253</v>
      </c>
      <c r="H2567" t="s">
        <v>5254</v>
      </c>
      <c r="J2567" t="str">
        <f>HYPERLINK("https://twitter.com/SpiceMoneyIndia/status/1752996719476842811","https://twitter.com/SpiceMoneyIndia/status/1752996719476842811")</f>
        <v>https://twitter.com/SpiceMoneyIndia/status/1752996719476842811</v>
      </c>
      <c r="K2567" t="s">
        <v>67</v>
      </c>
      <c r="O2567">
        <v>0</v>
      </c>
      <c r="P2567">
        <v>0</v>
      </c>
      <c r="Q2567">
        <v>6016</v>
      </c>
      <c r="R2567" t="s">
        <v>97</v>
      </c>
      <c r="S2567">
        <v>0</v>
      </c>
      <c r="T2567">
        <v>0</v>
      </c>
      <c r="U2567">
        <v>0</v>
      </c>
      <c r="V2567" t="s">
        <v>98</v>
      </c>
      <c r="W2567" t="s">
        <v>99</v>
      </c>
    </row>
    <row r="2568" spans="1:23" x14ac:dyDescent="0.35">
      <c r="A2568" t="s">
        <v>45</v>
      </c>
      <c r="B2568" t="s">
        <v>5163</v>
      </c>
      <c r="C2568" t="s">
        <v>60</v>
      </c>
      <c r="D2568" t="s">
        <v>61</v>
      </c>
      <c r="E2568" t="s">
        <v>61</v>
      </c>
      <c r="F2568" t="s">
        <v>49</v>
      </c>
      <c r="G2568" t="s">
        <v>5255</v>
      </c>
      <c r="H2568" t="s">
        <v>5256</v>
      </c>
      <c r="J2568" t="str">
        <f>HYPERLINK("https://www.facebook.com/634639855377280/posts/783040850537179?comment_id=1098353447967346","https://www.facebook.com/634639855377280/posts/783040850537179?comment_id=1098353447967346")</f>
        <v>https://www.facebook.com/634639855377280/posts/783040850537179?comment_id=1098353447967346</v>
      </c>
      <c r="O2568">
        <v>0</v>
      </c>
      <c r="P2568">
        <v>0</v>
      </c>
      <c r="Q2568">
        <v>0</v>
      </c>
      <c r="S2568">
        <v>0</v>
      </c>
      <c r="T2568">
        <v>0</v>
      </c>
      <c r="U2568">
        <v>0</v>
      </c>
      <c r="W2568" t="s">
        <v>52</v>
      </c>
    </row>
    <row r="2569" spans="1:23" x14ac:dyDescent="0.35">
      <c r="A2569" t="s">
        <v>45</v>
      </c>
      <c r="B2569" t="s">
        <v>5163</v>
      </c>
      <c r="C2569" t="s">
        <v>60</v>
      </c>
      <c r="D2569" t="s">
        <v>61</v>
      </c>
      <c r="E2569" t="s">
        <v>61</v>
      </c>
      <c r="F2569" t="s">
        <v>49</v>
      </c>
      <c r="G2569" t="s">
        <v>5257</v>
      </c>
      <c r="H2569" t="s">
        <v>5258</v>
      </c>
      <c r="J2569" t="str">
        <f>HYPERLINK("https://www.facebook.com/634639855377280/posts/783040850537179?comment_id=323960680625175&amp;reply_comment_id=1079195796727168","https://www.facebook.com/634639855377280/posts/783040850537179?comment_id=323960680625175&amp;reply_comment_id=1079195796727168")</f>
        <v>https://www.facebook.com/634639855377280/posts/783040850537179?comment_id=323960680625175&amp;reply_comment_id=1079195796727168</v>
      </c>
      <c r="O2569">
        <v>0</v>
      </c>
      <c r="P2569">
        <v>0</v>
      </c>
      <c r="Q2569">
        <v>0</v>
      </c>
      <c r="S2569">
        <v>0</v>
      </c>
      <c r="T2569">
        <v>0</v>
      </c>
      <c r="U2569">
        <v>0</v>
      </c>
      <c r="W2569" t="s">
        <v>52</v>
      </c>
    </row>
    <row r="2570" spans="1:23" x14ac:dyDescent="0.35">
      <c r="A2570" t="s">
        <v>45</v>
      </c>
      <c r="B2570" t="s">
        <v>5163</v>
      </c>
      <c r="C2570" t="s">
        <v>60</v>
      </c>
      <c r="D2570" t="s">
        <v>64</v>
      </c>
      <c r="E2570" t="s">
        <v>64</v>
      </c>
      <c r="F2570" t="s">
        <v>49</v>
      </c>
      <c r="G2570" t="s">
        <v>1595</v>
      </c>
      <c r="H2570" t="s">
        <v>5259</v>
      </c>
      <c r="J2570" t="str">
        <f>HYPERLINK("https://www.facebook.com/634639855377280/posts/783040850537179?comment_id=1138557833852833&amp;reply_comment_id=1375881623810791","https://www.facebook.com/634639855377280/posts/783040850537179?comment_id=1138557833852833&amp;reply_comment_id=1375881623810791")</f>
        <v>https://www.facebook.com/634639855377280/posts/783040850537179?comment_id=1138557833852833&amp;reply_comment_id=1375881623810791</v>
      </c>
      <c r="K2570" t="s">
        <v>67</v>
      </c>
      <c r="O2570">
        <v>0</v>
      </c>
      <c r="P2570">
        <v>0</v>
      </c>
      <c r="Q2570">
        <v>0</v>
      </c>
      <c r="S2570">
        <v>0</v>
      </c>
      <c r="T2570">
        <v>0</v>
      </c>
      <c r="U2570">
        <v>0</v>
      </c>
      <c r="W2570" t="s">
        <v>52</v>
      </c>
    </row>
    <row r="2571" spans="1:23" x14ac:dyDescent="0.35">
      <c r="A2571" t="s">
        <v>45</v>
      </c>
      <c r="B2571" t="s">
        <v>5163</v>
      </c>
      <c r="C2571" t="s">
        <v>60</v>
      </c>
      <c r="D2571" t="s">
        <v>64</v>
      </c>
      <c r="E2571" t="s">
        <v>64</v>
      </c>
      <c r="F2571" t="s">
        <v>49</v>
      </c>
      <c r="G2571" t="s">
        <v>5260</v>
      </c>
      <c r="H2571" t="s">
        <v>5261</v>
      </c>
      <c r="J2571" t="str">
        <f>HYPERLINK("https://www.facebook.com/634639855377280/posts/782513537256577?comment_id=929535295551991&amp;reply_comment_id=375642408384524","https://www.facebook.com/634639855377280/posts/782513537256577?comment_id=929535295551991&amp;reply_comment_id=375642408384524")</f>
        <v>https://www.facebook.com/634639855377280/posts/782513537256577?comment_id=929535295551991&amp;reply_comment_id=375642408384524</v>
      </c>
      <c r="K2571" t="s">
        <v>67</v>
      </c>
      <c r="O2571">
        <v>0</v>
      </c>
      <c r="P2571">
        <v>0</v>
      </c>
      <c r="Q2571">
        <v>0</v>
      </c>
      <c r="S2571">
        <v>0</v>
      </c>
      <c r="T2571">
        <v>0</v>
      </c>
      <c r="U2571">
        <v>0</v>
      </c>
      <c r="W2571" t="s">
        <v>52</v>
      </c>
    </row>
    <row r="2572" spans="1:23" x14ac:dyDescent="0.35">
      <c r="A2572" t="s">
        <v>45</v>
      </c>
      <c r="B2572" t="s">
        <v>5163</v>
      </c>
      <c r="C2572" t="s">
        <v>60</v>
      </c>
      <c r="D2572" t="s">
        <v>64</v>
      </c>
      <c r="E2572" t="s">
        <v>64</v>
      </c>
      <c r="F2572" t="s">
        <v>49</v>
      </c>
      <c r="G2572" t="s">
        <v>83</v>
      </c>
      <c r="H2572" t="s">
        <v>5262</v>
      </c>
      <c r="J2572" t="str">
        <f>HYPERLINK("https://www.facebook.com/634639855377280/posts/783040850537179?comment_id=323960680625175&amp;reply_comment_id=899654478365816","https://www.facebook.com/634639855377280/posts/783040850537179?comment_id=323960680625175&amp;reply_comment_id=899654478365816")</f>
        <v>https://www.facebook.com/634639855377280/posts/783040850537179?comment_id=323960680625175&amp;reply_comment_id=899654478365816</v>
      </c>
      <c r="K2572" t="s">
        <v>67</v>
      </c>
      <c r="O2572">
        <v>0</v>
      </c>
      <c r="P2572">
        <v>0</v>
      </c>
      <c r="Q2572">
        <v>0</v>
      </c>
      <c r="S2572">
        <v>0</v>
      </c>
      <c r="T2572">
        <v>0</v>
      </c>
      <c r="U2572">
        <v>0</v>
      </c>
      <c r="W2572" t="s">
        <v>52</v>
      </c>
    </row>
    <row r="2573" spans="1:23" x14ac:dyDescent="0.35">
      <c r="A2573" t="s">
        <v>45</v>
      </c>
      <c r="B2573" t="s">
        <v>5163</v>
      </c>
      <c r="C2573" t="s">
        <v>47</v>
      </c>
      <c r="D2573" t="s">
        <v>68</v>
      </c>
      <c r="E2573" t="s">
        <v>68</v>
      </c>
      <c r="F2573" t="s">
        <v>49</v>
      </c>
      <c r="G2573" t="s">
        <v>5263</v>
      </c>
      <c r="H2573" t="s">
        <v>5264</v>
      </c>
      <c r="J2573" t="str">
        <f>HYPERLINK("https://www.youtube.com/watch?v=-l0zuXgllLA&amp;lc=UgzlCh6E2LSS-_EvCL94AaABAg.A-DMttDxdQJA-Ghbl0mhFt","https://www.youtube.com/watch?v=-l0zuXgllLA&amp;lc=UgzlCh6E2LSS-_EvCL94AaABAg.A-DMttDxdQJA-Ghbl0mhFt")</f>
        <v>https://www.youtube.com/watch?v=-l0zuXgllLA&amp;lc=UgzlCh6E2LSS-_EvCL94AaABAg.A-DMttDxdQJA-Ghbl0mhFt</v>
      </c>
      <c r="O2573">
        <v>0</v>
      </c>
      <c r="P2573">
        <v>0</v>
      </c>
      <c r="Q2573">
        <v>0</v>
      </c>
      <c r="S2573">
        <v>0</v>
      </c>
      <c r="T2573">
        <v>0</v>
      </c>
      <c r="U2573">
        <v>0</v>
      </c>
      <c r="W2573" t="s">
        <v>52</v>
      </c>
    </row>
    <row r="2574" spans="1:23" x14ac:dyDescent="0.35">
      <c r="A2574" t="s">
        <v>45</v>
      </c>
      <c r="B2574" t="s">
        <v>5163</v>
      </c>
      <c r="C2574" t="s">
        <v>93</v>
      </c>
      <c r="D2574" t="s">
        <v>4755</v>
      </c>
      <c r="E2574" t="s">
        <v>4756</v>
      </c>
      <c r="F2574" t="s">
        <v>49</v>
      </c>
      <c r="G2574" t="s">
        <v>5265</v>
      </c>
      <c r="H2574" t="s">
        <v>5266</v>
      </c>
      <c r="J2574" t="str">
        <f>HYPERLINK("https://twitter.com/InsAdvisormanoj/status/1752980494927778028","https://twitter.com/InsAdvisormanoj/status/1752980494927778028")</f>
        <v>https://twitter.com/InsAdvisormanoj/status/1752980494927778028</v>
      </c>
      <c r="K2574" t="s">
        <v>67</v>
      </c>
      <c r="O2574">
        <v>0</v>
      </c>
      <c r="P2574">
        <v>0</v>
      </c>
      <c r="Q2574">
        <v>3</v>
      </c>
      <c r="R2574" t="s">
        <v>4759</v>
      </c>
      <c r="S2574">
        <v>0</v>
      </c>
      <c r="T2574">
        <v>0</v>
      </c>
      <c r="U2574">
        <v>0</v>
      </c>
      <c r="W2574" t="s">
        <v>99</v>
      </c>
    </row>
    <row r="2575" spans="1:23" x14ac:dyDescent="0.35">
      <c r="A2575" t="s">
        <v>45</v>
      </c>
      <c r="B2575" t="s">
        <v>5163</v>
      </c>
      <c r="C2575" t="s">
        <v>60</v>
      </c>
      <c r="D2575" t="s">
        <v>61</v>
      </c>
      <c r="E2575" t="s">
        <v>61</v>
      </c>
      <c r="F2575" t="s">
        <v>49</v>
      </c>
      <c r="G2575" t="s">
        <v>5267</v>
      </c>
      <c r="H2575" t="s">
        <v>5268</v>
      </c>
      <c r="J2575" t="str">
        <f>HYPERLINK("https://www.facebook.com/634639855377280/posts/783040850537179?comment_id=1138557833852833","https://www.facebook.com/634639855377280/posts/783040850537179?comment_id=1138557833852833")</f>
        <v>https://www.facebook.com/634639855377280/posts/783040850537179?comment_id=1138557833852833</v>
      </c>
      <c r="O2575">
        <v>0</v>
      </c>
      <c r="P2575">
        <v>0</v>
      </c>
      <c r="Q2575">
        <v>0</v>
      </c>
      <c r="S2575">
        <v>0</v>
      </c>
      <c r="T2575">
        <v>0</v>
      </c>
      <c r="U2575">
        <v>0</v>
      </c>
      <c r="W2575" t="s">
        <v>52</v>
      </c>
    </row>
    <row r="2576" spans="1:23" x14ac:dyDescent="0.35">
      <c r="A2576" t="s">
        <v>45</v>
      </c>
      <c r="B2576" t="s">
        <v>5163</v>
      </c>
      <c r="C2576" t="s">
        <v>60</v>
      </c>
      <c r="D2576" t="s">
        <v>61</v>
      </c>
      <c r="E2576" t="s">
        <v>61</v>
      </c>
      <c r="F2576" t="s">
        <v>49</v>
      </c>
      <c r="G2576" t="s">
        <v>5269</v>
      </c>
      <c r="H2576" t="s">
        <v>5270</v>
      </c>
      <c r="J2576" t="str">
        <f>HYPERLINK("https://www.facebook.com/634639855377280/posts/783040850537179?comment_id=323960680625175","https://www.facebook.com/634639855377280/posts/783040850537179?comment_id=323960680625175")</f>
        <v>https://www.facebook.com/634639855377280/posts/783040850537179?comment_id=323960680625175</v>
      </c>
      <c r="O2576">
        <v>0</v>
      </c>
      <c r="P2576">
        <v>0</v>
      </c>
      <c r="Q2576">
        <v>0</v>
      </c>
      <c r="S2576">
        <v>0</v>
      </c>
      <c r="T2576">
        <v>0</v>
      </c>
      <c r="U2576">
        <v>0</v>
      </c>
      <c r="W2576" t="s">
        <v>52</v>
      </c>
    </row>
    <row r="2577" spans="1:23" x14ac:dyDescent="0.35">
      <c r="A2577" t="s">
        <v>45</v>
      </c>
      <c r="B2577" t="s">
        <v>5163</v>
      </c>
      <c r="C2577" t="s">
        <v>93</v>
      </c>
      <c r="D2577" t="s">
        <v>94</v>
      </c>
      <c r="E2577" t="s">
        <v>45</v>
      </c>
      <c r="F2577" t="s">
        <v>49</v>
      </c>
      <c r="G2577" t="s">
        <v>5271</v>
      </c>
      <c r="H2577" t="s">
        <v>5272</v>
      </c>
      <c r="J2577" t="str">
        <f>HYPERLINK("https://twitter.com/SpiceMoneyIndia/status/1752969397776302397","https://twitter.com/SpiceMoneyIndia/status/1752969397776302397")</f>
        <v>https://twitter.com/SpiceMoneyIndia/status/1752969397776302397</v>
      </c>
      <c r="K2577" t="s">
        <v>67</v>
      </c>
      <c r="O2577">
        <v>0</v>
      </c>
      <c r="P2577">
        <v>0</v>
      </c>
      <c r="Q2577">
        <v>6016</v>
      </c>
      <c r="R2577" t="s">
        <v>97</v>
      </c>
      <c r="S2577">
        <v>0</v>
      </c>
      <c r="T2577">
        <v>0</v>
      </c>
      <c r="U2577">
        <v>0</v>
      </c>
      <c r="V2577" t="s">
        <v>98</v>
      </c>
      <c r="W2577" t="s">
        <v>99</v>
      </c>
    </row>
    <row r="2578" spans="1:23" x14ac:dyDescent="0.35">
      <c r="A2578" t="s">
        <v>45</v>
      </c>
      <c r="B2578" t="s">
        <v>5163</v>
      </c>
      <c r="C2578" t="s">
        <v>93</v>
      </c>
      <c r="D2578" t="s">
        <v>94</v>
      </c>
      <c r="E2578" t="s">
        <v>45</v>
      </c>
      <c r="F2578" t="s">
        <v>49</v>
      </c>
      <c r="G2578" t="s">
        <v>5273</v>
      </c>
      <c r="H2578" t="s">
        <v>5272</v>
      </c>
      <c r="J2578" t="str">
        <f>HYPERLINK("https://twitter.com/SpiceMoneyIndia/status/1752969398321553542","https://twitter.com/SpiceMoneyIndia/status/1752969398321553542")</f>
        <v>https://twitter.com/SpiceMoneyIndia/status/1752969398321553542</v>
      </c>
      <c r="K2578" t="s">
        <v>67</v>
      </c>
      <c r="O2578">
        <v>0</v>
      </c>
      <c r="P2578">
        <v>0</v>
      </c>
      <c r="Q2578">
        <v>6016</v>
      </c>
      <c r="R2578" t="s">
        <v>97</v>
      </c>
      <c r="S2578">
        <v>0</v>
      </c>
      <c r="T2578">
        <v>0</v>
      </c>
      <c r="U2578">
        <v>0</v>
      </c>
      <c r="V2578" t="s">
        <v>98</v>
      </c>
      <c r="W2578" t="s">
        <v>99</v>
      </c>
    </row>
    <row r="2579" spans="1:23" x14ac:dyDescent="0.35">
      <c r="A2579" t="s">
        <v>45</v>
      </c>
      <c r="B2579" t="s">
        <v>5163</v>
      </c>
      <c r="C2579" t="s">
        <v>60</v>
      </c>
      <c r="D2579" t="s">
        <v>64</v>
      </c>
      <c r="E2579" t="s">
        <v>64</v>
      </c>
      <c r="F2579" t="s">
        <v>49</v>
      </c>
      <c r="G2579" t="s">
        <v>3138</v>
      </c>
      <c r="H2579" t="s">
        <v>5274</v>
      </c>
      <c r="J2579" t="str">
        <f>HYPERLINK("https://www.facebook.com/634639855377280/posts/782513537256577?comment_id=396563412733032&amp;reply_comment_id=911399733819599","https://www.facebook.com/634639855377280/posts/782513537256577?comment_id=396563412733032&amp;reply_comment_id=911399733819599")</f>
        <v>https://www.facebook.com/634639855377280/posts/782513537256577?comment_id=396563412733032&amp;reply_comment_id=911399733819599</v>
      </c>
      <c r="K2579" t="s">
        <v>67</v>
      </c>
      <c r="O2579">
        <v>0</v>
      </c>
      <c r="P2579">
        <v>0</v>
      </c>
      <c r="Q2579">
        <v>0</v>
      </c>
      <c r="S2579">
        <v>0</v>
      </c>
      <c r="T2579">
        <v>0</v>
      </c>
      <c r="U2579">
        <v>0</v>
      </c>
      <c r="W2579" t="s">
        <v>52</v>
      </c>
    </row>
    <row r="2580" spans="1:23" x14ac:dyDescent="0.35">
      <c r="A2580" t="s">
        <v>45</v>
      </c>
      <c r="B2580" t="s">
        <v>5163</v>
      </c>
      <c r="C2580" t="s">
        <v>60</v>
      </c>
      <c r="D2580" t="s">
        <v>64</v>
      </c>
      <c r="E2580" t="s">
        <v>64</v>
      </c>
      <c r="F2580" t="s">
        <v>49</v>
      </c>
      <c r="G2580" t="s">
        <v>3773</v>
      </c>
      <c r="H2580" t="s">
        <v>5275</v>
      </c>
      <c r="J2580" t="str">
        <f>HYPERLINK("https://www.facebook.com/634639855377280/posts/781887530652511?comment_id=722873743267621&amp;reply_comment_id=1563728951069776","https://www.facebook.com/634639855377280/posts/781887530652511?comment_id=722873743267621&amp;reply_comment_id=1563728951069776")</f>
        <v>https://www.facebook.com/634639855377280/posts/781887530652511?comment_id=722873743267621&amp;reply_comment_id=1563728951069776</v>
      </c>
      <c r="K2580" t="s">
        <v>67</v>
      </c>
      <c r="O2580">
        <v>0</v>
      </c>
      <c r="P2580">
        <v>0</v>
      </c>
      <c r="Q2580">
        <v>0</v>
      </c>
      <c r="S2580">
        <v>0</v>
      </c>
      <c r="T2580">
        <v>0</v>
      </c>
      <c r="U2580">
        <v>0</v>
      </c>
      <c r="W2580" t="s">
        <v>52</v>
      </c>
    </row>
    <row r="2581" spans="1:23" x14ac:dyDescent="0.35">
      <c r="A2581" t="s">
        <v>45</v>
      </c>
      <c r="B2581" t="s">
        <v>5163</v>
      </c>
      <c r="C2581" t="s">
        <v>60</v>
      </c>
      <c r="D2581" t="s">
        <v>64</v>
      </c>
      <c r="E2581" t="s">
        <v>64</v>
      </c>
      <c r="F2581" t="s">
        <v>49</v>
      </c>
      <c r="G2581" t="s">
        <v>1595</v>
      </c>
      <c r="H2581" t="s">
        <v>5276</v>
      </c>
      <c r="J2581" t="str">
        <f>HYPERLINK("https://www.facebook.com/634639855377280/posts/783040850537179?comment_id=316616990848685&amp;reply_comment_id=870209001545300","https://www.facebook.com/634639855377280/posts/783040850537179?comment_id=316616990848685&amp;reply_comment_id=870209001545300")</f>
        <v>https://www.facebook.com/634639855377280/posts/783040850537179?comment_id=316616990848685&amp;reply_comment_id=870209001545300</v>
      </c>
      <c r="K2581" t="s">
        <v>67</v>
      </c>
      <c r="O2581">
        <v>0</v>
      </c>
      <c r="P2581">
        <v>0</v>
      </c>
      <c r="Q2581">
        <v>0</v>
      </c>
      <c r="S2581">
        <v>0</v>
      </c>
      <c r="T2581">
        <v>0</v>
      </c>
      <c r="U2581">
        <v>0</v>
      </c>
      <c r="W2581" t="s">
        <v>52</v>
      </c>
    </row>
    <row r="2582" spans="1:23" x14ac:dyDescent="0.35">
      <c r="A2582" t="s">
        <v>45</v>
      </c>
      <c r="B2582" t="s">
        <v>5163</v>
      </c>
      <c r="C2582" t="s">
        <v>60</v>
      </c>
      <c r="D2582" t="s">
        <v>64</v>
      </c>
      <c r="E2582" t="s">
        <v>64</v>
      </c>
      <c r="F2582" t="s">
        <v>49</v>
      </c>
      <c r="G2582" t="s">
        <v>492</v>
      </c>
      <c r="H2582" t="s">
        <v>5277</v>
      </c>
      <c r="J2582" t="str">
        <f>HYPERLINK("https://www.facebook.com/634639855377280/posts/783040850537179?comment_id=308821071684278&amp;reply_comment_id=788503763091242","https://www.facebook.com/634639855377280/posts/783040850537179?comment_id=308821071684278&amp;reply_comment_id=788503763091242")</f>
        <v>https://www.facebook.com/634639855377280/posts/783040850537179?comment_id=308821071684278&amp;reply_comment_id=788503763091242</v>
      </c>
      <c r="K2582" t="s">
        <v>67</v>
      </c>
      <c r="O2582">
        <v>0</v>
      </c>
      <c r="P2582">
        <v>0</v>
      </c>
      <c r="Q2582">
        <v>0</v>
      </c>
      <c r="S2582">
        <v>0</v>
      </c>
      <c r="T2582">
        <v>0</v>
      </c>
      <c r="U2582">
        <v>0</v>
      </c>
      <c r="W2582" t="s">
        <v>52</v>
      </c>
    </row>
    <row r="2583" spans="1:23" x14ac:dyDescent="0.35">
      <c r="A2583" t="s">
        <v>45</v>
      </c>
      <c r="B2583" t="s">
        <v>5163</v>
      </c>
      <c r="C2583" t="s">
        <v>60</v>
      </c>
      <c r="D2583" t="s">
        <v>61</v>
      </c>
      <c r="E2583" t="s">
        <v>61</v>
      </c>
      <c r="F2583" t="s">
        <v>49</v>
      </c>
      <c r="G2583" t="s">
        <v>5278</v>
      </c>
      <c r="H2583" t="s">
        <v>5279</v>
      </c>
      <c r="J2583" t="str">
        <f>HYPERLINK("https://www.facebook.com/634639855377280/posts/783040850537179?comment_id=308821071684278","https://www.facebook.com/634639855377280/posts/783040850537179?comment_id=308821071684278")</f>
        <v>https://www.facebook.com/634639855377280/posts/783040850537179?comment_id=308821071684278</v>
      </c>
      <c r="O2583">
        <v>0</v>
      </c>
      <c r="P2583">
        <v>0</v>
      </c>
      <c r="Q2583">
        <v>0</v>
      </c>
      <c r="S2583">
        <v>0</v>
      </c>
      <c r="T2583">
        <v>0</v>
      </c>
      <c r="U2583">
        <v>0</v>
      </c>
      <c r="W2583" t="s">
        <v>52</v>
      </c>
    </row>
    <row r="2584" spans="1:23" x14ac:dyDescent="0.35">
      <c r="A2584" t="s">
        <v>45</v>
      </c>
      <c r="B2584" t="s">
        <v>5163</v>
      </c>
      <c r="C2584" t="s">
        <v>93</v>
      </c>
      <c r="D2584" t="s">
        <v>5100</v>
      </c>
      <c r="E2584" t="s">
        <v>5101</v>
      </c>
      <c r="F2584" t="s">
        <v>49</v>
      </c>
      <c r="G2584" t="s">
        <v>5280</v>
      </c>
      <c r="H2584" t="s">
        <v>5281</v>
      </c>
      <c r="J2584" t="str">
        <f>HYPERLINK("https://twitter.com/rohitshukla7252/status/1752959720309297590","https://twitter.com/rohitshukla7252/status/1752959720309297590")</f>
        <v>https://twitter.com/rohitshukla7252/status/1752959720309297590</v>
      </c>
      <c r="K2584" t="s">
        <v>67</v>
      </c>
      <c r="O2584">
        <v>0</v>
      </c>
      <c r="P2584">
        <v>0</v>
      </c>
      <c r="Q2584">
        <v>41</v>
      </c>
      <c r="R2584" t="s">
        <v>871</v>
      </c>
      <c r="S2584">
        <v>0</v>
      </c>
      <c r="T2584">
        <v>0</v>
      </c>
      <c r="U2584">
        <v>0</v>
      </c>
      <c r="W2584" t="s">
        <v>99</v>
      </c>
    </row>
    <row r="2585" spans="1:23" x14ac:dyDescent="0.35">
      <c r="A2585" t="s">
        <v>45</v>
      </c>
      <c r="B2585" t="s">
        <v>5163</v>
      </c>
      <c r="C2585" t="s">
        <v>93</v>
      </c>
      <c r="D2585" t="s">
        <v>4616</v>
      </c>
      <c r="E2585" t="s">
        <v>4617</v>
      </c>
      <c r="F2585" t="s">
        <v>49</v>
      </c>
      <c r="G2585" t="s">
        <v>5282</v>
      </c>
      <c r="H2585" t="s">
        <v>5283</v>
      </c>
      <c r="J2585" t="str">
        <f>HYPERLINK("https://twitter.com/ArvindK94137404/status/1752950035317494271","https://twitter.com/ArvindK94137404/status/1752950035317494271")</f>
        <v>https://twitter.com/ArvindK94137404/status/1752950035317494271</v>
      </c>
      <c r="K2585" t="s">
        <v>67</v>
      </c>
      <c r="O2585">
        <v>0</v>
      </c>
      <c r="P2585">
        <v>0</v>
      </c>
      <c r="Q2585">
        <v>1</v>
      </c>
      <c r="R2585" t="s">
        <v>871</v>
      </c>
      <c r="S2585">
        <v>0</v>
      </c>
      <c r="T2585">
        <v>0</v>
      </c>
      <c r="U2585">
        <v>0</v>
      </c>
      <c r="W2585" t="s">
        <v>99</v>
      </c>
    </row>
    <row r="2586" spans="1:23" x14ac:dyDescent="0.35">
      <c r="A2586" t="s">
        <v>45</v>
      </c>
      <c r="B2586" t="s">
        <v>5163</v>
      </c>
      <c r="C2586" t="s">
        <v>47</v>
      </c>
      <c r="D2586" t="s">
        <v>351</v>
      </c>
      <c r="E2586" t="s">
        <v>351</v>
      </c>
      <c r="F2586" t="s">
        <v>49</v>
      </c>
      <c r="G2586" t="s">
        <v>5284</v>
      </c>
      <c r="H2586" t="s">
        <v>5285</v>
      </c>
      <c r="J2586" t="str">
        <f>HYPERLINK("https://www.youtube.com/watch?v=-l0zuXgllLA&amp;lc=UgzlCh6E2LSS-_EvCL94AaABAg.A-DMttDxdQJA-GLybyf1I4","https://www.youtube.com/watch?v=-l0zuXgllLA&amp;lc=UgzlCh6E2LSS-_EvCL94AaABAg.A-DMttDxdQJA-GLybyf1I4")</f>
        <v>https://www.youtube.com/watch?v=-l0zuXgllLA&amp;lc=UgzlCh6E2LSS-_EvCL94AaABAg.A-DMttDxdQJA-GLybyf1I4</v>
      </c>
      <c r="O2586">
        <v>0</v>
      </c>
      <c r="P2586">
        <v>0</v>
      </c>
      <c r="Q2586">
        <v>0</v>
      </c>
      <c r="S2586">
        <v>0</v>
      </c>
      <c r="T2586">
        <v>0</v>
      </c>
      <c r="U2586">
        <v>0</v>
      </c>
      <c r="W2586" t="s">
        <v>52</v>
      </c>
    </row>
    <row r="2587" spans="1:23" x14ac:dyDescent="0.35">
      <c r="A2587" t="s">
        <v>45</v>
      </c>
      <c r="B2587" t="s">
        <v>5163</v>
      </c>
      <c r="C2587" t="s">
        <v>60</v>
      </c>
      <c r="D2587" t="s">
        <v>61</v>
      </c>
      <c r="E2587" t="s">
        <v>61</v>
      </c>
      <c r="F2587" t="s">
        <v>49</v>
      </c>
      <c r="G2587" t="s">
        <v>5286</v>
      </c>
      <c r="H2587" t="s">
        <v>5287</v>
      </c>
      <c r="J2587" t="str">
        <f>HYPERLINK("https://www.facebook.com/634639855377280/posts/783040850537179?comment_id=316616990848685","https://www.facebook.com/634639855377280/posts/783040850537179?comment_id=316616990848685")</f>
        <v>https://www.facebook.com/634639855377280/posts/783040850537179?comment_id=316616990848685</v>
      </c>
      <c r="O2587">
        <v>0</v>
      </c>
      <c r="P2587">
        <v>0</v>
      </c>
      <c r="Q2587">
        <v>0</v>
      </c>
      <c r="S2587">
        <v>0</v>
      </c>
      <c r="T2587">
        <v>0</v>
      </c>
      <c r="U2587">
        <v>0</v>
      </c>
      <c r="W2587" t="s">
        <v>52</v>
      </c>
    </row>
    <row r="2588" spans="1:23" x14ac:dyDescent="0.35">
      <c r="A2588" t="s">
        <v>45</v>
      </c>
      <c r="B2588" t="s">
        <v>5163</v>
      </c>
      <c r="C2588" t="s">
        <v>60</v>
      </c>
      <c r="D2588" t="s">
        <v>64</v>
      </c>
      <c r="E2588" t="s">
        <v>64</v>
      </c>
      <c r="F2588" t="s">
        <v>49</v>
      </c>
      <c r="G2588" t="s">
        <v>492</v>
      </c>
      <c r="H2588" t="s">
        <v>5288</v>
      </c>
      <c r="J2588" t="str">
        <f>HYPERLINK("https://www.facebook.com/634639855377280/posts/782513537256577?comment_id=7475876355790252&amp;reply_comment_id=1077431066737639","https://www.facebook.com/634639855377280/posts/782513537256577?comment_id=7475876355790252&amp;reply_comment_id=1077431066737639")</f>
        <v>https://www.facebook.com/634639855377280/posts/782513537256577?comment_id=7475876355790252&amp;reply_comment_id=1077431066737639</v>
      </c>
      <c r="K2588" t="s">
        <v>67</v>
      </c>
      <c r="O2588">
        <v>0</v>
      </c>
      <c r="P2588">
        <v>0</v>
      </c>
      <c r="Q2588">
        <v>0</v>
      </c>
      <c r="S2588">
        <v>0</v>
      </c>
      <c r="T2588">
        <v>0</v>
      </c>
      <c r="U2588">
        <v>0</v>
      </c>
      <c r="W2588" t="s">
        <v>52</v>
      </c>
    </row>
    <row r="2589" spans="1:23" x14ac:dyDescent="0.35">
      <c r="A2589" t="s">
        <v>45</v>
      </c>
      <c r="B2589" t="s">
        <v>5163</v>
      </c>
      <c r="C2589" t="s">
        <v>60</v>
      </c>
      <c r="D2589" t="s">
        <v>64</v>
      </c>
      <c r="E2589" t="s">
        <v>64</v>
      </c>
      <c r="F2589" t="s">
        <v>49</v>
      </c>
      <c r="G2589" t="s">
        <v>380</v>
      </c>
      <c r="H2589" t="s">
        <v>5289</v>
      </c>
      <c r="J2589" t="str">
        <f>HYPERLINK("https://www.facebook.com/634639855377280/posts/782513537256577?comment_id=696885989298558&amp;reply_comment_id=1051770282564255","https://www.facebook.com/634639855377280/posts/782513537256577?comment_id=696885989298558&amp;reply_comment_id=1051770282564255")</f>
        <v>https://www.facebook.com/634639855377280/posts/782513537256577?comment_id=696885989298558&amp;reply_comment_id=1051770282564255</v>
      </c>
      <c r="K2589" t="s">
        <v>67</v>
      </c>
      <c r="O2589">
        <v>0</v>
      </c>
      <c r="P2589">
        <v>0</v>
      </c>
      <c r="Q2589">
        <v>0</v>
      </c>
      <c r="S2589">
        <v>0</v>
      </c>
      <c r="T2589">
        <v>0</v>
      </c>
      <c r="U2589">
        <v>0</v>
      </c>
      <c r="W2589" t="s">
        <v>52</v>
      </c>
    </row>
    <row r="2590" spans="1:23" x14ac:dyDescent="0.35">
      <c r="A2590" t="s">
        <v>45</v>
      </c>
      <c r="B2590" t="s">
        <v>5163</v>
      </c>
      <c r="C2590" t="s">
        <v>60</v>
      </c>
      <c r="D2590" t="s">
        <v>64</v>
      </c>
      <c r="E2590" t="s">
        <v>64</v>
      </c>
      <c r="F2590" t="s">
        <v>49</v>
      </c>
      <c r="G2590" t="s">
        <v>266</v>
      </c>
      <c r="H2590" t="s">
        <v>5290</v>
      </c>
      <c r="J2590" t="str">
        <f>HYPERLINK("https://www.facebook.com/634639855377280/posts/782513537256577?comment_id=1393539047932092&amp;reply_comment_id=7409130019149427","https://www.facebook.com/634639855377280/posts/782513537256577?comment_id=1393539047932092&amp;reply_comment_id=7409130019149427")</f>
        <v>https://www.facebook.com/634639855377280/posts/782513537256577?comment_id=1393539047932092&amp;reply_comment_id=7409130019149427</v>
      </c>
      <c r="K2590" t="s">
        <v>67</v>
      </c>
      <c r="O2590">
        <v>0</v>
      </c>
      <c r="P2590">
        <v>0</v>
      </c>
      <c r="Q2590">
        <v>0</v>
      </c>
      <c r="S2590">
        <v>0</v>
      </c>
      <c r="T2590">
        <v>0</v>
      </c>
      <c r="U2590">
        <v>0</v>
      </c>
      <c r="W2590" t="s">
        <v>52</v>
      </c>
    </row>
    <row r="2591" spans="1:23" x14ac:dyDescent="0.35">
      <c r="A2591" t="s">
        <v>45</v>
      </c>
      <c r="B2591" t="s">
        <v>5163</v>
      </c>
      <c r="C2591" t="s">
        <v>60</v>
      </c>
      <c r="D2591" t="s">
        <v>64</v>
      </c>
      <c r="E2591" t="s">
        <v>64</v>
      </c>
      <c r="F2591" t="s">
        <v>49</v>
      </c>
      <c r="G2591" t="s">
        <v>3773</v>
      </c>
      <c r="H2591" t="s">
        <v>5291</v>
      </c>
      <c r="J2591" t="str">
        <f>HYPERLINK("https://www.facebook.com/634639855377280/posts/782513537256577?comment_id=264786556504479&amp;reply_comment_id=764705388612412","https://www.facebook.com/634639855377280/posts/782513537256577?comment_id=264786556504479&amp;reply_comment_id=764705388612412")</f>
        <v>https://www.facebook.com/634639855377280/posts/782513537256577?comment_id=264786556504479&amp;reply_comment_id=764705388612412</v>
      </c>
      <c r="K2591" t="s">
        <v>67</v>
      </c>
      <c r="O2591">
        <v>0</v>
      </c>
      <c r="P2591">
        <v>0</v>
      </c>
      <c r="Q2591">
        <v>0</v>
      </c>
      <c r="S2591">
        <v>0</v>
      </c>
      <c r="T2591">
        <v>0</v>
      </c>
      <c r="U2591">
        <v>0</v>
      </c>
      <c r="W2591" t="s">
        <v>52</v>
      </c>
    </row>
    <row r="2592" spans="1:23" x14ac:dyDescent="0.35">
      <c r="A2592" t="s">
        <v>45</v>
      </c>
      <c r="B2592" t="s">
        <v>5163</v>
      </c>
      <c r="C2592" t="s">
        <v>60</v>
      </c>
      <c r="D2592" t="s">
        <v>61</v>
      </c>
      <c r="E2592" t="s">
        <v>61</v>
      </c>
      <c r="F2592" t="s">
        <v>49</v>
      </c>
      <c r="G2592" t="s">
        <v>5292</v>
      </c>
      <c r="H2592" t="s">
        <v>5293</v>
      </c>
      <c r="J2592" t="str">
        <f>HYPERLINK("https://www.facebook.com/634639855377280/posts/781887530652511?comment_id=722873743267621","https://www.facebook.com/634639855377280/posts/781887530652511?comment_id=722873743267621")</f>
        <v>https://www.facebook.com/634639855377280/posts/781887530652511?comment_id=722873743267621</v>
      </c>
      <c r="O2592">
        <v>0</v>
      </c>
      <c r="P2592">
        <v>0</v>
      </c>
      <c r="Q2592">
        <v>0</v>
      </c>
      <c r="S2592">
        <v>0</v>
      </c>
      <c r="T2592">
        <v>0</v>
      </c>
      <c r="U2592">
        <v>0</v>
      </c>
      <c r="W2592" t="s">
        <v>52</v>
      </c>
    </row>
    <row r="2593" spans="1:23" x14ac:dyDescent="0.35">
      <c r="A2593" t="s">
        <v>45</v>
      </c>
      <c r="B2593" t="s">
        <v>5163</v>
      </c>
      <c r="C2593" t="s">
        <v>93</v>
      </c>
      <c r="D2593" t="s">
        <v>94</v>
      </c>
      <c r="E2593" t="s">
        <v>45</v>
      </c>
      <c r="F2593" t="s">
        <v>49</v>
      </c>
      <c r="G2593" t="s">
        <v>5294</v>
      </c>
      <c r="H2593" t="s">
        <v>5295</v>
      </c>
      <c r="J2593" t="str">
        <f>HYPERLINK("https://twitter.com/SpiceMoneyIndia/status/1752927745133436993","https://twitter.com/SpiceMoneyIndia/status/1752927745133436993")</f>
        <v>https://twitter.com/SpiceMoneyIndia/status/1752927745133436993</v>
      </c>
      <c r="K2593" t="s">
        <v>67</v>
      </c>
      <c r="O2593">
        <v>0</v>
      </c>
      <c r="P2593">
        <v>0</v>
      </c>
      <c r="Q2593">
        <v>6016</v>
      </c>
      <c r="R2593" t="s">
        <v>97</v>
      </c>
      <c r="S2593">
        <v>0</v>
      </c>
      <c r="T2593">
        <v>0</v>
      </c>
      <c r="U2593">
        <v>0</v>
      </c>
      <c r="V2593" t="s">
        <v>98</v>
      </c>
      <c r="W2593" t="s">
        <v>99</v>
      </c>
    </row>
    <row r="2594" spans="1:23" x14ac:dyDescent="0.35">
      <c r="A2594" t="s">
        <v>45</v>
      </c>
      <c r="B2594" t="s">
        <v>5163</v>
      </c>
      <c r="C2594" t="s">
        <v>60</v>
      </c>
      <c r="D2594" t="s">
        <v>64</v>
      </c>
      <c r="E2594" t="s">
        <v>64</v>
      </c>
      <c r="F2594" t="s">
        <v>49</v>
      </c>
      <c r="G2594" t="s">
        <v>5296</v>
      </c>
      <c r="H2594" t="s">
        <v>5297</v>
      </c>
      <c r="J2594" t="str">
        <f>HYPERLINK("https://www.facebook.com/634639855377280/posts/783040850537179","https://www.facebook.com/634639855377280/posts/783040850537179")</f>
        <v>https://www.facebook.com/634639855377280/posts/783040850537179</v>
      </c>
      <c r="O2594">
        <v>0</v>
      </c>
      <c r="P2594">
        <v>0</v>
      </c>
      <c r="Q2594">
        <v>0</v>
      </c>
      <c r="S2594">
        <v>16</v>
      </c>
      <c r="T2594">
        <v>88</v>
      </c>
      <c r="U2594">
        <v>2</v>
      </c>
      <c r="W2594" t="s">
        <v>346</v>
      </c>
    </row>
    <row r="2595" spans="1:23" x14ac:dyDescent="0.35">
      <c r="A2595" t="s">
        <v>45</v>
      </c>
      <c r="B2595" t="s">
        <v>5163</v>
      </c>
      <c r="C2595" t="s">
        <v>60</v>
      </c>
      <c r="D2595" t="s">
        <v>64</v>
      </c>
      <c r="E2595" t="s">
        <v>64</v>
      </c>
      <c r="F2595" t="s">
        <v>49</v>
      </c>
      <c r="G2595" t="s">
        <v>492</v>
      </c>
      <c r="H2595" t="s">
        <v>5298</v>
      </c>
      <c r="J2595" t="str">
        <f>HYPERLINK("https://www.facebook.com/634639855377280/posts/782513537256577?comment_id=765730434890012&amp;reply_comment_id=360118060147019","https://www.facebook.com/634639855377280/posts/782513537256577?comment_id=765730434890012&amp;reply_comment_id=360118060147019")</f>
        <v>https://www.facebook.com/634639855377280/posts/782513537256577?comment_id=765730434890012&amp;reply_comment_id=360118060147019</v>
      </c>
      <c r="K2595" t="s">
        <v>67</v>
      </c>
      <c r="O2595">
        <v>0</v>
      </c>
      <c r="P2595">
        <v>0</v>
      </c>
      <c r="Q2595">
        <v>0</v>
      </c>
      <c r="S2595">
        <v>0</v>
      </c>
      <c r="T2595">
        <v>0</v>
      </c>
      <c r="U2595">
        <v>0</v>
      </c>
      <c r="W2595" t="s">
        <v>52</v>
      </c>
    </row>
    <row r="2596" spans="1:23" x14ac:dyDescent="0.35">
      <c r="A2596" t="s">
        <v>45</v>
      </c>
      <c r="B2596" t="s">
        <v>5163</v>
      </c>
      <c r="C2596" t="s">
        <v>47</v>
      </c>
      <c r="D2596" t="s">
        <v>68</v>
      </c>
      <c r="E2596" t="s">
        <v>68</v>
      </c>
      <c r="F2596" t="s">
        <v>49</v>
      </c>
      <c r="G2596" t="s">
        <v>102</v>
      </c>
      <c r="H2596" t="s">
        <v>5299</v>
      </c>
      <c r="J2596" t="str">
        <f>HYPERLINK("https://www.youtube.com/watch?v=Un06w8WhYRg&amp;lc=UgzNER3DiHgcGAO564V4AaABAg.A-GB1MP_pOGA-GBtFUBUgi","https://www.youtube.com/watch?v=Un06w8WhYRg&amp;lc=UgzNER3DiHgcGAO564V4AaABAg.A-GB1MP_pOGA-GBtFUBUgi")</f>
        <v>https://www.youtube.com/watch?v=Un06w8WhYRg&amp;lc=UgzNER3DiHgcGAO564V4AaABAg.A-GB1MP_pOGA-GBtFUBUgi</v>
      </c>
      <c r="O2596">
        <v>0</v>
      </c>
      <c r="P2596">
        <v>0</v>
      </c>
      <c r="Q2596">
        <v>0</v>
      </c>
      <c r="S2596">
        <v>0</v>
      </c>
      <c r="T2596">
        <v>0</v>
      </c>
      <c r="U2596">
        <v>0</v>
      </c>
      <c r="W2596" t="s">
        <v>52</v>
      </c>
    </row>
    <row r="2597" spans="1:23" x14ac:dyDescent="0.35">
      <c r="A2597" t="s">
        <v>45</v>
      </c>
      <c r="B2597" t="s">
        <v>5163</v>
      </c>
      <c r="C2597" t="s">
        <v>93</v>
      </c>
      <c r="D2597" t="s">
        <v>94</v>
      </c>
      <c r="E2597" t="s">
        <v>45</v>
      </c>
      <c r="F2597" t="s">
        <v>49</v>
      </c>
      <c r="G2597" t="s">
        <v>5300</v>
      </c>
      <c r="H2597" t="s">
        <v>5301</v>
      </c>
      <c r="J2597" t="str">
        <f>HYPERLINK("https://twitter.com/SpiceMoneyIndia/status/1752914765670764591","https://twitter.com/SpiceMoneyIndia/status/1752914765670764591")</f>
        <v>https://twitter.com/SpiceMoneyIndia/status/1752914765670764591</v>
      </c>
      <c r="K2597" t="s">
        <v>67</v>
      </c>
      <c r="O2597">
        <v>0</v>
      </c>
      <c r="P2597">
        <v>0</v>
      </c>
      <c r="Q2597">
        <v>6016</v>
      </c>
      <c r="R2597" t="s">
        <v>97</v>
      </c>
      <c r="S2597">
        <v>0</v>
      </c>
      <c r="T2597">
        <v>0</v>
      </c>
      <c r="U2597">
        <v>0</v>
      </c>
      <c r="V2597" t="s">
        <v>98</v>
      </c>
      <c r="W2597" t="s">
        <v>99</v>
      </c>
    </row>
    <row r="2598" spans="1:23" x14ac:dyDescent="0.35">
      <c r="A2598" t="s">
        <v>45</v>
      </c>
      <c r="B2598" t="s">
        <v>5163</v>
      </c>
      <c r="C2598" t="s">
        <v>47</v>
      </c>
      <c r="D2598" t="s">
        <v>1038</v>
      </c>
      <c r="E2598" t="s">
        <v>1038</v>
      </c>
      <c r="F2598" t="s">
        <v>54</v>
      </c>
      <c r="G2598" t="s">
        <v>5302</v>
      </c>
      <c r="H2598" t="s">
        <v>5303</v>
      </c>
      <c r="J2598" t="str">
        <f>HYPERLINK("https://www.youtube.com/watch?v=Un06w8WhYRg&amp;lc=UgzNER3DiHgcGAO564V4AaABAg","https://www.youtube.com/watch?v=Un06w8WhYRg&amp;lc=UgzNER3DiHgcGAO564V4AaABAg")</f>
        <v>https://www.youtube.com/watch?v=Un06w8WhYRg&amp;lc=UgzNER3DiHgcGAO564V4AaABAg</v>
      </c>
      <c r="O2598">
        <v>0</v>
      </c>
      <c r="P2598">
        <v>0</v>
      </c>
      <c r="Q2598">
        <v>0</v>
      </c>
      <c r="S2598">
        <v>0</v>
      </c>
      <c r="T2598">
        <v>0</v>
      </c>
      <c r="U2598">
        <v>0</v>
      </c>
      <c r="W2598" t="s">
        <v>52</v>
      </c>
    </row>
    <row r="2599" spans="1:23" x14ac:dyDescent="0.35">
      <c r="A2599" t="s">
        <v>45</v>
      </c>
      <c r="B2599" t="s">
        <v>5163</v>
      </c>
      <c r="C2599" t="s">
        <v>47</v>
      </c>
      <c r="D2599" t="s">
        <v>68</v>
      </c>
      <c r="E2599" t="s">
        <v>68</v>
      </c>
      <c r="F2599" t="s">
        <v>49</v>
      </c>
      <c r="G2599" t="s">
        <v>102</v>
      </c>
      <c r="H2599" t="s">
        <v>5304</v>
      </c>
      <c r="J2599" t="str">
        <f>HYPERLINK("https://www.youtube.com/watch?v=DMlpygM0MQM&amp;lc=Ugx_Ifs4LsClUVUmY194AaABAg.A-EWZIvX4HjA-GAsGzm8G9","https://www.youtube.com/watch?v=DMlpygM0MQM&amp;lc=Ugx_Ifs4LsClUVUmY194AaABAg.A-EWZIvX4HjA-GAsGzm8G9")</f>
        <v>https://www.youtube.com/watch?v=DMlpygM0MQM&amp;lc=Ugx_Ifs4LsClUVUmY194AaABAg.A-EWZIvX4HjA-GAsGzm8G9</v>
      </c>
      <c r="O2599">
        <v>0</v>
      </c>
      <c r="P2599">
        <v>0</v>
      </c>
      <c r="Q2599">
        <v>0</v>
      </c>
      <c r="S2599">
        <v>0</v>
      </c>
      <c r="T2599">
        <v>0</v>
      </c>
      <c r="U2599">
        <v>0</v>
      </c>
      <c r="W2599" t="s">
        <v>52</v>
      </c>
    </row>
    <row r="2600" spans="1:23" x14ac:dyDescent="0.35">
      <c r="A2600" t="s">
        <v>45</v>
      </c>
      <c r="B2600" t="s">
        <v>5163</v>
      </c>
      <c r="C2600" t="s">
        <v>47</v>
      </c>
      <c r="D2600" t="s">
        <v>68</v>
      </c>
      <c r="E2600" t="s">
        <v>68</v>
      </c>
      <c r="F2600" t="s">
        <v>49</v>
      </c>
      <c r="G2600" t="s">
        <v>253</v>
      </c>
      <c r="H2600" t="s">
        <v>5305</v>
      </c>
      <c r="J2600" t="str">
        <f>HYPERLINK("https://www.youtube.com/watch?v=ASfQx196DU4&amp;lc=UgxoDNbSN5pg_Uc3ogp4AaABAg.A-EaIKjU_bhA-G7B7LWANA","https://www.youtube.com/watch?v=ASfQx196DU4&amp;lc=UgxoDNbSN5pg_Uc3ogp4AaABAg.A-EaIKjU_bhA-G7B7LWANA")</f>
        <v>https://www.youtube.com/watch?v=ASfQx196DU4&amp;lc=UgxoDNbSN5pg_Uc3ogp4AaABAg.A-EaIKjU_bhA-G7B7LWANA</v>
      </c>
      <c r="O2600">
        <v>0</v>
      </c>
      <c r="P2600">
        <v>0</v>
      </c>
      <c r="Q2600">
        <v>0</v>
      </c>
      <c r="S2600">
        <v>0</v>
      </c>
      <c r="T2600">
        <v>0</v>
      </c>
      <c r="U2600">
        <v>0</v>
      </c>
      <c r="W2600" t="s">
        <v>52</v>
      </c>
    </row>
    <row r="2601" spans="1:23" x14ac:dyDescent="0.35">
      <c r="A2601" t="s">
        <v>45</v>
      </c>
      <c r="B2601" t="s">
        <v>5163</v>
      </c>
      <c r="C2601" t="s">
        <v>47</v>
      </c>
      <c r="D2601" t="s">
        <v>68</v>
      </c>
      <c r="E2601" t="s">
        <v>68</v>
      </c>
      <c r="F2601" t="s">
        <v>49</v>
      </c>
      <c r="G2601" t="s">
        <v>1595</v>
      </c>
      <c r="H2601" t="s">
        <v>5306</v>
      </c>
      <c r="J2601" t="str">
        <f>HYPERLINK("https://www.youtube.com/watch?v=otifGXuH01E&amp;lc=UgynupiTOJWgtVDjZrV4AaABAg.A-EeGYr-LjPA-G78OIyvp1","https://www.youtube.com/watch?v=otifGXuH01E&amp;lc=UgynupiTOJWgtVDjZrV4AaABAg.A-EeGYr-LjPA-G78OIyvp1")</f>
        <v>https://www.youtube.com/watch?v=otifGXuH01E&amp;lc=UgynupiTOJWgtVDjZrV4AaABAg.A-EeGYr-LjPA-G78OIyvp1</v>
      </c>
      <c r="O2601">
        <v>0</v>
      </c>
      <c r="P2601">
        <v>0</v>
      </c>
      <c r="Q2601">
        <v>0</v>
      </c>
      <c r="S2601">
        <v>0</v>
      </c>
      <c r="T2601">
        <v>0</v>
      </c>
      <c r="U2601">
        <v>0</v>
      </c>
      <c r="W2601" t="s">
        <v>52</v>
      </c>
    </row>
    <row r="2602" spans="1:23" x14ac:dyDescent="0.35">
      <c r="A2602" t="s">
        <v>45</v>
      </c>
      <c r="B2602" t="s">
        <v>5163</v>
      </c>
      <c r="C2602" t="s">
        <v>47</v>
      </c>
      <c r="D2602" t="s">
        <v>68</v>
      </c>
      <c r="E2602" t="s">
        <v>68</v>
      </c>
      <c r="F2602" t="s">
        <v>49</v>
      </c>
      <c r="G2602" t="s">
        <v>162</v>
      </c>
      <c r="H2602" t="s">
        <v>5307</v>
      </c>
      <c r="J2602" t="str">
        <f>HYPERLINK("https://www.youtube.com/watch?v=DMlpygM0MQM&amp;lc=UgxROEl0gwh2TU7meHV4AaABAg.A-EnI7t8mBqA-G73ZkfY-q","https://www.youtube.com/watch?v=DMlpygM0MQM&amp;lc=UgxROEl0gwh2TU7meHV4AaABAg.A-EnI7t8mBqA-G73ZkfY-q")</f>
        <v>https://www.youtube.com/watch?v=DMlpygM0MQM&amp;lc=UgxROEl0gwh2TU7meHV4AaABAg.A-EnI7t8mBqA-G73ZkfY-q</v>
      </c>
      <c r="O2602">
        <v>0</v>
      </c>
      <c r="P2602">
        <v>0</v>
      </c>
      <c r="Q2602">
        <v>0</v>
      </c>
      <c r="S2602">
        <v>0</v>
      </c>
      <c r="T2602">
        <v>0</v>
      </c>
      <c r="U2602">
        <v>0</v>
      </c>
      <c r="W2602" t="s">
        <v>52</v>
      </c>
    </row>
    <row r="2603" spans="1:23" x14ac:dyDescent="0.35">
      <c r="A2603" t="s">
        <v>45</v>
      </c>
      <c r="B2603" t="s">
        <v>5163</v>
      </c>
      <c r="C2603" t="s">
        <v>47</v>
      </c>
      <c r="D2603" t="s">
        <v>68</v>
      </c>
      <c r="E2603" t="s">
        <v>68</v>
      </c>
      <c r="F2603" t="s">
        <v>49</v>
      </c>
      <c r="G2603" t="s">
        <v>454</v>
      </c>
      <c r="H2603" t="s">
        <v>5308</v>
      </c>
      <c r="J2603" t="str">
        <f>HYPERLINK("https://www.youtube.com/watch?v=DMlpygM0MQM&amp;lc=UgxAUglPlIKRlOG_0pl4AaABAg.A-ExwUS7Jd8A-G69LMwAwx","https://www.youtube.com/watch?v=DMlpygM0MQM&amp;lc=UgxAUglPlIKRlOG_0pl4AaABAg.A-ExwUS7Jd8A-G69LMwAwx")</f>
        <v>https://www.youtube.com/watch?v=DMlpygM0MQM&amp;lc=UgxAUglPlIKRlOG_0pl4AaABAg.A-ExwUS7Jd8A-G69LMwAwx</v>
      </c>
      <c r="O2603">
        <v>0</v>
      </c>
      <c r="P2603">
        <v>0</v>
      </c>
      <c r="Q2603">
        <v>0</v>
      </c>
      <c r="S2603">
        <v>0</v>
      </c>
      <c r="T2603">
        <v>0</v>
      </c>
      <c r="U2603">
        <v>0</v>
      </c>
      <c r="W2603" t="s">
        <v>52</v>
      </c>
    </row>
    <row r="2604" spans="1:23" x14ac:dyDescent="0.35">
      <c r="A2604" t="s">
        <v>45</v>
      </c>
      <c r="B2604" t="s">
        <v>5163</v>
      </c>
      <c r="C2604" t="s">
        <v>93</v>
      </c>
      <c r="D2604" t="s">
        <v>5309</v>
      </c>
      <c r="E2604" t="s">
        <v>5310</v>
      </c>
      <c r="F2604" t="s">
        <v>49</v>
      </c>
      <c r="G2604" t="s">
        <v>5311</v>
      </c>
      <c r="H2604" t="s">
        <v>5312</v>
      </c>
      <c r="J2604" t="str">
        <f>HYPERLINK("https://twitter.com/Shahnawaz_1992/status/1752861577030889541","https://twitter.com/Shahnawaz_1992/status/1752861577030889541")</f>
        <v>https://twitter.com/Shahnawaz_1992/status/1752861577030889541</v>
      </c>
      <c r="K2604" t="s">
        <v>67</v>
      </c>
      <c r="O2604">
        <v>0</v>
      </c>
      <c r="P2604">
        <v>0</v>
      </c>
      <c r="Q2604">
        <v>16</v>
      </c>
      <c r="S2604">
        <v>0</v>
      </c>
      <c r="T2604">
        <v>0</v>
      </c>
      <c r="U2604">
        <v>0</v>
      </c>
      <c r="W2604" t="s">
        <v>99</v>
      </c>
    </row>
    <row r="2605" spans="1:23" x14ac:dyDescent="0.35">
      <c r="A2605" t="s">
        <v>45</v>
      </c>
      <c r="B2605" t="s">
        <v>5163</v>
      </c>
      <c r="C2605" t="s">
        <v>60</v>
      </c>
      <c r="D2605" t="s">
        <v>61</v>
      </c>
      <c r="E2605" t="s">
        <v>61</v>
      </c>
      <c r="F2605" t="s">
        <v>193</v>
      </c>
      <c r="G2605" t="s">
        <v>5313</v>
      </c>
      <c r="H2605" t="s">
        <v>5314</v>
      </c>
      <c r="J2605" t="str">
        <f>HYPERLINK("https://www.facebook.com/634639855377280/posts/782513537256577?comment_id=3591515371108066","https://www.facebook.com/634639855377280/posts/782513537256577?comment_id=3591515371108066")</f>
        <v>https://www.facebook.com/634639855377280/posts/782513537256577?comment_id=3591515371108066</v>
      </c>
      <c r="O2605">
        <v>0</v>
      </c>
      <c r="P2605">
        <v>0</v>
      </c>
      <c r="Q2605">
        <v>0</v>
      </c>
      <c r="S2605">
        <v>0</v>
      </c>
      <c r="T2605">
        <v>0</v>
      </c>
      <c r="U2605">
        <v>0</v>
      </c>
      <c r="W2605" t="s">
        <v>52</v>
      </c>
    </row>
    <row r="2606" spans="1:23" x14ac:dyDescent="0.35">
      <c r="A2606" t="s">
        <v>45</v>
      </c>
      <c r="B2606" t="s">
        <v>5315</v>
      </c>
      <c r="C2606" t="s">
        <v>93</v>
      </c>
      <c r="D2606" t="s">
        <v>4616</v>
      </c>
      <c r="E2606" t="s">
        <v>4617</v>
      </c>
      <c r="F2606" t="s">
        <v>193</v>
      </c>
      <c r="G2606" t="s">
        <v>5316</v>
      </c>
      <c r="H2606" t="s">
        <v>5317</v>
      </c>
      <c r="J2606" t="str">
        <f>HYPERLINK("https://twitter.com/ArvindK94137404/status/1752748620481483193","https://twitter.com/ArvindK94137404/status/1752748620481483193")</f>
        <v>https://twitter.com/ArvindK94137404/status/1752748620481483193</v>
      </c>
      <c r="K2606" t="s">
        <v>67</v>
      </c>
      <c r="O2606">
        <v>0</v>
      </c>
      <c r="P2606">
        <v>0</v>
      </c>
      <c r="Q2606">
        <v>1</v>
      </c>
      <c r="R2606" t="s">
        <v>871</v>
      </c>
      <c r="S2606">
        <v>0</v>
      </c>
      <c r="T2606">
        <v>0</v>
      </c>
      <c r="U2606">
        <v>0</v>
      </c>
      <c r="W2606" t="s">
        <v>99</v>
      </c>
    </row>
    <row r="2607" spans="1:23" x14ac:dyDescent="0.35">
      <c r="A2607" t="s">
        <v>45</v>
      </c>
      <c r="B2607" t="s">
        <v>5315</v>
      </c>
      <c r="C2607" t="s">
        <v>93</v>
      </c>
      <c r="D2607" t="s">
        <v>4616</v>
      </c>
      <c r="E2607" t="s">
        <v>4617</v>
      </c>
      <c r="F2607" t="s">
        <v>49</v>
      </c>
      <c r="G2607" t="s">
        <v>5318</v>
      </c>
      <c r="H2607" t="s">
        <v>5319</v>
      </c>
      <c r="J2607" t="str">
        <f>HYPERLINK("https://twitter.com/ArvindK94137404/status/1752747652591321440","https://twitter.com/ArvindK94137404/status/1752747652591321440")</f>
        <v>https://twitter.com/ArvindK94137404/status/1752747652591321440</v>
      </c>
      <c r="K2607" t="s">
        <v>67</v>
      </c>
      <c r="O2607">
        <v>0</v>
      </c>
      <c r="P2607">
        <v>0</v>
      </c>
      <c r="Q2607">
        <v>1</v>
      </c>
      <c r="R2607" t="s">
        <v>871</v>
      </c>
      <c r="S2607">
        <v>0</v>
      </c>
      <c r="T2607">
        <v>0</v>
      </c>
      <c r="U2607">
        <v>0</v>
      </c>
      <c r="W2607" t="s">
        <v>99</v>
      </c>
    </row>
    <row r="2608" spans="1:23" x14ac:dyDescent="0.35">
      <c r="A2608" t="s">
        <v>45</v>
      </c>
      <c r="B2608" t="s">
        <v>5315</v>
      </c>
      <c r="C2608" t="s">
        <v>93</v>
      </c>
      <c r="D2608" t="s">
        <v>4616</v>
      </c>
      <c r="E2608" t="s">
        <v>4617</v>
      </c>
      <c r="F2608" t="s">
        <v>49</v>
      </c>
      <c r="G2608" t="s">
        <v>5320</v>
      </c>
      <c r="H2608" t="s">
        <v>5321</v>
      </c>
      <c r="J2608" t="str">
        <f>HYPERLINK("https://twitter.com/ArvindK94137404/status/1752746582976692433","https://twitter.com/ArvindK94137404/status/1752746582976692433")</f>
        <v>https://twitter.com/ArvindK94137404/status/1752746582976692433</v>
      </c>
      <c r="K2608" t="s">
        <v>67</v>
      </c>
      <c r="O2608">
        <v>0</v>
      </c>
      <c r="P2608">
        <v>0</v>
      </c>
      <c r="Q2608">
        <v>1</v>
      </c>
      <c r="R2608" t="s">
        <v>871</v>
      </c>
      <c r="S2608">
        <v>0</v>
      </c>
      <c r="T2608">
        <v>0</v>
      </c>
      <c r="U2608">
        <v>0</v>
      </c>
      <c r="W2608" t="s">
        <v>99</v>
      </c>
    </row>
    <row r="2609" spans="1:23" x14ac:dyDescent="0.35">
      <c r="A2609" t="s">
        <v>45</v>
      </c>
      <c r="B2609" t="s">
        <v>5315</v>
      </c>
      <c r="C2609" t="s">
        <v>47</v>
      </c>
      <c r="D2609" t="s">
        <v>2003</v>
      </c>
      <c r="E2609" t="s">
        <v>2003</v>
      </c>
      <c r="F2609" t="s">
        <v>54</v>
      </c>
      <c r="G2609" t="s">
        <v>5322</v>
      </c>
      <c r="H2609" t="s">
        <v>5323</v>
      </c>
      <c r="J2609" t="str">
        <f>HYPERLINK("https://www.youtube.com/watch?v=DMlpygM0MQM&amp;lc=UgxAUglPlIKRlOG_0pl4AaABAg","https://www.youtube.com/watch?v=DMlpygM0MQM&amp;lc=UgxAUglPlIKRlOG_0pl4AaABAg")</f>
        <v>https://www.youtube.com/watch?v=DMlpygM0MQM&amp;lc=UgxAUglPlIKRlOG_0pl4AaABAg</v>
      </c>
      <c r="O2609">
        <v>0</v>
      </c>
      <c r="P2609">
        <v>0</v>
      </c>
      <c r="Q2609">
        <v>0</v>
      </c>
      <c r="S2609">
        <v>0</v>
      </c>
      <c r="T2609">
        <v>0</v>
      </c>
      <c r="U2609">
        <v>0</v>
      </c>
      <c r="W2609" t="s">
        <v>52</v>
      </c>
    </row>
    <row r="2610" spans="1:23" x14ac:dyDescent="0.35">
      <c r="A2610" t="s">
        <v>45</v>
      </c>
      <c r="B2610" t="s">
        <v>5315</v>
      </c>
      <c r="C2610" t="s">
        <v>47</v>
      </c>
      <c r="D2610" t="s">
        <v>5324</v>
      </c>
      <c r="E2610" t="s">
        <v>5324</v>
      </c>
      <c r="F2610" t="s">
        <v>49</v>
      </c>
      <c r="G2610" t="s">
        <v>5325</v>
      </c>
      <c r="H2610" t="s">
        <v>5326</v>
      </c>
      <c r="J2610" t="str">
        <f>HYPERLINK("https://www.youtube.com/watch?v=oQbrlJk3QEM","https://www.youtube.com/watch?v=oQbrlJk3QEM")</f>
        <v>https://www.youtube.com/watch?v=oQbrlJk3QEM</v>
      </c>
      <c r="O2610">
        <v>0</v>
      </c>
      <c r="P2610">
        <v>0</v>
      </c>
      <c r="Q2610">
        <v>0</v>
      </c>
      <c r="S2610">
        <v>0</v>
      </c>
      <c r="T2610">
        <v>0</v>
      </c>
      <c r="U2610">
        <v>0</v>
      </c>
      <c r="W2610" t="s">
        <v>346</v>
      </c>
    </row>
    <row r="2611" spans="1:23" x14ac:dyDescent="0.35">
      <c r="A2611" t="s">
        <v>45</v>
      </c>
      <c r="B2611" t="s">
        <v>5315</v>
      </c>
      <c r="C2611" t="s">
        <v>93</v>
      </c>
      <c r="D2611" t="s">
        <v>5327</v>
      </c>
      <c r="E2611" t="s">
        <v>5328</v>
      </c>
      <c r="F2611" t="s">
        <v>49</v>
      </c>
      <c r="G2611" t="s">
        <v>5329</v>
      </c>
      <c r="H2611" t="s">
        <v>5330</v>
      </c>
      <c r="J2611" t="str">
        <f>HYPERLINK("https://twitter.com/kumari86686/status/1752728165854969997","https://twitter.com/kumari86686/status/1752728165854969997")</f>
        <v>https://twitter.com/kumari86686/status/1752728165854969997</v>
      </c>
      <c r="K2611" t="s">
        <v>67</v>
      </c>
      <c r="O2611">
        <v>0</v>
      </c>
      <c r="P2611">
        <v>0</v>
      </c>
      <c r="Q2611">
        <v>0</v>
      </c>
      <c r="S2611">
        <v>0</v>
      </c>
      <c r="T2611">
        <v>0</v>
      </c>
      <c r="U2611">
        <v>0</v>
      </c>
      <c r="W2611" t="s">
        <v>99</v>
      </c>
    </row>
    <row r="2612" spans="1:23" x14ac:dyDescent="0.35">
      <c r="A2612" t="s">
        <v>45</v>
      </c>
      <c r="B2612" t="s">
        <v>5315</v>
      </c>
      <c r="C2612" t="s">
        <v>47</v>
      </c>
      <c r="D2612" t="s">
        <v>1038</v>
      </c>
      <c r="E2612" t="s">
        <v>1038</v>
      </c>
      <c r="F2612" t="s">
        <v>54</v>
      </c>
      <c r="G2612" t="s">
        <v>5331</v>
      </c>
      <c r="H2612" t="s">
        <v>5332</v>
      </c>
      <c r="J2612" t="str">
        <f>HYPERLINK("https://www.youtube.com/watch?v=DMlpygM0MQM&amp;lc=UgxROEl0gwh2TU7meHV4AaABAg","https://www.youtube.com/watch?v=DMlpygM0MQM&amp;lc=UgxROEl0gwh2TU7meHV4AaABAg")</f>
        <v>https://www.youtube.com/watch?v=DMlpygM0MQM&amp;lc=UgxROEl0gwh2TU7meHV4AaABAg</v>
      </c>
      <c r="O2612">
        <v>0</v>
      </c>
      <c r="P2612">
        <v>0</v>
      </c>
      <c r="Q2612">
        <v>0</v>
      </c>
      <c r="S2612">
        <v>0</v>
      </c>
      <c r="T2612">
        <v>0</v>
      </c>
      <c r="U2612">
        <v>0</v>
      </c>
      <c r="W2612" t="s">
        <v>52</v>
      </c>
    </row>
    <row r="2613" spans="1:23" x14ac:dyDescent="0.35">
      <c r="A2613" t="s">
        <v>45</v>
      </c>
      <c r="B2613" t="s">
        <v>5315</v>
      </c>
      <c r="C2613" t="s">
        <v>60</v>
      </c>
      <c r="D2613" t="s">
        <v>61</v>
      </c>
      <c r="E2613" t="s">
        <v>61</v>
      </c>
      <c r="F2613" t="s">
        <v>49</v>
      </c>
      <c r="G2613" t="s">
        <v>5333</v>
      </c>
      <c r="H2613" t="s">
        <v>5334</v>
      </c>
      <c r="J2613" t="str">
        <f>HYPERLINK("https://www.facebook.com/634639855377280/posts/782513537256577?comment_id=599553265696606","https://www.facebook.com/634639855377280/posts/782513537256577?comment_id=599553265696606")</f>
        <v>https://www.facebook.com/634639855377280/posts/782513537256577?comment_id=599553265696606</v>
      </c>
      <c r="O2613">
        <v>0</v>
      </c>
      <c r="P2613">
        <v>0</v>
      </c>
      <c r="Q2613">
        <v>0</v>
      </c>
      <c r="S2613">
        <v>0</v>
      </c>
      <c r="T2613">
        <v>0</v>
      </c>
      <c r="U2613">
        <v>0</v>
      </c>
      <c r="W2613" t="s">
        <v>52</v>
      </c>
    </row>
    <row r="2614" spans="1:23" x14ac:dyDescent="0.35">
      <c r="A2614" t="s">
        <v>45</v>
      </c>
      <c r="B2614" t="s">
        <v>5315</v>
      </c>
      <c r="C2614" t="s">
        <v>60</v>
      </c>
      <c r="D2614" t="s">
        <v>61</v>
      </c>
      <c r="E2614" t="s">
        <v>61</v>
      </c>
      <c r="F2614" t="s">
        <v>49</v>
      </c>
      <c r="G2614" t="s">
        <v>5335</v>
      </c>
      <c r="H2614" t="s">
        <v>5336</v>
      </c>
      <c r="J2614" t="str">
        <f>HYPERLINK("https://www.facebook.com/634639855377280/posts/782513537256577?comment_id=927086969066199&amp;reply_comment_id=296152983468941","https://www.facebook.com/634639855377280/posts/782513537256577?comment_id=927086969066199&amp;reply_comment_id=296152983468941")</f>
        <v>https://www.facebook.com/634639855377280/posts/782513537256577?comment_id=927086969066199&amp;reply_comment_id=296152983468941</v>
      </c>
      <c r="O2614">
        <v>0</v>
      </c>
      <c r="P2614">
        <v>0</v>
      </c>
      <c r="Q2614">
        <v>0</v>
      </c>
      <c r="S2614">
        <v>0</v>
      </c>
      <c r="T2614">
        <v>0</v>
      </c>
      <c r="U2614">
        <v>0</v>
      </c>
      <c r="W2614" t="s">
        <v>52</v>
      </c>
    </row>
    <row r="2615" spans="1:23" x14ac:dyDescent="0.35">
      <c r="A2615" t="s">
        <v>45</v>
      </c>
      <c r="B2615" t="s">
        <v>5315</v>
      </c>
      <c r="C2615" t="s">
        <v>60</v>
      </c>
      <c r="D2615" t="s">
        <v>61</v>
      </c>
      <c r="E2615" t="s">
        <v>61</v>
      </c>
      <c r="F2615" t="s">
        <v>193</v>
      </c>
      <c r="G2615" t="s">
        <v>5337</v>
      </c>
      <c r="H2615" t="s">
        <v>5338</v>
      </c>
      <c r="J2615" t="str">
        <f>HYPERLINK("https://www.facebook.com/634639855377280/posts/782513537256577?comment_id=396563412733032","https://www.facebook.com/634639855377280/posts/782513537256577?comment_id=396563412733032")</f>
        <v>https://www.facebook.com/634639855377280/posts/782513537256577?comment_id=396563412733032</v>
      </c>
      <c r="O2615">
        <v>0</v>
      </c>
      <c r="P2615">
        <v>0</v>
      </c>
      <c r="Q2615">
        <v>0</v>
      </c>
      <c r="S2615">
        <v>0</v>
      </c>
      <c r="T2615">
        <v>0</v>
      </c>
      <c r="U2615">
        <v>0</v>
      </c>
      <c r="W2615" t="s">
        <v>52</v>
      </c>
    </row>
    <row r="2616" spans="1:23" x14ac:dyDescent="0.35">
      <c r="A2616" t="s">
        <v>45</v>
      </c>
      <c r="B2616" t="s">
        <v>5315</v>
      </c>
      <c r="C2616" t="s">
        <v>47</v>
      </c>
      <c r="D2616" t="s">
        <v>4354</v>
      </c>
      <c r="E2616" t="s">
        <v>4354</v>
      </c>
      <c r="F2616" t="s">
        <v>49</v>
      </c>
      <c r="G2616" t="s">
        <v>5339</v>
      </c>
      <c r="H2616" t="s">
        <v>5340</v>
      </c>
      <c r="J2616" t="str">
        <f>HYPERLINK("https://www.youtube.com/watch?v=otifGXuH01E&amp;lc=UgynupiTOJWgtVDjZrV4AaABAg","https://www.youtube.com/watch?v=otifGXuH01E&amp;lc=UgynupiTOJWgtVDjZrV4AaABAg")</f>
        <v>https://www.youtube.com/watch?v=otifGXuH01E&amp;lc=UgynupiTOJWgtVDjZrV4AaABAg</v>
      </c>
      <c r="O2616">
        <v>0</v>
      </c>
      <c r="P2616">
        <v>0</v>
      </c>
      <c r="Q2616">
        <v>0</v>
      </c>
      <c r="S2616">
        <v>0</v>
      </c>
      <c r="T2616">
        <v>0</v>
      </c>
      <c r="U2616">
        <v>0</v>
      </c>
      <c r="W2616" t="s">
        <v>52</v>
      </c>
    </row>
    <row r="2617" spans="1:23" x14ac:dyDescent="0.35">
      <c r="A2617" t="s">
        <v>45</v>
      </c>
      <c r="B2617" t="s">
        <v>5315</v>
      </c>
      <c r="C2617" t="s">
        <v>60</v>
      </c>
      <c r="D2617" t="s">
        <v>61</v>
      </c>
      <c r="E2617" t="s">
        <v>61</v>
      </c>
      <c r="F2617" t="s">
        <v>193</v>
      </c>
      <c r="G2617" t="s">
        <v>5341</v>
      </c>
      <c r="H2617" t="s">
        <v>5342</v>
      </c>
      <c r="J2617" t="str">
        <f>HYPERLINK("https://www.facebook.com/634639855377280/posts/782513537256577?comment_id=1579867239613851","https://www.facebook.com/634639855377280/posts/782513537256577?comment_id=1579867239613851")</f>
        <v>https://www.facebook.com/634639855377280/posts/782513537256577?comment_id=1579867239613851</v>
      </c>
      <c r="O2617">
        <v>0</v>
      </c>
      <c r="P2617">
        <v>0</v>
      </c>
      <c r="Q2617">
        <v>0</v>
      </c>
      <c r="S2617">
        <v>0</v>
      </c>
      <c r="T2617">
        <v>0</v>
      </c>
      <c r="U2617">
        <v>0</v>
      </c>
      <c r="W2617" t="s">
        <v>52</v>
      </c>
    </row>
    <row r="2618" spans="1:23" x14ac:dyDescent="0.35">
      <c r="A2618" t="s">
        <v>45</v>
      </c>
      <c r="B2618" t="s">
        <v>5315</v>
      </c>
      <c r="C2618" t="s">
        <v>60</v>
      </c>
      <c r="D2618" t="s">
        <v>61</v>
      </c>
      <c r="E2618" t="s">
        <v>61</v>
      </c>
      <c r="F2618" t="s">
        <v>49</v>
      </c>
      <c r="G2618" t="s">
        <v>5343</v>
      </c>
      <c r="H2618" t="s">
        <v>5344</v>
      </c>
      <c r="J2618" t="str">
        <f>HYPERLINK("https://www.facebook.com/634639855377280/posts/782513537256577?comment_id=929535295551991","https://www.facebook.com/634639855377280/posts/782513537256577?comment_id=929535295551991")</f>
        <v>https://www.facebook.com/634639855377280/posts/782513537256577?comment_id=929535295551991</v>
      </c>
      <c r="O2618">
        <v>0</v>
      </c>
      <c r="P2618">
        <v>0</v>
      </c>
      <c r="Q2618">
        <v>0</v>
      </c>
      <c r="S2618">
        <v>0</v>
      </c>
      <c r="T2618">
        <v>0</v>
      </c>
      <c r="U2618">
        <v>0</v>
      </c>
      <c r="W2618" t="s">
        <v>52</v>
      </c>
    </row>
    <row r="2619" spans="1:23" x14ac:dyDescent="0.35">
      <c r="A2619" t="s">
        <v>45</v>
      </c>
      <c r="B2619" t="s">
        <v>5315</v>
      </c>
      <c r="C2619" t="s">
        <v>60</v>
      </c>
      <c r="D2619" t="s">
        <v>61</v>
      </c>
      <c r="E2619" t="s">
        <v>61</v>
      </c>
      <c r="F2619" t="s">
        <v>49</v>
      </c>
      <c r="G2619" t="s">
        <v>5345</v>
      </c>
      <c r="H2619" t="s">
        <v>5346</v>
      </c>
      <c r="J2619" t="str">
        <f>HYPERLINK("https://www.facebook.com/634639855377280/posts/782513537256577?comment_id=1051529896112700","https://www.facebook.com/634639855377280/posts/782513537256577?comment_id=1051529896112700")</f>
        <v>https://www.facebook.com/634639855377280/posts/782513537256577?comment_id=1051529896112700</v>
      </c>
      <c r="O2619">
        <v>0</v>
      </c>
      <c r="P2619">
        <v>0</v>
      </c>
      <c r="Q2619">
        <v>0</v>
      </c>
      <c r="S2619">
        <v>0</v>
      </c>
      <c r="T2619">
        <v>0</v>
      </c>
      <c r="U2619">
        <v>0</v>
      </c>
      <c r="W2619" t="s">
        <v>52</v>
      </c>
    </row>
    <row r="2620" spans="1:23" x14ac:dyDescent="0.35">
      <c r="A2620" t="s">
        <v>45</v>
      </c>
      <c r="B2620" t="s">
        <v>5315</v>
      </c>
      <c r="C2620" t="s">
        <v>60</v>
      </c>
      <c r="D2620" t="s">
        <v>61</v>
      </c>
      <c r="E2620" t="s">
        <v>61</v>
      </c>
      <c r="F2620" t="s">
        <v>49</v>
      </c>
      <c r="G2620" t="s">
        <v>5347</v>
      </c>
      <c r="H2620" t="s">
        <v>5348</v>
      </c>
      <c r="J2620" t="str">
        <f>HYPERLINK("https://www.facebook.com/634639855377280/posts/782513537256577?comment_id=7475876355790252","https://www.facebook.com/634639855377280/posts/782513537256577?comment_id=7475876355790252")</f>
        <v>https://www.facebook.com/634639855377280/posts/782513537256577?comment_id=7475876355790252</v>
      </c>
      <c r="O2620">
        <v>0</v>
      </c>
      <c r="P2620">
        <v>0</v>
      </c>
      <c r="Q2620">
        <v>0</v>
      </c>
      <c r="S2620">
        <v>0</v>
      </c>
      <c r="T2620">
        <v>0</v>
      </c>
      <c r="U2620">
        <v>0</v>
      </c>
      <c r="W2620" t="s">
        <v>52</v>
      </c>
    </row>
    <row r="2621" spans="1:23" x14ac:dyDescent="0.35">
      <c r="A2621" t="s">
        <v>45</v>
      </c>
      <c r="B2621" t="s">
        <v>5315</v>
      </c>
      <c r="C2621" t="s">
        <v>47</v>
      </c>
      <c r="D2621" t="s">
        <v>846</v>
      </c>
      <c r="E2621" t="s">
        <v>846</v>
      </c>
      <c r="F2621" t="s">
        <v>49</v>
      </c>
      <c r="G2621" t="s">
        <v>5349</v>
      </c>
      <c r="H2621" t="s">
        <v>5350</v>
      </c>
      <c r="J2621" t="str">
        <f>HYPERLINK("https://www.youtube.com/watch?v=ASfQx196DU4&amp;lc=UgxoDNbSN5pg_Uc3ogp4AaABAg","https://www.youtube.com/watch?v=ASfQx196DU4&amp;lc=UgxoDNbSN5pg_Uc3ogp4AaABAg")</f>
        <v>https://www.youtube.com/watch?v=ASfQx196DU4&amp;lc=UgxoDNbSN5pg_Uc3ogp4AaABAg</v>
      </c>
      <c r="O2621">
        <v>0</v>
      </c>
      <c r="P2621">
        <v>0</v>
      </c>
      <c r="Q2621">
        <v>0</v>
      </c>
      <c r="S2621">
        <v>0</v>
      </c>
      <c r="T2621">
        <v>0</v>
      </c>
      <c r="U2621">
        <v>0</v>
      </c>
      <c r="W2621" t="s">
        <v>52</v>
      </c>
    </row>
    <row r="2622" spans="1:23" x14ac:dyDescent="0.35">
      <c r="A2622" t="s">
        <v>45</v>
      </c>
      <c r="B2622" t="s">
        <v>5315</v>
      </c>
      <c r="C2622" t="s">
        <v>60</v>
      </c>
      <c r="D2622" t="s">
        <v>61</v>
      </c>
      <c r="E2622" t="s">
        <v>61</v>
      </c>
      <c r="F2622" t="s">
        <v>49</v>
      </c>
      <c r="G2622" t="s">
        <v>5351</v>
      </c>
      <c r="H2622" t="s">
        <v>5352</v>
      </c>
      <c r="J2622" t="str">
        <f>HYPERLINK("https://www.facebook.com/634639855377280/posts/782513537256577?comment_id=696885989298558","https://www.facebook.com/634639855377280/posts/782513537256577?comment_id=696885989298558")</f>
        <v>https://www.facebook.com/634639855377280/posts/782513537256577?comment_id=696885989298558</v>
      </c>
      <c r="O2622">
        <v>0</v>
      </c>
      <c r="P2622">
        <v>0</v>
      </c>
      <c r="Q2622">
        <v>0</v>
      </c>
      <c r="S2622">
        <v>0</v>
      </c>
      <c r="T2622">
        <v>0</v>
      </c>
      <c r="U2622">
        <v>0</v>
      </c>
      <c r="W2622" t="s">
        <v>52</v>
      </c>
    </row>
    <row r="2623" spans="1:23" x14ac:dyDescent="0.35">
      <c r="A2623" t="s">
        <v>45</v>
      </c>
      <c r="B2623" t="s">
        <v>5315</v>
      </c>
      <c r="C2623" t="s">
        <v>60</v>
      </c>
      <c r="D2623" t="s">
        <v>61</v>
      </c>
      <c r="E2623" t="s">
        <v>61</v>
      </c>
      <c r="F2623" t="s">
        <v>49</v>
      </c>
      <c r="G2623" t="s">
        <v>5353</v>
      </c>
      <c r="H2623" t="s">
        <v>5354</v>
      </c>
      <c r="J2623" t="str">
        <f>HYPERLINK("https://www.facebook.com/634639855377280/posts/782513537256577?comment_id=1393539047932092","https://www.facebook.com/634639855377280/posts/782513537256577?comment_id=1393539047932092")</f>
        <v>https://www.facebook.com/634639855377280/posts/782513537256577?comment_id=1393539047932092</v>
      </c>
      <c r="O2623">
        <v>0</v>
      </c>
      <c r="P2623">
        <v>0</v>
      </c>
      <c r="Q2623">
        <v>0</v>
      </c>
      <c r="S2623">
        <v>0</v>
      </c>
      <c r="T2623">
        <v>0</v>
      </c>
      <c r="U2623">
        <v>0</v>
      </c>
      <c r="W2623" t="s">
        <v>52</v>
      </c>
    </row>
    <row r="2624" spans="1:23" x14ac:dyDescent="0.35">
      <c r="A2624" t="s">
        <v>45</v>
      </c>
      <c r="B2624" t="s">
        <v>5315</v>
      </c>
      <c r="C2624" t="s">
        <v>60</v>
      </c>
      <c r="D2624" t="s">
        <v>61</v>
      </c>
      <c r="E2624" t="s">
        <v>61</v>
      </c>
      <c r="F2624" t="s">
        <v>49</v>
      </c>
      <c r="G2624" t="s">
        <v>4171</v>
      </c>
      <c r="H2624" t="s">
        <v>5355</v>
      </c>
      <c r="J2624" t="str">
        <f>HYPERLINK("https://www.facebook.com/634639855377280/posts/782513537256577?comment_id=760227159325586","https://www.facebook.com/634639855377280/posts/782513537256577?comment_id=760227159325586")</f>
        <v>https://www.facebook.com/634639855377280/posts/782513537256577?comment_id=760227159325586</v>
      </c>
      <c r="O2624">
        <v>0</v>
      </c>
      <c r="P2624">
        <v>0</v>
      </c>
      <c r="Q2624">
        <v>0</v>
      </c>
      <c r="S2624">
        <v>0</v>
      </c>
      <c r="T2624">
        <v>0</v>
      </c>
      <c r="U2624">
        <v>0</v>
      </c>
      <c r="W2624" t="s">
        <v>52</v>
      </c>
    </row>
    <row r="2625" spans="1:23" x14ac:dyDescent="0.35">
      <c r="A2625" t="s">
        <v>45</v>
      </c>
      <c r="B2625" t="s">
        <v>5315</v>
      </c>
      <c r="C2625" t="s">
        <v>60</v>
      </c>
      <c r="D2625" t="s">
        <v>61</v>
      </c>
      <c r="E2625" t="s">
        <v>61</v>
      </c>
      <c r="F2625" t="s">
        <v>49</v>
      </c>
      <c r="G2625" t="s">
        <v>5356</v>
      </c>
      <c r="H2625" t="s">
        <v>5357</v>
      </c>
      <c r="J2625" t="str">
        <f>HYPERLINK("https://www.facebook.com/634639855377280/posts/782513537256577?comment_id=264786556504479","https://www.facebook.com/634639855377280/posts/782513537256577?comment_id=264786556504479")</f>
        <v>https://www.facebook.com/634639855377280/posts/782513537256577?comment_id=264786556504479</v>
      </c>
      <c r="O2625">
        <v>0</v>
      </c>
      <c r="P2625">
        <v>0</v>
      </c>
      <c r="Q2625">
        <v>0</v>
      </c>
      <c r="S2625">
        <v>0</v>
      </c>
      <c r="T2625">
        <v>0</v>
      </c>
      <c r="U2625">
        <v>0</v>
      </c>
      <c r="W2625" t="s">
        <v>52</v>
      </c>
    </row>
    <row r="2626" spans="1:23" x14ac:dyDescent="0.35">
      <c r="A2626" t="s">
        <v>45</v>
      </c>
      <c r="B2626" t="s">
        <v>5315</v>
      </c>
      <c r="C2626" t="s">
        <v>60</v>
      </c>
      <c r="D2626" t="s">
        <v>61</v>
      </c>
      <c r="E2626" t="s">
        <v>61</v>
      </c>
      <c r="F2626" t="s">
        <v>49</v>
      </c>
      <c r="G2626" t="s">
        <v>5358</v>
      </c>
      <c r="H2626" t="s">
        <v>5359</v>
      </c>
      <c r="J2626" t="str">
        <f>HYPERLINK("https://www.facebook.com/634639855377280/posts/782513537256577?comment_id=765730434890012","https://www.facebook.com/634639855377280/posts/782513537256577?comment_id=765730434890012")</f>
        <v>https://www.facebook.com/634639855377280/posts/782513537256577?comment_id=765730434890012</v>
      </c>
      <c r="O2626">
        <v>0</v>
      </c>
      <c r="P2626">
        <v>0</v>
      </c>
      <c r="Q2626">
        <v>0</v>
      </c>
      <c r="S2626">
        <v>0</v>
      </c>
      <c r="T2626">
        <v>0</v>
      </c>
      <c r="U2626">
        <v>0</v>
      </c>
      <c r="W2626" t="s">
        <v>52</v>
      </c>
    </row>
    <row r="2627" spans="1:23" x14ac:dyDescent="0.35">
      <c r="A2627" t="s">
        <v>45</v>
      </c>
      <c r="B2627" t="s">
        <v>5315</v>
      </c>
      <c r="C2627" t="s">
        <v>60</v>
      </c>
      <c r="D2627" t="s">
        <v>61</v>
      </c>
      <c r="E2627" t="s">
        <v>61</v>
      </c>
      <c r="F2627" t="s">
        <v>49</v>
      </c>
      <c r="G2627" t="s">
        <v>5360</v>
      </c>
      <c r="H2627" t="s">
        <v>5361</v>
      </c>
      <c r="J2627" t="str">
        <f>HYPERLINK("https://www.facebook.com/634639855377280/posts/782513537256577?comment_id=1402440657299311&amp;reply_comment_id=3590133897970139","https://www.facebook.com/634639855377280/posts/782513537256577?comment_id=1402440657299311&amp;reply_comment_id=3590133897970139")</f>
        <v>https://www.facebook.com/634639855377280/posts/782513537256577?comment_id=1402440657299311&amp;reply_comment_id=3590133897970139</v>
      </c>
      <c r="O2627">
        <v>0</v>
      </c>
      <c r="P2627">
        <v>0</v>
      </c>
      <c r="Q2627">
        <v>0</v>
      </c>
      <c r="S2627">
        <v>0</v>
      </c>
      <c r="T2627">
        <v>0</v>
      </c>
      <c r="U2627">
        <v>0</v>
      </c>
      <c r="W2627" t="s">
        <v>52</v>
      </c>
    </row>
    <row r="2628" spans="1:23" x14ac:dyDescent="0.35">
      <c r="A2628" t="s">
        <v>45</v>
      </c>
      <c r="B2628" t="s">
        <v>5315</v>
      </c>
      <c r="C2628" t="s">
        <v>60</v>
      </c>
      <c r="D2628" t="s">
        <v>64</v>
      </c>
      <c r="E2628" t="s">
        <v>64</v>
      </c>
      <c r="F2628" t="s">
        <v>49</v>
      </c>
      <c r="G2628" t="s">
        <v>5362</v>
      </c>
      <c r="H2628" t="s">
        <v>5363</v>
      </c>
      <c r="J2628" t="str">
        <f>HYPERLINK("https://www.facebook.com/634639855377280/posts/782513537256577?comment_id=1099925567830875&amp;reply_comment_id=287044704050883","https://www.facebook.com/634639855377280/posts/782513537256577?comment_id=1099925567830875&amp;reply_comment_id=287044704050883")</f>
        <v>https://www.facebook.com/634639855377280/posts/782513537256577?comment_id=1099925567830875&amp;reply_comment_id=287044704050883</v>
      </c>
      <c r="K2628" t="s">
        <v>67</v>
      </c>
      <c r="O2628">
        <v>0</v>
      </c>
      <c r="P2628">
        <v>0</v>
      </c>
      <c r="Q2628">
        <v>0</v>
      </c>
      <c r="S2628">
        <v>0</v>
      </c>
      <c r="T2628">
        <v>0</v>
      </c>
      <c r="U2628">
        <v>0</v>
      </c>
      <c r="W2628" t="s">
        <v>52</v>
      </c>
    </row>
    <row r="2629" spans="1:23" x14ac:dyDescent="0.35">
      <c r="A2629" t="s">
        <v>45</v>
      </c>
      <c r="B2629" t="s">
        <v>5315</v>
      </c>
      <c r="C2629" t="s">
        <v>93</v>
      </c>
      <c r="D2629" t="s">
        <v>94</v>
      </c>
      <c r="E2629" t="s">
        <v>45</v>
      </c>
      <c r="F2629" t="s">
        <v>49</v>
      </c>
      <c r="G2629" t="s">
        <v>5364</v>
      </c>
      <c r="H2629" t="s">
        <v>5365</v>
      </c>
      <c r="J2629" t="str">
        <f>HYPERLINK("https://twitter.com/SpiceMoneyIndia/status/1752680615407735029","https://twitter.com/SpiceMoneyIndia/status/1752680615407735029")</f>
        <v>https://twitter.com/SpiceMoneyIndia/status/1752680615407735029</v>
      </c>
      <c r="K2629" t="s">
        <v>67</v>
      </c>
      <c r="O2629">
        <v>0</v>
      </c>
      <c r="P2629">
        <v>0</v>
      </c>
      <c r="Q2629">
        <v>6015</v>
      </c>
      <c r="R2629" t="s">
        <v>97</v>
      </c>
      <c r="S2629">
        <v>0</v>
      </c>
      <c r="T2629">
        <v>0</v>
      </c>
      <c r="U2629">
        <v>0</v>
      </c>
      <c r="V2629" t="s">
        <v>98</v>
      </c>
      <c r="W2629" t="s">
        <v>99</v>
      </c>
    </row>
    <row r="2630" spans="1:23" x14ac:dyDescent="0.35">
      <c r="A2630" t="s">
        <v>45</v>
      </c>
      <c r="B2630" t="s">
        <v>5315</v>
      </c>
      <c r="C2630" t="s">
        <v>47</v>
      </c>
      <c r="D2630" t="s">
        <v>5366</v>
      </c>
      <c r="E2630" t="s">
        <v>5366</v>
      </c>
      <c r="F2630" t="s">
        <v>49</v>
      </c>
      <c r="G2630" t="s">
        <v>5367</v>
      </c>
      <c r="H2630" t="s">
        <v>5368</v>
      </c>
      <c r="J2630" t="str">
        <f>HYPERLINK("https://www.youtube.com/watch?v=DMlpygM0MQM&amp;lc=Ugx_Ifs4LsClUVUmY194AaABAg","https://www.youtube.com/watch?v=DMlpygM0MQM&amp;lc=Ugx_Ifs4LsClUVUmY194AaABAg")</f>
        <v>https://www.youtube.com/watch?v=DMlpygM0MQM&amp;lc=Ugx_Ifs4LsClUVUmY194AaABAg</v>
      </c>
      <c r="O2630">
        <v>0</v>
      </c>
      <c r="P2630">
        <v>0</v>
      </c>
      <c r="Q2630">
        <v>0</v>
      </c>
      <c r="S2630">
        <v>0</v>
      </c>
      <c r="T2630">
        <v>0</v>
      </c>
      <c r="U2630">
        <v>0</v>
      </c>
      <c r="W2630" t="s">
        <v>52</v>
      </c>
    </row>
    <row r="2631" spans="1:23" x14ac:dyDescent="0.35">
      <c r="A2631" t="s">
        <v>45</v>
      </c>
      <c r="B2631" t="s">
        <v>5315</v>
      </c>
      <c r="C2631" t="s">
        <v>60</v>
      </c>
      <c r="D2631" t="s">
        <v>64</v>
      </c>
      <c r="E2631" t="s">
        <v>64</v>
      </c>
      <c r="F2631" t="s">
        <v>49</v>
      </c>
      <c r="G2631" t="s">
        <v>454</v>
      </c>
      <c r="H2631" t="s">
        <v>5369</v>
      </c>
      <c r="J2631" t="str">
        <f>HYPERLINK("https://www.facebook.com/634639855377280/posts/781371484037449?comment_id=678436690895873&amp;reply_comment_id=359042507053049","https://www.facebook.com/634639855377280/posts/781371484037449?comment_id=678436690895873&amp;reply_comment_id=359042507053049")</f>
        <v>https://www.facebook.com/634639855377280/posts/781371484037449?comment_id=678436690895873&amp;reply_comment_id=359042507053049</v>
      </c>
      <c r="K2631" t="s">
        <v>67</v>
      </c>
      <c r="O2631">
        <v>0</v>
      </c>
      <c r="P2631">
        <v>0</v>
      </c>
      <c r="Q2631">
        <v>0</v>
      </c>
      <c r="S2631">
        <v>0</v>
      </c>
      <c r="T2631">
        <v>0</v>
      </c>
      <c r="U2631">
        <v>0</v>
      </c>
      <c r="W2631" t="s">
        <v>52</v>
      </c>
    </row>
    <row r="2632" spans="1:23" x14ac:dyDescent="0.35">
      <c r="A2632" t="s">
        <v>45</v>
      </c>
      <c r="B2632" t="s">
        <v>5315</v>
      </c>
      <c r="C2632" t="s">
        <v>93</v>
      </c>
      <c r="D2632" t="s">
        <v>94</v>
      </c>
      <c r="E2632" t="s">
        <v>45</v>
      </c>
      <c r="F2632" t="s">
        <v>49</v>
      </c>
      <c r="G2632" t="s">
        <v>5370</v>
      </c>
      <c r="H2632" t="s">
        <v>5371</v>
      </c>
      <c r="J2632" t="str">
        <f>HYPERLINK("https://twitter.com/SpiceMoneyIndia/status/1752680370481291660","https://twitter.com/SpiceMoneyIndia/status/1752680370481291660")</f>
        <v>https://twitter.com/SpiceMoneyIndia/status/1752680370481291660</v>
      </c>
      <c r="K2632" t="s">
        <v>67</v>
      </c>
      <c r="O2632">
        <v>0</v>
      </c>
      <c r="P2632">
        <v>0</v>
      </c>
      <c r="Q2632">
        <v>6015</v>
      </c>
      <c r="R2632" t="s">
        <v>97</v>
      </c>
      <c r="S2632">
        <v>0</v>
      </c>
      <c r="T2632">
        <v>0</v>
      </c>
      <c r="U2632">
        <v>0</v>
      </c>
      <c r="V2632" t="s">
        <v>98</v>
      </c>
      <c r="W2632" t="s">
        <v>99</v>
      </c>
    </row>
    <row r="2633" spans="1:23" x14ac:dyDescent="0.35">
      <c r="A2633" t="s">
        <v>45</v>
      </c>
      <c r="B2633" t="s">
        <v>5315</v>
      </c>
      <c r="C2633" t="s">
        <v>93</v>
      </c>
      <c r="D2633" t="s">
        <v>94</v>
      </c>
      <c r="E2633" t="s">
        <v>45</v>
      </c>
      <c r="F2633" t="s">
        <v>49</v>
      </c>
      <c r="G2633" t="s">
        <v>5372</v>
      </c>
      <c r="H2633" t="s">
        <v>5373</v>
      </c>
      <c r="J2633" t="str">
        <f>HYPERLINK("https://twitter.com/SpiceMoneyIndia/status/1752680266005360791","https://twitter.com/SpiceMoneyIndia/status/1752680266005360791")</f>
        <v>https://twitter.com/SpiceMoneyIndia/status/1752680266005360791</v>
      </c>
      <c r="K2633" t="s">
        <v>67</v>
      </c>
      <c r="O2633">
        <v>0</v>
      </c>
      <c r="P2633">
        <v>0</v>
      </c>
      <c r="Q2633">
        <v>6015</v>
      </c>
      <c r="R2633" t="s">
        <v>97</v>
      </c>
      <c r="S2633">
        <v>0</v>
      </c>
      <c r="T2633">
        <v>0</v>
      </c>
      <c r="U2633">
        <v>0</v>
      </c>
      <c r="V2633" t="s">
        <v>98</v>
      </c>
      <c r="W2633" t="s">
        <v>99</v>
      </c>
    </row>
    <row r="2634" spans="1:23" x14ac:dyDescent="0.35">
      <c r="A2634" t="s">
        <v>45</v>
      </c>
      <c r="B2634" t="s">
        <v>5315</v>
      </c>
      <c r="C2634" t="s">
        <v>60</v>
      </c>
      <c r="D2634" t="s">
        <v>64</v>
      </c>
      <c r="E2634" t="s">
        <v>64</v>
      </c>
      <c r="F2634" t="s">
        <v>49</v>
      </c>
      <c r="G2634" t="s">
        <v>100</v>
      </c>
      <c r="H2634" t="s">
        <v>5374</v>
      </c>
      <c r="J2634" t="str">
        <f>HYPERLINK("https://www.facebook.com/634639855377280/posts/782513537256577?comment_id=1402440657299311&amp;reply_comment_id=394596016288390","https://www.facebook.com/634639855377280/posts/782513537256577?comment_id=1402440657299311&amp;reply_comment_id=394596016288390")</f>
        <v>https://www.facebook.com/634639855377280/posts/782513537256577?comment_id=1402440657299311&amp;reply_comment_id=394596016288390</v>
      </c>
      <c r="K2634" t="s">
        <v>67</v>
      </c>
      <c r="O2634">
        <v>0</v>
      </c>
      <c r="P2634">
        <v>0</v>
      </c>
      <c r="Q2634">
        <v>0</v>
      </c>
      <c r="S2634">
        <v>0</v>
      </c>
      <c r="T2634">
        <v>0</v>
      </c>
      <c r="U2634">
        <v>0</v>
      </c>
      <c r="W2634" t="s">
        <v>52</v>
      </c>
    </row>
    <row r="2635" spans="1:23" x14ac:dyDescent="0.35">
      <c r="A2635" t="s">
        <v>45</v>
      </c>
      <c r="B2635" t="s">
        <v>5315</v>
      </c>
      <c r="C2635" t="s">
        <v>60</v>
      </c>
      <c r="D2635" t="s">
        <v>64</v>
      </c>
      <c r="E2635" t="s">
        <v>64</v>
      </c>
      <c r="F2635" t="s">
        <v>49</v>
      </c>
      <c r="G2635" t="s">
        <v>162</v>
      </c>
      <c r="H2635" t="s">
        <v>5375</v>
      </c>
      <c r="J2635" t="str">
        <f>HYPERLINK("https://www.facebook.com/634639855377280/posts/782513537256577?comment_id=700831595470193&amp;reply_comment_id=1702722926885486","https://www.facebook.com/634639855377280/posts/782513537256577?comment_id=700831595470193&amp;reply_comment_id=1702722926885486")</f>
        <v>https://www.facebook.com/634639855377280/posts/782513537256577?comment_id=700831595470193&amp;reply_comment_id=1702722926885486</v>
      </c>
      <c r="K2635" t="s">
        <v>67</v>
      </c>
      <c r="O2635">
        <v>0</v>
      </c>
      <c r="P2635">
        <v>0</v>
      </c>
      <c r="Q2635">
        <v>0</v>
      </c>
      <c r="S2635">
        <v>0</v>
      </c>
      <c r="T2635">
        <v>0</v>
      </c>
      <c r="U2635">
        <v>0</v>
      </c>
      <c r="W2635" t="s">
        <v>52</v>
      </c>
    </row>
    <row r="2636" spans="1:23" x14ac:dyDescent="0.35">
      <c r="A2636" t="s">
        <v>45</v>
      </c>
      <c r="B2636" t="s">
        <v>5315</v>
      </c>
      <c r="C2636" t="s">
        <v>93</v>
      </c>
      <c r="D2636" t="s">
        <v>94</v>
      </c>
      <c r="E2636" t="s">
        <v>45</v>
      </c>
      <c r="F2636" t="s">
        <v>49</v>
      </c>
      <c r="G2636" t="s">
        <v>5376</v>
      </c>
      <c r="H2636" t="s">
        <v>5377</v>
      </c>
      <c r="J2636" t="str">
        <f>HYPERLINK("https://twitter.com/SpiceMoneyIndia/status/1752679133128110265","https://twitter.com/SpiceMoneyIndia/status/1752679133128110265")</f>
        <v>https://twitter.com/SpiceMoneyIndia/status/1752679133128110265</v>
      </c>
      <c r="K2636" t="s">
        <v>67</v>
      </c>
      <c r="O2636">
        <v>0</v>
      </c>
      <c r="P2636">
        <v>0</v>
      </c>
      <c r="Q2636">
        <v>6015</v>
      </c>
      <c r="R2636" t="s">
        <v>97</v>
      </c>
      <c r="S2636">
        <v>0</v>
      </c>
      <c r="T2636">
        <v>0</v>
      </c>
      <c r="U2636">
        <v>0</v>
      </c>
      <c r="V2636" t="s">
        <v>98</v>
      </c>
      <c r="W2636" t="s">
        <v>99</v>
      </c>
    </row>
    <row r="2637" spans="1:23" x14ac:dyDescent="0.35">
      <c r="A2637" t="s">
        <v>45</v>
      </c>
      <c r="B2637" t="s">
        <v>5315</v>
      </c>
      <c r="C2637" t="s">
        <v>60</v>
      </c>
      <c r="D2637" t="s">
        <v>64</v>
      </c>
      <c r="E2637" t="s">
        <v>64</v>
      </c>
      <c r="F2637" t="s">
        <v>49</v>
      </c>
      <c r="G2637" t="s">
        <v>100</v>
      </c>
      <c r="H2637" t="s">
        <v>5378</v>
      </c>
      <c r="J2637" t="str">
        <f>HYPERLINK("https://www.facebook.com/634639855377280/posts/781371484037449?comment_id=765522795494628&amp;reply_comment_id=409139634832033","https://www.facebook.com/634639855377280/posts/781371484037449?comment_id=765522795494628&amp;reply_comment_id=409139634832033")</f>
        <v>https://www.facebook.com/634639855377280/posts/781371484037449?comment_id=765522795494628&amp;reply_comment_id=409139634832033</v>
      </c>
      <c r="K2637" t="s">
        <v>67</v>
      </c>
      <c r="O2637">
        <v>0</v>
      </c>
      <c r="P2637">
        <v>0</v>
      </c>
      <c r="Q2637">
        <v>0</v>
      </c>
      <c r="S2637">
        <v>0</v>
      </c>
      <c r="T2637">
        <v>0</v>
      </c>
      <c r="U2637">
        <v>0</v>
      </c>
      <c r="W2637" t="s">
        <v>52</v>
      </c>
    </row>
    <row r="2638" spans="1:23" x14ac:dyDescent="0.35">
      <c r="A2638" t="s">
        <v>45</v>
      </c>
      <c r="B2638" t="s">
        <v>5315</v>
      </c>
      <c r="C2638" t="s">
        <v>60</v>
      </c>
      <c r="D2638" t="s">
        <v>61</v>
      </c>
      <c r="E2638" t="s">
        <v>61</v>
      </c>
      <c r="F2638" t="s">
        <v>49</v>
      </c>
      <c r="G2638" t="s">
        <v>5379</v>
      </c>
      <c r="H2638" t="s">
        <v>5380</v>
      </c>
      <c r="J2638" t="str">
        <f>HYPERLINK("https://www.facebook.com/634639855377280/posts/780067474167850?comment_id=697800369090770","https://www.facebook.com/634639855377280/posts/780067474167850?comment_id=697800369090770")</f>
        <v>https://www.facebook.com/634639855377280/posts/780067474167850?comment_id=697800369090770</v>
      </c>
      <c r="O2638">
        <v>0</v>
      </c>
      <c r="P2638">
        <v>0</v>
      </c>
      <c r="Q2638">
        <v>0</v>
      </c>
      <c r="S2638">
        <v>0</v>
      </c>
      <c r="T2638">
        <v>0</v>
      </c>
      <c r="U2638">
        <v>0</v>
      </c>
      <c r="W2638" t="s">
        <v>52</v>
      </c>
    </row>
    <row r="2639" spans="1:23" x14ac:dyDescent="0.35">
      <c r="A2639" t="s">
        <v>45</v>
      </c>
      <c r="B2639" t="s">
        <v>5315</v>
      </c>
      <c r="C2639" t="s">
        <v>60</v>
      </c>
      <c r="D2639" t="s">
        <v>64</v>
      </c>
      <c r="E2639" t="s">
        <v>64</v>
      </c>
      <c r="F2639" t="s">
        <v>49</v>
      </c>
      <c r="G2639" t="s">
        <v>3138</v>
      </c>
      <c r="H2639" t="s">
        <v>5381</v>
      </c>
      <c r="J2639" t="str">
        <f>HYPERLINK("https://www.facebook.com/634639855377280/posts/782513537256577?comment_id=927086969066199&amp;reply_comment_id=1377774623112255","https://www.facebook.com/634639855377280/posts/782513537256577?comment_id=927086969066199&amp;reply_comment_id=1377774623112255")</f>
        <v>https://www.facebook.com/634639855377280/posts/782513537256577?comment_id=927086969066199&amp;reply_comment_id=1377774623112255</v>
      </c>
      <c r="K2639" t="s">
        <v>67</v>
      </c>
      <c r="O2639">
        <v>0</v>
      </c>
      <c r="P2639">
        <v>0</v>
      </c>
      <c r="Q2639">
        <v>0</v>
      </c>
      <c r="S2639">
        <v>0</v>
      </c>
      <c r="T2639">
        <v>0</v>
      </c>
      <c r="U2639">
        <v>0</v>
      </c>
      <c r="W2639" t="s">
        <v>52</v>
      </c>
    </row>
    <row r="2640" spans="1:23" x14ac:dyDescent="0.35">
      <c r="A2640" t="s">
        <v>45</v>
      </c>
      <c r="B2640" t="s">
        <v>5315</v>
      </c>
      <c r="C2640" t="s">
        <v>93</v>
      </c>
      <c r="D2640" t="s">
        <v>94</v>
      </c>
      <c r="E2640" t="s">
        <v>45</v>
      </c>
      <c r="F2640" t="s">
        <v>49</v>
      </c>
      <c r="G2640" t="s">
        <v>5382</v>
      </c>
      <c r="H2640" t="s">
        <v>5383</v>
      </c>
      <c r="J2640" t="str">
        <f>HYPERLINK("https://twitter.com/SpiceMoneyIndia/status/1752677679868879201","https://twitter.com/SpiceMoneyIndia/status/1752677679868879201")</f>
        <v>https://twitter.com/SpiceMoneyIndia/status/1752677679868879201</v>
      </c>
      <c r="K2640" t="s">
        <v>67</v>
      </c>
      <c r="O2640">
        <v>0</v>
      </c>
      <c r="P2640">
        <v>0</v>
      </c>
      <c r="Q2640">
        <v>6015</v>
      </c>
      <c r="R2640" t="s">
        <v>97</v>
      </c>
      <c r="S2640">
        <v>0</v>
      </c>
      <c r="T2640">
        <v>0</v>
      </c>
      <c r="U2640">
        <v>0</v>
      </c>
      <c r="V2640" t="s">
        <v>98</v>
      </c>
      <c r="W2640" t="s">
        <v>99</v>
      </c>
    </row>
    <row r="2641" spans="1:23" x14ac:dyDescent="0.35">
      <c r="A2641" t="s">
        <v>45</v>
      </c>
      <c r="B2641" t="s">
        <v>5315</v>
      </c>
      <c r="C2641" t="s">
        <v>47</v>
      </c>
      <c r="D2641" t="s">
        <v>68</v>
      </c>
      <c r="E2641" t="s">
        <v>68</v>
      </c>
      <c r="F2641" t="s">
        <v>49</v>
      </c>
      <c r="G2641" t="s">
        <v>5384</v>
      </c>
      <c r="H2641" t="s">
        <v>5385</v>
      </c>
      <c r="J2641" t="str">
        <f>HYPERLINK("https://www.youtube.com/watch?v=5DADCSRiE3A&amp;lc=Ugxat6OKxUdK7xyOqSR4AaABAg.A-DX5juhSorA-EV1ko1yBA","https://www.youtube.com/watch?v=5DADCSRiE3A&amp;lc=Ugxat6OKxUdK7xyOqSR4AaABAg.A-DX5juhSorA-EV1ko1yBA")</f>
        <v>https://www.youtube.com/watch?v=5DADCSRiE3A&amp;lc=Ugxat6OKxUdK7xyOqSR4AaABAg.A-DX5juhSorA-EV1ko1yBA</v>
      </c>
      <c r="O2641">
        <v>0</v>
      </c>
      <c r="P2641">
        <v>0</v>
      </c>
      <c r="Q2641">
        <v>0</v>
      </c>
      <c r="S2641">
        <v>0</v>
      </c>
      <c r="T2641">
        <v>0</v>
      </c>
      <c r="U2641">
        <v>0</v>
      </c>
      <c r="W2641" t="s">
        <v>52</v>
      </c>
    </row>
    <row r="2642" spans="1:23" x14ac:dyDescent="0.35">
      <c r="A2642" t="s">
        <v>45</v>
      </c>
      <c r="B2642" t="s">
        <v>5315</v>
      </c>
      <c r="C2642" t="s">
        <v>47</v>
      </c>
      <c r="D2642" t="s">
        <v>68</v>
      </c>
      <c r="E2642" t="s">
        <v>68</v>
      </c>
      <c r="F2642" t="s">
        <v>49</v>
      </c>
      <c r="G2642" t="s">
        <v>5386</v>
      </c>
      <c r="H2642" t="s">
        <v>5387</v>
      </c>
      <c r="J2642" t="str">
        <f>HYPERLINK("https://www.youtube.com/watch?v=-l0zuXgllLA&amp;lc=UgzL95qMcp4huCUnHwR4AaABAg.A-DIw4Zq58xA-EUswQKJ98","https://www.youtube.com/watch?v=-l0zuXgllLA&amp;lc=UgzL95qMcp4huCUnHwR4AaABAg.A-DIw4Zq58xA-EUswQKJ98")</f>
        <v>https://www.youtube.com/watch?v=-l0zuXgllLA&amp;lc=UgzL95qMcp4huCUnHwR4AaABAg.A-DIw4Zq58xA-EUswQKJ98</v>
      </c>
      <c r="O2642">
        <v>0</v>
      </c>
      <c r="P2642">
        <v>0</v>
      </c>
      <c r="Q2642">
        <v>0</v>
      </c>
      <c r="S2642">
        <v>0</v>
      </c>
      <c r="T2642">
        <v>0</v>
      </c>
      <c r="U2642">
        <v>0</v>
      </c>
      <c r="W2642" t="s">
        <v>52</v>
      </c>
    </row>
    <row r="2643" spans="1:23" x14ac:dyDescent="0.35">
      <c r="A2643" t="s">
        <v>45</v>
      </c>
      <c r="B2643" t="s">
        <v>5315</v>
      </c>
      <c r="C2643" t="s">
        <v>47</v>
      </c>
      <c r="D2643" t="s">
        <v>68</v>
      </c>
      <c r="E2643" t="s">
        <v>68</v>
      </c>
      <c r="F2643" t="s">
        <v>49</v>
      </c>
      <c r="G2643" t="s">
        <v>102</v>
      </c>
      <c r="H2643" t="s">
        <v>5388</v>
      </c>
      <c r="J2643" t="str">
        <f>HYPERLINK("https://www.youtube.com/watch?v=-l0zuXgllLA&amp;lc=UgzlCh6E2LSS-_EvCL94AaABAg.A-DMttDxdQJA-EUnGaqQrd","https://www.youtube.com/watch?v=-l0zuXgllLA&amp;lc=UgzlCh6E2LSS-_EvCL94AaABAg.A-DMttDxdQJA-EUnGaqQrd")</f>
        <v>https://www.youtube.com/watch?v=-l0zuXgllLA&amp;lc=UgzlCh6E2LSS-_EvCL94AaABAg.A-DMttDxdQJA-EUnGaqQrd</v>
      </c>
      <c r="O2643">
        <v>0</v>
      </c>
      <c r="P2643">
        <v>0</v>
      </c>
      <c r="Q2643">
        <v>0</v>
      </c>
      <c r="S2643">
        <v>0</v>
      </c>
      <c r="T2643">
        <v>0</v>
      </c>
      <c r="U2643">
        <v>0</v>
      </c>
      <c r="W2643" t="s">
        <v>52</v>
      </c>
    </row>
    <row r="2644" spans="1:23" x14ac:dyDescent="0.35">
      <c r="A2644" t="s">
        <v>45</v>
      </c>
      <c r="B2644" t="s">
        <v>5315</v>
      </c>
      <c r="C2644" t="s">
        <v>47</v>
      </c>
      <c r="D2644" t="s">
        <v>68</v>
      </c>
      <c r="E2644" t="s">
        <v>68</v>
      </c>
      <c r="F2644" t="s">
        <v>49</v>
      </c>
      <c r="G2644" t="s">
        <v>102</v>
      </c>
      <c r="H2644" t="s">
        <v>5389</v>
      </c>
      <c r="J2644" t="str">
        <f>HYPERLINK("https://www.youtube.com/watch?v=-l0zuXgllLA&amp;lc=UgxJb5lkFCRzh-uZzJV4AaABAg.A-DL13Dr01kA-EUm5osI46","https://www.youtube.com/watch?v=-l0zuXgllLA&amp;lc=UgxJb5lkFCRzh-uZzJV4AaABAg.A-DL13Dr01kA-EUm5osI46")</f>
        <v>https://www.youtube.com/watch?v=-l0zuXgllLA&amp;lc=UgxJb5lkFCRzh-uZzJV4AaABAg.A-DL13Dr01kA-EUm5osI46</v>
      </c>
      <c r="O2644">
        <v>0</v>
      </c>
      <c r="P2644">
        <v>0</v>
      </c>
      <c r="Q2644">
        <v>0</v>
      </c>
      <c r="S2644">
        <v>0</v>
      </c>
      <c r="T2644">
        <v>0</v>
      </c>
      <c r="U2644">
        <v>0</v>
      </c>
      <c r="W2644" t="s">
        <v>52</v>
      </c>
    </row>
    <row r="2645" spans="1:23" x14ac:dyDescent="0.35">
      <c r="A2645" t="s">
        <v>45</v>
      </c>
      <c r="B2645" t="s">
        <v>5315</v>
      </c>
      <c r="C2645" t="s">
        <v>47</v>
      </c>
      <c r="D2645" t="s">
        <v>68</v>
      </c>
      <c r="E2645" t="s">
        <v>68</v>
      </c>
      <c r="F2645" t="s">
        <v>49</v>
      </c>
      <c r="G2645" t="s">
        <v>102</v>
      </c>
      <c r="H2645" t="s">
        <v>5390</v>
      </c>
      <c r="J2645" t="str">
        <f>HYPERLINK("https://www.youtube.com/watch?v=-l0zuXgllLA&amp;lc=UgxT4BguTOgPiG79zVd4AaABAg.A-DWbFIph_hA-EUHpw3nsI","https://www.youtube.com/watch?v=-l0zuXgllLA&amp;lc=UgxT4BguTOgPiG79zVd4AaABAg.A-DWbFIph_hA-EUHpw3nsI")</f>
        <v>https://www.youtube.com/watch?v=-l0zuXgllLA&amp;lc=UgxT4BguTOgPiG79zVd4AaABAg.A-DWbFIph_hA-EUHpw3nsI</v>
      </c>
      <c r="O2645">
        <v>0</v>
      </c>
      <c r="P2645">
        <v>0</v>
      </c>
      <c r="Q2645">
        <v>0</v>
      </c>
      <c r="S2645">
        <v>0</v>
      </c>
      <c r="T2645">
        <v>0</v>
      </c>
      <c r="U2645">
        <v>0</v>
      </c>
      <c r="W2645" t="s">
        <v>52</v>
      </c>
    </row>
    <row r="2646" spans="1:23" x14ac:dyDescent="0.35">
      <c r="A2646" t="s">
        <v>45</v>
      </c>
      <c r="B2646" t="s">
        <v>5315</v>
      </c>
      <c r="C2646" t="s">
        <v>47</v>
      </c>
      <c r="D2646" t="s">
        <v>68</v>
      </c>
      <c r="E2646" t="s">
        <v>68</v>
      </c>
      <c r="F2646" t="s">
        <v>49</v>
      </c>
      <c r="G2646" t="s">
        <v>102</v>
      </c>
      <c r="H2646" t="s">
        <v>5391</v>
      </c>
      <c r="J2646" t="str">
        <f>HYPERLINK("https://www.youtube.com/watch?v=DMlpygM0MQM&amp;lc=Ugzrp6X58g9iww5IYkR4AaABAg.A-E-hAhn5zxA-EU1e6Y6_d","https://www.youtube.com/watch?v=DMlpygM0MQM&amp;lc=Ugzrp6X58g9iww5IYkR4AaABAg.A-E-hAhn5zxA-EU1e6Y6_d")</f>
        <v>https://www.youtube.com/watch?v=DMlpygM0MQM&amp;lc=Ugzrp6X58g9iww5IYkR4AaABAg.A-E-hAhn5zxA-EU1e6Y6_d</v>
      </c>
      <c r="O2646">
        <v>0</v>
      </c>
      <c r="P2646">
        <v>0</v>
      </c>
      <c r="Q2646">
        <v>0</v>
      </c>
      <c r="S2646">
        <v>0</v>
      </c>
      <c r="T2646">
        <v>0</v>
      </c>
      <c r="U2646">
        <v>0</v>
      </c>
      <c r="W2646" t="s">
        <v>52</v>
      </c>
    </row>
    <row r="2647" spans="1:23" x14ac:dyDescent="0.35">
      <c r="A2647" t="s">
        <v>45</v>
      </c>
      <c r="B2647" t="s">
        <v>5315</v>
      </c>
      <c r="C2647" t="s">
        <v>60</v>
      </c>
      <c r="D2647" t="s">
        <v>64</v>
      </c>
      <c r="E2647" t="s">
        <v>64</v>
      </c>
      <c r="F2647" t="s">
        <v>49</v>
      </c>
      <c r="G2647" t="s">
        <v>5392</v>
      </c>
      <c r="H2647" t="s">
        <v>5393</v>
      </c>
      <c r="J2647" t="str">
        <f>HYPERLINK("https://www.facebook.com/634639855377280/posts/780650374109560?comment_id=1126990615140661&amp;reply_comment_id=961854622319900","https://www.facebook.com/634639855377280/posts/780650374109560?comment_id=1126990615140661&amp;reply_comment_id=961854622319900")</f>
        <v>https://www.facebook.com/634639855377280/posts/780650374109560?comment_id=1126990615140661&amp;reply_comment_id=961854622319900</v>
      </c>
      <c r="K2647" t="s">
        <v>67</v>
      </c>
      <c r="O2647">
        <v>0</v>
      </c>
      <c r="P2647">
        <v>0</v>
      </c>
      <c r="Q2647">
        <v>0</v>
      </c>
      <c r="S2647">
        <v>0</v>
      </c>
      <c r="T2647">
        <v>0</v>
      </c>
      <c r="U2647">
        <v>0</v>
      </c>
      <c r="W2647" t="s">
        <v>52</v>
      </c>
    </row>
    <row r="2648" spans="1:23" x14ac:dyDescent="0.35">
      <c r="A2648" t="s">
        <v>45</v>
      </c>
      <c r="B2648" t="s">
        <v>5315</v>
      </c>
      <c r="C2648" t="s">
        <v>60</v>
      </c>
      <c r="D2648" t="s">
        <v>64</v>
      </c>
      <c r="E2648" t="s">
        <v>64</v>
      </c>
      <c r="F2648" t="s">
        <v>49</v>
      </c>
      <c r="G2648" t="s">
        <v>5394</v>
      </c>
      <c r="H2648" t="s">
        <v>5395</v>
      </c>
      <c r="J2648" t="str">
        <f>HYPERLINK("https://www.facebook.com/634639855377280/posts/780650374109560?comment_id=973677400778896&amp;reply_comment_id=699308935686422","https://www.facebook.com/634639855377280/posts/780650374109560?comment_id=973677400778896&amp;reply_comment_id=699308935686422")</f>
        <v>https://www.facebook.com/634639855377280/posts/780650374109560?comment_id=973677400778896&amp;reply_comment_id=699308935686422</v>
      </c>
      <c r="K2648" t="s">
        <v>67</v>
      </c>
      <c r="O2648">
        <v>0</v>
      </c>
      <c r="P2648">
        <v>0</v>
      </c>
      <c r="Q2648">
        <v>0</v>
      </c>
      <c r="S2648">
        <v>0</v>
      </c>
      <c r="T2648">
        <v>0</v>
      </c>
      <c r="U2648">
        <v>0</v>
      </c>
      <c r="W2648" t="s">
        <v>52</v>
      </c>
    </row>
    <row r="2649" spans="1:23" x14ac:dyDescent="0.35">
      <c r="A2649" t="s">
        <v>45</v>
      </c>
      <c r="B2649" t="s">
        <v>5315</v>
      </c>
      <c r="C2649" t="s">
        <v>60</v>
      </c>
      <c r="D2649" t="s">
        <v>64</v>
      </c>
      <c r="E2649" t="s">
        <v>64</v>
      </c>
      <c r="F2649" t="s">
        <v>49</v>
      </c>
      <c r="G2649" t="s">
        <v>5396</v>
      </c>
      <c r="H2649" t="s">
        <v>5397</v>
      </c>
      <c r="J2649" t="str">
        <f>HYPERLINK("https://www.facebook.com/634639855377280/posts/781371484037449?comment_id=919084112771147&amp;reply_comment_id=404320848640115","https://www.facebook.com/634639855377280/posts/781371484037449?comment_id=919084112771147&amp;reply_comment_id=404320848640115")</f>
        <v>https://www.facebook.com/634639855377280/posts/781371484037449?comment_id=919084112771147&amp;reply_comment_id=404320848640115</v>
      </c>
      <c r="K2649" t="s">
        <v>67</v>
      </c>
      <c r="O2649">
        <v>0</v>
      </c>
      <c r="P2649">
        <v>0</v>
      </c>
      <c r="Q2649">
        <v>0</v>
      </c>
      <c r="S2649">
        <v>0</v>
      </c>
      <c r="T2649">
        <v>0</v>
      </c>
      <c r="U2649">
        <v>0</v>
      </c>
      <c r="W2649" t="s">
        <v>52</v>
      </c>
    </row>
    <row r="2650" spans="1:23" x14ac:dyDescent="0.35">
      <c r="A2650" t="s">
        <v>45</v>
      </c>
      <c r="B2650" t="s">
        <v>5315</v>
      </c>
      <c r="C2650" t="s">
        <v>60</v>
      </c>
      <c r="D2650" t="s">
        <v>64</v>
      </c>
      <c r="E2650" t="s">
        <v>64</v>
      </c>
      <c r="F2650" t="s">
        <v>49</v>
      </c>
      <c r="G2650" t="s">
        <v>5398</v>
      </c>
      <c r="H2650" t="s">
        <v>5399</v>
      </c>
      <c r="J2650" t="str">
        <f>HYPERLINK("https://www.facebook.com/634639855377280/posts/781371484037449?comment_id=397944306139967&amp;reply_comment_id=2068018223565974","https://www.facebook.com/634639855377280/posts/781371484037449?comment_id=397944306139967&amp;reply_comment_id=2068018223565974")</f>
        <v>https://www.facebook.com/634639855377280/posts/781371484037449?comment_id=397944306139967&amp;reply_comment_id=2068018223565974</v>
      </c>
      <c r="K2650" t="s">
        <v>67</v>
      </c>
      <c r="O2650">
        <v>0</v>
      </c>
      <c r="P2650">
        <v>0</v>
      </c>
      <c r="Q2650">
        <v>0</v>
      </c>
      <c r="S2650">
        <v>0</v>
      </c>
      <c r="T2650">
        <v>0</v>
      </c>
      <c r="U2650">
        <v>0</v>
      </c>
      <c r="W2650" t="s">
        <v>52</v>
      </c>
    </row>
    <row r="2651" spans="1:23" x14ac:dyDescent="0.35">
      <c r="A2651" t="s">
        <v>45</v>
      </c>
      <c r="B2651" t="s">
        <v>5315</v>
      </c>
      <c r="C2651" t="s">
        <v>60</v>
      </c>
      <c r="D2651" t="s">
        <v>61</v>
      </c>
      <c r="E2651" t="s">
        <v>61</v>
      </c>
      <c r="F2651" t="s">
        <v>49</v>
      </c>
      <c r="G2651" t="s">
        <v>5400</v>
      </c>
      <c r="H2651" t="s">
        <v>5401</v>
      </c>
      <c r="J2651" t="str">
        <f>HYPERLINK("https://www.facebook.com/634639855377280/posts/782513537256577?comment_id=383504487702412","https://www.facebook.com/634639855377280/posts/782513537256577?comment_id=383504487702412")</f>
        <v>https://www.facebook.com/634639855377280/posts/782513537256577?comment_id=383504487702412</v>
      </c>
      <c r="O2651">
        <v>0</v>
      </c>
      <c r="P2651">
        <v>0</v>
      </c>
      <c r="Q2651">
        <v>0</v>
      </c>
      <c r="S2651">
        <v>0</v>
      </c>
      <c r="T2651">
        <v>0</v>
      </c>
      <c r="U2651">
        <v>0</v>
      </c>
      <c r="W2651" t="s">
        <v>52</v>
      </c>
    </row>
    <row r="2652" spans="1:23" x14ac:dyDescent="0.35">
      <c r="A2652" t="s">
        <v>45</v>
      </c>
      <c r="B2652" t="s">
        <v>5315</v>
      </c>
      <c r="C2652" t="s">
        <v>60</v>
      </c>
      <c r="D2652" t="s">
        <v>64</v>
      </c>
      <c r="E2652" t="s">
        <v>64</v>
      </c>
      <c r="F2652" t="s">
        <v>49</v>
      </c>
      <c r="G2652" t="s">
        <v>5402</v>
      </c>
      <c r="H2652" t="s">
        <v>5403</v>
      </c>
      <c r="J2652" t="str">
        <f>HYPERLINK("https://www.facebook.com/634639855377280/posts/781371484037449?comment_id=1427972674809067&amp;reply_comment_id=349800064587676","https://www.facebook.com/634639855377280/posts/781371484037449?comment_id=1427972674809067&amp;reply_comment_id=349800064587676")</f>
        <v>https://www.facebook.com/634639855377280/posts/781371484037449?comment_id=1427972674809067&amp;reply_comment_id=349800064587676</v>
      </c>
      <c r="K2652" t="s">
        <v>67</v>
      </c>
      <c r="O2652">
        <v>0</v>
      </c>
      <c r="P2652">
        <v>0</v>
      </c>
      <c r="Q2652">
        <v>0</v>
      </c>
      <c r="S2652">
        <v>0</v>
      </c>
      <c r="T2652">
        <v>0</v>
      </c>
      <c r="U2652">
        <v>0</v>
      </c>
      <c r="W2652" t="s">
        <v>52</v>
      </c>
    </row>
    <row r="2653" spans="1:23" x14ac:dyDescent="0.35">
      <c r="A2653" t="s">
        <v>45</v>
      </c>
      <c r="B2653" t="s">
        <v>5315</v>
      </c>
      <c r="C2653" t="s">
        <v>47</v>
      </c>
      <c r="D2653" t="s">
        <v>45</v>
      </c>
      <c r="E2653" t="s">
        <v>45</v>
      </c>
      <c r="F2653" t="s">
        <v>49</v>
      </c>
      <c r="G2653" t="s">
        <v>5404</v>
      </c>
      <c r="H2653" t="s">
        <v>5405</v>
      </c>
      <c r="J2653" t="str">
        <f>HYPERLINK("https://www.youtube.com/watch?v=tCrcA8PyABg","https://www.youtube.com/watch?v=tCrcA8PyABg")</f>
        <v>https://www.youtube.com/watch?v=tCrcA8PyABg</v>
      </c>
      <c r="O2653">
        <v>0</v>
      </c>
      <c r="P2653">
        <v>0</v>
      </c>
      <c r="Q2653">
        <v>0</v>
      </c>
      <c r="S2653">
        <v>0</v>
      </c>
      <c r="T2653">
        <v>0</v>
      </c>
      <c r="U2653">
        <v>0</v>
      </c>
      <c r="W2653" t="s">
        <v>346</v>
      </c>
    </row>
    <row r="2654" spans="1:23" x14ac:dyDescent="0.35">
      <c r="A2654" t="s">
        <v>45</v>
      </c>
      <c r="B2654" t="s">
        <v>5315</v>
      </c>
      <c r="C2654" t="s">
        <v>93</v>
      </c>
      <c r="D2654" t="s">
        <v>94</v>
      </c>
      <c r="E2654" t="s">
        <v>45</v>
      </c>
      <c r="F2654" t="s">
        <v>49</v>
      </c>
      <c r="G2654" t="s">
        <v>5406</v>
      </c>
      <c r="H2654" t="s">
        <v>5407</v>
      </c>
      <c r="J2654" t="str">
        <f>HYPERLINK("https://twitter.com/SpiceMoneyIndia/status/1752645983664472421","https://twitter.com/SpiceMoneyIndia/status/1752645983664472421")</f>
        <v>https://twitter.com/SpiceMoneyIndia/status/1752645983664472421</v>
      </c>
      <c r="K2654" t="s">
        <v>67</v>
      </c>
      <c r="O2654">
        <v>0</v>
      </c>
      <c r="P2654">
        <v>0</v>
      </c>
      <c r="Q2654">
        <v>6015</v>
      </c>
      <c r="R2654" t="s">
        <v>97</v>
      </c>
      <c r="S2654">
        <v>0</v>
      </c>
      <c r="T2654">
        <v>0</v>
      </c>
      <c r="U2654">
        <v>0</v>
      </c>
      <c r="V2654" t="s">
        <v>98</v>
      </c>
      <c r="W2654" t="s">
        <v>99</v>
      </c>
    </row>
    <row r="2655" spans="1:23" x14ac:dyDescent="0.35">
      <c r="A2655" t="s">
        <v>45</v>
      </c>
      <c r="B2655" t="s">
        <v>5315</v>
      </c>
      <c r="C2655" t="s">
        <v>60</v>
      </c>
      <c r="D2655" t="s">
        <v>61</v>
      </c>
      <c r="E2655" t="s">
        <v>61</v>
      </c>
      <c r="F2655" t="s">
        <v>49</v>
      </c>
      <c r="G2655" t="s">
        <v>5408</v>
      </c>
      <c r="H2655" t="s">
        <v>5409</v>
      </c>
      <c r="J2655" t="str">
        <f>HYPERLINK("https://www.facebook.com/634639855377280/posts/782513537256577?comment_id=927086969066199","https://www.facebook.com/634639855377280/posts/782513537256577?comment_id=927086969066199")</f>
        <v>https://www.facebook.com/634639855377280/posts/782513537256577?comment_id=927086969066199</v>
      </c>
      <c r="O2655">
        <v>0</v>
      </c>
      <c r="P2655">
        <v>0</v>
      </c>
      <c r="Q2655">
        <v>0</v>
      </c>
      <c r="S2655">
        <v>0</v>
      </c>
      <c r="T2655">
        <v>0</v>
      </c>
      <c r="U2655">
        <v>0</v>
      </c>
      <c r="W2655" t="s">
        <v>52</v>
      </c>
    </row>
    <row r="2656" spans="1:23" x14ac:dyDescent="0.35">
      <c r="A2656" t="s">
        <v>45</v>
      </c>
      <c r="B2656" t="s">
        <v>5315</v>
      </c>
      <c r="C2656" t="s">
        <v>60</v>
      </c>
      <c r="D2656" t="s">
        <v>61</v>
      </c>
      <c r="E2656" t="s">
        <v>61</v>
      </c>
      <c r="F2656" t="s">
        <v>49</v>
      </c>
      <c r="G2656" t="s">
        <v>5410</v>
      </c>
      <c r="H2656" t="s">
        <v>5411</v>
      </c>
      <c r="J2656" t="str">
        <f>HYPERLINK("https://www.facebook.com/634639855377280/posts/782513537256577?comment_id=1029705884763917","https://www.facebook.com/634639855377280/posts/782513537256577?comment_id=1029705884763917")</f>
        <v>https://www.facebook.com/634639855377280/posts/782513537256577?comment_id=1029705884763917</v>
      </c>
      <c r="O2656">
        <v>0</v>
      </c>
      <c r="P2656">
        <v>0</v>
      </c>
      <c r="Q2656">
        <v>0</v>
      </c>
      <c r="S2656">
        <v>0</v>
      </c>
      <c r="T2656">
        <v>0</v>
      </c>
      <c r="U2656">
        <v>0</v>
      </c>
      <c r="W2656" t="s">
        <v>52</v>
      </c>
    </row>
    <row r="2657" spans="1:23" x14ac:dyDescent="0.35">
      <c r="A2657" t="s">
        <v>45</v>
      </c>
      <c r="B2657" t="s">
        <v>5315</v>
      </c>
      <c r="C2657" t="s">
        <v>60</v>
      </c>
      <c r="D2657" t="s">
        <v>61</v>
      </c>
      <c r="E2657" t="s">
        <v>61</v>
      </c>
      <c r="F2657" t="s">
        <v>49</v>
      </c>
      <c r="G2657" t="s">
        <v>5412</v>
      </c>
      <c r="H2657" t="s">
        <v>5413</v>
      </c>
      <c r="J2657" t="str">
        <f>HYPERLINK("https://www.facebook.com/634639855377280/posts/782513537256577?comment_id=1099925567830875","https://www.facebook.com/634639855377280/posts/782513537256577?comment_id=1099925567830875")</f>
        <v>https://www.facebook.com/634639855377280/posts/782513537256577?comment_id=1099925567830875</v>
      </c>
      <c r="O2657">
        <v>0</v>
      </c>
      <c r="P2657">
        <v>0</v>
      </c>
      <c r="Q2657">
        <v>0</v>
      </c>
      <c r="S2657">
        <v>0</v>
      </c>
      <c r="T2657">
        <v>0</v>
      </c>
      <c r="U2657">
        <v>0</v>
      </c>
      <c r="W2657" t="s">
        <v>52</v>
      </c>
    </row>
    <row r="2658" spans="1:23" x14ac:dyDescent="0.35">
      <c r="A2658" t="s">
        <v>45</v>
      </c>
      <c r="B2658" t="s">
        <v>5315</v>
      </c>
      <c r="C2658" t="s">
        <v>93</v>
      </c>
      <c r="D2658" t="s">
        <v>5414</v>
      </c>
      <c r="E2658" t="s">
        <v>5415</v>
      </c>
      <c r="F2658" t="s">
        <v>49</v>
      </c>
      <c r="G2658" t="s">
        <v>5416</v>
      </c>
      <c r="H2658" t="s">
        <v>5417</v>
      </c>
      <c r="J2658" t="str">
        <f>HYPERLINK("https://twitter.com/Shailen49128672/status/1752622073124732967","https://twitter.com/Shailen49128672/status/1752622073124732967")</f>
        <v>https://twitter.com/Shailen49128672/status/1752622073124732967</v>
      </c>
      <c r="K2658" t="s">
        <v>67</v>
      </c>
      <c r="O2658">
        <v>0</v>
      </c>
      <c r="P2658">
        <v>0</v>
      </c>
      <c r="Q2658">
        <v>0</v>
      </c>
      <c r="S2658">
        <v>0</v>
      </c>
      <c r="T2658">
        <v>0</v>
      </c>
      <c r="U2658">
        <v>0</v>
      </c>
      <c r="W2658" t="s">
        <v>99</v>
      </c>
    </row>
    <row r="2659" spans="1:23" x14ac:dyDescent="0.35">
      <c r="A2659" t="s">
        <v>45</v>
      </c>
      <c r="B2659" t="s">
        <v>5315</v>
      </c>
      <c r="C2659" t="s">
        <v>60</v>
      </c>
      <c r="D2659" t="s">
        <v>61</v>
      </c>
      <c r="E2659" t="s">
        <v>61</v>
      </c>
      <c r="F2659" t="s">
        <v>54</v>
      </c>
      <c r="G2659" t="s">
        <v>5418</v>
      </c>
      <c r="H2659" t="s">
        <v>5419</v>
      </c>
      <c r="J2659" t="str">
        <f>HYPERLINK("https://www.facebook.com/634639855377280/posts/782513537256577?comment_id=700831595470193","https://www.facebook.com/634639855377280/posts/782513537256577?comment_id=700831595470193")</f>
        <v>https://www.facebook.com/634639855377280/posts/782513537256577?comment_id=700831595470193</v>
      </c>
      <c r="O2659">
        <v>0</v>
      </c>
      <c r="P2659">
        <v>0</v>
      </c>
      <c r="Q2659">
        <v>0</v>
      </c>
      <c r="S2659">
        <v>0</v>
      </c>
      <c r="T2659">
        <v>0</v>
      </c>
      <c r="U2659">
        <v>0</v>
      </c>
      <c r="W2659" t="s">
        <v>52</v>
      </c>
    </row>
    <row r="2660" spans="1:23" x14ac:dyDescent="0.35">
      <c r="A2660" t="s">
        <v>45</v>
      </c>
      <c r="B2660" t="s">
        <v>5315</v>
      </c>
      <c r="C2660" t="s">
        <v>93</v>
      </c>
      <c r="D2660" t="s">
        <v>5414</v>
      </c>
      <c r="E2660" t="s">
        <v>5415</v>
      </c>
      <c r="F2660" t="s">
        <v>49</v>
      </c>
      <c r="G2660" t="s">
        <v>5420</v>
      </c>
      <c r="H2660" t="s">
        <v>5421</v>
      </c>
      <c r="J2660" t="str">
        <f>HYPERLINK("https://twitter.com/Shailen49128672/status/1752620808663646548","https://twitter.com/Shailen49128672/status/1752620808663646548")</f>
        <v>https://twitter.com/Shailen49128672/status/1752620808663646548</v>
      </c>
      <c r="K2660" t="s">
        <v>67</v>
      </c>
      <c r="O2660">
        <v>0</v>
      </c>
      <c r="P2660">
        <v>0</v>
      </c>
      <c r="Q2660">
        <v>0</v>
      </c>
      <c r="S2660">
        <v>0</v>
      </c>
      <c r="T2660">
        <v>0</v>
      </c>
      <c r="U2660">
        <v>0</v>
      </c>
      <c r="W2660" t="s">
        <v>99</v>
      </c>
    </row>
    <row r="2661" spans="1:23" x14ac:dyDescent="0.35">
      <c r="A2661" t="s">
        <v>45</v>
      </c>
      <c r="B2661" t="s">
        <v>5315</v>
      </c>
      <c r="C2661" t="s">
        <v>60</v>
      </c>
      <c r="D2661" t="s">
        <v>61</v>
      </c>
      <c r="E2661" t="s">
        <v>61</v>
      </c>
      <c r="F2661" t="s">
        <v>193</v>
      </c>
      <c r="G2661" t="s">
        <v>5422</v>
      </c>
      <c r="H2661" t="s">
        <v>5423</v>
      </c>
      <c r="J2661" t="str">
        <f>HYPERLINK("https://www.facebook.com/634639855377280/posts/782513537256577?comment_id=1402440657299311","https://www.facebook.com/634639855377280/posts/782513537256577?comment_id=1402440657299311")</f>
        <v>https://www.facebook.com/634639855377280/posts/782513537256577?comment_id=1402440657299311</v>
      </c>
      <c r="O2661">
        <v>0</v>
      </c>
      <c r="P2661">
        <v>0</v>
      </c>
      <c r="Q2661">
        <v>0</v>
      </c>
      <c r="S2661">
        <v>0</v>
      </c>
      <c r="T2661">
        <v>0</v>
      </c>
      <c r="U2661">
        <v>0</v>
      </c>
      <c r="W2661" t="s">
        <v>52</v>
      </c>
    </row>
    <row r="2662" spans="1:23" x14ac:dyDescent="0.35">
      <c r="A2662" t="s">
        <v>45</v>
      </c>
      <c r="B2662" t="s">
        <v>5315</v>
      </c>
      <c r="C2662" t="s">
        <v>93</v>
      </c>
      <c r="D2662" t="s">
        <v>5100</v>
      </c>
      <c r="E2662" t="s">
        <v>5101</v>
      </c>
      <c r="F2662" t="s">
        <v>49</v>
      </c>
      <c r="G2662" t="s">
        <v>5424</v>
      </c>
      <c r="H2662" t="s">
        <v>5425</v>
      </c>
      <c r="J2662" t="str">
        <f>HYPERLINK("https://twitter.com/rohitshukla7252/status/1752614459963752732","https://twitter.com/rohitshukla7252/status/1752614459963752732")</f>
        <v>https://twitter.com/rohitshukla7252/status/1752614459963752732</v>
      </c>
      <c r="K2662" t="s">
        <v>67</v>
      </c>
      <c r="O2662">
        <v>0</v>
      </c>
      <c r="P2662">
        <v>0</v>
      </c>
      <c r="Q2662">
        <v>41</v>
      </c>
      <c r="R2662" t="s">
        <v>871</v>
      </c>
      <c r="S2662">
        <v>0</v>
      </c>
      <c r="T2662">
        <v>0</v>
      </c>
      <c r="U2662">
        <v>0</v>
      </c>
      <c r="W2662" t="s">
        <v>99</v>
      </c>
    </row>
    <row r="2663" spans="1:23" x14ac:dyDescent="0.35">
      <c r="A2663" t="s">
        <v>45</v>
      </c>
      <c r="B2663" t="s">
        <v>5315</v>
      </c>
      <c r="C2663" t="s">
        <v>60</v>
      </c>
      <c r="D2663" t="s">
        <v>61</v>
      </c>
      <c r="E2663" t="s">
        <v>61</v>
      </c>
      <c r="F2663" t="s">
        <v>49</v>
      </c>
      <c r="G2663" t="s">
        <v>5426</v>
      </c>
      <c r="H2663" t="s">
        <v>5427</v>
      </c>
      <c r="J2663" t="str">
        <f>HYPERLINK("https://www.facebook.com/634639855377280/posts/782513537256577?comment_id=922677409255508","https://www.facebook.com/634639855377280/posts/782513537256577?comment_id=922677409255508")</f>
        <v>https://www.facebook.com/634639855377280/posts/782513537256577?comment_id=922677409255508</v>
      </c>
      <c r="O2663">
        <v>0</v>
      </c>
      <c r="P2663">
        <v>0</v>
      </c>
      <c r="Q2663">
        <v>0</v>
      </c>
      <c r="S2663">
        <v>0</v>
      </c>
      <c r="T2663">
        <v>0</v>
      </c>
      <c r="U2663">
        <v>0</v>
      </c>
      <c r="W2663" t="s">
        <v>52</v>
      </c>
    </row>
    <row r="2664" spans="1:23" x14ac:dyDescent="0.35">
      <c r="A2664" t="s">
        <v>45</v>
      </c>
      <c r="B2664" t="s">
        <v>5315</v>
      </c>
      <c r="C2664" t="s">
        <v>93</v>
      </c>
      <c r="D2664" t="s">
        <v>5428</v>
      </c>
      <c r="E2664" t="s">
        <v>5429</v>
      </c>
      <c r="F2664" t="s">
        <v>54</v>
      </c>
      <c r="G2664" t="s">
        <v>5430</v>
      </c>
      <c r="H2664" t="s">
        <v>5431</v>
      </c>
      <c r="J2664" t="str">
        <f>HYPERLINK("https://twitter.com/LordM15353/status/1752612583507722722","https://twitter.com/LordM15353/status/1752612583507722722")</f>
        <v>https://twitter.com/LordM15353/status/1752612583507722722</v>
      </c>
      <c r="O2664">
        <v>0</v>
      </c>
      <c r="P2664">
        <v>0</v>
      </c>
      <c r="Q2664">
        <v>0</v>
      </c>
      <c r="R2664" t="s">
        <v>5432</v>
      </c>
      <c r="S2664">
        <v>0</v>
      </c>
      <c r="T2664">
        <v>0</v>
      </c>
      <c r="U2664">
        <v>0</v>
      </c>
      <c r="W2664" t="s">
        <v>99</v>
      </c>
    </row>
    <row r="2665" spans="1:23" x14ac:dyDescent="0.35">
      <c r="A2665" t="s">
        <v>45</v>
      </c>
      <c r="B2665" t="s">
        <v>5315</v>
      </c>
      <c r="C2665" t="s">
        <v>93</v>
      </c>
      <c r="D2665" t="s">
        <v>94</v>
      </c>
      <c r="E2665" t="s">
        <v>45</v>
      </c>
      <c r="F2665" t="s">
        <v>49</v>
      </c>
      <c r="G2665" t="s">
        <v>5433</v>
      </c>
      <c r="H2665" t="s">
        <v>5434</v>
      </c>
      <c r="J2665" t="str">
        <f>HYPERLINK("https://twitter.com/SpiceMoneyIndia/status/1752612551236768035","https://twitter.com/SpiceMoneyIndia/status/1752612551236768035")</f>
        <v>https://twitter.com/SpiceMoneyIndia/status/1752612551236768035</v>
      </c>
      <c r="K2665" t="s">
        <v>67</v>
      </c>
      <c r="O2665">
        <v>0</v>
      </c>
      <c r="P2665">
        <v>0</v>
      </c>
      <c r="Q2665">
        <v>6014</v>
      </c>
      <c r="R2665" t="s">
        <v>97</v>
      </c>
      <c r="S2665">
        <v>0</v>
      </c>
      <c r="T2665">
        <v>0</v>
      </c>
      <c r="U2665">
        <v>0</v>
      </c>
      <c r="V2665" t="s">
        <v>98</v>
      </c>
      <c r="W2665" t="s">
        <v>99</v>
      </c>
    </row>
    <row r="2666" spans="1:23" x14ac:dyDescent="0.35">
      <c r="A2666" t="s">
        <v>45</v>
      </c>
      <c r="B2666" t="s">
        <v>5315</v>
      </c>
      <c r="C2666" t="s">
        <v>60</v>
      </c>
      <c r="D2666" t="s">
        <v>64</v>
      </c>
      <c r="E2666" t="s">
        <v>64</v>
      </c>
      <c r="F2666" t="s">
        <v>49</v>
      </c>
      <c r="G2666" t="s">
        <v>5435</v>
      </c>
      <c r="H2666" t="s">
        <v>5436</v>
      </c>
      <c r="J2666" t="str">
        <f>HYPERLINK("https://www.facebook.com/634639855377280/posts/782513537256577","https://www.facebook.com/634639855377280/posts/782513537256577")</f>
        <v>https://www.facebook.com/634639855377280/posts/782513537256577</v>
      </c>
      <c r="O2666">
        <v>0</v>
      </c>
      <c r="P2666">
        <v>0</v>
      </c>
      <c r="Q2666">
        <v>0</v>
      </c>
      <c r="S2666">
        <v>34</v>
      </c>
      <c r="T2666">
        <v>171</v>
      </c>
      <c r="U2666">
        <v>8</v>
      </c>
      <c r="W2666" t="s">
        <v>346</v>
      </c>
    </row>
    <row r="2667" spans="1:23" x14ac:dyDescent="0.35">
      <c r="A2667" t="s">
        <v>45</v>
      </c>
      <c r="B2667" t="s">
        <v>5315</v>
      </c>
      <c r="C2667" t="s">
        <v>47</v>
      </c>
      <c r="D2667" t="s">
        <v>846</v>
      </c>
      <c r="E2667" t="s">
        <v>846</v>
      </c>
      <c r="F2667" t="s">
        <v>49</v>
      </c>
      <c r="G2667" t="s">
        <v>5437</v>
      </c>
      <c r="H2667" t="s">
        <v>5438</v>
      </c>
      <c r="J2667" t="str">
        <f>HYPERLINK("https://www.youtube.com/watch?v=DMlpygM0MQM&amp;lc=Ugzrp6X58g9iww5IYkR4AaABAg","https://www.youtube.com/watch?v=DMlpygM0MQM&amp;lc=Ugzrp6X58g9iww5IYkR4AaABAg")</f>
        <v>https://www.youtube.com/watch?v=DMlpygM0MQM&amp;lc=Ugzrp6X58g9iww5IYkR4AaABAg</v>
      </c>
      <c r="O2667">
        <v>0</v>
      </c>
      <c r="P2667">
        <v>0</v>
      </c>
      <c r="Q2667">
        <v>0</v>
      </c>
      <c r="S2667">
        <v>0</v>
      </c>
      <c r="T2667">
        <v>0</v>
      </c>
      <c r="U2667">
        <v>0</v>
      </c>
      <c r="W2667" t="s">
        <v>52</v>
      </c>
    </row>
    <row r="2668" spans="1:23" x14ac:dyDescent="0.35">
      <c r="A2668" t="s">
        <v>45</v>
      </c>
      <c r="B2668" t="s">
        <v>5315</v>
      </c>
      <c r="C2668" t="s">
        <v>60</v>
      </c>
      <c r="D2668" t="s">
        <v>61</v>
      </c>
      <c r="E2668" t="s">
        <v>61</v>
      </c>
      <c r="F2668" t="s">
        <v>49</v>
      </c>
      <c r="G2668" t="s">
        <v>5439</v>
      </c>
      <c r="H2668" t="s">
        <v>5440</v>
      </c>
      <c r="J2668" t="str">
        <f>HYPERLINK("https://www.facebook.com/634639855377280/posts/780650374109560?comment_id=1347850335866947","https://www.facebook.com/634639855377280/posts/780650374109560?comment_id=1347850335866947")</f>
        <v>https://www.facebook.com/634639855377280/posts/780650374109560?comment_id=1347850335866947</v>
      </c>
      <c r="O2668">
        <v>0</v>
      </c>
      <c r="P2668">
        <v>0</v>
      </c>
      <c r="Q2668">
        <v>0</v>
      </c>
      <c r="S2668">
        <v>0</v>
      </c>
      <c r="T2668">
        <v>0</v>
      </c>
      <c r="U2668">
        <v>0</v>
      </c>
      <c r="W2668" t="s">
        <v>52</v>
      </c>
    </row>
    <row r="2669" spans="1:23" x14ac:dyDescent="0.35">
      <c r="A2669" t="s">
        <v>45</v>
      </c>
      <c r="B2669" t="s">
        <v>5315</v>
      </c>
      <c r="C2669" t="s">
        <v>47</v>
      </c>
      <c r="D2669" t="s">
        <v>45</v>
      </c>
      <c r="E2669" t="s">
        <v>45</v>
      </c>
      <c r="F2669" t="s">
        <v>49</v>
      </c>
      <c r="G2669" t="s">
        <v>5441</v>
      </c>
      <c r="H2669" t="s">
        <v>5442</v>
      </c>
      <c r="J2669" t="str">
        <f>HYPERLINK("https://www.youtube.com/watch?v=IUjcidgARUs","https://www.youtube.com/watch?v=IUjcidgARUs")</f>
        <v>https://www.youtube.com/watch?v=IUjcidgARUs</v>
      </c>
      <c r="O2669">
        <v>0</v>
      </c>
      <c r="P2669">
        <v>0</v>
      </c>
      <c r="Q2669">
        <v>0</v>
      </c>
      <c r="S2669">
        <v>0</v>
      </c>
      <c r="T2669">
        <v>0</v>
      </c>
      <c r="U2669">
        <v>0</v>
      </c>
      <c r="W2669" t="s">
        <v>346</v>
      </c>
    </row>
    <row r="2670" spans="1:23" x14ac:dyDescent="0.35">
      <c r="A2670" t="s">
        <v>45</v>
      </c>
      <c r="B2670" t="s">
        <v>5315</v>
      </c>
      <c r="C2670" t="s">
        <v>60</v>
      </c>
      <c r="D2670" t="s">
        <v>64</v>
      </c>
      <c r="E2670" t="s">
        <v>64</v>
      </c>
      <c r="F2670" t="s">
        <v>49</v>
      </c>
      <c r="G2670" t="s">
        <v>5443</v>
      </c>
      <c r="H2670" t="s">
        <v>5444</v>
      </c>
      <c r="J2670" t="str">
        <f>HYPERLINK("https://www.facebook.com/634639855377280/posts/782438767264054","https://www.facebook.com/634639855377280/posts/782438767264054")</f>
        <v>https://www.facebook.com/634639855377280/posts/782438767264054</v>
      </c>
      <c r="O2670">
        <v>0</v>
      </c>
      <c r="P2670">
        <v>0</v>
      </c>
      <c r="Q2670">
        <v>0</v>
      </c>
      <c r="S2670">
        <v>2</v>
      </c>
      <c r="T2670">
        <v>8</v>
      </c>
      <c r="U2670">
        <v>0</v>
      </c>
      <c r="W2670" t="s">
        <v>346</v>
      </c>
    </row>
    <row r="2671" spans="1:23" x14ac:dyDescent="0.35">
      <c r="A2671" t="s">
        <v>45</v>
      </c>
      <c r="B2671" t="s">
        <v>5315</v>
      </c>
      <c r="C2671" t="s">
        <v>93</v>
      </c>
      <c r="D2671" t="s">
        <v>5445</v>
      </c>
      <c r="E2671" t="s">
        <v>5446</v>
      </c>
      <c r="F2671" t="s">
        <v>49</v>
      </c>
      <c r="G2671" t="s">
        <v>5447</v>
      </c>
      <c r="H2671" t="s">
        <v>5448</v>
      </c>
      <c r="J2671" t="str">
        <f>HYPERLINK("https://twitter.com/Quinnnft683664/status/1752563462096490516","https://twitter.com/Quinnnft683664/status/1752563462096490516")</f>
        <v>https://twitter.com/Quinnnft683664/status/1752563462096490516</v>
      </c>
      <c r="O2671">
        <v>0</v>
      </c>
      <c r="P2671">
        <v>0</v>
      </c>
      <c r="Q2671">
        <v>0</v>
      </c>
      <c r="R2671" t="s">
        <v>5449</v>
      </c>
      <c r="S2671">
        <v>0</v>
      </c>
      <c r="T2671">
        <v>0</v>
      </c>
      <c r="U2671">
        <v>0</v>
      </c>
      <c r="W2671" t="s">
        <v>99</v>
      </c>
    </row>
    <row r="2672" spans="1:23" x14ac:dyDescent="0.35">
      <c r="A2672" t="s">
        <v>45</v>
      </c>
      <c r="B2672" t="s">
        <v>5315</v>
      </c>
      <c r="C2672" t="s">
        <v>93</v>
      </c>
      <c r="D2672" t="s">
        <v>94</v>
      </c>
      <c r="E2672" t="s">
        <v>45</v>
      </c>
      <c r="F2672" t="s">
        <v>49</v>
      </c>
      <c r="G2672" t="s">
        <v>5450</v>
      </c>
      <c r="H2672" t="s">
        <v>5451</v>
      </c>
      <c r="J2672" t="str">
        <f>HYPERLINK("https://twitter.com/SpiceMoneyIndia/status/1752563441066492230","https://twitter.com/SpiceMoneyIndia/status/1752563441066492230")</f>
        <v>https://twitter.com/SpiceMoneyIndia/status/1752563441066492230</v>
      </c>
      <c r="K2672" t="s">
        <v>67</v>
      </c>
      <c r="O2672">
        <v>0</v>
      </c>
      <c r="P2672">
        <v>0</v>
      </c>
      <c r="Q2672">
        <v>6015</v>
      </c>
      <c r="R2672" t="s">
        <v>97</v>
      </c>
      <c r="S2672">
        <v>0</v>
      </c>
      <c r="T2672">
        <v>0</v>
      </c>
      <c r="U2672">
        <v>0</v>
      </c>
      <c r="V2672" t="s">
        <v>98</v>
      </c>
      <c r="W2672" t="s">
        <v>99</v>
      </c>
    </row>
    <row r="2673" spans="1:23" x14ac:dyDescent="0.35">
      <c r="A2673" t="s">
        <v>45</v>
      </c>
      <c r="B2673" t="s">
        <v>5315</v>
      </c>
      <c r="C2673" t="s">
        <v>47</v>
      </c>
      <c r="D2673" t="s">
        <v>2021</v>
      </c>
      <c r="E2673" t="s">
        <v>2021</v>
      </c>
      <c r="F2673" t="s">
        <v>54</v>
      </c>
      <c r="G2673" t="s">
        <v>5452</v>
      </c>
      <c r="H2673" t="s">
        <v>5453</v>
      </c>
      <c r="J2673" t="str">
        <f>HYPERLINK("https://www.youtube.com/watch?v=DMlpygM0MQM&amp;lc=UgzdRBwnCWiLjsH0NnF4AaABAg","https://www.youtube.com/watch?v=DMlpygM0MQM&amp;lc=UgzdRBwnCWiLjsH0NnF4AaABAg")</f>
        <v>https://www.youtube.com/watch?v=DMlpygM0MQM&amp;lc=UgzdRBwnCWiLjsH0NnF4AaABAg</v>
      </c>
      <c r="O2673">
        <v>0</v>
      </c>
      <c r="P2673">
        <v>0</v>
      </c>
      <c r="Q2673">
        <v>0</v>
      </c>
      <c r="S2673">
        <v>0</v>
      </c>
      <c r="T2673">
        <v>0</v>
      </c>
      <c r="U2673">
        <v>0</v>
      </c>
      <c r="W2673" t="s">
        <v>52</v>
      </c>
    </row>
    <row r="2674" spans="1:23" x14ac:dyDescent="0.35">
      <c r="A2674" t="s">
        <v>45</v>
      </c>
      <c r="B2674" t="s">
        <v>5315</v>
      </c>
      <c r="C2674" t="s">
        <v>47</v>
      </c>
      <c r="D2674" t="s">
        <v>5454</v>
      </c>
      <c r="E2674" t="s">
        <v>5454</v>
      </c>
      <c r="F2674" t="s">
        <v>54</v>
      </c>
      <c r="G2674" t="s">
        <v>5455</v>
      </c>
      <c r="H2674" t="s">
        <v>5456</v>
      </c>
      <c r="J2674" t="str">
        <f>HYPERLINK("https://www.youtube.com/watch?v=DMlpygM0MQM&amp;lc=UgzCO1BWfbwM4Qy3nh94AaABAg","https://www.youtube.com/watch?v=DMlpygM0MQM&amp;lc=UgzCO1BWfbwM4Qy3nh94AaABAg")</f>
        <v>https://www.youtube.com/watch?v=DMlpygM0MQM&amp;lc=UgzCO1BWfbwM4Qy3nh94AaABAg</v>
      </c>
      <c r="O2674">
        <v>0</v>
      </c>
      <c r="P2674">
        <v>0</v>
      </c>
      <c r="Q2674">
        <v>0</v>
      </c>
      <c r="S2674">
        <v>0</v>
      </c>
      <c r="T2674">
        <v>0</v>
      </c>
      <c r="U2674">
        <v>0</v>
      </c>
      <c r="W2674" t="s">
        <v>52</v>
      </c>
    </row>
    <row r="2675" spans="1:23" x14ac:dyDescent="0.35">
      <c r="A2675" t="s">
        <v>45</v>
      </c>
      <c r="B2675" t="s">
        <v>5315</v>
      </c>
      <c r="C2675" t="s">
        <v>47</v>
      </c>
      <c r="D2675" t="s">
        <v>45</v>
      </c>
      <c r="E2675" t="s">
        <v>45</v>
      </c>
      <c r="F2675" t="s">
        <v>49</v>
      </c>
      <c r="G2675" t="s">
        <v>5457</v>
      </c>
      <c r="H2675" t="s">
        <v>5458</v>
      </c>
      <c r="J2675" t="str">
        <f>HYPERLINK("https://www.youtube.com/watch?v=DMlpygM0MQM","https://www.youtube.com/watch?v=DMlpygM0MQM")</f>
        <v>https://www.youtube.com/watch?v=DMlpygM0MQM</v>
      </c>
      <c r="O2675">
        <v>0</v>
      </c>
      <c r="P2675">
        <v>0</v>
      </c>
      <c r="Q2675">
        <v>0</v>
      </c>
      <c r="S2675">
        <v>0</v>
      </c>
      <c r="T2675">
        <v>0</v>
      </c>
      <c r="U2675">
        <v>0</v>
      </c>
      <c r="W2675" t="s">
        <v>346</v>
      </c>
    </row>
    <row r="2676" spans="1:23" x14ac:dyDescent="0.35">
      <c r="A2676" t="s">
        <v>45</v>
      </c>
      <c r="B2676" t="s">
        <v>5315</v>
      </c>
      <c r="C2676" t="s">
        <v>93</v>
      </c>
      <c r="D2676" t="s">
        <v>569</v>
      </c>
      <c r="E2676" t="s">
        <v>570</v>
      </c>
      <c r="F2676" t="s">
        <v>193</v>
      </c>
      <c r="G2676" t="s">
        <v>5459</v>
      </c>
      <c r="H2676" t="s">
        <v>5460</v>
      </c>
      <c r="J2676" t="str">
        <f>HYPERLINK("https://twitter.com/excelhinditips/status/1752543577950085235","https://twitter.com/excelhinditips/status/1752543577950085235")</f>
        <v>https://twitter.com/excelhinditips/status/1752543577950085235</v>
      </c>
      <c r="O2676">
        <v>0</v>
      </c>
      <c r="P2676">
        <v>0</v>
      </c>
      <c r="Q2676">
        <v>15</v>
      </c>
      <c r="R2676" t="s">
        <v>573</v>
      </c>
      <c r="S2676">
        <v>0</v>
      </c>
      <c r="T2676">
        <v>0</v>
      </c>
      <c r="U2676">
        <v>0</v>
      </c>
      <c r="W2676" t="s">
        <v>99</v>
      </c>
    </row>
    <row r="2677" spans="1:23" x14ac:dyDescent="0.35">
      <c r="A2677" t="s">
        <v>45</v>
      </c>
      <c r="B2677" t="s">
        <v>5315</v>
      </c>
      <c r="C2677" t="s">
        <v>47</v>
      </c>
      <c r="D2677" t="s">
        <v>5461</v>
      </c>
      <c r="E2677" t="s">
        <v>5461</v>
      </c>
      <c r="F2677" t="s">
        <v>49</v>
      </c>
      <c r="G2677" t="s">
        <v>5462</v>
      </c>
      <c r="H2677" t="s">
        <v>5463</v>
      </c>
      <c r="J2677" t="str">
        <f>HYPERLINK("https://www.youtube.com/watch?v=5DADCSRiE3A&amp;lc=Ugxat6OKxUdK7xyOqSR4AaABAg","https://www.youtube.com/watch?v=5DADCSRiE3A&amp;lc=Ugxat6OKxUdK7xyOqSR4AaABAg")</f>
        <v>https://www.youtube.com/watch?v=5DADCSRiE3A&amp;lc=Ugxat6OKxUdK7xyOqSR4AaABAg</v>
      </c>
      <c r="O2677">
        <v>0</v>
      </c>
      <c r="P2677">
        <v>0</v>
      </c>
      <c r="Q2677">
        <v>0</v>
      </c>
      <c r="S2677">
        <v>0</v>
      </c>
      <c r="T2677">
        <v>0</v>
      </c>
      <c r="U2677">
        <v>0</v>
      </c>
      <c r="W2677" t="s">
        <v>52</v>
      </c>
    </row>
    <row r="2678" spans="1:23" x14ac:dyDescent="0.35">
      <c r="A2678" t="s">
        <v>45</v>
      </c>
      <c r="B2678" t="s">
        <v>5315</v>
      </c>
      <c r="C2678" t="s">
        <v>47</v>
      </c>
      <c r="D2678" t="s">
        <v>5464</v>
      </c>
      <c r="E2678" t="s">
        <v>5464</v>
      </c>
      <c r="F2678" t="s">
        <v>49</v>
      </c>
      <c r="G2678" t="s">
        <v>5465</v>
      </c>
      <c r="H2678" t="s">
        <v>5466</v>
      </c>
      <c r="J2678" t="str">
        <f>HYPERLINK("https://www.youtube.com/watch?v=-l0zuXgllLA&amp;lc=UgxT4BguTOgPiG79zVd4AaABAg","https://www.youtube.com/watch?v=-l0zuXgllLA&amp;lc=UgxT4BguTOgPiG79zVd4AaABAg")</f>
        <v>https://www.youtube.com/watch?v=-l0zuXgllLA&amp;lc=UgxT4BguTOgPiG79zVd4AaABAg</v>
      </c>
      <c r="O2678">
        <v>0</v>
      </c>
      <c r="P2678">
        <v>0</v>
      </c>
      <c r="Q2678">
        <v>0</v>
      </c>
      <c r="S2678">
        <v>0</v>
      </c>
      <c r="T2678">
        <v>0</v>
      </c>
      <c r="U2678">
        <v>0</v>
      </c>
      <c r="W2678" t="s">
        <v>52</v>
      </c>
    </row>
    <row r="2679" spans="1:23" x14ac:dyDescent="0.35">
      <c r="A2679" t="s">
        <v>45</v>
      </c>
      <c r="B2679" t="s">
        <v>5315</v>
      </c>
      <c r="C2679" t="s">
        <v>47</v>
      </c>
      <c r="D2679" t="s">
        <v>351</v>
      </c>
      <c r="E2679" t="s">
        <v>351</v>
      </c>
      <c r="F2679" t="s">
        <v>49</v>
      </c>
      <c r="G2679" t="s">
        <v>5467</v>
      </c>
      <c r="H2679" t="s">
        <v>5468</v>
      </c>
      <c r="J2679" t="str">
        <f>HYPERLINK("https://www.youtube.com/watch?v=-l0zuXgllLA&amp;lc=UgzlCh6E2LSS-_EvCL94AaABAg","https://www.youtube.com/watch?v=-l0zuXgllLA&amp;lc=UgzlCh6E2LSS-_EvCL94AaABAg")</f>
        <v>https://www.youtube.com/watch?v=-l0zuXgllLA&amp;lc=UgzlCh6E2LSS-_EvCL94AaABAg</v>
      </c>
      <c r="O2679">
        <v>0</v>
      </c>
      <c r="P2679">
        <v>0</v>
      </c>
      <c r="Q2679">
        <v>0</v>
      </c>
      <c r="S2679">
        <v>0</v>
      </c>
      <c r="T2679">
        <v>0</v>
      </c>
      <c r="U2679">
        <v>0</v>
      </c>
      <c r="W2679" t="s">
        <v>52</v>
      </c>
    </row>
    <row r="2680" spans="1:23" x14ac:dyDescent="0.35">
      <c r="A2680" t="s">
        <v>45</v>
      </c>
      <c r="B2680" t="s">
        <v>5315</v>
      </c>
      <c r="C2680" t="s">
        <v>47</v>
      </c>
      <c r="D2680" t="s">
        <v>351</v>
      </c>
      <c r="E2680" t="s">
        <v>351</v>
      </c>
      <c r="F2680" t="s">
        <v>49</v>
      </c>
      <c r="G2680" t="s">
        <v>5469</v>
      </c>
      <c r="H2680" t="s">
        <v>5470</v>
      </c>
      <c r="J2680" t="str">
        <f>HYPERLINK("https://www.youtube.com/watch?v=-l0zuXgllLA&amp;lc=Ugxp3bZEFdIvicINFq54AaABAg","https://www.youtube.com/watch?v=-l0zuXgllLA&amp;lc=Ugxp3bZEFdIvicINFq54AaABAg")</f>
        <v>https://www.youtube.com/watch?v=-l0zuXgllLA&amp;lc=Ugxp3bZEFdIvicINFq54AaABAg</v>
      </c>
      <c r="O2680">
        <v>0</v>
      </c>
      <c r="P2680">
        <v>0</v>
      </c>
      <c r="Q2680">
        <v>0</v>
      </c>
      <c r="S2680">
        <v>0</v>
      </c>
      <c r="T2680">
        <v>0</v>
      </c>
      <c r="U2680">
        <v>0</v>
      </c>
      <c r="W2680" t="s">
        <v>52</v>
      </c>
    </row>
    <row r="2681" spans="1:23" x14ac:dyDescent="0.35">
      <c r="A2681" t="s">
        <v>45</v>
      </c>
      <c r="B2681" t="s">
        <v>5315</v>
      </c>
      <c r="C2681" t="s">
        <v>93</v>
      </c>
      <c r="D2681" t="s">
        <v>5327</v>
      </c>
      <c r="E2681" t="s">
        <v>5328</v>
      </c>
      <c r="F2681" t="s">
        <v>49</v>
      </c>
      <c r="G2681" t="s">
        <v>5471</v>
      </c>
      <c r="H2681" t="s">
        <v>5472</v>
      </c>
      <c r="J2681" t="str">
        <f>HYPERLINK("https://twitter.com/kumari86686/status/1752515632523080114","https://twitter.com/kumari86686/status/1752515632523080114")</f>
        <v>https://twitter.com/kumari86686/status/1752515632523080114</v>
      </c>
      <c r="K2681" t="s">
        <v>67</v>
      </c>
      <c r="O2681">
        <v>0</v>
      </c>
      <c r="P2681">
        <v>0</v>
      </c>
      <c r="Q2681">
        <v>0</v>
      </c>
      <c r="S2681">
        <v>0</v>
      </c>
      <c r="T2681">
        <v>0</v>
      </c>
      <c r="U2681">
        <v>0</v>
      </c>
      <c r="W2681" t="s">
        <v>99</v>
      </c>
    </row>
    <row r="2682" spans="1:23" x14ac:dyDescent="0.35">
      <c r="A2682" t="s">
        <v>45</v>
      </c>
      <c r="B2682" t="s">
        <v>5315</v>
      </c>
      <c r="C2682" t="s">
        <v>47</v>
      </c>
      <c r="D2682" t="s">
        <v>5473</v>
      </c>
      <c r="E2682" t="s">
        <v>5473</v>
      </c>
      <c r="F2682" t="s">
        <v>49</v>
      </c>
      <c r="G2682" t="s">
        <v>5474</v>
      </c>
      <c r="H2682" t="s">
        <v>5475</v>
      </c>
      <c r="J2682" t="str">
        <f>HYPERLINK("https://www.youtube.com/watch?v=-l0zuXgllLA&amp;lc=UgxJb5lkFCRzh-uZzJV4AaABAg","https://www.youtube.com/watch?v=-l0zuXgllLA&amp;lc=UgxJb5lkFCRzh-uZzJV4AaABAg")</f>
        <v>https://www.youtube.com/watch?v=-l0zuXgllLA&amp;lc=UgxJb5lkFCRzh-uZzJV4AaABAg</v>
      </c>
      <c r="O2682">
        <v>0</v>
      </c>
      <c r="P2682">
        <v>0</v>
      </c>
      <c r="Q2682">
        <v>0</v>
      </c>
      <c r="S2682">
        <v>0</v>
      </c>
      <c r="T2682">
        <v>0</v>
      </c>
      <c r="U2682">
        <v>0</v>
      </c>
      <c r="W2682" t="s">
        <v>52</v>
      </c>
    </row>
    <row r="2683" spans="1:23" x14ac:dyDescent="0.35">
      <c r="A2683" t="s">
        <v>45</v>
      </c>
      <c r="B2683" t="s">
        <v>5315</v>
      </c>
      <c r="C2683" t="s">
        <v>47</v>
      </c>
      <c r="D2683" t="s">
        <v>5476</v>
      </c>
      <c r="E2683" t="s">
        <v>5476</v>
      </c>
      <c r="F2683" t="s">
        <v>193</v>
      </c>
      <c r="G2683" t="s">
        <v>5477</v>
      </c>
      <c r="H2683" t="s">
        <v>5478</v>
      </c>
      <c r="J2683" t="str">
        <f>HYPERLINK("https://www.youtube.com/watch?v=-l0zuXgllLA&amp;lc=UgzL95qMcp4huCUnHwR4AaABAg","https://www.youtube.com/watch?v=-l0zuXgllLA&amp;lc=UgzL95qMcp4huCUnHwR4AaABAg")</f>
        <v>https://www.youtube.com/watch?v=-l0zuXgllLA&amp;lc=UgzL95qMcp4huCUnHwR4AaABAg</v>
      </c>
      <c r="O2683">
        <v>0</v>
      </c>
      <c r="P2683">
        <v>0</v>
      </c>
      <c r="Q2683">
        <v>0</v>
      </c>
      <c r="S2683">
        <v>0</v>
      </c>
      <c r="T2683">
        <v>0</v>
      </c>
      <c r="U2683">
        <v>0</v>
      </c>
      <c r="W2683" t="s">
        <v>52</v>
      </c>
    </row>
    <row r="2684" spans="1:23" x14ac:dyDescent="0.35">
      <c r="A2684" t="s">
        <v>45</v>
      </c>
      <c r="B2684" t="s">
        <v>5315</v>
      </c>
      <c r="C2684" t="s">
        <v>93</v>
      </c>
      <c r="D2684" t="s">
        <v>4724</v>
      </c>
      <c r="E2684" t="s">
        <v>4725</v>
      </c>
      <c r="F2684" t="s">
        <v>193</v>
      </c>
      <c r="G2684" t="s">
        <v>5083</v>
      </c>
      <c r="H2684" t="s">
        <v>5479</v>
      </c>
      <c r="J2684" t="str">
        <f>HYPERLINK("https://twitter.com/SaurabhRam6/status/1752503151020896688","https://twitter.com/SaurabhRam6/status/1752503151020896688")</f>
        <v>https://twitter.com/SaurabhRam6/status/1752503151020896688</v>
      </c>
      <c r="K2684" t="s">
        <v>67</v>
      </c>
      <c r="O2684">
        <v>0</v>
      </c>
      <c r="P2684">
        <v>0</v>
      </c>
      <c r="Q2684">
        <v>17</v>
      </c>
      <c r="R2684" t="s">
        <v>4728</v>
      </c>
      <c r="S2684">
        <v>0</v>
      </c>
      <c r="T2684">
        <v>0</v>
      </c>
      <c r="U2684">
        <v>0</v>
      </c>
      <c r="W2684" t="s">
        <v>99</v>
      </c>
    </row>
    <row r="2685" spans="1:23" x14ac:dyDescent="0.35">
      <c r="A2685" t="s">
        <v>45</v>
      </c>
      <c r="B2685" t="s">
        <v>5315</v>
      </c>
      <c r="C2685" t="s">
        <v>93</v>
      </c>
      <c r="D2685" t="s">
        <v>5480</v>
      </c>
      <c r="E2685" t="s">
        <v>5481</v>
      </c>
      <c r="F2685" t="s">
        <v>49</v>
      </c>
      <c r="G2685" t="s">
        <v>5482</v>
      </c>
      <c r="H2685" t="s">
        <v>5483</v>
      </c>
      <c r="J2685" t="str">
        <f>HYPERLINK("https://twitter.com/Debjyoti1/status/1752406595731161314","https://twitter.com/Debjyoti1/status/1752406595731161314")</f>
        <v>https://twitter.com/Debjyoti1/status/1752406595731161314</v>
      </c>
      <c r="K2685" t="s">
        <v>67</v>
      </c>
      <c r="O2685">
        <v>0</v>
      </c>
      <c r="P2685">
        <v>0</v>
      </c>
      <c r="Q2685">
        <v>1</v>
      </c>
      <c r="R2685" t="s">
        <v>5484</v>
      </c>
      <c r="S2685">
        <v>0</v>
      </c>
      <c r="T2685">
        <v>0</v>
      </c>
      <c r="U2685">
        <v>0</v>
      </c>
      <c r="W2685" t="s">
        <v>99</v>
      </c>
    </row>
    <row r="2686" spans="1:23" x14ac:dyDescent="0.35">
      <c r="A2686" t="s">
        <v>45</v>
      </c>
      <c r="B2686" t="s">
        <v>5485</v>
      </c>
      <c r="C2686" t="s">
        <v>60</v>
      </c>
      <c r="D2686" t="s">
        <v>61</v>
      </c>
      <c r="E2686" t="s">
        <v>61</v>
      </c>
      <c r="F2686" t="s">
        <v>49</v>
      </c>
      <c r="G2686" t="s">
        <v>5486</v>
      </c>
      <c r="H2686" t="s">
        <v>5487</v>
      </c>
      <c r="J2686" t="str">
        <f>HYPERLINK("https://www.facebook.com/634639855377280/posts/781371484037449?comment_id=678436690895873","https://www.facebook.com/634639855377280/posts/781371484037449?comment_id=678436690895873")</f>
        <v>https://www.facebook.com/634639855377280/posts/781371484037449?comment_id=678436690895873</v>
      </c>
      <c r="O2686">
        <v>0</v>
      </c>
      <c r="P2686">
        <v>0</v>
      </c>
      <c r="Q2686">
        <v>0</v>
      </c>
      <c r="S2686">
        <v>0</v>
      </c>
      <c r="T2686">
        <v>0</v>
      </c>
      <c r="U2686">
        <v>0</v>
      </c>
      <c r="W2686" t="s">
        <v>52</v>
      </c>
    </row>
    <row r="2687" spans="1:23" x14ac:dyDescent="0.35">
      <c r="A2687" t="s">
        <v>45</v>
      </c>
      <c r="B2687" t="s">
        <v>5485</v>
      </c>
      <c r="C2687" t="s">
        <v>47</v>
      </c>
      <c r="D2687" t="s">
        <v>5488</v>
      </c>
      <c r="E2687" t="s">
        <v>5488</v>
      </c>
      <c r="F2687" t="s">
        <v>49</v>
      </c>
      <c r="G2687" t="s">
        <v>5489</v>
      </c>
      <c r="H2687" t="s">
        <v>5490</v>
      </c>
      <c r="J2687" t="str">
        <f>HYPERLINK("https://www.youtube.com/watch?v=-l0zuXgllLA&amp;lc=UgyaoRPsBeY7FCr0S9R4AaABAg","https://www.youtube.com/watch?v=-l0zuXgllLA&amp;lc=UgyaoRPsBeY7FCr0S9R4AaABAg")</f>
        <v>https://www.youtube.com/watch?v=-l0zuXgllLA&amp;lc=UgyaoRPsBeY7FCr0S9R4AaABAg</v>
      </c>
      <c r="O2687">
        <v>0</v>
      </c>
      <c r="P2687">
        <v>0</v>
      </c>
      <c r="Q2687">
        <v>0</v>
      </c>
      <c r="S2687">
        <v>0</v>
      </c>
      <c r="T2687">
        <v>0</v>
      </c>
      <c r="U2687">
        <v>0</v>
      </c>
      <c r="W2687" t="s">
        <v>52</v>
      </c>
    </row>
    <row r="2688" spans="1:23" x14ac:dyDescent="0.35">
      <c r="A2688" t="s">
        <v>45</v>
      </c>
      <c r="B2688" t="s">
        <v>5485</v>
      </c>
      <c r="C2688" t="s">
        <v>60</v>
      </c>
      <c r="D2688" t="s">
        <v>5491</v>
      </c>
      <c r="E2688" t="s">
        <v>5491</v>
      </c>
      <c r="F2688" t="s">
        <v>49</v>
      </c>
      <c r="G2688" t="s">
        <v>5492</v>
      </c>
      <c r="H2688" t="s">
        <v>5493</v>
      </c>
      <c r="J2688" t="str">
        <f>HYPERLINK("https://www.facebook.com/634639855377280/posts/781887530652511?comment_id=946034843585191","https://www.facebook.com/634639855377280/posts/781887530652511?comment_id=946034843585191")</f>
        <v>https://www.facebook.com/634639855377280/posts/781887530652511?comment_id=946034843585191</v>
      </c>
      <c r="K2688" t="s">
        <v>471</v>
      </c>
      <c r="O2688">
        <v>0</v>
      </c>
      <c r="P2688">
        <v>0</v>
      </c>
      <c r="Q2688">
        <v>0</v>
      </c>
      <c r="S2688">
        <v>0</v>
      </c>
      <c r="T2688">
        <v>0</v>
      </c>
      <c r="U2688">
        <v>0</v>
      </c>
      <c r="W2688" t="s">
        <v>52</v>
      </c>
    </row>
    <row r="2689" spans="1:23" x14ac:dyDescent="0.35">
      <c r="A2689" t="s">
        <v>45</v>
      </c>
      <c r="B2689" t="s">
        <v>5485</v>
      </c>
      <c r="C2689" t="s">
        <v>60</v>
      </c>
      <c r="D2689" t="s">
        <v>61</v>
      </c>
      <c r="E2689" t="s">
        <v>61</v>
      </c>
      <c r="F2689" t="s">
        <v>49</v>
      </c>
      <c r="G2689" t="s">
        <v>5494</v>
      </c>
      <c r="H2689" t="s">
        <v>5495</v>
      </c>
      <c r="J2689" t="str">
        <f>HYPERLINK("https://www.facebook.com/634639855377280/posts/781371484037449?comment_id=765522795494628","https://www.facebook.com/634639855377280/posts/781371484037449?comment_id=765522795494628")</f>
        <v>https://www.facebook.com/634639855377280/posts/781371484037449?comment_id=765522795494628</v>
      </c>
      <c r="O2689">
        <v>0</v>
      </c>
      <c r="P2689">
        <v>0</v>
      </c>
      <c r="Q2689">
        <v>0</v>
      </c>
      <c r="S2689">
        <v>0</v>
      </c>
      <c r="T2689">
        <v>0</v>
      </c>
      <c r="U2689">
        <v>0</v>
      </c>
      <c r="W2689" t="s">
        <v>52</v>
      </c>
    </row>
    <row r="2690" spans="1:23" x14ac:dyDescent="0.35">
      <c r="A2690" t="s">
        <v>45</v>
      </c>
      <c r="B2690" t="s">
        <v>5485</v>
      </c>
      <c r="C2690" t="s">
        <v>60</v>
      </c>
      <c r="D2690" t="s">
        <v>61</v>
      </c>
      <c r="E2690" t="s">
        <v>61</v>
      </c>
      <c r="F2690" t="s">
        <v>49</v>
      </c>
      <c r="G2690" t="s">
        <v>5496</v>
      </c>
      <c r="H2690" t="s">
        <v>5497</v>
      </c>
      <c r="J2690" t="str">
        <f>HYPERLINK("https://www.facebook.com/634639855377280/posts/781371484037449?comment_id=1149769006016598","https://www.facebook.com/634639855377280/posts/781371484037449?comment_id=1149769006016598")</f>
        <v>https://www.facebook.com/634639855377280/posts/781371484037449?comment_id=1149769006016598</v>
      </c>
      <c r="O2690">
        <v>0</v>
      </c>
      <c r="P2690">
        <v>0</v>
      </c>
      <c r="Q2690">
        <v>0</v>
      </c>
      <c r="S2690">
        <v>0</v>
      </c>
      <c r="T2690">
        <v>0</v>
      </c>
      <c r="U2690">
        <v>0</v>
      </c>
      <c r="W2690" t="s">
        <v>52</v>
      </c>
    </row>
    <row r="2691" spans="1:23" x14ac:dyDescent="0.35">
      <c r="A2691" t="s">
        <v>45</v>
      </c>
      <c r="B2691" t="s">
        <v>5485</v>
      </c>
      <c r="C2691" t="s">
        <v>47</v>
      </c>
      <c r="D2691" t="s">
        <v>2021</v>
      </c>
      <c r="E2691" t="s">
        <v>2021</v>
      </c>
      <c r="F2691" t="s">
        <v>49</v>
      </c>
      <c r="G2691" t="s">
        <v>5498</v>
      </c>
      <c r="H2691" t="s">
        <v>5499</v>
      </c>
      <c r="J2691" t="str">
        <f>HYPERLINK("https://www.youtube.com/watch?v=-l0zuXgllLA&amp;lc=Ugz1dHPULdi56f4oNt94AaABAg","https://www.youtube.com/watch?v=-l0zuXgllLA&amp;lc=Ugz1dHPULdi56f4oNt94AaABAg")</f>
        <v>https://www.youtube.com/watch?v=-l0zuXgllLA&amp;lc=Ugz1dHPULdi56f4oNt94AaABAg</v>
      </c>
      <c r="O2691">
        <v>0</v>
      </c>
      <c r="P2691">
        <v>0</v>
      </c>
      <c r="Q2691">
        <v>0</v>
      </c>
      <c r="S2691">
        <v>0</v>
      </c>
      <c r="T2691">
        <v>0</v>
      </c>
      <c r="U2691">
        <v>0</v>
      </c>
      <c r="W2691" t="s">
        <v>52</v>
      </c>
    </row>
    <row r="2692" spans="1:23" x14ac:dyDescent="0.35">
      <c r="A2692" t="s">
        <v>45</v>
      </c>
      <c r="B2692" t="s">
        <v>5485</v>
      </c>
      <c r="C2692" t="s">
        <v>93</v>
      </c>
      <c r="D2692" t="s">
        <v>5500</v>
      </c>
      <c r="E2692" t="s">
        <v>5501</v>
      </c>
      <c r="F2692" t="s">
        <v>54</v>
      </c>
      <c r="G2692" t="s">
        <v>5502</v>
      </c>
      <c r="H2692" t="s">
        <v>5503</v>
      </c>
      <c r="J2692" t="str">
        <f>HYPERLINK("https://twitter.com/BabluKu27995748/status/1752313182343807000","https://twitter.com/BabluKu27995748/status/1752313182343807000")</f>
        <v>https://twitter.com/BabluKu27995748/status/1752313182343807000</v>
      </c>
      <c r="K2692" t="s">
        <v>67</v>
      </c>
      <c r="O2692">
        <v>0</v>
      </c>
      <c r="P2692">
        <v>0</v>
      </c>
      <c r="Q2692">
        <v>14</v>
      </c>
      <c r="R2692" t="s">
        <v>5504</v>
      </c>
      <c r="S2692">
        <v>0</v>
      </c>
      <c r="T2692">
        <v>0</v>
      </c>
      <c r="U2692">
        <v>0</v>
      </c>
      <c r="W2692" t="s">
        <v>99</v>
      </c>
    </row>
    <row r="2693" spans="1:23" x14ac:dyDescent="0.35">
      <c r="A2693" t="s">
        <v>45</v>
      </c>
      <c r="B2693" t="s">
        <v>5485</v>
      </c>
      <c r="C2693" t="s">
        <v>93</v>
      </c>
      <c r="D2693" t="s">
        <v>5500</v>
      </c>
      <c r="E2693" t="s">
        <v>5501</v>
      </c>
      <c r="F2693" t="s">
        <v>49</v>
      </c>
      <c r="G2693" t="s">
        <v>5505</v>
      </c>
      <c r="H2693" t="s">
        <v>5506</v>
      </c>
      <c r="J2693" t="str">
        <f>HYPERLINK("https://twitter.com/BabluKu27995748/status/1752312606705045533","https://twitter.com/BabluKu27995748/status/1752312606705045533")</f>
        <v>https://twitter.com/BabluKu27995748/status/1752312606705045533</v>
      </c>
      <c r="K2693" t="s">
        <v>67</v>
      </c>
      <c r="O2693">
        <v>0</v>
      </c>
      <c r="P2693">
        <v>0</v>
      </c>
      <c r="Q2693">
        <v>14</v>
      </c>
      <c r="R2693" t="s">
        <v>5504</v>
      </c>
      <c r="S2693">
        <v>0</v>
      </c>
      <c r="T2693">
        <v>0</v>
      </c>
      <c r="U2693">
        <v>0</v>
      </c>
      <c r="W2693" t="s">
        <v>99</v>
      </c>
    </row>
    <row r="2694" spans="1:23" x14ac:dyDescent="0.35">
      <c r="A2694" t="s">
        <v>45</v>
      </c>
      <c r="B2694" t="s">
        <v>5485</v>
      </c>
      <c r="C2694" t="s">
        <v>93</v>
      </c>
      <c r="D2694" t="s">
        <v>94</v>
      </c>
      <c r="E2694" t="s">
        <v>45</v>
      </c>
      <c r="F2694" t="s">
        <v>49</v>
      </c>
      <c r="G2694" t="s">
        <v>5507</v>
      </c>
      <c r="H2694" t="s">
        <v>5508</v>
      </c>
      <c r="J2694" t="str">
        <f>HYPERLINK("https://twitter.com/SpiceMoneyIndia/status/1752311757442347116","https://twitter.com/SpiceMoneyIndia/status/1752311757442347116")</f>
        <v>https://twitter.com/SpiceMoneyIndia/status/1752311757442347116</v>
      </c>
      <c r="K2694" t="s">
        <v>67</v>
      </c>
      <c r="O2694">
        <v>0</v>
      </c>
      <c r="P2694">
        <v>0</v>
      </c>
      <c r="Q2694">
        <v>6013</v>
      </c>
      <c r="R2694" t="s">
        <v>97</v>
      </c>
      <c r="S2694">
        <v>0</v>
      </c>
      <c r="T2694">
        <v>0</v>
      </c>
      <c r="U2694">
        <v>0</v>
      </c>
      <c r="V2694" t="s">
        <v>98</v>
      </c>
      <c r="W2694" t="s">
        <v>99</v>
      </c>
    </row>
    <row r="2695" spans="1:23" x14ac:dyDescent="0.35">
      <c r="A2695" t="s">
        <v>45</v>
      </c>
      <c r="B2695" t="s">
        <v>5485</v>
      </c>
      <c r="C2695" t="s">
        <v>93</v>
      </c>
      <c r="D2695" t="s">
        <v>5500</v>
      </c>
      <c r="E2695" t="s">
        <v>5501</v>
      </c>
      <c r="F2695" t="s">
        <v>54</v>
      </c>
      <c r="G2695" t="s">
        <v>5509</v>
      </c>
      <c r="H2695" t="s">
        <v>5510</v>
      </c>
      <c r="J2695" t="str">
        <f>HYPERLINK("https://twitter.com/BabluKu27995748/status/1752308679167107407","https://twitter.com/BabluKu27995748/status/1752308679167107407")</f>
        <v>https://twitter.com/BabluKu27995748/status/1752308679167107407</v>
      </c>
      <c r="K2695" t="s">
        <v>67</v>
      </c>
      <c r="O2695">
        <v>0</v>
      </c>
      <c r="P2695">
        <v>0</v>
      </c>
      <c r="Q2695">
        <v>14</v>
      </c>
      <c r="R2695" t="s">
        <v>5504</v>
      </c>
      <c r="S2695">
        <v>0</v>
      </c>
      <c r="T2695">
        <v>0</v>
      </c>
      <c r="U2695">
        <v>0</v>
      </c>
      <c r="W2695" t="s">
        <v>99</v>
      </c>
    </row>
    <row r="2696" spans="1:23" x14ac:dyDescent="0.35">
      <c r="A2696" t="s">
        <v>45</v>
      </c>
      <c r="B2696" t="s">
        <v>5485</v>
      </c>
      <c r="C2696" t="s">
        <v>93</v>
      </c>
      <c r="D2696" t="s">
        <v>5500</v>
      </c>
      <c r="E2696" t="s">
        <v>5501</v>
      </c>
      <c r="F2696" t="s">
        <v>49</v>
      </c>
      <c r="G2696" t="s">
        <v>5511</v>
      </c>
      <c r="H2696" t="s">
        <v>5512</v>
      </c>
      <c r="J2696" t="str">
        <f>HYPERLINK("https://twitter.com/BabluKu27995748/status/1752308277260501027","https://twitter.com/BabluKu27995748/status/1752308277260501027")</f>
        <v>https://twitter.com/BabluKu27995748/status/1752308277260501027</v>
      </c>
      <c r="K2696" t="s">
        <v>67</v>
      </c>
      <c r="O2696">
        <v>0</v>
      </c>
      <c r="P2696">
        <v>0</v>
      </c>
      <c r="Q2696">
        <v>14</v>
      </c>
      <c r="R2696" t="s">
        <v>5504</v>
      </c>
      <c r="S2696">
        <v>0</v>
      </c>
      <c r="T2696">
        <v>0</v>
      </c>
      <c r="U2696">
        <v>0</v>
      </c>
      <c r="W2696" t="s">
        <v>99</v>
      </c>
    </row>
    <row r="2697" spans="1:23" x14ac:dyDescent="0.35">
      <c r="A2697" t="s">
        <v>45</v>
      </c>
      <c r="B2697" t="s">
        <v>5485</v>
      </c>
      <c r="C2697" t="s">
        <v>60</v>
      </c>
      <c r="D2697" t="s">
        <v>64</v>
      </c>
      <c r="E2697" t="s">
        <v>64</v>
      </c>
      <c r="F2697" t="s">
        <v>49</v>
      </c>
      <c r="G2697" t="s">
        <v>3541</v>
      </c>
      <c r="H2697" t="s">
        <v>5513</v>
      </c>
      <c r="J2697" t="str">
        <f>HYPERLINK("https://www.facebook.com/634639855377280/posts/780067474167850?comment_id=354736150820896&amp;reply_comment_id=944183393760795","https://www.facebook.com/634639855377280/posts/780067474167850?comment_id=354736150820896&amp;reply_comment_id=944183393760795")</f>
        <v>https://www.facebook.com/634639855377280/posts/780067474167850?comment_id=354736150820896&amp;reply_comment_id=944183393760795</v>
      </c>
      <c r="K2697" t="s">
        <v>67</v>
      </c>
      <c r="O2697">
        <v>0</v>
      </c>
      <c r="P2697">
        <v>0</v>
      </c>
      <c r="Q2697">
        <v>0</v>
      </c>
      <c r="S2697">
        <v>0</v>
      </c>
      <c r="T2697">
        <v>0</v>
      </c>
      <c r="U2697">
        <v>0</v>
      </c>
      <c r="W2697" t="s">
        <v>52</v>
      </c>
    </row>
    <row r="2698" spans="1:23" x14ac:dyDescent="0.35">
      <c r="A2698" t="s">
        <v>45</v>
      </c>
      <c r="B2698" t="s">
        <v>5485</v>
      </c>
      <c r="C2698" t="s">
        <v>93</v>
      </c>
      <c r="D2698" t="s">
        <v>94</v>
      </c>
      <c r="E2698" t="s">
        <v>45</v>
      </c>
      <c r="F2698" t="s">
        <v>49</v>
      </c>
      <c r="G2698" t="s">
        <v>5514</v>
      </c>
      <c r="H2698" t="s">
        <v>5515</v>
      </c>
      <c r="J2698" t="str">
        <f>HYPERLINK("https://twitter.com/SpiceMoneyIndia/status/1752302991510491317","https://twitter.com/SpiceMoneyIndia/status/1752302991510491317")</f>
        <v>https://twitter.com/SpiceMoneyIndia/status/1752302991510491317</v>
      </c>
      <c r="K2698" t="s">
        <v>67</v>
      </c>
      <c r="O2698">
        <v>0</v>
      </c>
      <c r="P2698">
        <v>0</v>
      </c>
      <c r="Q2698">
        <v>6013</v>
      </c>
      <c r="R2698" t="s">
        <v>97</v>
      </c>
      <c r="S2698">
        <v>0</v>
      </c>
      <c r="T2698">
        <v>0</v>
      </c>
      <c r="U2698">
        <v>0</v>
      </c>
      <c r="V2698" t="s">
        <v>98</v>
      </c>
      <c r="W2698" t="s">
        <v>99</v>
      </c>
    </row>
    <row r="2699" spans="1:23" x14ac:dyDescent="0.35">
      <c r="A2699" t="s">
        <v>45</v>
      </c>
      <c r="B2699" t="s">
        <v>5485</v>
      </c>
      <c r="C2699" t="s">
        <v>47</v>
      </c>
      <c r="D2699" t="s">
        <v>68</v>
      </c>
      <c r="E2699" t="s">
        <v>68</v>
      </c>
      <c r="F2699" t="s">
        <v>49</v>
      </c>
      <c r="G2699" t="s">
        <v>102</v>
      </c>
      <c r="H2699" t="s">
        <v>5516</v>
      </c>
      <c r="J2699" t="str">
        <f>HYPERLINK("https://www.youtube.com/watch?v=k4Jk2Nl60tE&amp;lc=UgwR47TCUhRNaO3inel4AaABAg.A-8bpLPrwknA-Bpi85KGYJ","https://www.youtube.com/watch?v=k4Jk2Nl60tE&amp;lc=UgwR47TCUhRNaO3inel4AaABAg.A-8bpLPrwknA-Bpi85KGYJ")</f>
        <v>https://www.youtube.com/watch?v=k4Jk2Nl60tE&amp;lc=UgwR47TCUhRNaO3inel4AaABAg.A-8bpLPrwknA-Bpi85KGYJ</v>
      </c>
      <c r="O2699">
        <v>0</v>
      </c>
      <c r="P2699">
        <v>0</v>
      </c>
      <c r="Q2699">
        <v>0</v>
      </c>
      <c r="S2699">
        <v>0</v>
      </c>
      <c r="T2699">
        <v>0</v>
      </c>
      <c r="U2699">
        <v>0</v>
      </c>
      <c r="W2699" t="s">
        <v>52</v>
      </c>
    </row>
    <row r="2700" spans="1:23" x14ac:dyDescent="0.35">
      <c r="A2700" t="s">
        <v>45</v>
      </c>
      <c r="B2700" t="s">
        <v>5485</v>
      </c>
      <c r="C2700" t="s">
        <v>47</v>
      </c>
      <c r="D2700" t="s">
        <v>68</v>
      </c>
      <c r="E2700" t="s">
        <v>68</v>
      </c>
      <c r="F2700" t="s">
        <v>49</v>
      </c>
      <c r="G2700" t="s">
        <v>5517</v>
      </c>
      <c r="H2700" t="s">
        <v>5518</v>
      </c>
      <c r="J2700" t="str">
        <f>HYPERLINK("https://www.youtube.com/watch?v=IHWzT2TNYKQ&amp;lc=UgymoQe5s24Ic3zSY2Z4AaABAg.A-7099X-XExA-BpdXoDz5a","https://www.youtube.com/watch?v=IHWzT2TNYKQ&amp;lc=UgymoQe5s24Ic3zSY2Z4AaABAg.A-7099X-XExA-BpdXoDz5a")</f>
        <v>https://www.youtube.com/watch?v=IHWzT2TNYKQ&amp;lc=UgymoQe5s24Ic3zSY2Z4AaABAg.A-7099X-XExA-BpdXoDz5a</v>
      </c>
      <c r="O2700">
        <v>0</v>
      </c>
      <c r="P2700">
        <v>0</v>
      </c>
      <c r="Q2700">
        <v>0</v>
      </c>
      <c r="S2700">
        <v>0</v>
      </c>
      <c r="T2700">
        <v>0</v>
      </c>
      <c r="U2700">
        <v>0</v>
      </c>
      <c r="W2700" t="s">
        <v>52</v>
      </c>
    </row>
    <row r="2701" spans="1:23" x14ac:dyDescent="0.35">
      <c r="A2701" t="s">
        <v>45</v>
      </c>
      <c r="B2701" t="s">
        <v>5485</v>
      </c>
      <c r="C2701" t="s">
        <v>47</v>
      </c>
      <c r="D2701" t="s">
        <v>846</v>
      </c>
      <c r="E2701" t="s">
        <v>846</v>
      </c>
      <c r="F2701" t="s">
        <v>54</v>
      </c>
      <c r="G2701" t="s">
        <v>5519</v>
      </c>
      <c r="H2701" t="s">
        <v>5520</v>
      </c>
      <c r="J2701" t="str">
        <f>HYPERLINK("https://www.youtube.com/watch?v=-l0zuXgllLA&amp;lc=UgxA4Nz7DfOyWn9Bv3l4AaABAg","https://www.youtube.com/watch?v=-l0zuXgllLA&amp;lc=UgxA4Nz7DfOyWn9Bv3l4AaABAg")</f>
        <v>https://www.youtube.com/watch?v=-l0zuXgllLA&amp;lc=UgxA4Nz7DfOyWn9Bv3l4AaABAg</v>
      </c>
      <c r="O2701">
        <v>0</v>
      </c>
      <c r="P2701">
        <v>0</v>
      </c>
      <c r="Q2701">
        <v>0</v>
      </c>
      <c r="S2701">
        <v>0</v>
      </c>
      <c r="T2701">
        <v>0</v>
      </c>
      <c r="U2701">
        <v>0</v>
      </c>
      <c r="W2701" t="s">
        <v>52</v>
      </c>
    </row>
    <row r="2702" spans="1:23" x14ac:dyDescent="0.35">
      <c r="A2702" t="s">
        <v>45</v>
      </c>
      <c r="B2702" t="s">
        <v>5485</v>
      </c>
      <c r="C2702" t="s">
        <v>60</v>
      </c>
      <c r="D2702" t="s">
        <v>64</v>
      </c>
      <c r="E2702" t="s">
        <v>64</v>
      </c>
      <c r="F2702" t="s">
        <v>49</v>
      </c>
      <c r="G2702" t="s">
        <v>3773</v>
      </c>
      <c r="H2702" t="s">
        <v>5521</v>
      </c>
      <c r="J2702" t="str">
        <f>HYPERLINK("https://www.facebook.com/634639855377280/posts/780067474167850?comment_id=360630836603287&amp;reply_comment_id=762046815323233","https://www.facebook.com/634639855377280/posts/780067474167850?comment_id=360630836603287&amp;reply_comment_id=762046815323233")</f>
        <v>https://www.facebook.com/634639855377280/posts/780067474167850?comment_id=360630836603287&amp;reply_comment_id=762046815323233</v>
      </c>
      <c r="K2702" t="s">
        <v>67</v>
      </c>
      <c r="O2702">
        <v>0</v>
      </c>
      <c r="P2702">
        <v>0</v>
      </c>
      <c r="Q2702">
        <v>0</v>
      </c>
      <c r="S2702">
        <v>0</v>
      </c>
      <c r="T2702">
        <v>0</v>
      </c>
      <c r="U2702">
        <v>0</v>
      </c>
      <c r="W2702" t="s">
        <v>52</v>
      </c>
    </row>
    <row r="2703" spans="1:23" x14ac:dyDescent="0.35">
      <c r="A2703" t="s">
        <v>45</v>
      </c>
      <c r="B2703" t="s">
        <v>5485</v>
      </c>
      <c r="C2703" t="s">
        <v>60</v>
      </c>
      <c r="D2703" t="s">
        <v>64</v>
      </c>
      <c r="E2703" t="s">
        <v>64</v>
      </c>
      <c r="F2703" t="s">
        <v>49</v>
      </c>
      <c r="G2703" t="s">
        <v>3773</v>
      </c>
      <c r="H2703" t="s">
        <v>5522</v>
      </c>
      <c r="J2703" t="str">
        <f>HYPERLINK("https://www.facebook.com/634639855377280/posts/780067474167850?comment_id=708303131490137&amp;reply_comment_id=1033410717960046","https://www.facebook.com/634639855377280/posts/780067474167850?comment_id=708303131490137&amp;reply_comment_id=1033410717960046")</f>
        <v>https://www.facebook.com/634639855377280/posts/780067474167850?comment_id=708303131490137&amp;reply_comment_id=1033410717960046</v>
      </c>
      <c r="K2703" t="s">
        <v>67</v>
      </c>
      <c r="O2703">
        <v>0</v>
      </c>
      <c r="P2703">
        <v>0</v>
      </c>
      <c r="Q2703">
        <v>0</v>
      </c>
      <c r="S2703">
        <v>0</v>
      </c>
      <c r="T2703">
        <v>0</v>
      </c>
      <c r="U2703">
        <v>0</v>
      </c>
      <c r="W2703" t="s">
        <v>52</v>
      </c>
    </row>
    <row r="2704" spans="1:23" x14ac:dyDescent="0.35">
      <c r="A2704" t="s">
        <v>45</v>
      </c>
      <c r="B2704" t="s">
        <v>5485</v>
      </c>
      <c r="C2704" t="s">
        <v>60</v>
      </c>
      <c r="D2704" t="s">
        <v>64</v>
      </c>
      <c r="E2704" t="s">
        <v>64</v>
      </c>
      <c r="F2704" t="s">
        <v>49</v>
      </c>
      <c r="G2704" t="s">
        <v>100</v>
      </c>
      <c r="H2704" t="s">
        <v>5523</v>
      </c>
      <c r="J2704" t="str">
        <f>HYPERLINK("https://www.facebook.com/634639855377280/posts/780650374109560?comment_id=973677400778896&amp;reply_comment_id=1252432286146267","https://www.facebook.com/634639855377280/posts/780650374109560?comment_id=973677400778896&amp;reply_comment_id=1252432286146267")</f>
        <v>https://www.facebook.com/634639855377280/posts/780650374109560?comment_id=973677400778896&amp;reply_comment_id=1252432286146267</v>
      </c>
      <c r="K2704" t="s">
        <v>67</v>
      </c>
      <c r="O2704">
        <v>0</v>
      </c>
      <c r="P2704">
        <v>0</v>
      </c>
      <c r="Q2704">
        <v>0</v>
      </c>
      <c r="S2704">
        <v>0</v>
      </c>
      <c r="T2704">
        <v>0</v>
      </c>
      <c r="U2704">
        <v>0</v>
      </c>
      <c r="W2704" t="s">
        <v>52</v>
      </c>
    </row>
    <row r="2705" spans="1:23" x14ac:dyDescent="0.35">
      <c r="A2705" t="s">
        <v>45</v>
      </c>
      <c r="B2705" t="s">
        <v>5485</v>
      </c>
      <c r="C2705" t="s">
        <v>93</v>
      </c>
      <c r="D2705" t="s">
        <v>94</v>
      </c>
      <c r="E2705" t="s">
        <v>45</v>
      </c>
      <c r="F2705" t="s">
        <v>49</v>
      </c>
      <c r="G2705" t="s">
        <v>520</v>
      </c>
      <c r="H2705" t="s">
        <v>5524</v>
      </c>
      <c r="J2705" t="str">
        <f>HYPERLINK("https://twitter.com/SpiceMoneyIndia/status/1752300090444640766","https://twitter.com/SpiceMoneyIndia/status/1752300090444640766")</f>
        <v>https://twitter.com/SpiceMoneyIndia/status/1752300090444640766</v>
      </c>
      <c r="K2705" t="s">
        <v>67</v>
      </c>
      <c r="O2705">
        <v>0</v>
      </c>
      <c r="P2705">
        <v>0</v>
      </c>
      <c r="Q2705">
        <v>6013</v>
      </c>
      <c r="R2705" t="s">
        <v>97</v>
      </c>
      <c r="S2705">
        <v>0</v>
      </c>
      <c r="T2705">
        <v>0</v>
      </c>
      <c r="U2705">
        <v>0</v>
      </c>
      <c r="V2705" t="s">
        <v>98</v>
      </c>
      <c r="W2705" t="s">
        <v>99</v>
      </c>
    </row>
    <row r="2706" spans="1:23" x14ac:dyDescent="0.35">
      <c r="A2706" t="s">
        <v>45</v>
      </c>
      <c r="B2706" t="s">
        <v>5485</v>
      </c>
      <c r="C2706" t="s">
        <v>60</v>
      </c>
      <c r="D2706" t="s">
        <v>64</v>
      </c>
      <c r="E2706" t="s">
        <v>64</v>
      </c>
      <c r="F2706" t="s">
        <v>49</v>
      </c>
      <c r="G2706" t="s">
        <v>100</v>
      </c>
      <c r="H2706" t="s">
        <v>5525</v>
      </c>
      <c r="J2706" t="str">
        <f>HYPERLINK("https://www.facebook.com/634639855377280/posts/781371484037449?comment_id=397944306139967&amp;reply_comment_id=764961881635741","https://www.facebook.com/634639855377280/posts/781371484037449?comment_id=397944306139967&amp;reply_comment_id=764961881635741")</f>
        <v>https://www.facebook.com/634639855377280/posts/781371484037449?comment_id=397944306139967&amp;reply_comment_id=764961881635741</v>
      </c>
      <c r="K2706" t="s">
        <v>67</v>
      </c>
      <c r="O2706">
        <v>0</v>
      </c>
      <c r="P2706">
        <v>0</v>
      </c>
      <c r="Q2706">
        <v>0</v>
      </c>
      <c r="S2706">
        <v>0</v>
      </c>
      <c r="T2706">
        <v>0</v>
      </c>
      <c r="U2706">
        <v>0</v>
      </c>
      <c r="W2706" t="s">
        <v>52</v>
      </c>
    </row>
    <row r="2707" spans="1:23" x14ac:dyDescent="0.35">
      <c r="A2707" t="s">
        <v>45</v>
      </c>
      <c r="B2707" t="s">
        <v>5485</v>
      </c>
      <c r="C2707" t="s">
        <v>93</v>
      </c>
      <c r="D2707" t="s">
        <v>94</v>
      </c>
      <c r="E2707" t="s">
        <v>45</v>
      </c>
      <c r="F2707" t="s">
        <v>49</v>
      </c>
      <c r="G2707" t="s">
        <v>5526</v>
      </c>
      <c r="H2707" t="s">
        <v>5527</v>
      </c>
      <c r="J2707" t="str">
        <f>HYPERLINK("https://twitter.com/SpiceMoneyIndia/status/1752299470115553362","https://twitter.com/SpiceMoneyIndia/status/1752299470115553362")</f>
        <v>https://twitter.com/SpiceMoneyIndia/status/1752299470115553362</v>
      </c>
      <c r="K2707" t="s">
        <v>67</v>
      </c>
      <c r="O2707">
        <v>0</v>
      </c>
      <c r="P2707">
        <v>0</v>
      </c>
      <c r="Q2707">
        <v>6013</v>
      </c>
      <c r="R2707" t="s">
        <v>97</v>
      </c>
      <c r="S2707">
        <v>0</v>
      </c>
      <c r="T2707">
        <v>0</v>
      </c>
      <c r="U2707">
        <v>0</v>
      </c>
      <c r="V2707" t="s">
        <v>98</v>
      </c>
      <c r="W2707" t="s">
        <v>99</v>
      </c>
    </row>
    <row r="2708" spans="1:23" x14ac:dyDescent="0.35">
      <c r="A2708" t="s">
        <v>45</v>
      </c>
      <c r="B2708" t="s">
        <v>5485</v>
      </c>
      <c r="C2708" t="s">
        <v>47</v>
      </c>
      <c r="D2708" t="s">
        <v>68</v>
      </c>
      <c r="E2708" t="s">
        <v>68</v>
      </c>
      <c r="F2708" t="s">
        <v>49</v>
      </c>
      <c r="G2708" t="s">
        <v>102</v>
      </c>
      <c r="H2708" t="s">
        <v>5528</v>
      </c>
      <c r="J2708" t="str">
        <f>HYPERLINK("https://www.youtube.com/watch?v=sU_8A5IZ7So&amp;lc=UgwyDSw8T-kPM-rovb94AaABAg.A-BcG3QQNo_A-Bo-ENTbvq","https://www.youtube.com/watch?v=sU_8A5IZ7So&amp;lc=UgwyDSw8T-kPM-rovb94AaABAg.A-BcG3QQNo_A-Bo-ENTbvq")</f>
        <v>https://www.youtube.com/watch?v=sU_8A5IZ7So&amp;lc=UgwyDSw8T-kPM-rovb94AaABAg.A-BcG3QQNo_A-Bo-ENTbvq</v>
      </c>
      <c r="O2708">
        <v>0</v>
      </c>
      <c r="P2708">
        <v>0</v>
      </c>
      <c r="Q2708">
        <v>0</v>
      </c>
      <c r="S2708">
        <v>0</v>
      </c>
      <c r="T2708">
        <v>0</v>
      </c>
      <c r="U2708">
        <v>0</v>
      </c>
      <c r="W2708" t="s">
        <v>52</v>
      </c>
    </row>
    <row r="2709" spans="1:23" x14ac:dyDescent="0.35">
      <c r="A2709" t="s">
        <v>45</v>
      </c>
      <c r="B2709" t="s">
        <v>5485</v>
      </c>
      <c r="C2709" t="s">
        <v>47</v>
      </c>
      <c r="D2709" t="s">
        <v>68</v>
      </c>
      <c r="E2709" t="s">
        <v>68</v>
      </c>
      <c r="F2709" t="s">
        <v>49</v>
      </c>
      <c r="G2709" t="s">
        <v>102</v>
      </c>
      <c r="H2709" t="s">
        <v>5529</v>
      </c>
      <c r="J2709" t="str">
        <f>HYPERLINK("https://www.youtube.com/watch?v=IHWzT2TNYKQ&amp;lc=UgxIQ-9Lmx-SmGA0qG94AaABAg.A-7-PPmmCEuA-Bnt-tjtXP","https://www.youtube.com/watch?v=IHWzT2TNYKQ&amp;lc=UgxIQ-9Lmx-SmGA0qG94AaABAg.A-7-PPmmCEuA-Bnt-tjtXP")</f>
        <v>https://www.youtube.com/watch?v=IHWzT2TNYKQ&amp;lc=UgxIQ-9Lmx-SmGA0qG94AaABAg.A-7-PPmmCEuA-Bnt-tjtXP</v>
      </c>
      <c r="O2709">
        <v>0</v>
      </c>
      <c r="P2709">
        <v>0</v>
      </c>
      <c r="Q2709">
        <v>0</v>
      </c>
      <c r="S2709">
        <v>0</v>
      </c>
      <c r="T2709">
        <v>0</v>
      </c>
      <c r="U2709">
        <v>0</v>
      </c>
      <c r="W2709" t="s">
        <v>52</v>
      </c>
    </row>
    <row r="2710" spans="1:23" x14ac:dyDescent="0.35">
      <c r="A2710" t="s">
        <v>45</v>
      </c>
      <c r="B2710" t="s">
        <v>5485</v>
      </c>
      <c r="C2710" t="s">
        <v>47</v>
      </c>
      <c r="D2710" t="s">
        <v>45</v>
      </c>
      <c r="E2710" t="s">
        <v>45</v>
      </c>
      <c r="F2710" t="s">
        <v>49</v>
      </c>
      <c r="G2710" t="s">
        <v>5530</v>
      </c>
      <c r="H2710" t="s">
        <v>5531</v>
      </c>
      <c r="J2710" t="str">
        <f>HYPERLINK("https://www.youtube.com/watch?v=-l0zuXgllLA","https://www.youtube.com/watch?v=-l0zuXgllLA")</f>
        <v>https://www.youtube.com/watch?v=-l0zuXgllLA</v>
      </c>
      <c r="O2710">
        <v>0</v>
      </c>
      <c r="P2710">
        <v>0</v>
      </c>
      <c r="Q2710">
        <v>0</v>
      </c>
      <c r="S2710">
        <v>0</v>
      </c>
      <c r="T2710">
        <v>0</v>
      </c>
      <c r="U2710">
        <v>0</v>
      </c>
      <c r="W2710" t="s">
        <v>346</v>
      </c>
    </row>
    <row r="2711" spans="1:23" x14ac:dyDescent="0.35">
      <c r="A2711" t="s">
        <v>45</v>
      </c>
      <c r="B2711" t="s">
        <v>5485</v>
      </c>
      <c r="C2711" t="s">
        <v>47</v>
      </c>
      <c r="D2711" t="s">
        <v>5532</v>
      </c>
      <c r="E2711" t="s">
        <v>5532</v>
      </c>
      <c r="F2711" t="s">
        <v>49</v>
      </c>
      <c r="G2711" t="s">
        <v>5533</v>
      </c>
      <c r="H2711" t="s">
        <v>5534</v>
      </c>
      <c r="J2711" t="str">
        <f>HYPERLINK("https://www.youtube.com/watch?v=sU_8A5IZ7So&amp;lc=UgwyDSw8T-kPM-rovb94AaABAg","https://www.youtube.com/watch?v=sU_8A5IZ7So&amp;lc=UgwyDSw8T-kPM-rovb94AaABAg")</f>
        <v>https://www.youtube.com/watch?v=sU_8A5IZ7So&amp;lc=UgwyDSw8T-kPM-rovb94AaABAg</v>
      </c>
      <c r="O2711">
        <v>0</v>
      </c>
      <c r="P2711">
        <v>0</v>
      </c>
      <c r="Q2711">
        <v>0</v>
      </c>
      <c r="S2711">
        <v>0</v>
      </c>
      <c r="T2711">
        <v>0</v>
      </c>
      <c r="U2711">
        <v>0</v>
      </c>
      <c r="W2711" t="s">
        <v>52</v>
      </c>
    </row>
    <row r="2712" spans="1:23" x14ac:dyDescent="0.35">
      <c r="A2712" t="s">
        <v>45</v>
      </c>
      <c r="B2712" t="s">
        <v>5485</v>
      </c>
      <c r="C2712" t="s">
        <v>47</v>
      </c>
      <c r="D2712" t="s">
        <v>68</v>
      </c>
      <c r="E2712" t="s">
        <v>68</v>
      </c>
      <c r="F2712" t="s">
        <v>49</v>
      </c>
      <c r="G2712" t="s">
        <v>102</v>
      </c>
      <c r="H2712" t="s">
        <v>5535</v>
      </c>
      <c r="J2712" t="str">
        <f>HYPERLINK("https://www.youtube.com/watch?v=1_UKRN_GOok&amp;lc=UgyStDgRlvMK6UhBP8N4AaABAg.A-BDwHmhjzJA-BVwfpk27S","https://www.youtube.com/watch?v=1_UKRN_GOok&amp;lc=UgyStDgRlvMK6UhBP8N4AaABAg.A-BDwHmhjzJA-BVwfpk27S")</f>
        <v>https://www.youtube.com/watch?v=1_UKRN_GOok&amp;lc=UgyStDgRlvMK6UhBP8N4AaABAg.A-BDwHmhjzJA-BVwfpk27S</v>
      </c>
      <c r="O2712">
        <v>0</v>
      </c>
      <c r="P2712">
        <v>0</v>
      </c>
      <c r="Q2712">
        <v>0</v>
      </c>
      <c r="S2712">
        <v>0</v>
      </c>
      <c r="T2712">
        <v>0</v>
      </c>
      <c r="U2712">
        <v>0</v>
      </c>
      <c r="W2712" t="s">
        <v>52</v>
      </c>
    </row>
    <row r="2713" spans="1:23" x14ac:dyDescent="0.35">
      <c r="A2713" t="s">
        <v>45</v>
      </c>
      <c r="B2713" t="s">
        <v>5485</v>
      </c>
      <c r="C2713" t="s">
        <v>93</v>
      </c>
      <c r="D2713" t="s">
        <v>5536</v>
      </c>
      <c r="E2713" t="s">
        <v>5537</v>
      </c>
      <c r="F2713" t="s">
        <v>54</v>
      </c>
      <c r="G2713" t="s">
        <v>5538</v>
      </c>
      <c r="H2713" t="s">
        <v>5539</v>
      </c>
      <c r="J2713" t="str">
        <f>HYPERLINK("https://twitter.com/SnftJeff37821/status/1752253268166595038","https://twitter.com/SnftJeff37821/status/1752253268166595038")</f>
        <v>https://twitter.com/SnftJeff37821/status/1752253268166595038</v>
      </c>
      <c r="K2713" t="s">
        <v>67</v>
      </c>
      <c r="O2713">
        <v>0</v>
      </c>
      <c r="P2713">
        <v>0</v>
      </c>
      <c r="Q2713">
        <v>0</v>
      </c>
      <c r="R2713" t="s">
        <v>5540</v>
      </c>
      <c r="S2713">
        <v>0</v>
      </c>
      <c r="T2713">
        <v>0</v>
      </c>
      <c r="U2713">
        <v>0</v>
      </c>
      <c r="W2713" t="s">
        <v>99</v>
      </c>
    </row>
    <row r="2714" spans="1:23" x14ac:dyDescent="0.35">
      <c r="A2714" t="s">
        <v>45</v>
      </c>
      <c r="B2714" t="s">
        <v>5485</v>
      </c>
      <c r="C2714" t="s">
        <v>93</v>
      </c>
      <c r="D2714" t="s">
        <v>94</v>
      </c>
      <c r="E2714" t="s">
        <v>45</v>
      </c>
      <c r="F2714" t="s">
        <v>49</v>
      </c>
      <c r="G2714" t="s">
        <v>5541</v>
      </c>
      <c r="H2714" t="s">
        <v>5542</v>
      </c>
      <c r="J2714" t="str">
        <f>HYPERLINK("https://twitter.com/SpiceMoneyIndia/status/1752253248369787325","https://twitter.com/SpiceMoneyIndia/status/1752253248369787325")</f>
        <v>https://twitter.com/SpiceMoneyIndia/status/1752253248369787325</v>
      </c>
      <c r="K2714" t="s">
        <v>67</v>
      </c>
      <c r="O2714">
        <v>0</v>
      </c>
      <c r="P2714">
        <v>0</v>
      </c>
      <c r="Q2714">
        <v>6012</v>
      </c>
      <c r="R2714" t="s">
        <v>97</v>
      </c>
      <c r="S2714">
        <v>0</v>
      </c>
      <c r="T2714">
        <v>0</v>
      </c>
      <c r="U2714">
        <v>0</v>
      </c>
      <c r="V2714" t="s">
        <v>98</v>
      </c>
      <c r="W2714" t="s">
        <v>99</v>
      </c>
    </row>
    <row r="2715" spans="1:23" x14ac:dyDescent="0.35">
      <c r="A2715" t="s">
        <v>45</v>
      </c>
      <c r="B2715" t="s">
        <v>5485</v>
      </c>
      <c r="C2715" t="s">
        <v>93</v>
      </c>
      <c r="D2715" t="s">
        <v>5543</v>
      </c>
      <c r="E2715" t="s">
        <v>5544</v>
      </c>
      <c r="F2715" t="s">
        <v>193</v>
      </c>
      <c r="G2715" t="s">
        <v>5545</v>
      </c>
      <c r="H2715" t="s">
        <v>5546</v>
      </c>
      <c r="J2715" t="str">
        <f>HYPERLINK("https://twitter.com/PRINCE_GUPTA_64/status/1752239080824320111","https://twitter.com/PRINCE_GUPTA_64/status/1752239080824320111")</f>
        <v>https://twitter.com/PRINCE_GUPTA_64/status/1752239080824320111</v>
      </c>
      <c r="O2715">
        <v>0</v>
      </c>
      <c r="P2715">
        <v>0</v>
      </c>
      <c r="Q2715">
        <v>3</v>
      </c>
      <c r="S2715">
        <v>0</v>
      </c>
      <c r="T2715">
        <v>0</v>
      </c>
      <c r="U2715">
        <v>0</v>
      </c>
      <c r="W2715" t="s">
        <v>99</v>
      </c>
    </row>
    <row r="2716" spans="1:23" x14ac:dyDescent="0.35">
      <c r="A2716" t="s">
        <v>45</v>
      </c>
      <c r="B2716" t="s">
        <v>5485</v>
      </c>
      <c r="C2716" t="s">
        <v>93</v>
      </c>
      <c r="D2716" t="s">
        <v>5547</v>
      </c>
      <c r="E2716" t="s">
        <v>5548</v>
      </c>
      <c r="F2716" t="s">
        <v>49</v>
      </c>
      <c r="G2716" t="s">
        <v>5549</v>
      </c>
      <c r="H2716" t="s">
        <v>5550</v>
      </c>
      <c r="J2716" t="str">
        <f>HYPERLINK("https://twitter.com/EthW022535470/status/1752228915634938076","https://twitter.com/EthW022535470/status/1752228915634938076")</f>
        <v>https://twitter.com/EthW022535470/status/1752228915634938076</v>
      </c>
      <c r="O2716">
        <v>0</v>
      </c>
      <c r="P2716">
        <v>0</v>
      </c>
      <c r="Q2716">
        <v>0</v>
      </c>
      <c r="S2716">
        <v>0</v>
      </c>
      <c r="T2716">
        <v>0</v>
      </c>
      <c r="U2716">
        <v>0</v>
      </c>
      <c r="W2716" t="s">
        <v>99</v>
      </c>
    </row>
    <row r="2717" spans="1:23" x14ac:dyDescent="0.35">
      <c r="A2717" t="s">
        <v>45</v>
      </c>
      <c r="B2717" t="s">
        <v>5485</v>
      </c>
      <c r="C2717" t="s">
        <v>93</v>
      </c>
      <c r="D2717" t="s">
        <v>94</v>
      </c>
      <c r="E2717" t="s">
        <v>45</v>
      </c>
      <c r="F2717" t="s">
        <v>49</v>
      </c>
      <c r="G2717" t="s">
        <v>5551</v>
      </c>
      <c r="H2717" t="s">
        <v>5552</v>
      </c>
      <c r="J2717" t="str">
        <f>HYPERLINK("https://twitter.com/SpiceMoneyIndia/status/1752228894273577243","https://twitter.com/SpiceMoneyIndia/status/1752228894273577243")</f>
        <v>https://twitter.com/SpiceMoneyIndia/status/1752228894273577243</v>
      </c>
      <c r="K2717" t="s">
        <v>67</v>
      </c>
      <c r="O2717">
        <v>0</v>
      </c>
      <c r="P2717">
        <v>0</v>
      </c>
      <c r="Q2717">
        <v>6013</v>
      </c>
      <c r="R2717" t="s">
        <v>97</v>
      </c>
      <c r="S2717">
        <v>0</v>
      </c>
      <c r="T2717">
        <v>0</v>
      </c>
      <c r="U2717">
        <v>0</v>
      </c>
      <c r="V2717" t="s">
        <v>98</v>
      </c>
      <c r="W2717" t="s">
        <v>99</v>
      </c>
    </row>
    <row r="2718" spans="1:23" x14ac:dyDescent="0.35">
      <c r="A2718" t="s">
        <v>45</v>
      </c>
      <c r="B2718" t="s">
        <v>5485</v>
      </c>
      <c r="C2718" t="s">
        <v>60</v>
      </c>
      <c r="D2718" t="s">
        <v>64</v>
      </c>
      <c r="E2718" t="s">
        <v>64</v>
      </c>
      <c r="F2718" t="s">
        <v>49</v>
      </c>
      <c r="G2718" t="s">
        <v>5553</v>
      </c>
      <c r="H2718" t="s">
        <v>5554</v>
      </c>
      <c r="J2718" t="str">
        <f>HYPERLINK("https://www.facebook.com/634639855377280/posts/781887530652511","https://www.facebook.com/634639855377280/posts/781887530652511")</f>
        <v>https://www.facebook.com/634639855377280/posts/781887530652511</v>
      </c>
      <c r="O2718">
        <v>0</v>
      </c>
      <c r="P2718">
        <v>0</v>
      </c>
      <c r="Q2718">
        <v>0</v>
      </c>
      <c r="S2718">
        <v>2</v>
      </c>
      <c r="T2718">
        <v>28</v>
      </c>
      <c r="U2718">
        <v>0</v>
      </c>
      <c r="W2718" t="s">
        <v>346</v>
      </c>
    </row>
    <row r="2719" spans="1:23" x14ac:dyDescent="0.35">
      <c r="A2719" t="s">
        <v>45</v>
      </c>
      <c r="B2719" t="s">
        <v>5485</v>
      </c>
      <c r="C2719" t="s">
        <v>47</v>
      </c>
      <c r="D2719" t="s">
        <v>5555</v>
      </c>
      <c r="E2719" t="s">
        <v>5555</v>
      </c>
      <c r="F2719" t="s">
        <v>49</v>
      </c>
      <c r="G2719" t="s">
        <v>5556</v>
      </c>
      <c r="H2719" t="s">
        <v>5557</v>
      </c>
      <c r="J2719" t="str">
        <f>HYPERLINK("https://www.youtube.com/watch?v=1_UKRN_GOok&amp;lc=UgyStDgRlvMK6UhBP8N4AaABAg","https://www.youtube.com/watch?v=1_UKRN_GOok&amp;lc=UgyStDgRlvMK6UhBP8N4AaABAg")</f>
        <v>https://www.youtube.com/watch?v=1_UKRN_GOok&amp;lc=UgyStDgRlvMK6UhBP8N4AaABAg</v>
      </c>
      <c r="O2719">
        <v>0</v>
      </c>
      <c r="P2719">
        <v>0</v>
      </c>
      <c r="Q2719">
        <v>0</v>
      </c>
      <c r="S2719">
        <v>0</v>
      </c>
      <c r="T2719">
        <v>0</v>
      </c>
      <c r="U2719">
        <v>0</v>
      </c>
      <c r="W2719" t="s">
        <v>52</v>
      </c>
    </row>
    <row r="2720" spans="1:23" x14ac:dyDescent="0.35">
      <c r="A2720" t="s">
        <v>45</v>
      </c>
      <c r="B2720" t="s">
        <v>5485</v>
      </c>
      <c r="C2720" t="s">
        <v>93</v>
      </c>
      <c r="D2720" t="s">
        <v>5480</v>
      </c>
      <c r="E2720" t="s">
        <v>5481</v>
      </c>
      <c r="F2720" t="s">
        <v>49</v>
      </c>
      <c r="G2720" t="s">
        <v>5558</v>
      </c>
      <c r="H2720" t="s">
        <v>5559</v>
      </c>
      <c r="J2720" t="str">
        <f>HYPERLINK("https://twitter.com/Debjyoti1/status/1752181238436368875","https://twitter.com/Debjyoti1/status/1752181238436368875")</f>
        <v>https://twitter.com/Debjyoti1/status/1752181238436368875</v>
      </c>
      <c r="K2720" t="s">
        <v>67</v>
      </c>
      <c r="O2720">
        <v>0</v>
      </c>
      <c r="P2720">
        <v>0</v>
      </c>
      <c r="Q2720">
        <v>1</v>
      </c>
      <c r="R2720" t="s">
        <v>5484</v>
      </c>
      <c r="S2720">
        <v>0</v>
      </c>
      <c r="T2720">
        <v>0</v>
      </c>
      <c r="U2720">
        <v>0</v>
      </c>
      <c r="W2720" t="s">
        <v>99</v>
      </c>
    </row>
    <row r="2721" spans="1:23" x14ac:dyDescent="0.35">
      <c r="A2721" t="s">
        <v>45</v>
      </c>
      <c r="B2721" t="s">
        <v>5485</v>
      </c>
      <c r="C2721" t="s">
        <v>93</v>
      </c>
      <c r="D2721" t="s">
        <v>94</v>
      </c>
      <c r="E2721" t="s">
        <v>45</v>
      </c>
      <c r="F2721" t="s">
        <v>49</v>
      </c>
      <c r="G2721" t="s">
        <v>5560</v>
      </c>
      <c r="H2721" t="s">
        <v>5561</v>
      </c>
      <c r="J2721" t="str">
        <f>HYPERLINK("https://twitter.com/SpiceMoneyIndia/status/1752179209974276249","https://twitter.com/SpiceMoneyIndia/status/1752179209974276249")</f>
        <v>https://twitter.com/SpiceMoneyIndia/status/1752179209974276249</v>
      </c>
      <c r="K2721" t="s">
        <v>67</v>
      </c>
      <c r="O2721">
        <v>0</v>
      </c>
      <c r="P2721">
        <v>0</v>
      </c>
      <c r="Q2721">
        <v>6012</v>
      </c>
      <c r="R2721" t="s">
        <v>97</v>
      </c>
      <c r="S2721">
        <v>0</v>
      </c>
      <c r="T2721">
        <v>0</v>
      </c>
      <c r="U2721">
        <v>0</v>
      </c>
      <c r="V2721" t="s">
        <v>98</v>
      </c>
      <c r="W2721" t="s">
        <v>99</v>
      </c>
    </row>
    <row r="2722" spans="1:23" x14ac:dyDescent="0.35">
      <c r="A2722" t="s">
        <v>45</v>
      </c>
      <c r="B2722" t="s">
        <v>5485</v>
      </c>
      <c r="C2722" t="s">
        <v>93</v>
      </c>
      <c r="D2722" t="s">
        <v>94</v>
      </c>
      <c r="E2722" t="s">
        <v>45</v>
      </c>
      <c r="F2722" t="s">
        <v>49</v>
      </c>
      <c r="G2722" t="s">
        <v>5562</v>
      </c>
      <c r="H2722" t="s">
        <v>5563</v>
      </c>
      <c r="J2722" t="str">
        <f>HYPERLINK("https://twitter.com/SpiceMoneyIndia/status/1752176447307788458","https://twitter.com/SpiceMoneyIndia/status/1752176447307788458")</f>
        <v>https://twitter.com/SpiceMoneyIndia/status/1752176447307788458</v>
      </c>
      <c r="K2722" t="s">
        <v>67</v>
      </c>
      <c r="O2722">
        <v>0</v>
      </c>
      <c r="P2722">
        <v>0</v>
      </c>
      <c r="Q2722">
        <v>6012</v>
      </c>
      <c r="R2722" t="s">
        <v>97</v>
      </c>
      <c r="S2722">
        <v>0</v>
      </c>
      <c r="T2722">
        <v>0</v>
      </c>
      <c r="U2722">
        <v>0</v>
      </c>
      <c r="V2722" t="s">
        <v>98</v>
      </c>
      <c r="W2722" t="s">
        <v>99</v>
      </c>
    </row>
    <row r="2723" spans="1:23" x14ac:dyDescent="0.35">
      <c r="A2723" t="s">
        <v>45</v>
      </c>
      <c r="B2723" t="s">
        <v>5485</v>
      </c>
      <c r="C2723" t="s">
        <v>47</v>
      </c>
      <c r="D2723" t="s">
        <v>5564</v>
      </c>
      <c r="E2723" t="s">
        <v>5564</v>
      </c>
      <c r="F2723" t="s">
        <v>49</v>
      </c>
      <c r="G2723" t="s">
        <v>5565</v>
      </c>
      <c r="H2723" t="s">
        <v>5566</v>
      </c>
      <c r="J2723" t="str">
        <f>HYPERLINK("https://www.youtube.com/watch?v=ySy-ogKu0Pk&amp;lc=Ugy9Zd0RO-32R5PeHc94AaABAg.A-837cez92BA-AsaQqSO7Y","https://www.youtube.com/watch?v=ySy-ogKu0Pk&amp;lc=Ugy9Zd0RO-32R5PeHc94AaABAg.A-837cez92BA-AsaQqSO7Y")</f>
        <v>https://www.youtube.com/watch?v=ySy-ogKu0Pk&amp;lc=Ugy9Zd0RO-32R5PeHc94AaABAg.A-837cez92BA-AsaQqSO7Y</v>
      </c>
      <c r="O2723">
        <v>0</v>
      </c>
      <c r="P2723">
        <v>0</v>
      </c>
      <c r="Q2723">
        <v>0</v>
      </c>
      <c r="S2723">
        <v>0</v>
      </c>
      <c r="T2723">
        <v>0</v>
      </c>
      <c r="U2723">
        <v>0</v>
      </c>
      <c r="W2723" t="s">
        <v>52</v>
      </c>
    </row>
    <row r="2724" spans="1:23" x14ac:dyDescent="0.35">
      <c r="A2724" t="s">
        <v>45</v>
      </c>
      <c r="B2724" t="s">
        <v>5485</v>
      </c>
      <c r="C2724" t="s">
        <v>93</v>
      </c>
      <c r="D2724" t="s">
        <v>94</v>
      </c>
      <c r="E2724" t="s">
        <v>45</v>
      </c>
      <c r="F2724" t="s">
        <v>49</v>
      </c>
      <c r="G2724" t="s">
        <v>5567</v>
      </c>
      <c r="H2724" t="s">
        <v>5568</v>
      </c>
      <c r="J2724" t="str">
        <f>HYPERLINK("https://twitter.com/SpiceMoneyIndia/status/1752166690396193084","https://twitter.com/SpiceMoneyIndia/status/1752166690396193084")</f>
        <v>https://twitter.com/SpiceMoneyIndia/status/1752166690396193084</v>
      </c>
      <c r="K2724" t="s">
        <v>67</v>
      </c>
      <c r="O2724">
        <v>0</v>
      </c>
      <c r="P2724">
        <v>0</v>
      </c>
      <c r="Q2724">
        <v>6012</v>
      </c>
      <c r="R2724" t="s">
        <v>97</v>
      </c>
      <c r="S2724">
        <v>0</v>
      </c>
      <c r="T2724">
        <v>0</v>
      </c>
      <c r="U2724">
        <v>0</v>
      </c>
      <c r="V2724" t="s">
        <v>98</v>
      </c>
      <c r="W2724" t="s">
        <v>99</v>
      </c>
    </row>
    <row r="2725" spans="1:23" x14ac:dyDescent="0.35">
      <c r="A2725" t="s">
        <v>45</v>
      </c>
      <c r="B2725" t="s">
        <v>5485</v>
      </c>
      <c r="C2725" t="s">
        <v>93</v>
      </c>
      <c r="D2725" t="s">
        <v>94</v>
      </c>
      <c r="E2725" t="s">
        <v>45</v>
      </c>
      <c r="F2725" t="s">
        <v>49</v>
      </c>
      <c r="G2725" t="s">
        <v>5569</v>
      </c>
      <c r="H2725" t="s">
        <v>5570</v>
      </c>
      <c r="J2725" t="str">
        <f>HYPERLINK("https://twitter.com/SpiceMoneyIndia/status/1752166149804970364","https://twitter.com/SpiceMoneyIndia/status/1752166149804970364")</f>
        <v>https://twitter.com/SpiceMoneyIndia/status/1752166149804970364</v>
      </c>
      <c r="K2725" t="s">
        <v>67</v>
      </c>
      <c r="O2725">
        <v>0</v>
      </c>
      <c r="P2725">
        <v>0</v>
      </c>
      <c r="Q2725">
        <v>6012</v>
      </c>
      <c r="R2725" t="s">
        <v>97</v>
      </c>
      <c r="S2725">
        <v>0</v>
      </c>
      <c r="T2725">
        <v>0</v>
      </c>
      <c r="U2725">
        <v>0</v>
      </c>
      <c r="V2725" t="s">
        <v>98</v>
      </c>
      <c r="W2725" t="s">
        <v>99</v>
      </c>
    </row>
    <row r="2726" spans="1:23" x14ac:dyDescent="0.35">
      <c r="A2726" t="s">
        <v>45</v>
      </c>
      <c r="B2726" t="s">
        <v>5485</v>
      </c>
      <c r="C2726" t="s">
        <v>93</v>
      </c>
      <c r="D2726" t="s">
        <v>94</v>
      </c>
      <c r="E2726" t="s">
        <v>45</v>
      </c>
      <c r="F2726" t="s">
        <v>49</v>
      </c>
      <c r="G2726" t="s">
        <v>5571</v>
      </c>
      <c r="H2726" t="s">
        <v>5572</v>
      </c>
      <c r="J2726" t="str">
        <f>HYPERLINK("https://twitter.com/SpiceMoneyIndia/status/1752165898134097987","https://twitter.com/SpiceMoneyIndia/status/1752165898134097987")</f>
        <v>https://twitter.com/SpiceMoneyIndia/status/1752165898134097987</v>
      </c>
      <c r="K2726" t="s">
        <v>67</v>
      </c>
      <c r="O2726">
        <v>0</v>
      </c>
      <c r="P2726">
        <v>0</v>
      </c>
      <c r="Q2726">
        <v>6012</v>
      </c>
      <c r="R2726" t="s">
        <v>97</v>
      </c>
      <c r="S2726">
        <v>0</v>
      </c>
      <c r="T2726">
        <v>0</v>
      </c>
      <c r="U2726">
        <v>0</v>
      </c>
      <c r="V2726" t="s">
        <v>98</v>
      </c>
      <c r="W2726" t="s">
        <v>99</v>
      </c>
    </row>
    <row r="2727" spans="1:23" x14ac:dyDescent="0.35">
      <c r="A2727" t="s">
        <v>45</v>
      </c>
      <c r="B2727" t="s">
        <v>5485</v>
      </c>
      <c r="C2727" t="s">
        <v>47</v>
      </c>
      <c r="D2727" t="s">
        <v>68</v>
      </c>
      <c r="E2727" t="s">
        <v>68</v>
      </c>
      <c r="F2727" t="s">
        <v>49</v>
      </c>
      <c r="G2727" t="s">
        <v>102</v>
      </c>
      <c r="H2727" t="s">
        <v>5573</v>
      </c>
      <c r="J2727" t="str">
        <f>HYPERLINK("https://www.youtube.com/watch?v=IHWzT2TNYKQ&amp;lc=UgziNF4zzYbc2GbNMst4AaABAg.A-705LgXboLA-ArHccBmH2","https://www.youtube.com/watch?v=IHWzT2TNYKQ&amp;lc=UgziNF4zzYbc2GbNMst4AaABAg.A-705LgXboLA-ArHccBmH2")</f>
        <v>https://www.youtube.com/watch?v=IHWzT2TNYKQ&amp;lc=UgziNF4zzYbc2GbNMst4AaABAg.A-705LgXboLA-ArHccBmH2</v>
      </c>
      <c r="O2727">
        <v>0</v>
      </c>
      <c r="P2727">
        <v>0</v>
      </c>
      <c r="Q2727">
        <v>0</v>
      </c>
      <c r="S2727">
        <v>0</v>
      </c>
      <c r="T2727">
        <v>0</v>
      </c>
      <c r="U2727">
        <v>0</v>
      </c>
      <c r="W2727" t="s">
        <v>52</v>
      </c>
    </row>
    <row r="2728" spans="1:23" x14ac:dyDescent="0.35">
      <c r="A2728" t="s">
        <v>45</v>
      </c>
      <c r="B2728" t="s">
        <v>5485</v>
      </c>
      <c r="C2728" t="s">
        <v>47</v>
      </c>
      <c r="D2728" t="s">
        <v>68</v>
      </c>
      <c r="E2728" t="s">
        <v>68</v>
      </c>
      <c r="F2728" t="s">
        <v>49</v>
      </c>
      <c r="G2728" t="s">
        <v>102</v>
      </c>
      <c r="H2728" t="s">
        <v>5574</v>
      </c>
      <c r="J2728" t="str">
        <f>HYPERLINK("https://www.youtube.com/watch?v=ySy-ogKu0Pk&amp;lc=Ugy9Zd0RO-32R5PeHc94AaABAg.A-837cez92BA-Ar4Xsr_R2","https://www.youtube.com/watch?v=ySy-ogKu0Pk&amp;lc=Ugy9Zd0RO-32R5PeHc94AaABAg.A-837cez92BA-Ar4Xsr_R2")</f>
        <v>https://www.youtube.com/watch?v=ySy-ogKu0Pk&amp;lc=Ugy9Zd0RO-32R5PeHc94AaABAg.A-837cez92BA-Ar4Xsr_R2</v>
      </c>
      <c r="O2728">
        <v>0</v>
      </c>
      <c r="P2728">
        <v>0</v>
      </c>
      <c r="Q2728">
        <v>0</v>
      </c>
      <c r="S2728">
        <v>0</v>
      </c>
      <c r="T2728">
        <v>0</v>
      </c>
      <c r="U2728">
        <v>0</v>
      </c>
      <c r="W2728" t="s">
        <v>52</v>
      </c>
    </row>
    <row r="2729" spans="1:23" x14ac:dyDescent="0.35">
      <c r="A2729" t="s">
        <v>45</v>
      </c>
      <c r="B2729" t="s">
        <v>5485</v>
      </c>
      <c r="C2729" t="s">
        <v>47</v>
      </c>
      <c r="D2729" t="s">
        <v>68</v>
      </c>
      <c r="E2729" t="s">
        <v>68</v>
      </c>
      <c r="F2729" t="s">
        <v>49</v>
      </c>
      <c r="G2729" t="s">
        <v>102</v>
      </c>
      <c r="H2729" t="s">
        <v>5575</v>
      </c>
      <c r="J2729" t="str">
        <f>HYPERLINK("https://www.youtube.com/watch?v=XJpOhRgEj34&amp;lc=Ugxv5yKk848uwgbDWr94AaABAg.A-9hlxhPyemA-AqpKRZg_8","https://www.youtube.com/watch?v=XJpOhRgEj34&amp;lc=Ugxv5yKk848uwgbDWr94AaABAg.A-9hlxhPyemA-AqpKRZg_8")</f>
        <v>https://www.youtube.com/watch?v=XJpOhRgEj34&amp;lc=Ugxv5yKk848uwgbDWr94AaABAg.A-9hlxhPyemA-AqpKRZg_8</v>
      </c>
      <c r="O2729">
        <v>0</v>
      </c>
      <c r="P2729">
        <v>0</v>
      </c>
      <c r="Q2729">
        <v>0</v>
      </c>
      <c r="S2729">
        <v>0</v>
      </c>
      <c r="T2729">
        <v>0</v>
      </c>
      <c r="U2729">
        <v>0</v>
      </c>
      <c r="W2729" t="s">
        <v>52</v>
      </c>
    </row>
    <row r="2730" spans="1:23" x14ac:dyDescent="0.35">
      <c r="A2730" t="s">
        <v>45</v>
      </c>
      <c r="B2730" t="s">
        <v>5485</v>
      </c>
      <c r="C2730" t="s">
        <v>93</v>
      </c>
      <c r="D2730" t="s">
        <v>94</v>
      </c>
      <c r="E2730" t="s">
        <v>45</v>
      </c>
      <c r="F2730" t="s">
        <v>49</v>
      </c>
      <c r="G2730" t="s">
        <v>5576</v>
      </c>
      <c r="H2730" t="s">
        <v>5577</v>
      </c>
      <c r="J2730" t="str">
        <f>HYPERLINK("https://twitter.com/SpiceMoneyIndia/status/1752164173625127357","https://twitter.com/SpiceMoneyIndia/status/1752164173625127357")</f>
        <v>https://twitter.com/SpiceMoneyIndia/status/1752164173625127357</v>
      </c>
      <c r="K2730" t="s">
        <v>67</v>
      </c>
      <c r="O2730">
        <v>0</v>
      </c>
      <c r="P2730">
        <v>0</v>
      </c>
      <c r="Q2730">
        <v>6012</v>
      </c>
      <c r="R2730" t="s">
        <v>97</v>
      </c>
      <c r="S2730">
        <v>0</v>
      </c>
      <c r="T2730">
        <v>0</v>
      </c>
      <c r="U2730">
        <v>0</v>
      </c>
      <c r="V2730" t="s">
        <v>98</v>
      </c>
      <c r="W2730" t="s">
        <v>99</v>
      </c>
    </row>
    <row r="2731" spans="1:23" x14ac:dyDescent="0.35">
      <c r="A2731" t="s">
        <v>45</v>
      </c>
      <c r="B2731" t="s">
        <v>5485</v>
      </c>
      <c r="C2731" t="s">
        <v>47</v>
      </c>
      <c r="D2731" t="s">
        <v>68</v>
      </c>
      <c r="E2731" t="s">
        <v>68</v>
      </c>
      <c r="F2731" t="s">
        <v>49</v>
      </c>
      <c r="G2731" t="s">
        <v>102</v>
      </c>
      <c r="H2731" t="s">
        <v>5578</v>
      </c>
      <c r="J2731" t="str">
        <f>HYPERLINK("https://www.youtube.com/watch?v=oXr4IMrnmh4&amp;lc=UgxR2NYjaLPZ5-tX3PN4AaABAg.A-9983WcE3uA-Aqbu1hZbc","https://www.youtube.com/watch?v=oXr4IMrnmh4&amp;lc=UgxR2NYjaLPZ5-tX3PN4AaABAg.A-9983WcE3uA-Aqbu1hZbc")</f>
        <v>https://www.youtube.com/watch?v=oXr4IMrnmh4&amp;lc=UgxR2NYjaLPZ5-tX3PN4AaABAg.A-9983WcE3uA-Aqbu1hZbc</v>
      </c>
      <c r="O2731">
        <v>0</v>
      </c>
      <c r="P2731">
        <v>0</v>
      </c>
      <c r="Q2731">
        <v>0</v>
      </c>
      <c r="S2731">
        <v>0</v>
      </c>
      <c r="T2731">
        <v>0</v>
      </c>
      <c r="U2731">
        <v>0</v>
      </c>
      <c r="W2731" t="s">
        <v>52</v>
      </c>
    </row>
    <row r="2732" spans="1:23" x14ac:dyDescent="0.35">
      <c r="A2732" t="s">
        <v>45</v>
      </c>
      <c r="B2732" t="s">
        <v>5485</v>
      </c>
      <c r="C2732" t="s">
        <v>47</v>
      </c>
      <c r="D2732" t="s">
        <v>68</v>
      </c>
      <c r="E2732" t="s">
        <v>68</v>
      </c>
      <c r="F2732" t="s">
        <v>49</v>
      </c>
      <c r="G2732" t="s">
        <v>1595</v>
      </c>
      <c r="H2732" t="s">
        <v>5579</v>
      </c>
      <c r="J2732" t="str">
        <f>HYPERLINK("https://www.youtube.com/watch?v=IHWzT2TNYKQ&amp;lc=Ugymh5DqSuzOEJDt8oV4AaABAg.A-9Xh4Sc3KvA-AqUom4NZW","https://www.youtube.com/watch?v=IHWzT2TNYKQ&amp;lc=Ugymh5DqSuzOEJDt8oV4AaABAg.A-9Xh4Sc3KvA-AqUom4NZW")</f>
        <v>https://www.youtube.com/watch?v=IHWzT2TNYKQ&amp;lc=Ugymh5DqSuzOEJDt8oV4AaABAg.A-9Xh4Sc3KvA-AqUom4NZW</v>
      </c>
      <c r="O2732">
        <v>0</v>
      </c>
      <c r="P2732">
        <v>0</v>
      </c>
      <c r="Q2732">
        <v>0</v>
      </c>
      <c r="S2732">
        <v>0</v>
      </c>
      <c r="T2732">
        <v>0</v>
      </c>
      <c r="U2732">
        <v>0</v>
      </c>
      <c r="W2732" t="s">
        <v>52</v>
      </c>
    </row>
    <row r="2733" spans="1:23" x14ac:dyDescent="0.35">
      <c r="A2733" t="s">
        <v>45</v>
      </c>
      <c r="B2733" t="s">
        <v>5580</v>
      </c>
      <c r="C2733" t="s">
        <v>47</v>
      </c>
      <c r="D2733" t="s">
        <v>5581</v>
      </c>
      <c r="E2733" t="s">
        <v>5581</v>
      </c>
      <c r="F2733" t="s">
        <v>49</v>
      </c>
      <c r="G2733" t="s">
        <v>5582</v>
      </c>
      <c r="H2733" t="s">
        <v>5583</v>
      </c>
      <c r="J2733" t="str">
        <f>HYPERLINK("https://www.youtube.com/watch?v=XJpOhRgEj34&amp;lc=Ugxv5yKk848uwgbDWr94AaABAg","https://www.youtube.com/watch?v=XJpOhRgEj34&amp;lc=Ugxv5yKk848uwgbDWr94AaABAg")</f>
        <v>https://www.youtube.com/watch?v=XJpOhRgEj34&amp;lc=Ugxv5yKk848uwgbDWr94AaABAg</v>
      </c>
      <c r="O2733">
        <v>0</v>
      </c>
      <c r="P2733">
        <v>0</v>
      </c>
      <c r="Q2733">
        <v>0</v>
      </c>
      <c r="S2733">
        <v>0</v>
      </c>
      <c r="T2733">
        <v>0</v>
      </c>
      <c r="U2733">
        <v>0</v>
      </c>
      <c r="W2733" t="s">
        <v>52</v>
      </c>
    </row>
    <row r="2734" spans="1:23" x14ac:dyDescent="0.35">
      <c r="A2734" t="s">
        <v>45</v>
      </c>
      <c r="B2734" t="s">
        <v>5580</v>
      </c>
      <c r="C2734" t="s">
        <v>93</v>
      </c>
      <c r="D2734" t="s">
        <v>5584</v>
      </c>
      <c r="E2734" t="s">
        <v>5585</v>
      </c>
      <c r="F2734" t="s">
        <v>193</v>
      </c>
      <c r="G2734" t="s">
        <v>5586</v>
      </c>
      <c r="H2734" t="s">
        <v>5587</v>
      </c>
      <c r="J2734" t="str">
        <f>HYPERLINK("https://twitter.com/aryandigital_1/status/1751999642135375897","https://twitter.com/aryandigital_1/status/1751999642135375897")</f>
        <v>https://twitter.com/aryandigital_1/status/1751999642135375897</v>
      </c>
      <c r="K2734" t="s">
        <v>67</v>
      </c>
      <c r="O2734">
        <v>0</v>
      </c>
      <c r="P2734">
        <v>0</v>
      </c>
      <c r="Q2734">
        <v>3</v>
      </c>
      <c r="S2734">
        <v>0</v>
      </c>
      <c r="T2734">
        <v>0</v>
      </c>
      <c r="U2734">
        <v>0</v>
      </c>
      <c r="W2734" t="s">
        <v>99</v>
      </c>
    </row>
    <row r="2735" spans="1:23" x14ac:dyDescent="0.35">
      <c r="A2735" t="s">
        <v>45</v>
      </c>
      <c r="B2735" t="s">
        <v>5580</v>
      </c>
      <c r="C2735" t="s">
        <v>93</v>
      </c>
      <c r="D2735" t="s">
        <v>569</v>
      </c>
      <c r="E2735" t="s">
        <v>570</v>
      </c>
      <c r="F2735" t="s">
        <v>49</v>
      </c>
      <c r="G2735" t="s">
        <v>5588</v>
      </c>
      <c r="H2735" t="s">
        <v>5589</v>
      </c>
      <c r="J2735" t="str">
        <f>HYPERLINK("https://twitter.com/excelhinditips/status/1751983057702408582","https://twitter.com/excelhinditips/status/1751983057702408582")</f>
        <v>https://twitter.com/excelhinditips/status/1751983057702408582</v>
      </c>
      <c r="O2735">
        <v>0</v>
      </c>
      <c r="P2735">
        <v>0</v>
      </c>
      <c r="Q2735">
        <v>15</v>
      </c>
      <c r="R2735" t="s">
        <v>573</v>
      </c>
      <c r="S2735">
        <v>0</v>
      </c>
      <c r="T2735">
        <v>0</v>
      </c>
      <c r="U2735">
        <v>0</v>
      </c>
      <c r="W2735" t="s">
        <v>99</v>
      </c>
    </row>
    <row r="2736" spans="1:23" x14ac:dyDescent="0.35">
      <c r="A2736" t="s">
        <v>45</v>
      </c>
      <c r="B2736" t="s">
        <v>5580</v>
      </c>
      <c r="C2736" t="s">
        <v>47</v>
      </c>
      <c r="D2736" t="s">
        <v>5590</v>
      </c>
      <c r="E2736" t="s">
        <v>5590</v>
      </c>
      <c r="F2736" t="s">
        <v>49</v>
      </c>
      <c r="G2736" t="s">
        <v>5591</v>
      </c>
      <c r="H2736" t="s">
        <v>5592</v>
      </c>
      <c r="J2736" t="str">
        <f>HYPERLINK("https://www.youtube.com/watch?v=IHWzT2TNYKQ&amp;lc=Ugymh5DqSuzOEJDt8oV4AaABAg","https://www.youtube.com/watch?v=IHWzT2TNYKQ&amp;lc=Ugymh5DqSuzOEJDt8oV4AaABAg")</f>
        <v>https://www.youtube.com/watch?v=IHWzT2TNYKQ&amp;lc=Ugymh5DqSuzOEJDt8oV4AaABAg</v>
      </c>
      <c r="O2736">
        <v>0</v>
      </c>
      <c r="P2736">
        <v>0</v>
      </c>
      <c r="Q2736">
        <v>0</v>
      </c>
      <c r="S2736">
        <v>0</v>
      </c>
      <c r="T2736">
        <v>0</v>
      </c>
      <c r="U2736">
        <v>0</v>
      </c>
      <c r="W2736" t="s">
        <v>52</v>
      </c>
    </row>
    <row r="2737" spans="1:23" x14ac:dyDescent="0.35">
      <c r="A2737" t="s">
        <v>45</v>
      </c>
      <c r="B2737" t="s">
        <v>5580</v>
      </c>
      <c r="C2737" t="s">
        <v>47</v>
      </c>
      <c r="D2737" t="s">
        <v>5590</v>
      </c>
      <c r="E2737" t="s">
        <v>5590</v>
      </c>
      <c r="F2737" t="s">
        <v>49</v>
      </c>
      <c r="G2737" t="s">
        <v>5593</v>
      </c>
      <c r="H2737" t="s">
        <v>5594</v>
      </c>
      <c r="J2737" t="str">
        <f>HYPERLINK("https://www.youtube.com/watch?v=IHWzT2TNYKQ&amp;lc=UgyDzWsOvWaL4w-5h9d4AaABAg","https://www.youtube.com/watch?v=IHWzT2TNYKQ&amp;lc=UgyDzWsOvWaL4w-5h9d4AaABAg")</f>
        <v>https://www.youtube.com/watch?v=IHWzT2TNYKQ&amp;lc=UgyDzWsOvWaL4w-5h9d4AaABAg</v>
      </c>
      <c r="O2737">
        <v>0</v>
      </c>
      <c r="P2737">
        <v>0</v>
      </c>
      <c r="Q2737">
        <v>0</v>
      </c>
      <c r="S2737">
        <v>0</v>
      </c>
      <c r="T2737">
        <v>0</v>
      </c>
      <c r="U2737">
        <v>0</v>
      </c>
      <c r="W2737" t="s">
        <v>52</v>
      </c>
    </row>
    <row r="2738" spans="1:23" x14ac:dyDescent="0.35">
      <c r="A2738" t="s">
        <v>45</v>
      </c>
      <c r="B2738" t="s">
        <v>5580</v>
      </c>
      <c r="C2738" t="s">
        <v>60</v>
      </c>
      <c r="D2738" t="s">
        <v>61</v>
      </c>
      <c r="E2738" t="s">
        <v>61</v>
      </c>
      <c r="F2738" t="s">
        <v>49</v>
      </c>
      <c r="G2738" t="s">
        <v>5595</v>
      </c>
      <c r="H2738" t="s">
        <v>5596</v>
      </c>
      <c r="J2738" t="str">
        <f>HYPERLINK("https://www.facebook.com/634639855377280/posts/781371484037449?comment_id=919084112771147","https://www.facebook.com/634639855377280/posts/781371484037449?comment_id=919084112771147")</f>
        <v>https://www.facebook.com/634639855377280/posts/781371484037449?comment_id=919084112771147</v>
      </c>
      <c r="O2738">
        <v>0</v>
      </c>
      <c r="P2738">
        <v>0</v>
      </c>
      <c r="Q2738">
        <v>0</v>
      </c>
      <c r="S2738">
        <v>0</v>
      </c>
      <c r="T2738">
        <v>0</v>
      </c>
      <c r="U2738">
        <v>0</v>
      </c>
      <c r="W2738" t="s">
        <v>52</v>
      </c>
    </row>
    <row r="2739" spans="1:23" x14ac:dyDescent="0.35">
      <c r="A2739" t="s">
        <v>45</v>
      </c>
      <c r="B2739" t="s">
        <v>5580</v>
      </c>
      <c r="C2739" t="s">
        <v>93</v>
      </c>
      <c r="D2739" t="s">
        <v>94</v>
      </c>
      <c r="E2739" t="s">
        <v>45</v>
      </c>
      <c r="F2739" t="s">
        <v>49</v>
      </c>
      <c r="G2739" t="s">
        <v>5597</v>
      </c>
      <c r="H2739" t="s">
        <v>5598</v>
      </c>
      <c r="J2739" t="str">
        <f>HYPERLINK("https://twitter.com/SpiceMoneyIndia/status/1751954500938858526","https://twitter.com/SpiceMoneyIndia/status/1751954500938858526")</f>
        <v>https://twitter.com/SpiceMoneyIndia/status/1751954500938858526</v>
      </c>
      <c r="K2739" t="s">
        <v>67</v>
      </c>
      <c r="O2739">
        <v>0</v>
      </c>
      <c r="P2739">
        <v>0</v>
      </c>
      <c r="Q2739">
        <v>6011</v>
      </c>
      <c r="R2739" t="s">
        <v>97</v>
      </c>
      <c r="S2739">
        <v>0</v>
      </c>
      <c r="T2739">
        <v>0</v>
      </c>
      <c r="U2739">
        <v>0</v>
      </c>
      <c r="V2739" t="s">
        <v>98</v>
      </c>
      <c r="W2739" t="s">
        <v>99</v>
      </c>
    </row>
    <row r="2740" spans="1:23" x14ac:dyDescent="0.35">
      <c r="A2740" t="s">
        <v>45</v>
      </c>
      <c r="B2740" t="s">
        <v>5580</v>
      </c>
      <c r="C2740" t="s">
        <v>60</v>
      </c>
      <c r="D2740" t="s">
        <v>61</v>
      </c>
      <c r="E2740" t="s">
        <v>61</v>
      </c>
      <c r="F2740" t="s">
        <v>49</v>
      </c>
      <c r="G2740" t="s">
        <v>5599</v>
      </c>
      <c r="H2740" t="s">
        <v>5600</v>
      </c>
      <c r="J2740" t="str">
        <f>HYPERLINK("https://www.facebook.com/634639855377280/posts/781371484037449?comment_id=411405011235851","https://www.facebook.com/634639855377280/posts/781371484037449?comment_id=411405011235851")</f>
        <v>https://www.facebook.com/634639855377280/posts/781371484037449?comment_id=411405011235851</v>
      </c>
      <c r="O2740">
        <v>0</v>
      </c>
      <c r="P2740">
        <v>0</v>
      </c>
      <c r="Q2740">
        <v>0</v>
      </c>
      <c r="S2740">
        <v>0</v>
      </c>
      <c r="T2740">
        <v>0</v>
      </c>
      <c r="U2740">
        <v>0</v>
      </c>
      <c r="W2740" t="s">
        <v>52</v>
      </c>
    </row>
    <row r="2741" spans="1:23" x14ac:dyDescent="0.35">
      <c r="A2741" t="s">
        <v>45</v>
      </c>
      <c r="B2741" t="s">
        <v>5580</v>
      </c>
      <c r="C2741" t="s">
        <v>60</v>
      </c>
      <c r="D2741" t="s">
        <v>61</v>
      </c>
      <c r="E2741" t="s">
        <v>61</v>
      </c>
      <c r="F2741" t="s">
        <v>49</v>
      </c>
      <c r="G2741" t="s">
        <v>5601</v>
      </c>
      <c r="H2741" t="s">
        <v>5602</v>
      </c>
      <c r="J2741" t="str">
        <f>HYPERLINK("https://www.facebook.com/634639855377280/posts/781371484037449?comment_id=1427972674809067","https://www.facebook.com/634639855377280/posts/781371484037449?comment_id=1427972674809067")</f>
        <v>https://www.facebook.com/634639855377280/posts/781371484037449?comment_id=1427972674809067</v>
      </c>
      <c r="O2741">
        <v>0</v>
      </c>
      <c r="P2741">
        <v>0</v>
      </c>
      <c r="Q2741">
        <v>0</v>
      </c>
      <c r="S2741">
        <v>0</v>
      </c>
      <c r="T2741">
        <v>0</v>
      </c>
      <c r="U2741">
        <v>0</v>
      </c>
      <c r="W2741" t="s">
        <v>52</v>
      </c>
    </row>
    <row r="2742" spans="1:23" x14ac:dyDescent="0.35">
      <c r="A2742" t="s">
        <v>45</v>
      </c>
      <c r="B2742" t="s">
        <v>5580</v>
      </c>
      <c r="C2742" t="s">
        <v>60</v>
      </c>
      <c r="D2742" t="s">
        <v>61</v>
      </c>
      <c r="E2742" t="s">
        <v>61</v>
      </c>
      <c r="F2742" t="s">
        <v>54</v>
      </c>
      <c r="G2742" t="s">
        <v>2440</v>
      </c>
      <c r="H2742" t="s">
        <v>5603</v>
      </c>
      <c r="J2742" t="str">
        <f>HYPERLINK("https://www.facebook.com/634639855377280/posts/781371484037449?comment_id=897707341822653","https://www.facebook.com/634639855377280/posts/781371484037449?comment_id=897707341822653")</f>
        <v>https://www.facebook.com/634639855377280/posts/781371484037449?comment_id=897707341822653</v>
      </c>
      <c r="O2742">
        <v>0</v>
      </c>
      <c r="P2742">
        <v>0</v>
      </c>
      <c r="Q2742">
        <v>0</v>
      </c>
      <c r="S2742">
        <v>0</v>
      </c>
      <c r="T2742">
        <v>0</v>
      </c>
      <c r="U2742">
        <v>0</v>
      </c>
      <c r="W2742" t="s">
        <v>52</v>
      </c>
    </row>
    <row r="2743" spans="1:23" x14ac:dyDescent="0.35">
      <c r="A2743" t="s">
        <v>45</v>
      </c>
      <c r="B2743" t="s">
        <v>5580</v>
      </c>
      <c r="C2743" t="s">
        <v>60</v>
      </c>
      <c r="D2743" t="s">
        <v>61</v>
      </c>
      <c r="E2743" t="s">
        <v>61</v>
      </c>
      <c r="F2743" t="s">
        <v>49</v>
      </c>
      <c r="G2743" t="s">
        <v>5604</v>
      </c>
      <c r="H2743" t="s">
        <v>5605</v>
      </c>
      <c r="J2743" t="str">
        <f>HYPERLINK("https://www.facebook.com/634639855377280/posts/781371484037449?comment_id=397944306139967","https://www.facebook.com/634639855377280/posts/781371484037449?comment_id=397944306139967")</f>
        <v>https://www.facebook.com/634639855377280/posts/781371484037449?comment_id=397944306139967</v>
      </c>
      <c r="O2743">
        <v>0</v>
      </c>
      <c r="P2743">
        <v>0</v>
      </c>
      <c r="Q2743">
        <v>0</v>
      </c>
      <c r="S2743">
        <v>0</v>
      </c>
      <c r="T2743">
        <v>0</v>
      </c>
      <c r="U2743">
        <v>0</v>
      </c>
      <c r="W2743" t="s">
        <v>52</v>
      </c>
    </row>
    <row r="2744" spans="1:23" x14ac:dyDescent="0.35">
      <c r="A2744" t="s">
        <v>45</v>
      </c>
      <c r="B2744" t="s">
        <v>5580</v>
      </c>
      <c r="C2744" t="s">
        <v>60</v>
      </c>
      <c r="D2744" t="s">
        <v>64</v>
      </c>
      <c r="E2744" t="s">
        <v>64</v>
      </c>
      <c r="F2744" t="s">
        <v>49</v>
      </c>
      <c r="G2744" t="s">
        <v>5606</v>
      </c>
      <c r="H2744" t="s">
        <v>5607</v>
      </c>
      <c r="J2744" t="str">
        <f>HYPERLINK("https://www.facebook.com/634639855377280/posts/781371484037449","https://www.facebook.com/634639855377280/posts/781371484037449")</f>
        <v>https://www.facebook.com/634639855377280/posts/781371484037449</v>
      </c>
      <c r="O2744">
        <v>0</v>
      </c>
      <c r="P2744">
        <v>0</v>
      </c>
      <c r="Q2744">
        <v>0</v>
      </c>
      <c r="S2744">
        <v>8</v>
      </c>
      <c r="T2744">
        <v>57</v>
      </c>
      <c r="U2744">
        <v>3</v>
      </c>
      <c r="W2744" t="s">
        <v>346</v>
      </c>
    </row>
    <row r="2745" spans="1:23" x14ac:dyDescent="0.35">
      <c r="A2745" t="s">
        <v>45</v>
      </c>
      <c r="B2745" t="s">
        <v>5580</v>
      </c>
      <c r="C2745" t="s">
        <v>47</v>
      </c>
      <c r="D2745" t="s">
        <v>5608</v>
      </c>
      <c r="E2745" t="s">
        <v>5608</v>
      </c>
      <c r="F2745" t="s">
        <v>193</v>
      </c>
      <c r="G2745" t="s">
        <v>5609</v>
      </c>
      <c r="H2745" t="s">
        <v>5610</v>
      </c>
      <c r="J2745" t="str">
        <f>HYPERLINK("https://www.youtube.com/watch?v=oXr4IMrnmh4&amp;lc=UgxR2NYjaLPZ5-tX3PN4AaABAg","https://www.youtube.com/watch?v=oXr4IMrnmh4&amp;lc=UgxR2NYjaLPZ5-tX3PN4AaABAg")</f>
        <v>https://www.youtube.com/watch?v=oXr4IMrnmh4&amp;lc=UgxR2NYjaLPZ5-tX3PN4AaABAg</v>
      </c>
      <c r="O2745">
        <v>0</v>
      </c>
      <c r="P2745">
        <v>0</v>
      </c>
      <c r="Q2745">
        <v>0</v>
      </c>
      <c r="S2745">
        <v>0</v>
      </c>
      <c r="T2745">
        <v>0</v>
      </c>
      <c r="U2745">
        <v>0</v>
      </c>
      <c r="W2745" t="s">
        <v>52</v>
      </c>
    </row>
    <row r="2746" spans="1:23" x14ac:dyDescent="0.35">
      <c r="A2746" t="s">
        <v>45</v>
      </c>
      <c r="B2746" t="s">
        <v>5580</v>
      </c>
      <c r="C2746" t="s">
        <v>47</v>
      </c>
      <c r="D2746" t="s">
        <v>4031</v>
      </c>
      <c r="E2746" t="s">
        <v>4031</v>
      </c>
      <c r="F2746" t="s">
        <v>54</v>
      </c>
      <c r="G2746" t="s">
        <v>4034</v>
      </c>
      <c r="H2746" t="s">
        <v>5611</v>
      </c>
      <c r="J2746" t="str">
        <f>HYPERLINK("https://www.youtube.com/watch?v=ThXQf6FaaYw&amp;lc=Ugwbo-8rqT_Lz8MDoUV4AaABAg","https://www.youtube.com/watch?v=ThXQf6FaaYw&amp;lc=Ugwbo-8rqT_Lz8MDoUV4AaABAg")</f>
        <v>https://www.youtube.com/watch?v=ThXQf6FaaYw&amp;lc=Ugwbo-8rqT_Lz8MDoUV4AaABAg</v>
      </c>
      <c r="O2746">
        <v>0</v>
      </c>
      <c r="P2746">
        <v>0</v>
      </c>
      <c r="Q2746">
        <v>0</v>
      </c>
      <c r="S2746">
        <v>0</v>
      </c>
      <c r="T2746">
        <v>0</v>
      </c>
      <c r="U2746">
        <v>0</v>
      </c>
      <c r="W2746" t="s">
        <v>52</v>
      </c>
    </row>
    <row r="2747" spans="1:23" x14ac:dyDescent="0.35">
      <c r="A2747" t="s">
        <v>45</v>
      </c>
      <c r="B2747" t="s">
        <v>5580</v>
      </c>
      <c r="C2747" t="s">
        <v>93</v>
      </c>
      <c r="D2747" t="s">
        <v>5612</v>
      </c>
      <c r="E2747" t="s">
        <v>5613</v>
      </c>
      <c r="F2747" t="s">
        <v>193</v>
      </c>
      <c r="G2747" t="s">
        <v>5614</v>
      </c>
      <c r="H2747" t="s">
        <v>5615</v>
      </c>
      <c r="J2747" t="str">
        <f>HYPERLINK("https://twitter.com/DSvairawa/status/1751898209373519975","https://twitter.com/DSvairawa/status/1751898209373519975")</f>
        <v>https://twitter.com/DSvairawa/status/1751898209373519975</v>
      </c>
      <c r="K2747" t="s">
        <v>67</v>
      </c>
      <c r="O2747">
        <v>0</v>
      </c>
      <c r="P2747">
        <v>0</v>
      </c>
      <c r="Q2747">
        <v>11</v>
      </c>
      <c r="R2747" t="s">
        <v>647</v>
      </c>
      <c r="S2747">
        <v>0</v>
      </c>
      <c r="T2747">
        <v>0</v>
      </c>
      <c r="U2747">
        <v>0</v>
      </c>
      <c r="W2747" t="s">
        <v>99</v>
      </c>
    </row>
    <row r="2748" spans="1:23" x14ac:dyDescent="0.35">
      <c r="A2748" t="s">
        <v>45</v>
      </c>
      <c r="B2748" t="s">
        <v>5580</v>
      </c>
      <c r="C2748" t="s">
        <v>93</v>
      </c>
      <c r="D2748" t="s">
        <v>5616</v>
      </c>
      <c r="E2748" t="s">
        <v>5617</v>
      </c>
      <c r="F2748" t="s">
        <v>49</v>
      </c>
      <c r="G2748" t="s">
        <v>5618</v>
      </c>
      <c r="H2748" t="s">
        <v>5619</v>
      </c>
      <c r="J2748" t="str">
        <f>HYPERLINK("https://twitter.com/gabru_aksar/status/1751888664949665827","https://twitter.com/gabru_aksar/status/1751888664949665827")</f>
        <v>https://twitter.com/gabru_aksar/status/1751888664949665827</v>
      </c>
      <c r="K2748" t="s">
        <v>67</v>
      </c>
      <c r="O2748">
        <v>0</v>
      </c>
      <c r="P2748">
        <v>0</v>
      </c>
      <c r="Q2748">
        <v>17</v>
      </c>
      <c r="R2748" t="s">
        <v>5484</v>
      </c>
      <c r="S2748">
        <v>0</v>
      </c>
      <c r="T2748">
        <v>0</v>
      </c>
      <c r="U2748">
        <v>0</v>
      </c>
      <c r="W2748" t="s">
        <v>433</v>
      </c>
    </row>
    <row r="2749" spans="1:23" x14ac:dyDescent="0.35">
      <c r="A2749" t="s">
        <v>45</v>
      </c>
      <c r="B2749" t="s">
        <v>5580</v>
      </c>
      <c r="C2749" t="s">
        <v>60</v>
      </c>
      <c r="D2749" t="s">
        <v>61</v>
      </c>
      <c r="E2749" t="s">
        <v>61</v>
      </c>
      <c r="F2749" t="s">
        <v>193</v>
      </c>
      <c r="G2749" t="s">
        <v>5620</v>
      </c>
      <c r="H2749" t="s">
        <v>5621</v>
      </c>
      <c r="J2749" t="str">
        <f>HYPERLINK("https://www.facebook.com/634639855377280/posts/780650374109560?comment_id=1539616663484048","https://www.facebook.com/634639855377280/posts/780650374109560?comment_id=1539616663484048")</f>
        <v>https://www.facebook.com/634639855377280/posts/780650374109560?comment_id=1539616663484048</v>
      </c>
      <c r="O2749">
        <v>0</v>
      </c>
      <c r="P2749">
        <v>0</v>
      </c>
      <c r="Q2749">
        <v>0</v>
      </c>
      <c r="S2749">
        <v>0</v>
      </c>
      <c r="T2749">
        <v>0</v>
      </c>
      <c r="U2749">
        <v>0</v>
      </c>
      <c r="W2749" t="s">
        <v>52</v>
      </c>
    </row>
    <row r="2750" spans="1:23" x14ac:dyDescent="0.35">
      <c r="A2750" t="s">
        <v>45</v>
      </c>
      <c r="B2750" t="s">
        <v>5580</v>
      </c>
      <c r="C2750" t="s">
        <v>93</v>
      </c>
      <c r="D2750" t="s">
        <v>5622</v>
      </c>
      <c r="E2750" t="s">
        <v>5623</v>
      </c>
      <c r="F2750" t="s">
        <v>193</v>
      </c>
      <c r="G2750" t="s">
        <v>5624</v>
      </c>
      <c r="H2750" t="s">
        <v>5625</v>
      </c>
      <c r="J2750" t="str">
        <f>HYPERLINK("https://twitter.com/Haji_9023/status/1751862985965154588","https://twitter.com/Haji_9023/status/1751862985965154588")</f>
        <v>https://twitter.com/Haji_9023/status/1751862985965154588</v>
      </c>
      <c r="K2750" t="s">
        <v>67</v>
      </c>
      <c r="O2750">
        <v>0</v>
      </c>
      <c r="P2750">
        <v>0</v>
      </c>
      <c r="Q2750">
        <v>23</v>
      </c>
      <c r="R2750" t="s">
        <v>513</v>
      </c>
      <c r="S2750">
        <v>0</v>
      </c>
      <c r="T2750">
        <v>0</v>
      </c>
      <c r="U2750">
        <v>0</v>
      </c>
      <c r="W2750" t="s">
        <v>99</v>
      </c>
    </row>
    <row r="2751" spans="1:23" x14ac:dyDescent="0.35">
      <c r="A2751" t="s">
        <v>45</v>
      </c>
      <c r="B2751" t="s">
        <v>5580</v>
      </c>
      <c r="C2751" t="s">
        <v>47</v>
      </c>
      <c r="D2751" t="s">
        <v>3335</v>
      </c>
      <c r="E2751" t="s">
        <v>3335</v>
      </c>
      <c r="F2751" t="s">
        <v>49</v>
      </c>
      <c r="G2751" t="s">
        <v>5626</v>
      </c>
      <c r="H2751" t="s">
        <v>5627</v>
      </c>
      <c r="J2751" t="str">
        <f>HYPERLINK("https://www.youtube.com/watch?v=k4Jk2Nl60tE&amp;lc=UgwR47TCUhRNaO3inel4AaABAg","https://www.youtube.com/watch?v=k4Jk2Nl60tE&amp;lc=UgwR47TCUhRNaO3inel4AaABAg")</f>
        <v>https://www.youtube.com/watch?v=k4Jk2Nl60tE&amp;lc=UgwR47TCUhRNaO3inel4AaABAg</v>
      </c>
      <c r="O2751">
        <v>0</v>
      </c>
      <c r="P2751">
        <v>0</v>
      </c>
      <c r="Q2751">
        <v>0</v>
      </c>
      <c r="S2751">
        <v>0</v>
      </c>
      <c r="T2751">
        <v>0</v>
      </c>
      <c r="U2751">
        <v>0</v>
      </c>
      <c r="W2751" t="s">
        <v>52</v>
      </c>
    </row>
    <row r="2752" spans="1:23" x14ac:dyDescent="0.35">
      <c r="A2752" t="s">
        <v>45</v>
      </c>
      <c r="B2752" t="s">
        <v>5580</v>
      </c>
      <c r="C2752" t="s">
        <v>47</v>
      </c>
      <c r="D2752" t="s">
        <v>3335</v>
      </c>
      <c r="E2752" t="s">
        <v>3335</v>
      </c>
      <c r="F2752" t="s">
        <v>49</v>
      </c>
      <c r="G2752" t="s">
        <v>5626</v>
      </c>
      <c r="H2752" t="s">
        <v>5628</v>
      </c>
      <c r="J2752" t="str">
        <f>HYPERLINK("https://www.youtube.com/watch?v=ySy-ogKu0Pk&amp;lc=Ugx9mE9NX4OsUyZh-KB4AaABAg","https://www.youtube.com/watch?v=ySy-ogKu0Pk&amp;lc=Ugx9mE9NX4OsUyZh-KB4AaABAg")</f>
        <v>https://www.youtube.com/watch?v=ySy-ogKu0Pk&amp;lc=Ugx9mE9NX4OsUyZh-KB4AaABAg</v>
      </c>
      <c r="O2752">
        <v>0</v>
      </c>
      <c r="P2752">
        <v>0</v>
      </c>
      <c r="Q2752">
        <v>0</v>
      </c>
      <c r="S2752">
        <v>0</v>
      </c>
      <c r="T2752">
        <v>0</v>
      </c>
      <c r="U2752">
        <v>0</v>
      </c>
      <c r="W2752" t="s">
        <v>52</v>
      </c>
    </row>
    <row r="2753" spans="1:23" x14ac:dyDescent="0.35">
      <c r="A2753" t="s">
        <v>45</v>
      </c>
      <c r="B2753" t="s">
        <v>5580</v>
      </c>
      <c r="C2753" t="s">
        <v>47</v>
      </c>
      <c r="D2753" t="s">
        <v>3335</v>
      </c>
      <c r="E2753" t="s">
        <v>3335</v>
      </c>
      <c r="F2753" t="s">
        <v>49</v>
      </c>
      <c r="G2753" t="s">
        <v>5626</v>
      </c>
      <c r="H2753" t="s">
        <v>5629</v>
      </c>
      <c r="J2753" t="str">
        <f>HYPERLINK("https://www.youtube.com/watch?v=IHWzT2TNYKQ&amp;lc=UgwZpH0iLZlw7JHvz314AaABAg","https://www.youtube.com/watch?v=IHWzT2TNYKQ&amp;lc=UgwZpH0iLZlw7JHvz314AaABAg")</f>
        <v>https://www.youtube.com/watch?v=IHWzT2TNYKQ&amp;lc=UgwZpH0iLZlw7JHvz314AaABAg</v>
      </c>
      <c r="O2753">
        <v>0</v>
      </c>
      <c r="P2753">
        <v>0</v>
      </c>
      <c r="Q2753">
        <v>0</v>
      </c>
      <c r="S2753">
        <v>0</v>
      </c>
      <c r="T2753">
        <v>0</v>
      </c>
      <c r="U2753">
        <v>0</v>
      </c>
      <c r="W2753" t="s">
        <v>52</v>
      </c>
    </row>
    <row r="2754" spans="1:23" x14ac:dyDescent="0.35">
      <c r="A2754" t="s">
        <v>45</v>
      </c>
      <c r="B2754" t="s">
        <v>5580</v>
      </c>
      <c r="C2754" t="s">
        <v>93</v>
      </c>
      <c r="D2754" t="s">
        <v>5630</v>
      </c>
      <c r="E2754" t="s">
        <v>5631</v>
      </c>
      <c r="F2754" t="s">
        <v>193</v>
      </c>
      <c r="G2754" t="s">
        <v>5632</v>
      </c>
      <c r="H2754" t="s">
        <v>5633</v>
      </c>
      <c r="J2754" t="str">
        <f>HYPERLINK("https://twitter.com/Manjindersin911/status/1751848586336452981","https://twitter.com/Manjindersin911/status/1751848586336452981")</f>
        <v>https://twitter.com/Manjindersin911/status/1751848586336452981</v>
      </c>
      <c r="K2754" t="s">
        <v>67</v>
      </c>
      <c r="O2754">
        <v>0</v>
      </c>
      <c r="P2754">
        <v>0</v>
      </c>
      <c r="Q2754">
        <v>8</v>
      </c>
      <c r="S2754">
        <v>0</v>
      </c>
      <c r="T2754">
        <v>0</v>
      </c>
      <c r="U2754">
        <v>0</v>
      </c>
      <c r="W2754" t="s">
        <v>99</v>
      </c>
    </row>
    <row r="2755" spans="1:23" x14ac:dyDescent="0.35">
      <c r="A2755" t="s">
        <v>45</v>
      </c>
      <c r="B2755" t="s">
        <v>5580</v>
      </c>
      <c r="C2755" t="s">
        <v>47</v>
      </c>
      <c r="D2755" t="s">
        <v>5634</v>
      </c>
      <c r="E2755" t="s">
        <v>5634</v>
      </c>
      <c r="F2755" t="s">
        <v>49</v>
      </c>
      <c r="G2755" t="s">
        <v>5635</v>
      </c>
      <c r="H2755" t="s">
        <v>5636</v>
      </c>
      <c r="J2755" t="str">
        <f>HYPERLINK("https://www.youtube.com/watch?v=wDVpKG8jfSo&amp;lc=UgzxvKcqII4zJ2kk1qZ4AaABAg","https://www.youtube.com/watch?v=wDVpKG8jfSo&amp;lc=UgzxvKcqII4zJ2kk1qZ4AaABAg")</f>
        <v>https://www.youtube.com/watch?v=wDVpKG8jfSo&amp;lc=UgzxvKcqII4zJ2kk1qZ4AaABAg</v>
      </c>
      <c r="O2755">
        <v>0</v>
      </c>
      <c r="P2755">
        <v>0</v>
      </c>
      <c r="Q2755">
        <v>0</v>
      </c>
      <c r="S2755">
        <v>0</v>
      </c>
      <c r="T2755">
        <v>0</v>
      </c>
      <c r="U2755">
        <v>0</v>
      </c>
      <c r="W2755" t="s">
        <v>52</v>
      </c>
    </row>
    <row r="2756" spans="1:23" x14ac:dyDescent="0.35">
      <c r="A2756" t="s">
        <v>45</v>
      </c>
      <c r="B2756" t="s">
        <v>5580</v>
      </c>
      <c r="C2756" t="s">
        <v>93</v>
      </c>
      <c r="D2756" t="s">
        <v>5309</v>
      </c>
      <c r="E2756" t="s">
        <v>5310</v>
      </c>
      <c r="F2756" t="s">
        <v>49</v>
      </c>
      <c r="G2756" t="s">
        <v>5637</v>
      </c>
      <c r="H2756" t="s">
        <v>5638</v>
      </c>
      <c r="J2756" t="str">
        <f>HYPERLINK("https://twitter.com/Shahnawaz_1992/status/1751774290721263721","https://twitter.com/Shahnawaz_1992/status/1751774290721263721")</f>
        <v>https://twitter.com/Shahnawaz_1992/status/1751774290721263721</v>
      </c>
      <c r="K2756" t="s">
        <v>67</v>
      </c>
      <c r="O2756">
        <v>0</v>
      </c>
      <c r="P2756">
        <v>0</v>
      </c>
      <c r="Q2756">
        <v>16</v>
      </c>
      <c r="S2756">
        <v>0</v>
      </c>
      <c r="T2756">
        <v>0</v>
      </c>
      <c r="U2756">
        <v>0</v>
      </c>
      <c r="W2756" t="s">
        <v>99</v>
      </c>
    </row>
    <row r="2757" spans="1:23" x14ac:dyDescent="0.35">
      <c r="A2757" t="s">
        <v>45</v>
      </c>
      <c r="B2757" t="s">
        <v>5580</v>
      </c>
      <c r="C2757" t="s">
        <v>47</v>
      </c>
      <c r="D2757" t="s">
        <v>5564</v>
      </c>
      <c r="E2757" t="s">
        <v>5564</v>
      </c>
      <c r="F2757" t="s">
        <v>49</v>
      </c>
      <c r="G2757" t="s">
        <v>5639</v>
      </c>
      <c r="H2757" t="s">
        <v>5640</v>
      </c>
      <c r="J2757" t="str">
        <f>HYPERLINK("https://www.youtube.com/watch?v=ySy-ogKu0Pk&amp;lc=Ugy9Zd0RO-32R5PeHc94AaABAg","https://www.youtube.com/watch?v=ySy-ogKu0Pk&amp;lc=Ugy9Zd0RO-32R5PeHc94AaABAg")</f>
        <v>https://www.youtube.com/watch?v=ySy-ogKu0Pk&amp;lc=Ugy9Zd0RO-32R5PeHc94AaABAg</v>
      </c>
      <c r="O2757">
        <v>0</v>
      </c>
      <c r="P2757">
        <v>0</v>
      </c>
      <c r="Q2757">
        <v>0</v>
      </c>
      <c r="S2757">
        <v>0</v>
      </c>
      <c r="T2757">
        <v>0</v>
      </c>
      <c r="U2757">
        <v>0</v>
      </c>
      <c r="W2757" t="s">
        <v>52</v>
      </c>
    </row>
    <row r="2758" spans="1:23" x14ac:dyDescent="0.35">
      <c r="A2758" t="s">
        <v>45</v>
      </c>
      <c r="B2758" t="s">
        <v>5641</v>
      </c>
      <c r="C2758" t="s">
        <v>93</v>
      </c>
      <c r="D2758" t="s">
        <v>5480</v>
      </c>
      <c r="E2758" t="s">
        <v>5481</v>
      </c>
      <c r="F2758" t="s">
        <v>193</v>
      </c>
      <c r="G2758" t="s">
        <v>5642</v>
      </c>
      <c r="H2758" t="s">
        <v>5643</v>
      </c>
      <c r="J2758" t="str">
        <f>HYPERLINK("https://twitter.com/Debjyoti1/status/1751662628517331216","https://twitter.com/Debjyoti1/status/1751662628517331216")</f>
        <v>https://twitter.com/Debjyoti1/status/1751662628517331216</v>
      </c>
      <c r="K2758" t="s">
        <v>67</v>
      </c>
      <c r="O2758">
        <v>0</v>
      </c>
      <c r="P2758">
        <v>0</v>
      </c>
      <c r="Q2758">
        <v>1</v>
      </c>
      <c r="R2758" t="s">
        <v>5484</v>
      </c>
      <c r="S2758">
        <v>0</v>
      </c>
      <c r="T2758">
        <v>0</v>
      </c>
      <c r="U2758">
        <v>0</v>
      </c>
      <c r="W2758" t="s">
        <v>99</v>
      </c>
    </row>
    <row r="2759" spans="1:23" x14ac:dyDescent="0.35">
      <c r="A2759" t="s">
        <v>45</v>
      </c>
      <c r="B2759" t="s">
        <v>5641</v>
      </c>
      <c r="C2759" t="s">
        <v>47</v>
      </c>
      <c r="D2759" t="s">
        <v>1053</v>
      </c>
      <c r="E2759" t="s">
        <v>1053</v>
      </c>
      <c r="F2759" t="s">
        <v>49</v>
      </c>
      <c r="G2759" t="s">
        <v>5644</v>
      </c>
      <c r="H2759" t="s">
        <v>5645</v>
      </c>
      <c r="J2759" t="str">
        <f>HYPERLINK("https://www.youtube.com/watch?v=IHWzT2TNYKQ&amp;lc=UgymoQe5s24Ic3zSY2Z4AaABAg","https://www.youtube.com/watch?v=IHWzT2TNYKQ&amp;lc=UgymoQe5s24Ic3zSY2Z4AaABAg")</f>
        <v>https://www.youtube.com/watch?v=IHWzT2TNYKQ&amp;lc=UgymoQe5s24Ic3zSY2Z4AaABAg</v>
      </c>
      <c r="O2759">
        <v>0</v>
      </c>
      <c r="P2759">
        <v>0</v>
      </c>
      <c r="Q2759">
        <v>0</v>
      </c>
      <c r="S2759">
        <v>0</v>
      </c>
      <c r="T2759">
        <v>0</v>
      </c>
      <c r="U2759">
        <v>0</v>
      </c>
      <c r="W2759" t="s">
        <v>52</v>
      </c>
    </row>
    <row r="2760" spans="1:23" x14ac:dyDescent="0.35">
      <c r="A2760" t="s">
        <v>45</v>
      </c>
      <c r="B2760" t="s">
        <v>5641</v>
      </c>
      <c r="C2760" t="s">
        <v>47</v>
      </c>
      <c r="D2760" t="s">
        <v>5646</v>
      </c>
      <c r="E2760" t="s">
        <v>5646</v>
      </c>
      <c r="F2760" t="s">
        <v>49</v>
      </c>
      <c r="G2760" t="s">
        <v>5647</v>
      </c>
      <c r="H2760" t="s">
        <v>5648</v>
      </c>
      <c r="J2760" t="str">
        <f>HYPERLINK("https://www.youtube.com/watch?v=IHWzT2TNYKQ&amp;lc=UgziNF4zzYbc2GbNMst4AaABAg","https://www.youtube.com/watch?v=IHWzT2TNYKQ&amp;lc=UgziNF4zzYbc2GbNMst4AaABAg")</f>
        <v>https://www.youtube.com/watch?v=IHWzT2TNYKQ&amp;lc=UgziNF4zzYbc2GbNMst4AaABAg</v>
      </c>
      <c r="O2760">
        <v>0</v>
      </c>
      <c r="P2760">
        <v>0</v>
      </c>
      <c r="Q2760">
        <v>0</v>
      </c>
      <c r="S2760">
        <v>0</v>
      </c>
      <c r="T2760">
        <v>0</v>
      </c>
      <c r="U2760">
        <v>0</v>
      </c>
      <c r="W2760" t="s">
        <v>52</v>
      </c>
    </row>
    <row r="2761" spans="1:23" x14ac:dyDescent="0.35">
      <c r="A2761" t="s">
        <v>45</v>
      </c>
      <c r="B2761" t="s">
        <v>5641</v>
      </c>
      <c r="C2761" t="s">
        <v>47</v>
      </c>
      <c r="D2761" t="s">
        <v>205</v>
      </c>
      <c r="E2761" t="s">
        <v>205</v>
      </c>
      <c r="F2761" t="s">
        <v>49</v>
      </c>
      <c r="G2761" t="s">
        <v>5649</v>
      </c>
      <c r="H2761" t="s">
        <v>5650</v>
      </c>
      <c r="J2761" t="str">
        <f>HYPERLINK("https://www.youtube.com/watch?v=ySy-ogKu0Pk&amp;lc=Ugxe_CeDwSbtsJNxMhJ4AaABAg","https://www.youtube.com/watch?v=ySy-ogKu0Pk&amp;lc=Ugxe_CeDwSbtsJNxMhJ4AaABAg")</f>
        <v>https://www.youtube.com/watch?v=ySy-ogKu0Pk&amp;lc=Ugxe_CeDwSbtsJNxMhJ4AaABAg</v>
      </c>
      <c r="O2761">
        <v>0</v>
      </c>
      <c r="P2761">
        <v>0</v>
      </c>
      <c r="Q2761">
        <v>0</v>
      </c>
      <c r="S2761">
        <v>0</v>
      </c>
      <c r="T2761">
        <v>0</v>
      </c>
      <c r="U2761">
        <v>0</v>
      </c>
      <c r="W2761" t="s">
        <v>52</v>
      </c>
    </row>
    <row r="2762" spans="1:23" x14ac:dyDescent="0.35">
      <c r="A2762" t="s">
        <v>45</v>
      </c>
      <c r="B2762" t="s">
        <v>5641</v>
      </c>
      <c r="C2762" t="s">
        <v>47</v>
      </c>
      <c r="D2762" t="s">
        <v>205</v>
      </c>
      <c r="E2762" t="s">
        <v>205</v>
      </c>
      <c r="F2762" t="s">
        <v>49</v>
      </c>
      <c r="G2762" t="s">
        <v>5651</v>
      </c>
      <c r="H2762" t="s">
        <v>5652</v>
      </c>
      <c r="J2762" t="str">
        <f>HYPERLINK("https://www.youtube.com/watch?v=IHWzT2TNYKQ&amp;lc=UgxIQ-9Lmx-SmGA0qG94AaABAg","https://www.youtube.com/watch?v=IHWzT2TNYKQ&amp;lc=UgxIQ-9Lmx-SmGA0qG94AaABAg")</f>
        <v>https://www.youtube.com/watch?v=IHWzT2TNYKQ&amp;lc=UgxIQ-9Lmx-SmGA0qG94AaABAg</v>
      </c>
      <c r="O2762">
        <v>0</v>
      </c>
      <c r="P2762">
        <v>0</v>
      </c>
      <c r="Q2762">
        <v>0</v>
      </c>
      <c r="S2762">
        <v>0</v>
      </c>
      <c r="T2762">
        <v>0</v>
      </c>
      <c r="U2762">
        <v>0</v>
      </c>
      <c r="W2762" t="s">
        <v>52</v>
      </c>
    </row>
    <row r="2763" spans="1:23" x14ac:dyDescent="0.35">
      <c r="A2763" t="s">
        <v>45</v>
      </c>
      <c r="B2763" t="s">
        <v>5641</v>
      </c>
      <c r="C2763" t="s">
        <v>60</v>
      </c>
      <c r="D2763" t="s">
        <v>61</v>
      </c>
      <c r="E2763" t="s">
        <v>61</v>
      </c>
      <c r="F2763" t="s">
        <v>49</v>
      </c>
      <c r="G2763" t="s">
        <v>5653</v>
      </c>
      <c r="H2763" t="s">
        <v>5654</v>
      </c>
      <c r="J2763" t="str">
        <f>HYPERLINK("https://www.facebook.com/634639855377280/posts/780650374109560?comment_id=973677400778896&amp;reply_comment_id=818247743400168","https://www.facebook.com/634639855377280/posts/780650374109560?comment_id=973677400778896&amp;reply_comment_id=818247743400168")</f>
        <v>https://www.facebook.com/634639855377280/posts/780650374109560?comment_id=973677400778896&amp;reply_comment_id=818247743400168</v>
      </c>
      <c r="O2763">
        <v>0</v>
      </c>
      <c r="P2763">
        <v>0</v>
      </c>
      <c r="Q2763">
        <v>0</v>
      </c>
      <c r="S2763">
        <v>0</v>
      </c>
      <c r="T2763">
        <v>0</v>
      </c>
      <c r="U2763">
        <v>0</v>
      </c>
      <c r="W2763" t="s">
        <v>52</v>
      </c>
    </row>
    <row r="2764" spans="1:23" x14ac:dyDescent="0.35">
      <c r="A2764" t="s">
        <v>45</v>
      </c>
      <c r="B2764" t="s">
        <v>5641</v>
      </c>
      <c r="C2764" t="s">
        <v>60</v>
      </c>
      <c r="D2764" t="s">
        <v>61</v>
      </c>
      <c r="E2764" t="s">
        <v>61</v>
      </c>
      <c r="F2764" t="s">
        <v>49</v>
      </c>
      <c r="G2764" t="s">
        <v>5655</v>
      </c>
      <c r="H2764" t="s">
        <v>5656</v>
      </c>
      <c r="J2764" t="str">
        <f>HYPERLINK("https://www.facebook.com/634639855377280/posts/780650374109560?comment_id=973677400778896","https://www.facebook.com/634639855377280/posts/780650374109560?comment_id=973677400778896")</f>
        <v>https://www.facebook.com/634639855377280/posts/780650374109560?comment_id=973677400778896</v>
      </c>
      <c r="O2764">
        <v>0</v>
      </c>
      <c r="P2764">
        <v>0</v>
      </c>
      <c r="Q2764">
        <v>0</v>
      </c>
      <c r="S2764">
        <v>0</v>
      </c>
      <c r="T2764">
        <v>0</v>
      </c>
      <c r="U2764">
        <v>0</v>
      </c>
      <c r="W2764" t="s">
        <v>52</v>
      </c>
    </row>
    <row r="2765" spans="1:23" x14ac:dyDescent="0.35">
      <c r="A2765" t="s">
        <v>45</v>
      </c>
      <c r="B2765" t="s">
        <v>5641</v>
      </c>
      <c r="C2765" t="s">
        <v>60</v>
      </c>
      <c r="D2765" t="s">
        <v>61</v>
      </c>
      <c r="E2765" t="s">
        <v>61</v>
      </c>
      <c r="F2765" t="s">
        <v>54</v>
      </c>
      <c r="G2765" t="s">
        <v>5657</v>
      </c>
      <c r="H2765" t="s">
        <v>5658</v>
      </c>
      <c r="J2765" t="str">
        <f>HYPERLINK("https://www.facebook.com/634639855377280/posts/780650374109560?comment_id=704720168462273","https://www.facebook.com/634639855377280/posts/780650374109560?comment_id=704720168462273")</f>
        <v>https://www.facebook.com/634639855377280/posts/780650374109560?comment_id=704720168462273</v>
      </c>
      <c r="O2765">
        <v>0</v>
      </c>
      <c r="P2765">
        <v>0</v>
      </c>
      <c r="Q2765">
        <v>0</v>
      </c>
      <c r="S2765">
        <v>0</v>
      </c>
      <c r="T2765">
        <v>0</v>
      </c>
      <c r="U2765">
        <v>0</v>
      </c>
      <c r="W2765" t="s">
        <v>52</v>
      </c>
    </row>
    <row r="2766" spans="1:23" x14ac:dyDescent="0.35">
      <c r="A2766" t="s">
        <v>45</v>
      </c>
      <c r="B2766" t="s">
        <v>5641</v>
      </c>
      <c r="C2766" t="s">
        <v>60</v>
      </c>
      <c r="D2766" t="s">
        <v>61</v>
      </c>
      <c r="E2766" t="s">
        <v>61</v>
      </c>
      <c r="F2766" t="s">
        <v>49</v>
      </c>
      <c r="G2766" t="s">
        <v>5659</v>
      </c>
      <c r="H2766" t="s">
        <v>5660</v>
      </c>
      <c r="J2766" t="str">
        <f>HYPERLINK("https://www.facebook.com/634639855377280/posts/780067474167850?comment_id=708303131490137","https://www.facebook.com/634639855377280/posts/780067474167850?comment_id=708303131490137")</f>
        <v>https://www.facebook.com/634639855377280/posts/780067474167850?comment_id=708303131490137</v>
      </c>
      <c r="O2766">
        <v>0</v>
      </c>
      <c r="P2766">
        <v>0</v>
      </c>
      <c r="Q2766">
        <v>0</v>
      </c>
      <c r="S2766">
        <v>0</v>
      </c>
      <c r="T2766">
        <v>0</v>
      </c>
      <c r="U2766">
        <v>0</v>
      </c>
      <c r="W2766" t="s">
        <v>52</v>
      </c>
    </row>
    <row r="2767" spans="1:23" x14ac:dyDescent="0.35">
      <c r="A2767" t="s">
        <v>45</v>
      </c>
      <c r="B2767" t="s">
        <v>5641</v>
      </c>
      <c r="C2767" t="s">
        <v>60</v>
      </c>
      <c r="D2767" t="s">
        <v>61</v>
      </c>
      <c r="E2767" t="s">
        <v>61</v>
      </c>
      <c r="F2767" t="s">
        <v>49</v>
      </c>
      <c r="G2767" t="s">
        <v>5661</v>
      </c>
      <c r="H2767" t="s">
        <v>5662</v>
      </c>
      <c r="J2767" t="str">
        <f>HYPERLINK("https://www.facebook.com/634639855377280/posts/780067474167850?comment_id=390764633642504&amp;reply_comment_id=917831983280619","https://www.facebook.com/634639855377280/posts/780067474167850?comment_id=390764633642504&amp;reply_comment_id=917831983280619")</f>
        <v>https://www.facebook.com/634639855377280/posts/780067474167850?comment_id=390764633642504&amp;reply_comment_id=917831983280619</v>
      </c>
      <c r="O2767">
        <v>0</v>
      </c>
      <c r="P2767">
        <v>0</v>
      </c>
      <c r="Q2767">
        <v>0</v>
      </c>
      <c r="S2767">
        <v>0</v>
      </c>
      <c r="T2767">
        <v>0</v>
      </c>
      <c r="U2767">
        <v>0</v>
      </c>
      <c r="W2767" t="s">
        <v>52</v>
      </c>
    </row>
    <row r="2768" spans="1:23" x14ac:dyDescent="0.35">
      <c r="A2768" t="s">
        <v>45</v>
      </c>
      <c r="B2768" t="s">
        <v>5641</v>
      </c>
      <c r="C2768" t="s">
        <v>60</v>
      </c>
      <c r="D2768" t="s">
        <v>61</v>
      </c>
      <c r="E2768" t="s">
        <v>61</v>
      </c>
      <c r="F2768" t="s">
        <v>49</v>
      </c>
      <c r="G2768" t="s">
        <v>5663</v>
      </c>
      <c r="H2768" t="s">
        <v>5664</v>
      </c>
      <c r="J2768" t="str">
        <f>HYPERLINK("https://www.facebook.com/634639855377280/posts/780650374109560?comment_id=1126990615140661","https://www.facebook.com/634639855377280/posts/780650374109560?comment_id=1126990615140661")</f>
        <v>https://www.facebook.com/634639855377280/posts/780650374109560?comment_id=1126990615140661</v>
      </c>
      <c r="O2768">
        <v>0</v>
      </c>
      <c r="P2768">
        <v>0</v>
      </c>
      <c r="Q2768">
        <v>0</v>
      </c>
      <c r="S2768">
        <v>0</v>
      </c>
      <c r="T2768">
        <v>0</v>
      </c>
      <c r="U2768">
        <v>0</v>
      </c>
      <c r="W2768" t="s">
        <v>52</v>
      </c>
    </row>
    <row r="2769" spans="1:23" x14ac:dyDescent="0.35">
      <c r="A2769" t="s">
        <v>45</v>
      </c>
      <c r="B2769" t="s">
        <v>5641</v>
      </c>
      <c r="C2769" t="s">
        <v>60</v>
      </c>
      <c r="D2769" t="s">
        <v>61</v>
      </c>
      <c r="E2769" t="s">
        <v>61</v>
      </c>
      <c r="F2769" t="s">
        <v>49</v>
      </c>
      <c r="G2769" t="s">
        <v>5665</v>
      </c>
      <c r="H2769" t="s">
        <v>5666</v>
      </c>
      <c r="J2769" t="str">
        <f>HYPERLINK("https://www.facebook.com/634639855377280/posts/780067474167850?comment_id=1472337736713935&amp;reply_comment_id=283152347808933","https://www.facebook.com/634639855377280/posts/780067474167850?comment_id=1472337736713935&amp;reply_comment_id=283152347808933")</f>
        <v>https://www.facebook.com/634639855377280/posts/780067474167850?comment_id=1472337736713935&amp;reply_comment_id=283152347808933</v>
      </c>
      <c r="O2769">
        <v>0</v>
      </c>
      <c r="P2769">
        <v>0</v>
      </c>
      <c r="Q2769">
        <v>0</v>
      </c>
      <c r="S2769">
        <v>0</v>
      </c>
      <c r="T2769">
        <v>0</v>
      </c>
      <c r="U2769">
        <v>0</v>
      </c>
      <c r="W2769" t="s">
        <v>52</v>
      </c>
    </row>
    <row r="2770" spans="1:23" x14ac:dyDescent="0.35">
      <c r="A2770" t="s">
        <v>45</v>
      </c>
      <c r="B2770" t="s">
        <v>5641</v>
      </c>
      <c r="C2770" t="s">
        <v>60</v>
      </c>
      <c r="D2770" t="s">
        <v>61</v>
      </c>
      <c r="E2770" t="s">
        <v>61</v>
      </c>
      <c r="F2770" t="s">
        <v>49</v>
      </c>
      <c r="G2770" t="s">
        <v>5667</v>
      </c>
      <c r="H2770" t="s">
        <v>5668</v>
      </c>
      <c r="J2770" t="str">
        <f>HYPERLINK("https://www.facebook.com/634639855377280/posts/780067474167850?comment_id=360630836603287","https://www.facebook.com/634639855377280/posts/780067474167850?comment_id=360630836603287")</f>
        <v>https://www.facebook.com/634639855377280/posts/780067474167850?comment_id=360630836603287</v>
      </c>
      <c r="O2770">
        <v>0</v>
      </c>
      <c r="P2770">
        <v>0</v>
      </c>
      <c r="Q2770">
        <v>0</v>
      </c>
      <c r="S2770">
        <v>0</v>
      </c>
      <c r="T2770">
        <v>0</v>
      </c>
      <c r="U2770">
        <v>0</v>
      </c>
      <c r="W2770" t="s">
        <v>52</v>
      </c>
    </row>
    <row r="2771" spans="1:23" x14ac:dyDescent="0.35">
      <c r="A2771" t="s">
        <v>45</v>
      </c>
      <c r="B2771" t="s">
        <v>5641</v>
      </c>
      <c r="C2771" t="s">
        <v>93</v>
      </c>
      <c r="D2771" t="s">
        <v>5630</v>
      </c>
      <c r="E2771" t="s">
        <v>5631</v>
      </c>
      <c r="F2771" t="s">
        <v>49</v>
      </c>
      <c r="G2771" t="s">
        <v>5669</v>
      </c>
      <c r="H2771" t="s">
        <v>5670</v>
      </c>
      <c r="J2771" t="str">
        <f>HYPERLINK("https://twitter.com/Manjindersin911/status/1751588487818866709","https://twitter.com/Manjindersin911/status/1751588487818866709")</f>
        <v>https://twitter.com/Manjindersin911/status/1751588487818866709</v>
      </c>
      <c r="K2771" t="s">
        <v>67</v>
      </c>
      <c r="O2771">
        <v>0</v>
      </c>
      <c r="P2771">
        <v>0</v>
      </c>
      <c r="Q2771">
        <v>8</v>
      </c>
      <c r="S2771">
        <v>0</v>
      </c>
      <c r="T2771">
        <v>0</v>
      </c>
      <c r="U2771">
        <v>0</v>
      </c>
      <c r="W2771" t="s">
        <v>99</v>
      </c>
    </row>
    <row r="2772" spans="1:23" x14ac:dyDescent="0.35">
      <c r="A2772" t="s">
        <v>45</v>
      </c>
      <c r="B2772" t="s">
        <v>5641</v>
      </c>
      <c r="C2772" t="s">
        <v>60</v>
      </c>
      <c r="D2772" t="s">
        <v>64</v>
      </c>
      <c r="E2772" t="s">
        <v>64</v>
      </c>
      <c r="F2772" t="s">
        <v>49</v>
      </c>
      <c r="G2772" t="s">
        <v>3773</v>
      </c>
      <c r="H2772" t="s">
        <v>5671</v>
      </c>
      <c r="J2772" t="str">
        <f>HYPERLINK("https://www.facebook.com/634639855377280/posts/780650374109560?comment_id=398437615877394&amp;reply_comment_id=1420189355593003","https://www.facebook.com/634639855377280/posts/780650374109560?comment_id=398437615877394&amp;reply_comment_id=1420189355593003")</f>
        <v>https://www.facebook.com/634639855377280/posts/780650374109560?comment_id=398437615877394&amp;reply_comment_id=1420189355593003</v>
      </c>
      <c r="K2772" t="s">
        <v>67</v>
      </c>
      <c r="O2772">
        <v>0</v>
      </c>
      <c r="P2772">
        <v>0</v>
      </c>
      <c r="Q2772">
        <v>0</v>
      </c>
      <c r="S2772">
        <v>0</v>
      </c>
      <c r="T2772">
        <v>0</v>
      </c>
      <c r="U2772">
        <v>0</v>
      </c>
      <c r="W2772" t="s">
        <v>52</v>
      </c>
    </row>
    <row r="2773" spans="1:23" x14ac:dyDescent="0.35">
      <c r="A2773" t="s">
        <v>45</v>
      </c>
      <c r="B2773" t="s">
        <v>5641</v>
      </c>
      <c r="C2773" t="s">
        <v>93</v>
      </c>
      <c r="D2773" t="s">
        <v>94</v>
      </c>
      <c r="E2773" t="s">
        <v>45</v>
      </c>
      <c r="F2773" t="s">
        <v>49</v>
      </c>
      <c r="G2773" t="s">
        <v>5672</v>
      </c>
      <c r="H2773" t="s">
        <v>5673</v>
      </c>
      <c r="J2773" t="str">
        <f>HYPERLINK("https://twitter.com/SpiceMoneyIndia/status/1751587058840191333","https://twitter.com/SpiceMoneyIndia/status/1751587058840191333")</f>
        <v>https://twitter.com/SpiceMoneyIndia/status/1751587058840191333</v>
      </c>
      <c r="K2773" t="s">
        <v>67</v>
      </c>
      <c r="O2773">
        <v>0</v>
      </c>
      <c r="P2773">
        <v>0</v>
      </c>
      <c r="Q2773">
        <v>6011</v>
      </c>
      <c r="R2773" t="s">
        <v>97</v>
      </c>
      <c r="S2773">
        <v>0</v>
      </c>
      <c r="T2773">
        <v>0</v>
      </c>
      <c r="U2773">
        <v>0</v>
      </c>
      <c r="V2773" t="s">
        <v>98</v>
      </c>
      <c r="W2773" t="s">
        <v>99</v>
      </c>
    </row>
    <row r="2774" spans="1:23" x14ac:dyDescent="0.35">
      <c r="A2774" t="s">
        <v>45</v>
      </c>
      <c r="B2774" t="s">
        <v>5641</v>
      </c>
      <c r="C2774" t="s">
        <v>60</v>
      </c>
      <c r="D2774" t="s">
        <v>64</v>
      </c>
      <c r="E2774" t="s">
        <v>64</v>
      </c>
      <c r="F2774" t="s">
        <v>49</v>
      </c>
      <c r="G2774" t="s">
        <v>1011</v>
      </c>
      <c r="H2774" t="s">
        <v>5674</v>
      </c>
      <c r="J2774" t="str">
        <f>HYPERLINK("https://www.facebook.com/634639855377280/posts/780067474167850?comment_id=1155072065651247&amp;reply_comment_id=1139361467427791","https://www.facebook.com/634639855377280/posts/780067474167850?comment_id=1155072065651247&amp;reply_comment_id=1139361467427791")</f>
        <v>https://www.facebook.com/634639855377280/posts/780067474167850?comment_id=1155072065651247&amp;reply_comment_id=1139361467427791</v>
      </c>
      <c r="K2774" t="s">
        <v>67</v>
      </c>
      <c r="O2774">
        <v>0</v>
      </c>
      <c r="P2774">
        <v>0</v>
      </c>
      <c r="Q2774">
        <v>0</v>
      </c>
      <c r="S2774">
        <v>0</v>
      </c>
      <c r="T2774">
        <v>0</v>
      </c>
      <c r="U2774">
        <v>0</v>
      </c>
      <c r="W2774" t="s">
        <v>52</v>
      </c>
    </row>
    <row r="2775" spans="1:23" x14ac:dyDescent="0.35">
      <c r="A2775" t="s">
        <v>45</v>
      </c>
      <c r="B2775" t="s">
        <v>5641</v>
      </c>
      <c r="C2775" t="s">
        <v>60</v>
      </c>
      <c r="D2775" t="s">
        <v>64</v>
      </c>
      <c r="E2775" t="s">
        <v>64</v>
      </c>
      <c r="F2775" t="s">
        <v>49</v>
      </c>
      <c r="G2775" t="s">
        <v>3773</v>
      </c>
      <c r="H2775" t="s">
        <v>5675</v>
      </c>
      <c r="J2775" t="str">
        <f>HYPERLINK("https://www.facebook.com/634639855377280/posts/780067474167850?comment_id=1074802533475579&amp;reply_comment_id=1798639170637044","https://www.facebook.com/634639855377280/posts/780067474167850?comment_id=1074802533475579&amp;reply_comment_id=1798639170637044")</f>
        <v>https://www.facebook.com/634639855377280/posts/780067474167850?comment_id=1074802533475579&amp;reply_comment_id=1798639170637044</v>
      </c>
      <c r="K2775" t="s">
        <v>67</v>
      </c>
      <c r="O2775">
        <v>0</v>
      </c>
      <c r="P2775">
        <v>0</v>
      </c>
      <c r="Q2775">
        <v>0</v>
      </c>
      <c r="S2775">
        <v>0</v>
      </c>
      <c r="T2775">
        <v>0</v>
      </c>
      <c r="U2775">
        <v>0</v>
      </c>
      <c r="W2775" t="s">
        <v>52</v>
      </c>
    </row>
    <row r="2776" spans="1:23" x14ac:dyDescent="0.35">
      <c r="A2776" t="s">
        <v>45</v>
      </c>
      <c r="B2776" t="s">
        <v>5641</v>
      </c>
      <c r="C2776" t="s">
        <v>60</v>
      </c>
      <c r="D2776" t="s">
        <v>64</v>
      </c>
      <c r="E2776" t="s">
        <v>64</v>
      </c>
      <c r="F2776" t="s">
        <v>49</v>
      </c>
      <c r="G2776" t="s">
        <v>5676</v>
      </c>
      <c r="H2776" t="s">
        <v>5677</v>
      </c>
      <c r="J2776" t="str">
        <f>HYPERLINK("https://www.facebook.com/634639855377280/posts/780067474167850?comment_id=390764633642504&amp;reply_comment_id=698953082227785","https://www.facebook.com/634639855377280/posts/780067474167850?comment_id=390764633642504&amp;reply_comment_id=698953082227785")</f>
        <v>https://www.facebook.com/634639855377280/posts/780067474167850?comment_id=390764633642504&amp;reply_comment_id=698953082227785</v>
      </c>
      <c r="K2776" t="s">
        <v>67</v>
      </c>
      <c r="O2776">
        <v>0</v>
      </c>
      <c r="P2776">
        <v>0</v>
      </c>
      <c r="Q2776">
        <v>0</v>
      </c>
      <c r="S2776">
        <v>0</v>
      </c>
      <c r="T2776">
        <v>0</v>
      </c>
      <c r="U2776">
        <v>0</v>
      </c>
      <c r="W2776" t="s">
        <v>52</v>
      </c>
    </row>
    <row r="2777" spans="1:23" x14ac:dyDescent="0.35">
      <c r="A2777" t="s">
        <v>45</v>
      </c>
      <c r="B2777" t="s">
        <v>5641</v>
      </c>
      <c r="C2777" t="s">
        <v>93</v>
      </c>
      <c r="D2777" t="s">
        <v>94</v>
      </c>
      <c r="E2777" t="s">
        <v>45</v>
      </c>
      <c r="F2777" t="s">
        <v>49</v>
      </c>
      <c r="G2777" t="s">
        <v>5678</v>
      </c>
      <c r="H2777" t="s">
        <v>5679</v>
      </c>
      <c r="J2777" t="str">
        <f>HYPERLINK("https://twitter.com/SpiceMoneyIndia/status/1751586354532610507","https://twitter.com/SpiceMoneyIndia/status/1751586354532610507")</f>
        <v>https://twitter.com/SpiceMoneyIndia/status/1751586354532610507</v>
      </c>
      <c r="K2777" t="s">
        <v>67</v>
      </c>
      <c r="O2777">
        <v>0</v>
      </c>
      <c r="P2777">
        <v>0</v>
      </c>
      <c r="Q2777">
        <v>6011</v>
      </c>
      <c r="R2777" t="s">
        <v>97</v>
      </c>
      <c r="S2777">
        <v>0</v>
      </c>
      <c r="T2777">
        <v>0</v>
      </c>
      <c r="U2777">
        <v>0</v>
      </c>
      <c r="V2777" t="s">
        <v>98</v>
      </c>
      <c r="W2777" t="s">
        <v>99</v>
      </c>
    </row>
    <row r="2778" spans="1:23" x14ac:dyDescent="0.35">
      <c r="A2778" t="s">
        <v>45</v>
      </c>
      <c r="B2778" t="s">
        <v>5641</v>
      </c>
      <c r="C2778" t="s">
        <v>93</v>
      </c>
      <c r="D2778" t="s">
        <v>94</v>
      </c>
      <c r="E2778" t="s">
        <v>45</v>
      </c>
      <c r="F2778" t="s">
        <v>49</v>
      </c>
      <c r="G2778" t="s">
        <v>5680</v>
      </c>
      <c r="H2778" t="s">
        <v>5681</v>
      </c>
      <c r="J2778" t="str">
        <f>HYPERLINK("https://twitter.com/SpiceMoneyIndia/status/1751583861538959575","https://twitter.com/SpiceMoneyIndia/status/1751583861538959575")</f>
        <v>https://twitter.com/SpiceMoneyIndia/status/1751583861538959575</v>
      </c>
      <c r="K2778" t="s">
        <v>67</v>
      </c>
      <c r="O2778">
        <v>0</v>
      </c>
      <c r="P2778">
        <v>0</v>
      </c>
      <c r="Q2778">
        <v>6011</v>
      </c>
      <c r="R2778" t="s">
        <v>97</v>
      </c>
      <c r="S2778">
        <v>0</v>
      </c>
      <c r="T2778">
        <v>0</v>
      </c>
      <c r="U2778">
        <v>0</v>
      </c>
      <c r="V2778" t="s">
        <v>98</v>
      </c>
      <c r="W2778" t="s">
        <v>99</v>
      </c>
    </row>
    <row r="2779" spans="1:23" x14ac:dyDescent="0.35">
      <c r="A2779" t="s">
        <v>45</v>
      </c>
      <c r="B2779" t="s">
        <v>5641</v>
      </c>
      <c r="C2779" t="s">
        <v>93</v>
      </c>
      <c r="D2779" t="s">
        <v>5630</v>
      </c>
      <c r="E2779" t="s">
        <v>5631</v>
      </c>
      <c r="F2779" t="s">
        <v>193</v>
      </c>
      <c r="G2779" t="s">
        <v>5682</v>
      </c>
      <c r="H2779" t="s">
        <v>5683</v>
      </c>
      <c r="J2779" t="str">
        <f>HYPERLINK("https://twitter.com/Manjindersin911/status/1751579140300619959","https://twitter.com/Manjindersin911/status/1751579140300619959")</f>
        <v>https://twitter.com/Manjindersin911/status/1751579140300619959</v>
      </c>
      <c r="K2779" t="s">
        <v>67</v>
      </c>
      <c r="O2779">
        <v>0</v>
      </c>
      <c r="P2779">
        <v>0</v>
      </c>
      <c r="Q2779">
        <v>8</v>
      </c>
      <c r="S2779">
        <v>0</v>
      </c>
      <c r="T2779">
        <v>0</v>
      </c>
      <c r="U2779">
        <v>0</v>
      </c>
      <c r="W2779" t="s">
        <v>99</v>
      </c>
    </row>
    <row r="2780" spans="1:23" x14ac:dyDescent="0.35">
      <c r="A2780" t="s">
        <v>45</v>
      </c>
      <c r="B2780" t="s">
        <v>5641</v>
      </c>
      <c r="C2780" t="s">
        <v>47</v>
      </c>
      <c r="D2780" t="s">
        <v>68</v>
      </c>
      <c r="E2780" t="s">
        <v>68</v>
      </c>
      <c r="F2780" t="s">
        <v>49</v>
      </c>
      <c r="G2780" t="s">
        <v>5684</v>
      </c>
      <c r="H2780" t="s">
        <v>5685</v>
      </c>
      <c r="J2780" t="str">
        <f>HYPERLINK("https://www.youtube.com/watch?v=IHWzT2TNYKQ&amp;lc=UgzPnorv4uPzDC05Tbt4AaABAg.9zvRXWV9XG3A-6cgANwgfK","https://www.youtube.com/watch?v=IHWzT2TNYKQ&amp;lc=UgzPnorv4uPzDC05Tbt4AaABAg.9zvRXWV9XG3A-6cgANwgfK")</f>
        <v>https://www.youtube.com/watch?v=IHWzT2TNYKQ&amp;lc=UgzPnorv4uPzDC05Tbt4AaABAg.9zvRXWV9XG3A-6cgANwgfK</v>
      </c>
      <c r="O2780">
        <v>0</v>
      </c>
      <c r="P2780">
        <v>0</v>
      </c>
      <c r="Q2780">
        <v>0</v>
      </c>
      <c r="S2780">
        <v>0</v>
      </c>
      <c r="T2780">
        <v>0</v>
      </c>
      <c r="U2780">
        <v>0</v>
      </c>
      <c r="W2780" t="s">
        <v>52</v>
      </c>
    </row>
    <row r="2781" spans="1:23" x14ac:dyDescent="0.35">
      <c r="A2781" t="s">
        <v>45</v>
      </c>
      <c r="B2781" t="s">
        <v>5641</v>
      </c>
      <c r="C2781" t="s">
        <v>93</v>
      </c>
      <c r="D2781" t="s">
        <v>94</v>
      </c>
      <c r="E2781" t="s">
        <v>45</v>
      </c>
      <c r="F2781" t="s">
        <v>49</v>
      </c>
      <c r="G2781" t="s">
        <v>5686</v>
      </c>
      <c r="H2781" t="s">
        <v>5687</v>
      </c>
      <c r="J2781" t="str">
        <f>HYPERLINK("https://twitter.com/SpiceMoneyIndia/status/1751564640734122033","https://twitter.com/SpiceMoneyIndia/status/1751564640734122033")</f>
        <v>https://twitter.com/SpiceMoneyIndia/status/1751564640734122033</v>
      </c>
      <c r="K2781" t="s">
        <v>67</v>
      </c>
      <c r="O2781">
        <v>0</v>
      </c>
      <c r="P2781">
        <v>0</v>
      </c>
      <c r="Q2781">
        <v>6011</v>
      </c>
      <c r="R2781" t="s">
        <v>97</v>
      </c>
      <c r="S2781">
        <v>0</v>
      </c>
      <c r="T2781">
        <v>0</v>
      </c>
      <c r="U2781">
        <v>0</v>
      </c>
      <c r="V2781" t="s">
        <v>98</v>
      </c>
      <c r="W2781" t="s">
        <v>99</v>
      </c>
    </row>
    <row r="2782" spans="1:23" x14ac:dyDescent="0.35">
      <c r="A2782" t="s">
        <v>45</v>
      </c>
      <c r="B2782" t="s">
        <v>5641</v>
      </c>
      <c r="C2782" t="s">
        <v>60</v>
      </c>
      <c r="D2782" t="s">
        <v>61</v>
      </c>
      <c r="E2782" t="s">
        <v>61</v>
      </c>
      <c r="F2782" t="s">
        <v>49</v>
      </c>
      <c r="G2782" t="s">
        <v>5688</v>
      </c>
      <c r="H2782" t="s">
        <v>5689</v>
      </c>
      <c r="J2782" t="str">
        <f>HYPERLINK("https://www.facebook.com/634639855377280/posts/780067474167850?comment_id=390764633642504&amp;reply_comment_id=1291558901521041","https://www.facebook.com/634639855377280/posts/780067474167850?comment_id=390764633642504&amp;reply_comment_id=1291558901521041")</f>
        <v>https://www.facebook.com/634639855377280/posts/780067474167850?comment_id=390764633642504&amp;reply_comment_id=1291558901521041</v>
      </c>
      <c r="O2782">
        <v>0</v>
      </c>
      <c r="P2782">
        <v>0</v>
      </c>
      <c r="Q2782">
        <v>0</v>
      </c>
      <c r="S2782">
        <v>0</v>
      </c>
      <c r="T2782">
        <v>0</v>
      </c>
      <c r="U2782">
        <v>0</v>
      </c>
      <c r="W2782" t="s">
        <v>52</v>
      </c>
    </row>
    <row r="2783" spans="1:23" x14ac:dyDescent="0.35">
      <c r="A2783" t="s">
        <v>45</v>
      </c>
      <c r="B2783" t="s">
        <v>5641</v>
      </c>
      <c r="C2783" t="s">
        <v>60</v>
      </c>
      <c r="D2783" t="s">
        <v>64</v>
      </c>
      <c r="E2783" t="s">
        <v>64</v>
      </c>
      <c r="F2783" t="s">
        <v>49</v>
      </c>
      <c r="G2783" t="s">
        <v>5690</v>
      </c>
      <c r="H2783" t="s">
        <v>5691</v>
      </c>
      <c r="J2783" t="str">
        <f>HYPERLINK("https://www.facebook.com/634639855377280/posts/779403670900897?comment_id=24609987375315228&amp;reply_comment_id=368550649209365","https://www.facebook.com/634639855377280/posts/779403670900897?comment_id=24609987375315228&amp;reply_comment_id=368550649209365")</f>
        <v>https://www.facebook.com/634639855377280/posts/779403670900897?comment_id=24609987375315228&amp;reply_comment_id=368550649209365</v>
      </c>
      <c r="K2783" t="s">
        <v>67</v>
      </c>
      <c r="O2783">
        <v>0</v>
      </c>
      <c r="P2783">
        <v>0</v>
      </c>
      <c r="Q2783">
        <v>0</v>
      </c>
      <c r="S2783">
        <v>0</v>
      </c>
      <c r="T2783">
        <v>0</v>
      </c>
      <c r="U2783">
        <v>0</v>
      </c>
      <c r="W2783" t="s">
        <v>52</v>
      </c>
    </row>
    <row r="2784" spans="1:23" x14ac:dyDescent="0.35">
      <c r="A2784" t="s">
        <v>45</v>
      </c>
      <c r="B2784" t="s">
        <v>5641</v>
      </c>
      <c r="C2784" t="s">
        <v>60</v>
      </c>
      <c r="D2784" t="s">
        <v>61</v>
      </c>
      <c r="E2784" t="s">
        <v>61</v>
      </c>
      <c r="F2784" t="s">
        <v>49</v>
      </c>
      <c r="G2784" t="s">
        <v>5692</v>
      </c>
      <c r="H2784" t="s">
        <v>5693</v>
      </c>
      <c r="J2784" t="str">
        <f>HYPERLINK("https://www.facebook.com/634639855377280/posts/778862537621677?comment_id=736669818412129&amp;reply_comment_id=3330617347084352","https://www.facebook.com/634639855377280/posts/778862537621677?comment_id=736669818412129&amp;reply_comment_id=3330617347084352")</f>
        <v>https://www.facebook.com/634639855377280/posts/778862537621677?comment_id=736669818412129&amp;reply_comment_id=3330617347084352</v>
      </c>
      <c r="O2784">
        <v>0</v>
      </c>
      <c r="P2784">
        <v>0</v>
      </c>
      <c r="Q2784">
        <v>0</v>
      </c>
      <c r="S2784">
        <v>0</v>
      </c>
      <c r="T2784">
        <v>0</v>
      </c>
      <c r="U2784">
        <v>0</v>
      </c>
      <c r="W2784" t="s">
        <v>52</v>
      </c>
    </row>
    <row r="2785" spans="1:23" x14ac:dyDescent="0.35">
      <c r="A2785" t="s">
        <v>45</v>
      </c>
      <c r="B2785" t="s">
        <v>5641</v>
      </c>
      <c r="C2785" t="s">
        <v>93</v>
      </c>
      <c r="D2785" t="s">
        <v>94</v>
      </c>
      <c r="E2785" t="s">
        <v>45</v>
      </c>
      <c r="F2785" t="s">
        <v>49</v>
      </c>
      <c r="G2785" t="s">
        <v>5694</v>
      </c>
      <c r="H2785" t="s">
        <v>5695</v>
      </c>
      <c r="J2785" t="str">
        <f>HYPERLINK("https://twitter.com/SpiceMoneyIndia/status/1751553886521811288","https://twitter.com/SpiceMoneyIndia/status/1751553886521811288")</f>
        <v>https://twitter.com/SpiceMoneyIndia/status/1751553886521811288</v>
      </c>
      <c r="K2785" t="s">
        <v>67</v>
      </c>
      <c r="O2785">
        <v>0</v>
      </c>
      <c r="P2785">
        <v>0</v>
      </c>
      <c r="Q2785">
        <v>6011</v>
      </c>
      <c r="R2785" t="s">
        <v>97</v>
      </c>
      <c r="S2785">
        <v>0</v>
      </c>
      <c r="T2785">
        <v>0</v>
      </c>
      <c r="U2785">
        <v>0</v>
      </c>
      <c r="V2785" t="s">
        <v>98</v>
      </c>
      <c r="W2785" t="s">
        <v>99</v>
      </c>
    </row>
    <row r="2786" spans="1:23" x14ac:dyDescent="0.35">
      <c r="A2786" t="s">
        <v>45</v>
      </c>
      <c r="B2786" t="s">
        <v>5641</v>
      </c>
      <c r="C2786" t="s">
        <v>60</v>
      </c>
      <c r="D2786" t="s">
        <v>61</v>
      </c>
      <c r="E2786" t="s">
        <v>61</v>
      </c>
      <c r="F2786" t="s">
        <v>49</v>
      </c>
      <c r="G2786" t="s">
        <v>5696</v>
      </c>
      <c r="H2786" t="s">
        <v>5697</v>
      </c>
      <c r="J2786" t="str">
        <f>HYPERLINK("https://www.facebook.com/634639855377280/posts/780067474167850?comment_id=745206747533833&amp;reply_comment_id=753175173380045","https://www.facebook.com/634639855377280/posts/780067474167850?comment_id=745206747533833&amp;reply_comment_id=753175173380045")</f>
        <v>https://www.facebook.com/634639855377280/posts/780067474167850?comment_id=745206747533833&amp;reply_comment_id=753175173380045</v>
      </c>
      <c r="O2786">
        <v>0</v>
      </c>
      <c r="P2786">
        <v>0</v>
      </c>
      <c r="Q2786">
        <v>0</v>
      </c>
      <c r="S2786">
        <v>0</v>
      </c>
      <c r="T2786">
        <v>0</v>
      </c>
      <c r="U2786">
        <v>0</v>
      </c>
      <c r="W2786" t="s">
        <v>52</v>
      </c>
    </row>
    <row r="2787" spans="1:23" x14ac:dyDescent="0.35">
      <c r="A2787" t="s">
        <v>45</v>
      </c>
      <c r="B2787" t="s">
        <v>5641</v>
      </c>
      <c r="C2787" t="s">
        <v>60</v>
      </c>
      <c r="D2787" t="s">
        <v>61</v>
      </c>
      <c r="E2787" t="s">
        <v>61</v>
      </c>
      <c r="F2787" t="s">
        <v>49</v>
      </c>
      <c r="G2787" t="s">
        <v>5698</v>
      </c>
      <c r="H2787" t="s">
        <v>5699</v>
      </c>
      <c r="J2787" t="str">
        <f>HYPERLINK("https://www.facebook.com/634639855377280/posts/780067474167850?comment_id=745206747533833","https://www.facebook.com/634639855377280/posts/780067474167850?comment_id=745206747533833")</f>
        <v>https://www.facebook.com/634639855377280/posts/780067474167850?comment_id=745206747533833</v>
      </c>
      <c r="O2787">
        <v>0</v>
      </c>
      <c r="P2787">
        <v>0</v>
      </c>
      <c r="Q2787">
        <v>0</v>
      </c>
      <c r="S2787">
        <v>0</v>
      </c>
      <c r="T2787">
        <v>0</v>
      </c>
      <c r="U2787">
        <v>0</v>
      </c>
      <c r="W2787" t="s">
        <v>52</v>
      </c>
    </row>
    <row r="2788" spans="1:23" x14ac:dyDescent="0.35">
      <c r="A2788" t="s">
        <v>45</v>
      </c>
      <c r="B2788" t="s">
        <v>5641</v>
      </c>
      <c r="C2788" t="s">
        <v>60</v>
      </c>
      <c r="D2788" t="s">
        <v>64</v>
      </c>
      <c r="E2788" t="s">
        <v>64</v>
      </c>
      <c r="F2788" t="s">
        <v>49</v>
      </c>
      <c r="G2788" t="s">
        <v>4043</v>
      </c>
      <c r="H2788" t="s">
        <v>5700</v>
      </c>
      <c r="J2788" t="str">
        <f>HYPERLINK("https://www.facebook.com/634639855377280/posts/778862537621677?comment_id=736669818412129&amp;reply_comment_id=1032872774480803","https://www.facebook.com/634639855377280/posts/778862537621677?comment_id=736669818412129&amp;reply_comment_id=1032872774480803")</f>
        <v>https://www.facebook.com/634639855377280/posts/778862537621677?comment_id=736669818412129&amp;reply_comment_id=1032872774480803</v>
      </c>
      <c r="K2788" t="s">
        <v>67</v>
      </c>
      <c r="O2788">
        <v>0</v>
      </c>
      <c r="P2788">
        <v>0</v>
      </c>
      <c r="Q2788">
        <v>0</v>
      </c>
      <c r="S2788">
        <v>0</v>
      </c>
      <c r="T2788">
        <v>0</v>
      </c>
      <c r="U2788">
        <v>0</v>
      </c>
      <c r="W2788" t="s">
        <v>52</v>
      </c>
    </row>
    <row r="2789" spans="1:23" x14ac:dyDescent="0.35">
      <c r="A2789" t="s">
        <v>45</v>
      </c>
      <c r="B2789" t="s">
        <v>5641</v>
      </c>
      <c r="C2789" t="s">
        <v>60</v>
      </c>
      <c r="D2789" t="s">
        <v>61</v>
      </c>
      <c r="E2789" t="s">
        <v>61</v>
      </c>
      <c r="F2789" t="s">
        <v>49</v>
      </c>
      <c r="G2789" t="s">
        <v>5701</v>
      </c>
      <c r="H2789" t="s">
        <v>5702</v>
      </c>
      <c r="J2789" t="str">
        <f>HYPERLINK("https://www.facebook.com/634639855377280/posts/780067474167850?comment_id=1074802533475579","https://www.facebook.com/634639855377280/posts/780067474167850?comment_id=1074802533475579")</f>
        <v>https://www.facebook.com/634639855377280/posts/780067474167850?comment_id=1074802533475579</v>
      </c>
      <c r="O2789">
        <v>0</v>
      </c>
      <c r="P2789">
        <v>0</v>
      </c>
      <c r="Q2789">
        <v>0</v>
      </c>
      <c r="S2789">
        <v>0</v>
      </c>
      <c r="T2789">
        <v>0</v>
      </c>
      <c r="U2789">
        <v>0</v>
      </c>
      <c r="W2789" t="s">
        <v>52</v>
      </c>
    </row>
    <row r="2790" spans="1:23" x14ac:dyDescent="0.35">
      <c r="A2790" t="s">
        <v>45</v>
      </c>
      <c r="B2790" t="s">
        <v>5641</v>
      </c>
      <c r="C2790" t="s">
        <v>93</v>
      </c>
      <c r="D2790" t="s">
        <v>94</v>
      </c>
      <c r="E2790" t="s">
        <v>45</v>
      </c>
      <c r="F2790" t="s">
        <v>49</v>
      </c>
      <c r="G2790" t="s">
        <v>5703</v>
      </c>
      <c r="H2790" t="s">
        <v>5704</v>
      </c>
      <c r="J2790" t="str">
        <f>HYPERLINK("https://twitter.com/SpiceMoneyIndia/status/1751542155443613958","https://twitter.com/SpiceMoneyIndia/status/1751542155443613958")</f>
        <v>https://twitter.com/SpiceMoneyIndia/status/1751542155443613958</v>
      </c>
      <c r="K2790" t="s">
        <v>67</v>
      </c>
      <c r="O2790">
        <v>0</v>
      </c>
      <c r="P2790">
        <v>0</v>
      </c>
      <c r="Q2790">
        <v>6011</v>
      </c>
      <c r="R2790" t="s">
        <v>97</v>
      </c>
      <c r="S2790">
        <v>0</v>
      </c>
      <c r="T2790">
        <v>0</v>
      </c>
      <c r="U2790">
        <v>0</v>
      </c>
      <c r="V2790" t="s">
        <v>98</v>
      </c>
      <c r="W2790" t="s">
        <v>99</v>
      </c>
    </row>
    <row r="2791" spans="1:23" x14ac:dyDescent="0.35">
      <c r="A2791" t="s">
        <v>45</v>
      </c>
      <c r="B2791" t="s">
        <v>5641</v>
      </c>
      <c r="C2791" t="s">
        <v>60</v>
      </c>
      <c r="D2791" t="s">
        <v>64</v>
      </c>
      <c r="E2791" t="s">
        <v>64</v>
      </c>
      <c r="F2791" t="s">
        <v>49</v>
      </c>
      <c r="G2791" t="s">
        <v>5705</v>
      </c>
      <c r="H2791" t="s">
        <v>5706</v>
      </c>
      <c r="J2791" t="str">
        <f>HYPERLINK("https://www.facebook.com/634639855377280/posts/780650374109560?comment_id=1052607232481994&amp;reply_comment_id=1817300382087795","https://www.facebook.com/634639855377280/posts/780650374109560?comment_id=1052607232481994&amp;reply_comment_id=1817300382087795")</f>
        <v>https://www.facebook.com/634639855377280/posts/780650374109560?comment_id=1052607232481994&amp;reply_comment_id=1817300382087795</v>
      </c>
      <c r="K2791" t="s">
        <v>67</v>
      </c>
      <c r="O2791">
        <v>0</v>
      </c>
      <c r="P2791">
        <v>0</v>
      </c>
      <c r="Q2791">
        <v>0</v>
      </c>
      <c r="S2791">
        <v>0</v>
      </c>
      <c r="T2791">
        <v>0</v>
      </c>
      <c r="U2791">
        <v>0</v>
      </c>
      <c r="W2791" t="s">
        <v>52</v>
      </c>
    </row>
    <row r="2792" spans="1:23" x14ac:dyDescent="0.35">
      <c r="A2792" t="s">
        <v>45</v>
      </c>
      <c r="B2792" t="s">
        <v>5641</v>
      </c>
      <c r="C2792" t="s">
        <v>93</v>
      </c>
      <c r="D2792" t="s">
        <v>3706</v>
      </c>
      <c r="E2792" t="s">
        <v>3707</v>
      </c>
      <c r="F2792" t="s">
        <v>193</v>
      </c>
      <c r="G2792" t="s">
        <v>5707</v>
      </c>
      <c r="H2792" t="s">
        <v>5708</v>
      </c>
      <c r="J2792" t="str">
        <f>HYPERLINK("https://twitter.com/Benadeemgeelani/status/1751534353023406449","https://twitter.com/Benadeemgeelani/status/1751534353023406449")</f>
        <v>https://twitter.com/Benadeemgeelani/status/1751534353023406449</v>
      </c>
      <c r="O2792">
        <v>0</v>
      </c>
      <c r="P2792">
        <v>0</v>
      </c>
      <c r="Q2792">
        <v>613</v>
      </c>
      <c r="R2792" t="s">
        <v>3710</v>
      </c>
      <c r="S2792">
        <v>0</v>
      </c>
      <c r="T2792">
        <v>0</v>
      </c>
      <c r="U2792">
        <v>0</v>
      </c>
      <c r="W2792" t="s">
        <v>99</v>
      </c>
    </row>
    <row r="2793" spans="1:23" x14ac:dyDescent="0.35">
      <c r="A2793" t="s">
        <v>45</v>
      </c>
      <c r="B2793" t="s">
        <v>5641</v>
      </c>
      <c r="C2793" t="s">
        <v>60</v>
      </c>
      <c r="D2793" t="s">
        <v>64</v>
      </c>
      <c r="E2793" t="s">
        <v>64</v>
      </c>
      <c r="F2793" t="s">
        <v>49</v>
      </c>
      <c r="G2793" t="s">
        <v>268</v>
      </c>
      <c r="H2793" t="s">
        <v>5709</v>
      </c>
      <c r="J2793" t="str">
        <f>HYPERLINK("https://www.facebook.com/634639855377280/posts/780650374109560?comment_id=947957700321153&amp;reply_comment_id=1044555263275421","https://www.facebook.com/634639855377280/posts/780650374109560?comment_id=947957700321153&amp;reply_comment_id=1044555263275421")</f>
        <v>https://www.facebook.com/634639855377280/posts/780650374109560?comment_id=947957700321153&amp;reply_comment_id=1044555263275421</v>
      </c>
      <c r="K2793" t="s">
        <v>67</v>
      </c>
      <c r="O2793">
        <v>0</v>
      </c>
      <c r="P2793">
        <v>0</v>
      </c>
      <c r="Q2793">
        <v>0</v>
      </c>
      <c r="S2793">
        <v>0</v>
      </c>
      <c r="T2793">
        <v>0</v>
      </c>
      <c r="U2793">
        <v>0</v>
      </c>
      <c r="W2793" t="s">
        <v>52</v>
      </c>
    </row>
    <row r="2794" spans="1:23" x14ac:dyDescent="0.35">
      <c r="A2794" t="s">
        <v>45</v>
      </c>
      <c r="B2794" t="s">
        <v>5641</v>
      </c>
      <c r="C2794" t="s">
        <v>60</v>
      </c>
      <c r="D2794" t="s">
        <v>61</v>
      </c>
      <c r="E2794" t="s">
        <v>61</v>
      </c>
      <c r="F2794" t="s">
        <v>49</v>
      </c>
      <c r="G2794" t="s">
        <v>5710</v>
      </c>
      <c r="H2794" t="s">
        <v>5711</v>
      </c>
      <c r="J2794" t="str">
        <f>HYPERLINK("https://www.facebook.com/634639855377280/posts/780067474167850?comment_id=1155072065651247","https://www.facebook.com/634639855377280/posts/780067474167850?comment_id=1155072065651247")</f>
        <v>https://www.facebook.com/634639855377280/posts/780067474167850?comment_id=1155072065651247</v>
      </c>
      <c r="O2794">
        <v>0</v>
      </c>
      <c r="P2794">
        <v>0</v>
      </c>
      <c r="Q2794">
        <v>0</v>
      </c>
      <c r="S2794">
        <v>0</v>
      </c>
      <c r="T2794">
        <v>0</v>
      </c>
      <c r="U2794">
        <v>0</v>
      </c>
      <c r="W2794" t="s">
        <v>52</v>
      </c>
    </row>
    <row r="2795" spans="1:23" x14ac:dyDescent="0.35">
      <c r="A2795" t="s">
        <v>45</v>
      </c>
      <c r="B2795" t="s">
        <v>5641</v>
      </c>
      <c r="C2795" t="s">
        <v>93</v>
      </c>
      <c r="D2795" t="s">
        <v>5712</v>
      </c>
      <c r="E2795" t="s">
        <v>5713</v>
      </c>
      <c r="F2795" t="s">
        <v>49</v>
      </c>
      <c r="G2795" t="s">
        <v>5714</v>
      </c>
      <c r="H2795" t="s">
        <v>5715</v>
      </c>
      <c r="J2795" t="str">
        <f>HYPERLINK("https://twitter.com/firoz_k07/status/1751522603376996757","https://twitter.com/firoz_k07/status/1751522603376996757")</f>
        <v>https://twitter.com/firoz_k07/status/1751522603376996757</v>
      </c>
      <c r="K2795" t="s">
        <v>67</v>
      </c>
      <c r="O2795">
        <v>0</v>
      </c>
      <c r="P2795">
        <v>0</v>
      </c>
      <c r="Q2795">
        <v>4</v>
      </c>
      <c r="R2795" t="s">
        <v>5716</v>
      </c>
      <c r="S2795">
        <v>0</v>
      </c>
      <c r="T2795">
        <v>0</v>
      </c>
      <c r="U2795">
        <v>0</v>
      </c>
      <c r="W2795" t="s">
        <v>99</v>
      </c>
    </row>
    <row r="2796" spans="1:23" x14ac:dyDescent="0.35">
      <c r="A2796" t="s">
        <v>45</v>
      </c>
      <c r="B2796" t="s">
        <v>5641</v>
      </c>
      <c r="C2796" t="s">
        <v>60</v>
      </c>
      <c r="D2796" t="s">
        <v>61</v>
      </c>
      <c r="E2796" t="s">
        <v>61</v>
      </c>
      <c r="F2796" t="s">
        <v>49</v>
      </c>
      <c r="G2796" t="s">
        <v>5717</v>
      </c>
      <c r="H2796" t="s">
        <v>5718</v>
      </c>
      <c r="J2796" t="str">
        <f>HYPERLINK("https://www.facebook.com/634639855377280/posts/780650374109560?comment_id=947957700321153","https://www.facebook.com/634639855377280/posts/780650374109560?comment_id=947957700321153")</f>
        <v>https://www.facebook.com/634639855377280/posts/780650374109560?comment_id=947957700321153</v>
      </c>
      <c r="O2796">
        <v>0</v>
      </c>
      <c r="P2796">
        <v>0</v>
      </c>
      <c r="Q2796">
        <v>0</v>
      </c>
      <c r="S2796">
        <v>0</v>
      </c>
      <c r="T2796">
        <v>0</v>
      </c>
      <c r="U2796">
        <v>0</v>
      </c>
      <c r="W2796" t="s">
        <v>52</v>
      </c>
    </row>
    <row r="2797" spans="1:23" x14ac:dyDescent="0.35">
      <c r="A2797" t="s">
        <v>45</v>
      </c>
      <c r="B2797" t="s">
        <v>5641</v>
      </c>
      <c r="C2797" t="s">
        <v>60</v>
      </c>
      <c r="D2797" t="s">
        <v>61</v>
      </c>
      <c r="E2797" t="s">
        <v>61</v>
      </c>
      <c r="F2797" t="s">
        <v>193</v>
      </c>
      <c r="G2797" t="s">
        <v>5719</v>
      </c>
      <c r="H2797" t="s">
        <v>5720</v>
      </c>
      <c r="J2797" t="str">
        <f>HYPERLINK("https://www.facebook.com/634639855377280/posts/780650374109560?comment_id=398437615877394","https://www.facebook.com/634639855377280/posts/780650374109560?comment_id=398437615877394")</f>
        <v>https://www.facebook.com/634639855377280/posts/780650374109560?comment_id=398437615877394</v>
      </c>
      <c r="O2797">
        <v>0</v>
      </c>
      <c r="P2797">
        <v>0</v>
      </c>
      <c r="Q2797">
        <v>0</v>
      </c>
      <c r="S2797">
        <v>0</v>
      </c>
      <c r="T2797">
        <v>0</v>
      </c>
      <c r="U2797">
        <v>0</v>
      </c>
      <c r="W2797" t="s">
        <v>52</v>
      </c>
    </row>
    <row r="2798" spans="1:23" x14ac:dyDescent="0.35">
      <c r="A2798" t="s">
        <v>45</v>
      </c>
      <c r="B2798" t="s">
        <v>5641</v>
      </c>
      <c r="C2798" t="s">
        <v>60</v>
      </c>
      <c r="D2798" t="s">
        <v>61</v>
      </c>
      <c r="E2798" t="s">
        <v>61</v>
      </c>
      <c r="F2798" t="s">
        <v>49</v>
      </c>
      <c r="G2798" t="s">
        <v>5721</v>
      </c>
      <c r="H2798" t="s">
        <v>5722</v>
      </c>
      <c r="J2798" t="str">
        <f>HYPERLINK("https://www.facebook.com/634639855377280/posts/780650374109560?comment_id=1052607232481994","https://www.facebook.com/634639855377280/posts/780650374109560?comment_id=1052607232481994")</f>
        <v>https://www.facebook.com/634639855377280/posts/780650374109560?comment_id=1052607232481994</v>
      </c>
      <c r="O2798">
        <v>0</v>
      </c>
      <c r="P2798">
        <v>0</v>
      </c>
      <c r="Q2798">
        <v>0</v>
      </c>
      <c r="S2798">
        <v>0</v>
      </c>
      <c r="T2798">
        <v>0</v>
      </c>
      <c r="U2798">
        <v>0</v>
      </c>
      <c r="W2798" t="s">
        <v>52</v>
      </c>
    </row>
    <row r="2799" spans="1:23" x14ac:dyDescent="0.35">
      <c r="A2799" t="s">
        <v>45</v>
      </c>
      <c r="B2799" t="s">
        <v>5641</v>
      </c>
      <c r="C2799" t="s">
        <v>93</v>
      </c>
      <c r="D2799" t="s">
        <v>94</v>
      </c>
      <c r="E2799" t="s">
        <v>45</v>
      </c>
      <c r="F2799" t="s">
        <v>49</v>
      </c>
      <c r="G2799" t="s">
        <v>5723</v>
      </c>
      <c r="H2799" t="s">
        <v>5724</v>
      </c>
      <c r="J2799" t="str">
        <f>HYPERLINK("https://twitter.com/SpiceMoneyIndia/status/1751510997993758839","https://twitter.com/SpiceMoneyIndia/status/1751510997993758839")</f>
        <v>https://twitter.com/SpiceMoneyIndia/status/1751510997993758839</v>
      </c>
      <c r="K2799" t="s">
        <v>67</v>
      </c>
      <c r="O2799">
        <v>0</v>
      </c>
      <c r="P2799">
        <v>0</v>
      </c>
      <c r="Q2799">
        <v>6011</v>
      </c>
      <c r="R2799" t="s">
        <v>97</v>
      </c>
      <c r="S2799">
        <v>0</v>
      </c>
      <c r="T2799">
        <v>0</v>
      </c>
      <c r="U2799">
        <v>0</v>
      </c>
      <c r="V2799" t="s">
        <v>98</v>
      </c>
      <c r="W2799" t="s">
        <v>99</v>
      </c>
    </row>
    <row r="2800" spans="1:23" x14ac:dyDescent="0.35">
      <c r="A2800" t="s">
        <v>45</v>
      </c>
      <c r="B2800" t="s">
        <v>5641</v>
      </c>
      <c r="C2800" t="s">
        <v>60</v>
      </c>
      <c r="D2800" t="s">
        <v>64</v>
      </c>
      <c r="E2800" t="s">
        <v>64</v>
      </c>
      <c r="F2800" t="s">
        <v>49</v>
      </c>
      <c r="G2800" t="s">
        <v>5725</v>
      </c>
      <c r="H2800" t="s">
        <v>5726</v>
      </c>
      <c r="J2800" t="str">
        <f>HYPERLINK("https://www.facebook.com/634639855377280/posts/780650374109560","https://www.facebook.com/634639855377280/posts/780650374109560")</f>
        <v>https://www.facebook.com/634639855377280/posts/780650374109560</v>
      </c>
      <c r="O2800">
        <v>0</v>
      </c>
      <c r="P2800">
        <v>0</v>
      </c>
      <c r="Q2800">
        <v>0</v>
      </c>
      <c r="S2800">
        <v>8</v>
      </c>
      <c r="T2800">
        <v>40</v>
      </c>
      <c r="U2800">
        <v>4</v>
      </c>
      <c r="W2800" t="s">
        <v>346</v>
      </c>
    </row>
    <row r="2801" spans="1:23" x14ac:dyDescent="0.35">
      <c r="A2801" t="s">
        <v>45</v>
      </c>
      <c r="B2801" t="s">
        <v>5641</v>
      </c>
      <c r="C2801" t="s">
        <v>60</v>
      </c>
      <c r="D2801" t="s">
        <v>64</v>
      </c>
      <c r="E2801" t="s">
        <v>64</v>
      </c>
      <c r="F2801" t="s">
        <v>49</v>
      </c>
      <c r="G2801" t="s">
        <v>5727</v>
      </c>
      <c r="H2801" t="s">
        <v>5728</v>
      </c>
      <c r="J2801" t="str">
        <f>HYPERLINK("https://www.facebook.com/634639855377280/posts/779403670900897?comment_id=1419994735618576&amp;reply_comment_id=927671805555073","https://www.facebook.com/634639855377280/posts/779403670900897?comment_id=1419994735618576&amp;reply_comment_id=927671805555073")</f>
        <v>https://www.facebook.com/634639855377280/posts/779403670900897?comment_id=1419994735618576&amp;reply_comment_id=927671805555073</v>
      </c>
      <c r="K2801" t="s">
        <v>67</v>
      </c>
      <c r="O2801">
        <v>0</v>
      </c>
      <c r="P2801">
        <v>0</v>
      </c>
      <c r="Q2801">
        <v>0</v>
      </c>
      <c r="S2801">
        <v>0</v>
      </c>
      <c r="T2801">
        <v>0</v>
      </c>
      <c r="U2801">
        <v>0</v>
      </c>
      <c r="W2801" t="s">
        <v>52</v>
      </c>
    </row>
    <row r="2802" spans="1:23" x14ac:dyDescent="0.35">
      <c r="A2802" t="s">
        <v>45</v>
      </c>
      <c r="B2802" t="s">
        <v>5641</v>
      </c>
      <c r="C2802" t="s">
        <v>47</v>
      </c>
      <c r="D2802" t="s">
        <v>68</v>
      </c>
      <c r="E2802" t="s">
        <v>68</v>
      </c>
      <c r="F2802" t="s">
        <v>49</v>
      </c>
      <c r="G2802" t="s">
        <v>5676</v>
      </c>
      <c r="H2802" t="s">
        <v>5729</v>
      </c>
      <c r="J2802" t="str">
        <f>HYPERLINK("https://www.youtube.com/watch?v=IHWzT2TNYKQ&amp;lc=Ugxn42D2DH9blUTZHw54AaABAg.A-5mnFne4-IA-60gD75Jhq","https://www.youtube.com/watch?v=IHWzT2TNYKQ&amp;lc=Ugxn42D2DH9blUTZHw54AaABAg.A-5mnFne4-IA-60gD75Jhq")</f>
        <v>https://www.youtube.com/watch?v=IHWzT2TNYKQ&amp;lc=Ugxn42D2DH9blUTZHw54AaABAg.A-5mnFne4-IA-60gD75Jhq</v>
      </c>
      <c r="O2802">
        <v>0</v>
      </c>
      <c r="P2802">
        <v>0</v>
      </c>
      <c r="Q2802">
        <v>0</v>
      </c>
      <c r="S2802">
        <v>0</v>
      </c>
      <c r="T2802">
        <v>0</v>
      </c>
      <c r="U2802">
        <v>0</v>
      </c>
      <c r="W2802" t="s">
        <v>52</v>
      </c>
    </row>
    <row r="2803" spans="1:23" x14ac:dyDescent="0.35">
      <c r="A2803" t="s">
        <v>45</v>
      </c>
      <c r="B2803" t="s">
        <v>5641</v>
      </c>
      <c r="C2803" t="s">
        <v>60</v>
      </c>
      <c r="D2803" t="s">
        <v>61</v>
      </c>
      <c r="E2803" t="s">
        <v>61</v>
      </c>
      <c r="F2803" t="s">
        <v>193</v>
      </c>
      <c r="G2803" t="s">
        <v>5620</v>
      </c>
      <c r="H2803" t="s">
        <v>5730</v>
      </c>
      <c r="J2803" t="str">
        <f>HYPERLINK("https://www.facebook.com/634639855377280/posts/779403670900897?comment_id=1419994735618576","https://www.facebook.com/634639855377280/posts/779403670900897?comment_id=1419994735618576")</f>
        <v>https://www.facebook.com/634639855377280/posts/779403670900897?comment_id=1419994735618576</v>
      </c>
      <c r="O2803">
        <v>0</v>
      </c>
      <c r="P2803">
        <v>0</v>
      </c>
      <c r="Q2803">
        <v>0</v>
      </c>
      <c r="S2803">
        <v>0</v>
      </c>
      <c r="T2803">
        <v>0</v>
      </c>
      <c r="U2803">
        <v>0</v>
      </c>
      <c r="W2803" t="s">
        <v>52</v>
      </c>
    </row>
    <row r="2804" spans="1:23" x14ac:dyDescent="0.35">
      <c r="A2804" t="s">
        <v>45</v>
      </c>
      <c r="B2804" t="s">
        <v>5641</v>
      </c>
      <c r="C2804" t="s">
        <v>60</v>
      </c>
      <c r="D2804" t="s">
        <v>64</v>
      </c>
      <c r="E2804" t="s">
        <v>64</v>
      </c>
      <c r="F2804" t="s">
        <v>49</v>
      </c>
      <c r="G2804" t="s">
        <v>5676</v>
      </c>
      <c r="H2804" t="s">
        <v>5731</v>
      </c>
      <c r="J2804" t="str">
        <f>HYPERLINK("https://www.facebook.com/634639855377280/posts/780067474167850?comment_id=390764633642504&amp;reply_comment_id=365782552760336","https://www.facebook.com/634639855377280/posts/780067474167850?comment_id=390764633642504&amp;reply_comment_id=365782552760336")</f>
        <v>https://www.facebook.com/634639855377280/posts/780067474167850?comment_id=390764633642504&amp;reply_comment_id=365782552760336</v>
      </c>
      <c r="K2804" t="s">
        <v>67</v>
      </c>
      <c r="O2804">
        <v>0</v>
      </c>
      <c r="P2804">
        <v>0</v>
      </c>
      <c r="Q2804">
        <v>0</v>
      </c>
      <c r="S2804">
        <v>0</v>
      </c>
      <c r="T2804">
        <v>0</v>
      </c>
      <c r="U2804">
        <v>0</v>
      </c>
      <c r="W2804" t="s">
        <v>52</v>
      </c>
    </row>
    <row r="2805" spans="1:23" x14ac:dyDescent="0.35">
      <c r="A2805" t="s">
        <v>45</v>
      </c>
      <c r="B2805" t="s">
        <v>5641</v>
      </c>
      <c r="C2805" t="s">
        <v>60</v>
      </c>
      <c r="D2805" t="s">
        <v>61</v>
      </c>
      <c r="E2805" t="s">
        <v>61</v>
      </c>
      <c r="F2805" t="s">
        <v>49</v>
      </c>
      <c r="G2805" t="s">
        <v>5732</v>
      </c>
      <c r="H2805" t="s">
        <v>5733</v>
      </c>
      <c r="J2805" t="str">
        <f>HYPERLINK("https://www.facebook.com/634639855377280/posts/780067474167850?comment_id=390764633642504&amp;reply_comment_id=2325851960932268","https://www.facebook.com/634639855377280/posts/780067474167850?comment_id=390764633642504&amp;reply_comment_id=2325851960932268")</f>
        <v>https://www.facebook.com/634639855377280/posts/780067474167850?comment_id=390764633642504&amp;reply_comment_id=2325851960932268</v>
      </c>
      <c r="O2805">
        <v>0</v>
      </c>
      <c r="P2805">
        <v>0</v>
      </c>
      <c r="Q2805">
        <v>0</v>
      </c>
      <c r="S2805">
        <v>0</v>
      </c>
      <c r="T2805">
        <v>0</v>
      </c>
      <c r="U2805">
        <v>0</v>
      </c>
      <c r="W2805" t="s">
        <v>52</v>
      </c>
    </row>
    <row r="2806" spans="1:23" x14ac:dyDescent="0.35">
      <c r="A2806" t="s">
        <v>45</v>
      </c>
      <c r="B2806" t="s">
        <v>5641</v>
      </c>
      <c r="C2806" t="s">
        <v>60</v>
      </c>
      <c r="D2806" t="s">
        <v>61</v>
      </c>
      <c r="E2806" t="s">
        <v>61</v>
      </c>
      <c r="F2806" t="s">
        <v>49</v>
      </c>
      <c r="G2806" t="s">
        <v>5734</v>
      </c>
      <c r="H2806" t="s">
        <v>5735</v>
      </c>
      <c r="J2806" t="str">
        <f>HYPERLINK("https://www.facebook.com/634639855377280/posts/780067474167850?comment_id=390764633642504&amp;reply_comment_id=1451145975753196","https://www.facebook.com/634639855377280/posts/780067474167850?comment_id=390764633642504&amp;reply_comment_id=1451145975753196")</f>
        <v>https://www.facebook.com/634639855377280/posts/780067474167850?comment_id=390764633642504&amp;reply_comment_id=1451145975753196</v>
      </c>
      <c r="O2806">
        <v>0</v>
      </c>
      <c r="P2806">
        <v>0</v>
      </c>
      <c r="Q2806">
        <v>0</v>
      </c>
      <c r="S2806">
        <v>0</v>
      </c>
      <c r="T2806">
        <v>0</v>
      </c>
      <c r="U2806">
        <v>0</v>
      </c>
      <c r="W2806" t="s">
        <v>52</v>
      </c>
    </row>
    <row r="2807" spans="1:23" x14ac:dyDescent="0.35">
      <c r="A2807" t="s">
        <v>45</v>
      </c>
      <c r="B2807" t="s">
        <v>5641</v>
      </c>
      <c r="C2807" t="s">
        <v>60</v>
      </c>
      <c r="D2807" t="s">
        <v>64</v>
      </c>
      <c r="E2807" t="s">
        <v>64</v>
      </c>
      <c r="F2807" t="s">
        <v>49</v>
      </c>
      <c r="G2807" t="s">
        <v>100</v>
      </c>
      <c r="H2807" t="s">
        <v>5736</v>
      </c>
      <c r="J2807" t="str">
        <f>HYPERLINK("https://www.facebook.com/634639855377280/posts/780067474167850?comment_id=1472337736713935&amp;reply_comment_id=1390258355197709","https://www.facebook.com/634639855377280/posts/780067474167850?comment_id=1472337736713935&amp;reply_comment_id=1390258355197709")</f>
        <v>https://www.facebook.com/634639855377280/posts/780067474167850?comment_id=1472337736713935&amp;reply_comment_id=1390258355197709</v>
      </c>
      <c r="K2807" t="s">
        <v>67</v>
      </c>
      <c r="O2807">
        <v>0</v>
      </c>
      <c r="P2807">
        <v>0</v>
      </c>
      <c r="Q2807">
        <v>0</v>
      </c>
      <c r="S2807">
        <v>0</v>
      </c>
      <c r="T2807">
        <v>0</v>
      </c>
      <c r="U2807">
        <v>0</v>
      </c>
      <c r="W2807" t="s">
        <v>52</v>
      </c>
    </row>
    <row r="2808" spans="1:23" x14ac:dyDescent="0.35">
      <c r="A2808" t="s">
        <v>45</v>
      </c>
      <c r="B2808" t="s">
        <v>5641</v>
      </c>
      <c r="C2808" t="s">
        <v>60</v>
      </c>
      <c r="D2808" t="s">
        <v>64</v>
      </c>
      <c r="E2808" t="s">
        <v>64</v>
      </c>
      <c r="F2808" t="s">
        <v>49</v>
      </c>
      <c r="G2808" t="s">
        <v>5727</v>
      </c>
      <c r="H2808" t="s">
        <v>5737</v>
      </c>
      <c r="J2808" t="str">
        <f>HYPERLINK("https://www.facebook.com/634639855377280/posts/780067474167850?comment_id=390764633642504&amp;reply_comment_id=1558919234870651","https://www.facebook.com/634639855377280/posts/780067474167850?comment_id=390764633642504&amp;reply_comment_id=1558919234870651")</f>
        <v>https://www.facebook.com/634639855377280/posts/780067474167850?comment_id=390764633642504&amp;reply_comment_id=1558919234870651</v>
      </c>
      <c r="K2808" t="s">
        <v>67</v>
      </c>
      <c r="O2808">
        <v>0</v>
      </c>
      <c r="P2808">
        <v>0</v>
      </c>
      <c r="Q2808">
        <v>0</v>
      </c>
      <c r="S2808">
        <v>0</v>
      </c>
      <c r="T2808">
        <v>0</v>
      </c>
      <c r="U2808">
        <v>0</v>
      </c>
      <c r="W2808" t="s">
        <v>52</v>
      </c>
    </row>
    <row r="2809" spans="1:23" x14ac:dyDescent="0.35">
      <c r="A2809" t="s">
        <v>45</v>
      </c>
      <c r="B2809" t="s">
        <v>5641</v>
      </c>
      <c r="C2809" t="s">
        <v>47</v>
      </c>
      <c r="D2809" t="s">
        <v>68</v>
      </c>
      <c r="E2809" t="s">
        <v>68</v>
      </c>
      <c r="F2809" t="s">
        <v>49</v>
      </c>
      <c r="G2809" t="s">
        <v>162</v>
      </c>
      <c r="H2809" t="s">
        <v>5738</v>
      </c>
      <c r="J2809" t="str">
        <f>HYPERLINK("https://www.youtube.com/watch?v=ThXQf6FaaYw&amp;lc=UgyaDA5q04SrutTesZN4AaABAg.A-5_667H9okA-5ox-8de-z","https://www.youtube.com/watch?v=ThXQf6FaaYw&amp;lc=UgyaDA5q04SrutTesZN4AaABAg.A-5_667H9okA-5ox-8de-z")</f>
        <v>https://www.youtube.com/watch?v=ThXQf6FaaYw&amp;lc=UgyaDA5q04SrutTesZN4AaABAg.A-5_667H9okA-5ox-8de-z</v>
      </c>
      <c r="O2809">
        <v>0</v>
      </c>
      <c r="P2809">
        <v>0</v>
      </c>
      <c r="Q2809">
        <v>0</v>
      </c>
      <c r="S2809">
        <v>0</v>
      </c>
      <c r="T2809">
        <v>0</v>
      </c>
      <c r="U2809">
        <v>0</v>
      </c>
      <c r="W2809" t="s">
        <v>52</v>
      </c>
    </row>
    <row r="2810" spans="1:23" x14ac:dyDescent="0.35">
      <c r="A2810" t="s">
        <v>45</v>
      </c>
      <c r="B2810" t="s">
        <v>5641</v>
      </c>
      <c r="C2810" t="s">
        <v>47</v>
      </c>
      <c r="D2810" t="s">
        <v>68</v>
      </c>
      <c r="E2810" t="s">
        <v>68</v>
      </c>
      <c r="F2810" t="s">
        <v>49</v>
      </c>
      <c r="G2810" t="s">
        <v>102</v>
      </c>
      <c r="H2810" t="s">
        <v>5739</v>
      </c>
      <c r="J2810" t="str">
        <f>HYPERLINK("https://www.youtube.com/watch?v=IHWzT2TNYKQ&amp;lc=UgykfS46NGf-jN6vhyt4AaABAg.A-4nA978AGpA-5o_r-_jDM","https://www.youtube.com/watch?v=IHWzT2TNYKQ&amp;lc=UgykfS46NGf-jN6vhyt4AaABAg.A-4nA978AGpA-5o_r-_jDM")</f>
        <v>https://www.youtube.com/watch?v=IHWzT2TNYKQ&amp;lc=UgykfS46NGf-jN6vhyt4AaABAg.A-4nA978AGpA-5o_r-_jDM</v>
      </c>
      <c r="O2810">
        <v>0</v>
      </c>
      <c r="P2810">
        <v>0</v>
      </c>
      <c r="Q2810">
        <v>0</v>
      </c>
      <c r="S2810">
        <v>0</v>
      </c>
      <c r="T2810">
        <v>0</v>
      </c>
      <c r="U2810">
        <v>0</v>
      </c>
      <c r="W2810" t="s">
        <v>52</v>
      </c>
    </row>
    <row r="2811" spans="1:23" x14ac:dyDescent="0.35">
      <c r="A2811" t="s">
        <v>45</v>
      </c>
      <c r="B2811" t="s">
        <v>5641</v>
      </c>
      <c r="C2811" t="s">
        <v>47</v>
      </c>
      <c r="D2811" t="s">
        <v>5740</v>
      </c>
      <c r="E2811" t="s">
        <v>5740</v>
      </c>
      <c r="F2811" t="s">
        <v>193</v>
      </c>
      <c r="G2811" t="s">
        <v>5741</v>
      </c>
      <c r="H2811" t="s">
        <v>5742</v>
      </c>
      <c r="J2811" t="str">
        <f>HYPERLINK("https://www.youtube.com/watch?v=IHWzT2TNYKQ&amp;lc=Ugxn42D2DH9blUTZHw54AaABAg","https://www.youtube.com/watch?v=IHWzT2TNYKQ&amp;lc=Ugxn42D2DH9blUTZHw54AaABAg")</f>
        <v>https://www.youtube.com/watch?v=IHWzT2TNYKQ&amp;lc=Ugxn42D2DH9blUTZHw54AaABAg</v>
      </c>
      <c r="O2811">
        <v>0</v>
      </c>
      <c r="P2811">
        <v>0</v>
      </c>
      <c r="Q2811">
        <v>0</v>
      </c>
      <c r="S2811">
        <v>0</v>
      </c>
      <c r="T2811">
        <v>0</v>
      </c>
      <c r="U2811">
        <v>0</v>
      </c>
      <c r="W2811" t="s">
        <v>52</v>
      </c>
    </row>
    <row r="2812" spans="1:23" x14ac:dyDescent="0.35">
      <c r="A2812" t="s">
        <v>45</v>
      </c>
      <c r="B2812" t="s">
        <v>5641</v>
      </c>
      <c r="C2812" t="s">
        <v>47</v>
      </c>
      <c r="D2812" t="s">
        <v>5743</v>
      </c>
      <c r="E2812" t="s">
        <v>5743</v>
      </c>
      <c r="F2812" t="s">
        <v>54</v>
      </c>
      <c r="G2812" t="s">
        <v>5744</v>
      </c>
      <c r="H2812" t="s">
        <v>5745</v>
      </c>
      <c r="J2812" t="str">
        <f>HYPERLINK("https://www.youtube.com/watch?v=ThXQf6FaaYw&amp;lc=UgyaDA5q04SrutTesZN4AaABAg","https://www.youtube.com/watch?v=ThXQf6FaaYw&amp;lc=UgyaDA5q04SrutTesZN4AaABAg")</f>
        <v>https://www.youtube.com/watch?v=ThXQf6FaaYw&amp;lc=UgyaDA5q04SrutTesZN4AaABAg</v>
      </c>
      <c r="O2812">
        <v>0</v>
      </c>
      <c r="P2812">
        <v>0</v>
      </c>
      <c r="Q2812">
        <v>0</v>
      </c>
      <c r="S2812">
        <v>0</v>
      </c>
      <c r="T2812">
        <v>0</v>
      </c>
      <c r="U2812">
        <v>0</v>
      </c>
      <c r="W2812" t="s">
        <v>52</v>
      </c>
    </row>
    <row r="2813" spans="1:23" x14ac:dyDescent="0.35">
      <c r="A2813" t="s">
        <v>45</v>
      </c>
      <c r="B2813" t="s">
        <v>5641</v>
      </c>
      <c r="C2813" t="s">
        <v>60</v>
      </c>
      <c r="D2813" t="s">
        <v>61</v>
      </c>
      <c r="E2813" t="s">
        <v>61</v>
      </c>
      <c r="F2813" t="s">
        <v>193</v>
      </c>
      <c r="G2813" t="s">
        <v>5746</v>
      </c>
      <c r="H2813" t="s">
        <v>5747</v>
      </c>
      <c r="J2813" t="str">
        <f>HYPERLINK("https://www.facebook.com/634639855377280/posts/780067474167850?comment_id=354736150820896","https://www.facebook.com/634639855377280/posts/780067474167850?comment_id=354736150820896")</f>
        <v>https://www.facebook.com/634639855377280/posts/780067474167850?comment_id=354736150820896</v>
      </c>
      <c r="O2813">
        <v>0</v>
      </c>
      <c r="P2813">
        <v>0</v>
      </c>
      <c r="Q2813">
        <v>0</v>
      </c>
      <c r="S2813">
        <v>0</v>
      </c>
      <c r="T2813">
        <v>0</v>
      </c>
      <c r="U2813">
        <v>0</v>
      </c>
      <c r="W2813" t="s">
        <v>52</v>
      </c>
    </row>
    <row r="2814" spans="1:23" x14ac:dyDescent="0.35">
      <c r="A2814" t="s">
        <v>45</v>
      </c>
      <c r="B2814" t="s">
        <v>5641</v>
      </c>
      <c r="C2814" t="s">
        <v>47</v>
      </c>
      <c r="D2814" t="s">
        <v>5748</v>
      </c>
      <c r="E2814" t="s">
        <v>5748</v>
      </c>
      <c r="F2814" t="s">
        <v>193</v>
      </c>
      <c r="G2814" t="s">
        <v>5749</v>
      </c>
      <c r="H2814" t="s">
        <v>5750</v>
      </c>
      <c r="J2814" t="str">
        <f>HYPERLINK("https://www.youtube.com/watch?v=IHWzT2TNYKQ&amp;lc=UgykfS46NGf-jN6vhyt4AaABAg","https://www.youtube.com/watch?v=IHWzT2TNYKQ&amp;lc=UgykfS46NGf-jN6vhyt4AaABAg")</f>
        <v>https://www.youtube.com/watch?v=IHWzT2TNYKQ&amp;lc=UgykfS46NGf-jN6vhyt4AaABAg</v>
      </c>
      <c r="O2814">
        <v>0</v>
      </c>
      <c r="P2814">
        <v>0</v>
      </c>
      <c r="Q2814">
        <v>0</v>
      </c>
      <c r="S2814">
        <v>0</v>
      </c>
      <c r="T2814">
        <v>0</v>
      </c>
      <c r="U2814">
        <v>0</v>
      </c>
      <c r="W2814" t="s">
        <v>52</v>
      </c>
    </row>
    <row r="2815" spans="1:23" x14ac:dyDescent="0.35">
      <c r="A2815" t="s">
        <v>45</v>
      </c>
      <c r="B2815" t="s">
        <v>5641</v>
      </c>
      <c r="C2815" t="s">
        <v>47</v>
      </c>
      <c r="D2815" t="s">
        <v>5748</v>
      </c>
      <c r="E2815" t="s">
        <v>5748</v>
      </c>
      <c r="F2815" t="s">
        <v>193</v>
      </c>
      <c r="G2815" t="s">
        <v>5749</v>
      </c>
      <c r="H2815" t="s">
        <v>5751</v>
      </c>
      <c r="J2815" t="str">
        <f>HYPERLINK("https://www.youtube.com/watch?v=IHWzT2TNYKQ&amp;lc=UgwW2885FnisLw_cRqN4AaABAg","https://www.youtube.com/watch?v=IHWzT2TNYKQ&amp;lc=UgwW2885FnisLw_cRqN4AaABAg")</f>
        <v>https://www.youtube.com/watch?v=IHWzT2TNYKQ&amp;lc=UgwW2885FnisLw_cRqN4AaABAg</v>
      </c>
      <c r="O2815">
        <v>0</v>
      </c>
      <c r="P2815">
        <v>0</v>
      </c>
      <c r="Q2815">
        <v>0</v>
      </c>
      <c r="S2815">
        <v>0</v>
      </c>
      <c r="T2815">
        <v>0</v>
      </c>
      <c r="U2815">
        <v>0</v>
      </c>
      <c r="W2815" t="s">
        <v>52</v>
      </c>
    </row>
    <row r="2816" spans="1:23" x14ac:dyDescent="0.35">
      <c r="A2816" t="s">
        <v>45</v>
      </c>
      <c r="B2816" t="s">
        <v>5641</v>
      </c>
      <c r="C2816" t="s">
        <v>47</v>
      </c>
      <c r="D2816" t="s">
        <v>5748</v>
      </c>
      <c r="E2816" t="s">
        <v>5748</v>
      </c>
      <c r="F2816" t="s">
        <v>193</v>
      </c>
      <c r="G2816" t="s">
        <v>5749</v>
      </c>
      <c r="H2816" t="s">
        <v>5752</v>
      </c>
      <c r="J2816" t="str">
        <f>HYPERLINK("https://www.youtube.com/watch?v=IHWzT2TNYKQ&amp;lc=UgwDm0HYq7eitRkXuQh4AaABAg","https://www.youtube.com/watch?v=IHWzT2TNYKQ&amp;lc=UgwDm0HYq7eitRkXuQh4AaABAg")</f>
        <v>https://www.youtube.com/watch?v=IHWzT2TNYKQ&amp;lc=UgwDm0HYq7eitRkXuQh4AaABAg</v>
      </c>
      <c r="O2816">
        <v>0</v>
      </c>
      <c r="P2816">
        <v>0</v>
      </c>
      <c r="Q2816">
        <v>0</v>
      </c>
      <c r="S2816">
        <v>0</v>
      </c>
      <c r="T2816">
        <v>0</v>
      </c>
      <c r="U2816">
        <v>0</v>
      </c>
      <c r="W2816" t="s">
        <v>52</v>
      </c>
    </row>
    <row r="2817" spans="1:23" x14ac:dyDescent="0.35">
      <c r="A2817" t="s">
        <v>45</v>
      </c>
      <c r="B2817" t="s">
        <v>5641</v>
      </c>
      <c r="C2817" t="s">
        <v>47</v>
      </c>
      <c r="D2817" t="s">
        <v>5748</v>
      </c>
      <c r="E2817" t="s">
        <v>5748</v>
      </c>
      <c r="F2817" t="s">
        <v>193</v>
      </c>
      <c r="G2817" t="s">
        <v>5749</v>
      </c>
      <c r="H2817" t="s">
        <v>5753</v>
      </c>
      <c r="J2817" t="str">
        <f>HYPERLINK("https://www.youtube.com/watch?v=IHWzT2TNYKQ&amp;lc=Ugxy7_7lXqGBjky3Sll4AaABAg","https://www.youtube.com/watch?v=IHWzT2TNYKQ&amp;lc=Ugxy7_7lXqGBjky3Sll4AaABAg")</f>
        <v>https://www.youtube.com/watch?v=IHWzT2TNYKQ&amp;lc=Ugxy7_7lXqGBjky3Sll4AaABAg</v>
      </c>
      <c r="O2817">
        <v>0</v>
      </c>
      <c r="P2817">
        <v>0</v>
      </c>
      <c r="Q2817">
        <v>0</v>
      </c>
      <c r="S2817">
        <v>0</v>
      </c>
      <c r="T2817">
        <v>0</v>
      </c>
      <c r="U2817">
        <v>0</v>
      </c>
      <c r="W2817" t="s">
        <v>52</v>
      </c>
    </row>
    <row r="2818" spans="1:23" x14ac:dyDescent="0.35">
      <c r="A2818" t="s">
        <v>45</v>
      </c>
      <c r="B2818" t="s">
        <v>5641</v>
      </c>
      <c r="C2818" t="s">
        <v>47</v>
      </c>
      <c r="D2818" t="s">
        <v>5748</v>
      </c>
      <c r="E2818" t="s">
        <v>5748</v>
      </c>
      <c r="F2818" t="s">
        <v>193</v>
      </c>
      <c r="G2818" t="s">
        <v>5749</v>
      </c>
      <c r="H2818" t="s">
        <v>5754</v>
      </c>
      <c r="J2818" t="str">
        <f>HYPERLINK("https://www.youtube.com/watch?v=IHWzT2TNYKQ&amp;lc=Ugz7CO6CXr_eqf7Agnp4AaABAg","https://www.youtube.com/watch?v=IHWzT2TNYKQ&amp;lc=Ugz7CO6CXr_eqf7Agnp4AaABAg")</f>
        <v>https://www.youtube.com/watch?v=IHWzT2TNYKQ&amp;lc=Ugz7CO6CXr_eqf7Agnp4AaABAg</v>
      </c>
      <c r="O2818">
        <v>0</v>
      </c>
      <c r="P2818">
        <v>0</v>
      </c>
      <c r="Q2818">
        <v>0</v>
      </c>
      <c r="S2818">
        <v>0</v>
      </c>
      <c r="T2818">
        <v>0</v>
      </c>
      <c r="U2818">
        <v>0</v>
      </c>
      <c r="W2818" t="s">
        <v>52</v>
      </c>
    </row>
    <row r="2819" spans="1:23" x14ac:dyDescent="0.35">
      <c r="A2819" t="s">
        <v>45</v>
      </c>
      <c r="B2819" t="s">
        <v>5755</v>
      </c>
      <c r="C2819" t="s">
        <v>47</v>
      </c>
      <c r="D2819" t="s">
        <v>5748</v>
      </c>
      <c r="E2819" t="s">
        <v>5748</v>
      </c>
      <c r="F2819" t="s">
        <v>193</v>
      </c>
      <c r="G2819" t="s">
        <v>5749</v>
      </c>
      <c r="H2819" t="s">
        <v>5756</v>
      </c>
      <c r="J2819" t="str">
        <f>HYPERLINK("https://www.youtube.com/watch?v=IHWzT2TNYKQ&amp;lc=Ugy3GvNaMjZ0hDOmkUN4AaABAg","https://www.youtube.com/watch?v=IHWzT2TNYKQ&amp;lc=Ugy3GvNaMjZ0hDOmkUN4AaABAg")</f>
        <v>https://www.youtube.com/watch?v=IHWzT2TNYKQ&amp;lc=Ugy3GvNaMjZ0hDOmkUN4AaABAg</v>
      </c>
      <c r="O2819">
        <v>0</v>
      </c>
      <c r="P2819">
        <v>0</v>
      </c>
      <c r="Q2819">
        <v>0</v>
      </c>
      <c r="S2819">
        <v>0</v>
      </c>
      <c r="T2819">
        <v>0</v>
      </c>
      <c r="U2819">
        <v>0</v>
      </c>
      <c r="W2819" t="s">
        <v>52</v>
      </c>
    </row>
    <row r="2820" spans="1:23" x14ac:dyDescent="0.35">
      <c r="A2820" t="s">
        <v>45</v>
      </c>
      <c r="B2820" t="s">
        <v>5755</v>
      </c>
      <c r="C2820" t="s">
        <v>60</v>
      </c>
      <c r="D2820" t="s">
        <v>61</v>
      </c>
      <c r="E2820" t="s">
        <v>61</v>
      </c>
      <c r="F2820" t="s">
        <v>193</v>
      </c>
      <c r="G2820" t="s">
        <v>5620</v>
      </c>
      <c r="H2820" t="s">
        <v>5757</v>
      </c>
      <c r="J2820" t="str">
        <f>HYPERLINK("https://www.facebook.com/634639855377280/posts/779403670900897?comment_id=354673160699970","https://www.facebook.com/634639855377280/posts/779403670900897?comment_id=354673160699970")</f>
        <v>https://www.facebook.com/634639855377280/posts/779403670900897?comment_id=354673160699970</v>
      </c>
      <c r="O2820">
        <v>0</v>
      </c>
      <c r="P2820">
        <v>0</v>
      </c>
      <c r="Q2820">
        <v>0</v>
      </c>
      <c r="S2820">
        <v>0</v>
      </c>
      <c r="T2820">
        <v>0</v>
      </c>
      <c r="U2820">
        <v>0</v>
      </c>
      <c r="W2820" t="s">
        <v>52</v>
      </c>
    </row>
    <row r="2821" spans="1:23" x14ac:dyDescent="0.35">
      <c r="A2821" t="s">
        <v>45</v>
      </c>
      <c r="B2821" t="s">
        <v>5755</v>
      </c>
      <c r="C2821" t="s">
        <v>60</v>
      </c>
      <c r="D2821" t="s">
        <v>61</v>
      </c>
      <c r="E2821" t="s">
        <v>61</v>
      </c>
      <c r="F2821" t="s">
        <v>193</v>
      </c>
      <c r="G2821" t="s">
        <v>5620</v>
      </c>
      <c r="H2821" t="s">
        <v>5758</v>
      </c>
      <c r="J2821" t="str">
        <f>HYPERLINK("https://www.facebook.com/634639855377280/posts/780067474167850?comment_id=6443042742463853","https://www.facebook.com/634639855377280/posts/780067474167850?comment_id=6443042742463853")</f>
        <v>https://www.facebook.com/634639855377280/posts/780067474167850?comment_id=6443042742463853</v>
      </c>
      <c r="O2821">
        <v>0</v>
      </c>
      <c r="P2821">
        <v>0</v>
      </c>
      <c r="Q2821">
        <v>0</v>
      </c>
      <c r="S2821">
        <v>0</v>
      </c>
      <c r="T2821">
        <v>0</v>
      </c>
      <c r="U2821">
        <v>0</v>
      </c>
      <c r="W2821" t="s">
        <v>52</v>
      </c>
    </row>
    <row r="2822" spans="1:23" x14ac:dyDescent="0.35">
      <c r="A2822" t="s">
        <v>45</v>
      </c>
      <c r="B2822" t="s">
        <v>5755</v>
      </c>
      <c r="C2822" t="s">
        <v>60</v>
      </c>
      <c r="D2822" t="s">
        <v>61</v>
      </c>
      <c r="E2822" t="s">
        <v>61</v>
      </c>
      <c r="F2822" t="s">
        <v>193</v>
      </c>
      <c r="G2822" t="s">
        <v>5620</v>
      </c>
      <c r="H2822" t="s">
        <v>5759</v>
      </c>
      <c r="J2822" t="str">
        <f>HYPERLINK("https://www.facebook.com/634639855377280/posts/780067474167850?comment_id=390764633642504","https://www.facebook.com/634639855377280/posts/780067474167850?comment_id=390764633642504")</f>
        <v>https://www.facebook.com/634639855377280/posts/780067474167850?comment_id=390764633642504</v>
      </c>
      <c r="O2822">
        <v>0</v>
      </c>
      <c r="P2822">
        <v>0</v>
      </c>
      <c r="Q2822">
        <v>0</v>
      </c>
      <c r="S2822">
        <v>0</v>
      </c>
      <c r="T2822">
        <v>0</v>
      </c>
      <c r="U2822">
        <v>0</v>
      </c>
      <c r="W2822" t="s">
        <v>52</v>
      </c>
    </row>
    <row r="2823" spans="1:23" x14ac:dyDescent="0.35">
      <c r="A2823" t="s">
        <v>45</v>
      </c>
      <c r="B2823" t="s">
        <v>5755</v>
      </c>
      <c r="C2823" t="s">
        <v>60</v>
      </c>
      <c r="D2823" t="s">
        <v>61</v>
      </c>
      <c r="E2823" t="s">
        <v>61</v>
      </c>
      <c r="F2823" t="s">
        <v>49</v>
      </c>
      <c r="G2823" t="s">
        <v>5760</v>
      </c>
      <c r="H2823" t="s">
        <v>5761</v>
      </c>
      <c r="J2823" t="str">
        <f>HYPERLINK("https://www.facebook.com/634639855377280/posts/780067474167850?comment_id=1472337736713935","https://www.facebook.com/634639855377280/posts/780067474167850?comment_id=1472337736713935")</f>
        <v>https://www.facebook.com/634639855377280/posts/780067474167850?comment_id=1472337736713935</v>
      </c>
      <c r="O2823">
        <v>0</v>
      </c>
      <c r="P2823">
        <v>0</v>
      </c>
      <c r="Q2823">
        <v>0</v>
      </c>
      <c r="S2823">
        <v>0</v>
      </c>
      <c r="T2823">
        <v>0</v>
      </c>
      <c r="U2823">
        <v>0</v>
      </c>
      <c r="W2823" t="s">
        <v>52</v>
      </c>
    </row>
    <row r="2824" spans="1:23" x14ac:dyDescent="0.35">
      <c r="A2824" t="s">
        <v>45</v>
      </c>
      <c r="B2824" t="s">
        <v>5755</v>
      </c>
      <c r="C2824" t="s">
        <v>60</v>
      </c>
      <c r="D2824" t="s">
        <v>61</v>
      </c>
      <c r="E2824" t="s">
        <v>61</v>
      </c>
      <c r="F2824" t="s">
        <v>193</v>
      </c>
      <c r="G2824" t="s">
        <v>5762</v>
      </c>
      <c r="H2824" t="s">
        <v>5763</v>
      </c>
      <c r="J2824" t="str">
        <f>HYPERLINK("https://www.facebook.com/634639855377280/posts/780067474167850?comment_id=222307520952686","https://www.facebook.com/634639855377280/posts/780067474167850?comment_id=222307520952686")</f>
        <v>https://www.facebook.com/634639855377280/posts/780067474167850?comment_id=222307520952686</v>
      </c>
      <c r="O2824">
        <v>0</v>
      </c>
      <c r="P2824">
        <v>0</v>
      </c>
      <c r="Q2824">
        <v>0</v>
      </c>
      <c r="S2824">
        <v>0</v>
      </c>
      <c r="T2824">
        <v>0</v>
      </c>
      <c r="U2824">
        <v>0</v>
      </c>
      <c r="W2824" t="s">
        <v>52</v>
      </c>
    </row>
    <row r="2825" spans="1:23" x14ac:dyDescent="0.35">
      <c r="A2825" t="s">
        <v>45</v>
      </c>
      <c r="B2825" t="s">
        <v>5755</v>
      </c>
      <c r="C2825" t="s">
        <v>47</v>
      </c>
      <c r="D2825" t="s">
        <v>5764</v>
      </c>
      <c r="E2825" t="s">
        <v>5764</v>
      </c>
      <c r="F2825" t="s">
        <v>49</v>
      </c>
      <c r="G2825" t="s">
        <v>5765</v>
      </c>
      <c r="H2825" t="s">
        <v>5766</v>
      </c>
      <c r="J2825" t="str">
        <f>HYPERLINK("https://www.youtube.com/watch?v=pJw8yRpVZew&amp;lc=UgyHlvxGYiqaqG7XUKV4AaABAg","https://www.youtube.com/watch?v=pJw8yRpVZew&amp;lc=UgyHlvxGYiqaqG7XUKV4AaABAg")</f>
        <v>https://www.youtube.com/watch?v=pJw8yRpVZew&amp;lc=UgyHlvxGYiqaqG7XUKV4AaABAg</v>
      </c>
      <c r="O2825">
        <v>0</v>
      </c>
      <c r="P2825">
        <v>0</v>
      </c>
      <c r="Q2825">
        <v>0</v>
      </c>
      <c r="S2825">
        <v>0</v>
      </c>
      <c r="T2825">
        <v>0</v>
      </c>
      <c r="U2825">
        <v>0</v>
      </c>
      <c r="W2825" t="s">
        <v>52</v>
      </c>
    </row>
    <row r="2826" spans="1:23" x14ac:dyDescent="0.35">
      <c r="A2826" t="s">
        <v>45</v>
      </c>
      <c r="B2826" t="s">
        <v>5755</v>
      </c>
      <c r="C2826" t="s">
        <v>60</v>
      </c>
      <c r="D2826" t="s">
        <v>61</v>
      </c>
      <c r="E2826" t="s">
        <v>61</v>
      </c>
      <c r="F2826" t="s">
        <v>49</v>
      </c>
      <c r="G2826" t="s">
        <v>5767</v>
      </c>
      <c r="H2826" t="s">
        <v>5768</v>
      </c>
      <c r="J2826" t="str">
        <f>HYPERLINK("https://www.facebook.com/634639855377280/posts/776916321149632?comment_id=404974811933297&amp;reply_comment_id=913128457094829","https://www.facebook.com/634639855377280/posts/776916321149632?comment_id=404974811933297&amp;reply_comment_id=913128457094829")</f>
        <v>https://www.facebook.com/634639855377280/posts/776916321149632?comment_id=404974811933297&amp;reply_comment_id=913128457094829</v>
      </c>
      <c r="O2826">
        <v>0</v>
      </c>
      <c r="P2826">
        <v>0</v>
      </c>
      <c r="Q2826">
        <v>0</v>
      </c>
      <c r="S2826">
        <v>0</v>
      </c>
      <c r="T2826">
        <v>0</v>
      </c>
      <c r="U2826">
        <v>0</v>
      </c>
      <c r="W2826" t="s">
        <v>52</v>
      </c>
    </row>
    <row r="2827" spans="1:23" x14ac:dyDescent="0.35">
      <c r="A2827" t="s">
        <v>45</v>
      </c>
      <c r="B2827" t="s">
        <v>5755</v>
      </c>
      <c r="C2827" t="s">
        <v>60</v>
      </c>
      <c r="D2827" t="s">
        <v>61</v>
      </c>
      <c r="E2827" t="s">
        <v>61</v>
      </c>
      <c r="F2827" t="s">
        <v>49</v>
      </c>
      <c r="G2827" t="s">
        <v>5769</v>
      </c>
      <c r="H2827" t="s">
        <v>5770</v>
      </c>
      <c r="J2827" t="str">
        <f>HYPERLINK("https://www.facebook.com/634639855377280/posts/780067474167850?comment_id=220695587699724","https://www.facebook.com/634639855377280/posts/780067474167850?comment_id=220695587699724")</f>
        <v>https://www.facebook.com/634639855377280/posts/780067474167850?comment_id=220695587699724</v>
      </c>
      <c r="O2827">
        <v>0</v>
      </c>
      <c r="P2827">
        <v>0</v>
      </c>
      <c r="Q2827">
        <v>0</v>
      </c>
      <c r="S2827">
        <v>0</v>
      </c>
      <c r="T2827">
        <v>0</v>
      </c>
      <c r="U2827">
        <v>0</v>
      </c>
      <c r="W2827" t="s">
        <v>52</v>
      </c>
    </row>
    <row r="2828" spans="1:23" x14ac:dyDescent="0.35">
      <c r="A2828" t="s">
        <v>45</v>
      </c>
      <c r="B2828" t="s">
        <v>5755</v>
      </c>
      <c r="C2828" t="s">
        <v>93</v>
      </c>
      <c r="D2828" t="s">
        <v>94</v>
      </c>
      <c r="E2828" t="s">
        <v>45</v>
      </c>
      <c r="F2828" t="s">
        <v>49</v>
      </c>
      <c r="G2828" t="s">
        <v>5771</v>
      </c>
      <c r="H2828" t="s">
        <v>5772</v>
      </c>
      <c r="J2828" t="str">
        <f>HYPERLINK("https://twitter.com/SpiceMoneyIndia/status/1751218242901725465","https://twitter.com/SpiceMoneyIndia/status/1751218242901725465")</f>
        <v>https://twitter.com/SpiceMoneyIndia/status/1751218242901725465</v>
      </c>
      <c r="K2828" t="s">
        <v>67</v>
      </c>
      <c r="O2828">
        <v>0</v>
      </c>
      <c r="P2828">
        <v>0</v>
      </c>
      <c r="Q2828">
        <v>6008</v>
      </c>
      <c r="R2828" t="s">
        <v>97</v>
      </c>
      <c r="S2828">
        <v>0</v>
      </c>
      <c r="T2828">
        <v>0</v>
      </c>
      <c r="U2828">
        <v>0</v>
      </c>
      <c r="V2828" t="s">
        <v>98</v>
      </c>
      <c r="W2828" t="s">
        <v>99</v>
      </c>
    </row>
    <row r="2829" spans="1:23" x14ac:dyDescent="0.35">
      <c r="A2829" t="s">
        <v>45</v>
      </c>
      <c r="B2829" t="s">
        <v>5755</v>
      </c>
      <c r="C2829" t="s">
        <v>93</v>
      </c>
      <c r="D2829" t="s">
        <v>94</v>
      </c>
      <c r="E2829" t="s">
        <v>45</v>
      </c>
      <c r="F2829" t="s">
        <v>49</v>
      </c>
      <c r="G2829" t="s">
        <v>5010</v>
      </c>
      <c r="H2829" t="s">
        <v>5773</v>
      </c>
      <c r="J2829" t="str">
        <f>HYPERLINK("https://twitter.com/SpiceMoneyIndia/status/1751210881147338988","https://twitter.com/SpiceMoneyIndia/status/1751210881147338988")</f>
        <v>https://twitter.com/SpiceMoneyIndia/status/1751210881147338988</v>
      </c>
      <c r="K2829" t="s">
        <v>67</v>
      </c>
      <c r="O2829">
        <v>0</v>
      </c>
      <c r="P2829">
        <v>0</v>
      </c>
      <c r="Q2829">
        <v>6008</v>
      </c>
      <c r="R2829" t="s">
        <v>97</v>
      </c>
      <c r="S2829">
        <v>0</v>
      </c>
      <c r="T2829">
        <v>0</v>
      </c>
      <c r="U2829">
        <v>0</v>
      </c>
      <c r="V2829" t="s">
        <v>98</v>
      </c>
      <c r="W2829" t="s">
        <v>99</v>
      </c>
    </row>
    <row r="2830" spans="1:23" x14ac:dyDescent="0.35">
      <c r="A2830" t="s">
        <v>45</v>
      </c>
      <c r="B2830" t="s">
        <v>5755</v>
      </c>
      <c r="C2830" t="s">
        <v>60</v>
      </c>
      <c r="D2830" t="s">
        <v>61</v>
      </c>
      <c r="E2830" t="s">
        <v>61</v>
      </c>
      <c r="F2830" t="s">
        <v>49</v>
      </c>
      <c r="G2830" t="s">
        <v>5400</v>
      </c>
      <c r="H2830" t="s">
        <v>5774</v>
      </c>
      <c r="J2830" t="str">
        <f>HYPERLINK("https://www.facebook.com/634639855377280/posts/780067474167850?comment_id=862289422317002","https://www.facebook.com/634639855377280/posts/780067474167850?comment_id=862289422317002")</f>
        <v>https://www.facebook.com/634639855377280/posts/780067474167850?comment_id=862289422317002</v>
      </c>
      <c r="O2830">
        <v>0</v>
      </c>
      <c r="P2830">
        <v>0</v>
      </c>
      <c r="Q2830">
        <v>0</v>
      </c>
      <c r="S2830">
        <v>0</v>
      </c>
      <c r="T2830">
        <v>0</v>
      </c>
      <c r="U2830">
        <v>0</v>
      </c>
      <c r="W2830" t="s">
        <v>52</v>
      </c>
    </row>
    <row r="2831" spans="1:23" x14ac:dyDescent="0.35">
      <c r="A2831" t="s">
        <v>45</v>
      </c>
      <c r="B2831" t="s">
        <v>5755</v>
      </c>
      <c r="C2831" t="s">
        <v>93</v>
      </c>
      <c r="D2831" t="s">
        <v>5015</v>
      </c>
      <c r="E2831" t="s">
        <v>5016</v>
      </c>
      <c r="F2831" t="s">
        <v>49</v>
      </c>
      <c r="G2831" t="s">
        <v>5775</v>
      </c>
      <c r="H2831" t="s">
        <v>5776</v>
      </c>
      <c r="J2831" t="str">
        <f>HYPERLINK("https://twitter.com/lovingvishwas24/status/1751195147587744074","https://twitter.com/lovingvishwas24/status/1751195147587744074")</f>
        <v>https://twitter.com/lovingvishwas24/status/1751195147587744074</v>
      </c>
      <c r="K2831" t="s">
        <v>67</v>
      </c>
      <c r="O2831">
        <v>0</v>
      </c>
      <c r="P2831">
        <v>0</v>
      </c>
      <c r="Q2831">
        <v>6</v>
      </c>
      <c r="S2831">
        <v>0</v>
      </c>
      <c r="T2831">
        <v>0</v>
      </c>
      <c r="U2831">
        <v>0</v>
      </c>
      <c r="W2831" t="s">
        <v>99</v>
      </c>
    </row>
    <row r="2832" spans="1:23" x14ac:dyDescent="0.35">
      <c r="A2832" t="s">
        <v>45</v>
      </c>
      <c r="B2832" t="s">
        <v>5755</v>
      </c>
      <c r="C2832" t="s">
        <v>93</v>
      </c>
      <c r="D2832" t="s">
        <v>5777</v>
      </c>
      <c r="E2832" t="s">
        <v>5778</v>
      </c>
      <c r="F2832" t="s">
        <v>54</v>
      </c>
      <c r="G2832" t="s">
        <v>5779</v>
      </c>
      <c r="H2832" t="s">
        <v>5780</v>
      </c>
      <c r="J2832" t="str">
        <f>HYPERLINK("https://twitter.com/JatinTripathiii/status/1751188776968392922","https://twitter.com/JatinTripathiii/status/1751188776968392922")</f>
        <v>https://twitter.com/JatinTripathiii/status/1751188776968392922</v>
      </c>
      <c r="K2832" t="s">
        <v>67</v>
      </c>
      <c r="O2832">
        <v>0</v>
      </c>
      <c r="P2832">
        <v>0</v>
      </c>
      <c r="Q2832">
        <v>9</v>
      </c>
      <c r="R2832" t="s">
        <v>5781</v>
      </c>
      <c r="S2832">
        <v>0</v>
      </c>
      <c r="T2832">
        <v>0</v>
      </c>
      <c r="U2832">
        <v>0</v>
      </c>
      <c r="W2832" t="s">
        <v>99</v>
      </c>
    </row>
    <row r="2833" spans="1:23" x14ac:dyDescent="0.35">
      <c r="A2833" t="s">
        <v>45</v>
      </c>
      <c r="B2833" t="s">
        <v>5755</v>
      </c>
      <c r="C2833" t="s">
        <v>93</v>
      </c>
      <c r="D2833" t="s">
        <v>94</v>
      </c>
      <c r="E2833" t="s">
        <v>45</v>
      </c>
      <c r="F2833" t="s">
        <v>49</v>
      </c>
      <c r="G2833" t="s">
        <v>5782</v>
      </c>
      <c r="H2833" t="s">
        <v>5783</v>
      </c>
      <c r="J2833" t="str">
        <f>HYPERLINK("https://twitter.com/SpiceMoneyIndia/status/1751187138060718120","https://twitter.com/SpiceMoneyIndia/status/1751187138060718120")</f>
        <v>https://twitter.com/SpiceMoneyIndia/status/1751187138060718120</v>
      </c>
      <c r="K2833" t="s">
        <v>67</v>
      </c>
      <c r="O2833">
        <v>0</v>
      </c>
      <c r="P2833">
        <v>0</v>
      </c>
      <c r="Q2833">
        <v>6007</v>
      </c>
      <c r="R2833" t="s">
        <v>97</v>
      </c>
      <c r="S2833">
        <v>0</v>
      </c>
      <c r="T2833">
        <v>0</v>
      </c>
      <c r="U2833">
        <v>0</v>
      </c>
      <c r="V2833" t="s">
        <v>98</v>
      </c>
      <c r="W2833" t="s">
        <v>99</v>
      </c>
    </row>
    <row r="2834" spans="1:23" x14ac:dyDescent="0.35">
      <c r="A2834" t="s">
        <v>45</v>
      </c>
      <c r="B2834" t="s">
        <v>5755</v>
      </c>
      <c r="C2834" t="s">
        <v>60</v>
      </c>
      <c r="D2834" t="s">
        <v>64</v>
      </c>
      <c r="E2834" t="s">
        <v>64</v>
      </c>
      <c r="F2834" t="s">
        <v>49</v>
      </c>
      <c r="G2834" t="s">
        <v>83</v>
      </c>
      <c r="H2834" t="s">
        <v>5784</v>
      </c>
      <c r="J2834" t="str">
        <f>HYPERLINK("https://www.facebook.com/634639855377280/posts/776916321149632?comment_id=404974811933297&amp;reply_comment_id=1355899221727979","https://www.facebook.com/634639855377280/posts/776916321149632?comment_id=404974811933297&amp;reply_comment_id=1355899221727979")</f>
        <v>https://www.facebook.com/634639855377280/posts/776916321149632?comment_id=404974811933297&amp;reply_comment_id=1355899221727979</v>
      </c>
      <c r="K2834" t="s">
        <v>67</v>
      </c>
      <c r="O2834">
        <v>0</v>
      </c>
      <c r="P2834">
        <v>0</v>
      </c>
      <c r="Q2834">
        <v>0</v>
      </c>
      <c r="S2834">
        <v>0</v>
      </c>
      <c r="T2834">
        <v>0</v>
      </c>
      <c r="U2834">
        <v>0</v>
      </c>
      <c r="W2834" t="s">
        <v>52</v>
      </c>
    </row>
    <row r="2835" spans="1:23" x14ac:dyDescent="0.35">
      <c r="A2835" t="s">
        <v>45</v>
      </c>
      <c r="B2835" t="s">
        <v>5755</v>
      </c>
      <c r="C2835" t="s">
        <v>93</v>
      </c>
      <c r="D2835" t="s">
        <v>5777</v>
      </c>
      <c r="E2835" t="s">
        <v>5778</v>
      </c>
      <c r="F2835" t="s">
        <v>49</v>
      </c>
      <c r="G2835" t="s">
        <v>5785</v>
      </c>
      <c r="H2835" t="s">
        <v>5786</v>
      </c>
      <c r="J2835" t="str">
        <f>HYPERLINK("https://twitter.com/JatinTripathiii/status/1751184307866222737","https://twitter.com/JatinTripathiii/status/1751184307866222737")</f>
        <v>https://twitter.com/JatinTripathiii/status/1751184307866222737</v>
      </c>
      <c r="K2835" t="s">
        <v>67</v>
      </c>
      <c r="O2835">
        <v>0</v>
      </c>
      <c r="P2835">
        <v>0</v>
      </c>
      <c r="Q2835">
        <v>9</v>
      </c>
      <c r="R2835" t="s">
        <v>5781</v>
      </c>
      <c r="S2835">
        <v>0</v>
      </c>
      <c r="T2835">
        <v>0</v>
      </c>
      <c r="U2835">
        <v>0</v>
      </c>
      <c r="W2835" t="s">
        <v>99</v>
      </c>
    </row>
    <row r="2836" spans="1:23" x14ac:dyDescent="0.35">
      <c r="A2836" t="s">
        <v>45</v>
      </c>
      <c r="B2836" t="s">
        <v>5755</v>
      </c>
      <c r="C2836" t="s">
        <v>47</v>
      </c>
      <c r="D2836" t="s">
        <v>68</v>
      </c>
      <c r="E2836" t="s">
        <v>68</v>
      </c>
      <c r="F2836" t="s">
        <v>49</v>
      </c>
      <c r="G2836" t="s">
        <v>102</v>
      </c>
      <c r="H2836" t="s">
        <v>5787</v>
      </c>
      <c r="J2836" t="str">
        <f>HYPERLINK("https://www.youtube.com/watch?v=--SsTSqIa-4&amp;lc=UgwyVDDVsoKw8T-JKTR4AaABAg.A-3Tb2rHHHNA-3s_g7jCli","https://www.youtube.com/watch?v=--SsTSqIa-4&amp;lc=UgwyVDDVsoKw8T-JKTR4AaABAg.A-3Tb2rHHHNA-3s_g7jCli")</f>
        <v>https://www.youtube.com/watch?v=--SsTSqIa-4&amp;lc=UgwyVDDVsoKw8T-JKTR4AaABAg.A-3Tb2rHHHNA-3s_g7jCli</v>
      </c>
      <c r="O2836">
        <v>0</v>
      </c>
      <c r="P2836">
        <v>0</v>
      </c>
      <c r="Q2836">
        <v>0</v>
      </c>
      <c r="S2836">
        <v>0</v>
      </c>
      <c r="T2836">
        <v>0</v>
      </c>
      <c r="U2836">
        <v>0</v>
      </c>
      <c r="W2836" t="s">
        <v>52</v>
      </c>
    </row>
    <row r="2837" spans="1:23" x14ac:dyDescent="0.35">
      <c r="A2837" t="s">
        <v>45</v>
      </c>
      <c r="B2837" t="s">
        <v>5755</v>
      </c>
      <c r="C2837" t="s">
        <v>60</v>
      </c>
      <c r="D2837" t="s">
        <v>61</v>
      </c>
      <c r="E2837" t="s">
        <v>61</v>
      </c>
      <c r="F2837" t="s">
        <v>49</v>
      </c>
      <c r="G2837" t="s">
        <v>5788</v>
      </c>
      <c r="H2837" t="s">
        <v>5789</v>
      </c>
      <c r="J2837" t="str">
        <f>HYPERLINK("https://www.facebook.com/634639855377280/posts/780067474167850?comment_id=819464399989167&amp;reply_comment_id=1307455559962892","https://www.facebook.com/634639855377280/posts/780067474167850?comment_id=819464399989167&amp;reply_comment_id=1307455559962892")</f>
        <v>https://www.facebook.com/634639855377280/posts/780067474167850?comment_id=819464399989167&amp;reply_comment_id=1307455559962892</v>
      </c>
      <c r="O2837">
        <v>0</v>
      </c>
      <c r="P2837">
        <v>0</v>
      </c>
      <c r="Q2837">
        <v>0</v>
      </c>
      <c r="S2837">
        <v>0</v>
      </c>
      <c r="T2837">
        <v>0</v>
      </c>
      <c r="U2837">
        <v>0</v>
      </c>
      <c r="W2837" t="s">
        <v>52</v>
      </c>
    </row>
    <row r="2838" spans="1:23" x14ac:dyDescent="0.35">
      <c r="A2838" t="s">
        <v>45</v>
      </c>
      <c r="B2838" t="s">
        <v>5755</v>
      </c>
      <c r="C2838" t="s">
        <v>60</v>
      </c>
      <c r="D2838" t="s">
        <v>64</v>
      </c>
      <c r="E2838" t="s">
        <v>64</v>
      </c>
      <c r="F2838" t="s">
        <v>49</v>
      </c>
      <c r="G2838" t="s">
        <v>162</v>
      </c>
      <c r="H2838" t="s">
        <v>5790</v>
      </c>
      <c r="J2838" t="str">
        <f>HYPERLINK("https://www.facebook.com/634639855377280/posts/780067474167850?comment_id=694053546257358&amp;reply_comment_id=259677383826586","https://www.facebook.com/634639855377280/posts/780067474167850?comment_id=694053546257358&amp;reply_comment_id=259677383826586")</f>
        <v>https://www.facebook.com/634639855377280/posts/780067474167850?comment_id=694053546257358&amp;reply_comment_id=259677383826586</v>
      </c>
      <c r="K2838" t="s">
        <v>67</v>
      </c>
      <c r="O2838">
        <v>0</v>
      </c>
      <c r="P2838">
        <v>0</v>
      </c>
      <c r="Q2838">
        <v>0</v>
      </c>
      <c r="S2838">
        <v>0</v>
      </c>
      <c r="T2838">
        <v>0</v>
      </c>
      <c r="U2838">
        <v>0</v>
      </c>
      <c r="W2838" t="s">
        <v>52</v>
      </c>
    </row>
    <row r="2839" spans="1:23" x14ac:dyDescent="0.35">
      <c r="A2839" t="s">
        <v>45</v>
      </c>
      <c r="B2839" t="s">
        <v>5755</v>
      </c>
      <c r="C2839" t="s">
        <v>60</v>
      </c>
      <c r="D2839" t="s">
        <v>61</v>
      </c>
      <c r="E2839" t="s">
        <v>61</v>
      </c>
      <c r="F2839" t="s">
        <v>49</v>
      </c>
      <c r="G2839" t="s">
        <v>5791</v>
      </c>
      <c r="H2839" t="s">
        <v>5792</v>
      </c>
      <c r="J2839" t="str">
        <f>HYPERLINK("https://www.facebook.com/634639855377280/posts/780067474167850?comment_id=819464399989167&amp;reply_comment_id=759975369329769","https://www.facebook.com/634639855377280/posts/780067474167850?comment_id=819464399989167&amp;reply_comment_id=759975369329769")</f>
        <v>https://www.facebook.com/634639855377280/posts/780067474167850?comment_id=819464399989167&amp;reply_comment_id=759975369329769</v>
      </c>
      <c r="O2839">
        <v>0</v>
      </c>
      <c r="P2839">
        <v>0</v>
      </c>
      <c r="Q2839">
        <v>0</v>
      </c>
      <c r="S2839">
        <v>0</v>
      </c>
      <c r="T2839">
        <v>0</v>
      </c>
      <c r="U2839">
        <v>0</v>
      </c>
      <c r="W2839" t="s">
        <v>52</v>
      </c>
    </row>
    <row r="2840" spans="1:23" x14ac:dyDescent="0.35">
      <c r="A2840" t="s">
        <v>45</v>
      </c>
      <c r="B2840" t="s">
        <v>5755</v>
      </c>
      <c r="C2840" t="s">
        <v>60</v>
      </c>
      <c r="D2840" t="s">
        <v>64</v>
      </c>
      <c r="E2840" t="s">
        <v>64</v>
      </c>
      <c r="F2840" t="s">
        <v>49</v>
      </c>
      <c r="G2840" t="s">
        <v>3773</v>
      </c>
      <c r="H2840" t="s">
        <v>5793</v>
      </c>
      <c r="J2840" t="str">
        <f>HYPERLINK("https://www.facebook.com/634639855377280/posts/780067474167850?comment_id=819464399989167&amp;reply_comment_id=1479519549576154","https://www.facebook.com/634639855377280/posts/780067474167850?comment_id=819464399989167&amp;reply_comment_id=1479519549576154")</f>
        <v>https://www.facebook.com/634639855377280/posts/780067474167850?comment_id=819464399989167&amp;reply_comment_id=1479519549576154</v>
      </c>
      <c r="K2840" t="s">
        <v>67</v>
      </c>
      <c r="O2840">
        <v>0</v>
      </c>
      <c r="P2840">
        <v>0</v>
      </c>
      <c r="Q2840">
        <v>0</v>
      </c>
      <c r="S2840">
        <v>0</v>
      </c>
      <c r="T2840">
        <v>0</v>
      </c>
      <c r="U2840">
        <v>0</v>
      </c>
      <c r="W2840" t="s">
        <v>52</v>
      </c>
    </row>
    <row r="2841" spans="1:23" x14ac:dyDescent="0.35">
      <c r="A2841" t="s">
        <v>45</v>
      </c>
      <c r="B2841" t="s">
        <v>5755</v>
      </c>
      <c r="C2841" t="s">
        <v>60</v>
      </c>
      <c r="D2841" t="s">
        <v>61</v>
      </c>
      <c r="E2841" t="s">
        <v>61</v>
      </c>
      <c r="F2841" t="s">
        <v>49</v>
      </c>
      <c r="G2841" t="s">
        <v>5794</v>
      </c>
      <c r="H2841" t="s">
        <v>5795</v>
      </c>
      <c r="J2841" t="str">
        <f>HYPERLINK("https://www.facebook.com/634639855377280/posts/780067474167850?comment_id=819464399989167","https://www.facebook.com/634639855377280/posts/780067474167850?comment_id=819464399989167")</f>
        <v>https://www.facebook.com/634639855377280/posts/780067474167850?comment_id=819464399989167</v>
      </c>
      <c r="O2841">
        <v>0</v>
      </c>
      <c r="P2841">
        <v>0</v>
      </c>
      <c r="Q2841">
        <v>0</v>
      </c>
      <c r="S2841">
        <v>0</v>
      </c>
      <c r="T2841">
        <v>0</v>
      </c>
      <c r="U2841">
        <v>0</v>
      </c>
      <c r="W2841" t="s">
        <v>52</v>
      </c>
    </row>
    <row r="2842" spans="1:23" x14ac:dyDescent="0.35">
      <c r="A2842" t="s">
        <v>45</v>
      </c>
      <c r="B2842" t="s">
        <v>5755</v>
      </c>
      <c r="C2842" t="s">
        <v>60</v>
      </c>
      <c r="D2842" t="s">
        <v>61</v>
      </c>
      <c r="E2842" t="s">
        <v>61</v>
      </c>
      <c r="F2842" t="s">
        <v>49</v>
      </c>
      <c r="G2842" t="s">
        <v>5796</v>
      </c>
      <c r="H2842" t="s">
        <v>5797</v>
      </c>
      <c r="J2842" t="str">
        <f>HYPERLINK("https://www.facebook.com/634639855377280/posts/780067474167850?comment_id=752642563414731","https://www.facebook.com/634639855377280/posts/780067474167850?comment_id=752642563414731")</f>
        <v>https://www.facebook.com/634639855377280/posts/780067474167850?comment_id=752642563414731</v>
      </c>
      <c r="O2842">
        <v>0</v>
      </c>
      <c r="P2842">
        <v>0</v>
      </c>
      <c r="Q2842">
        <v>0</v>
      </c>
      <c r="S2842">
        <v>0</v>
      </c>
      <c r="T2842">
        <v>0</v>
      </c>
      <c r="U2842">
        <v>0</v>
      </c>
      <c r="W2842" t="s">
        <v>52</v>
      </c>
    </row>
    <row r="2843" spans="1:23" x14ac:dyDescent="0.35">
      <c r="A2843" t="s">
        <v>45</v>
      </c>
      <c r="B2843" t="s">
        <v>5755</v>
      </c>
      <c r="C2843" t="s">
        <v>60</v>
      </c>
      <c r="D2843" t="s">
        <v>61</v>
      </c>
      <c r="E2843" t="s">
        <v>61</v>
      </c>
      <c r="F2843" t="s">
        <v>49</v>
      </c>
      <c r="G2843" t="s">
        <v>5798</v>
      </c>
      <c r="H2843" t="s">
        <v>5799</v>
      </c>
      <c r="J2843" t="str">
        <f>HYPERLINK("https://www.facebook.com/634639855377280/posts/780067474167850?comment_id=733295648775331","https://www.facebook.com/634639855377280/posts/780067474167850?comment_id=733295648775331")</f>
        <v>https://www.facebook.com/634639855377280/posts/780067474167850?comment_id=733295648775331</v>
      </c>
      <c r="O2843">
        <v>0</v>
      </c>
      <c r="P2843">
        <v>0</v>
      </c>
      <c r="Q2843">
        <v>0</v>
      </c>
      <c r="S2843">
        <v>0</v>
      </c>
      <c r="T2843">
        <v>0</v>
      </c>
      <c r="U2843">
        <v>0</v>
      </c>
      <c r="W2843" t="s">
        <v>52</v>
      </c>
    </row>
    <row r="2844" spans="1:23" x14ac:dyDescent="0.35">
      <c r="A2844" t="s">
        <v>45</v>
      </c>
      <c r="B2844" t="s">
        <v>5755</v>
      </c>
      <c r="C2844" t="s">
        <v>60</v>
      </c>
      <c r="D2844" t="s">
        <v>61</v>
      </c>
      <c r="E2844" t="s">
        <v>61</v>
      </c>
      <c r="F2844" t="s">
        <v>54</v>
      </c>
      <c r="G2844" t="s">
        <v>2440</v>
      </c>
      <c r="H2844" t="s">
        <v>5800</v>
      </c>
      <c r="J2844" t="str">
        <f>HYPERLINK("https://www.facebook.com/634639855377280/posts/780067474167850?comment_id=694053546257358","https://www.facebook.com/634639855377280/posts/780067474167850?comment_id=694053546257358")</f>
        <v>https://www.facebook.com/634639855377280/posts/780067474167850?comment_id=694053546257358</v>
      </c>
      <c r="O2844">
        <v>0</v>
      </c>
      <c r="P2844">
        <v>0</v>
      </c>
      <c r="Q2844">
        <v>0</v>
      </c>
      <c r="S2844">
        <v>0</v>
      </c>
      <c r="T2844">
        <v>0</v>
      </c>
      <c r="U2844">
        <v>0</v>
      </c>
      <c r="W2844" t="s">
        <v>52</v>
      </c>
    </row>
    <row r="2845" spans="1:23" x14ac:dyDescent="0.35">
      <c r="A2845" t="s">
        <v>45</v>
      </c>
      <c r="B2845" t="s">
        <v>5755</v>
      </c>
      <c r="C2845" t="s">
        <v>93</v>
      </c>
      <c r="D2845" t="s">
        <v>94</v>
      </c>
      <c r="E2845" t="s">
        <v>45</v>
      </c>
      <c r="F2845" t="s">
        <v>49</v>
      </c>
      <c r="G2845" t="s">
        <v>5801</v>
      </c>
      <c r="H2845" t="s">
        <v>5802</v>
      </c>
      <c r="J2845" t="str">
        <f>HYPERLINK("https://twitter.com/SpiceMoneyIndia/status/1751175640794198321","https://twitter.com/SpiceMoneyIndia/status/1751175640794198321")</f>
        <v>https://twitter.com/SpiceMoneyIndia/status/1751175640794198321</v>
      </c>
      <c r="K2845" t="s">
        <v>67</v>
      </c>
      <c r="O2845">
        <v>0</v>
      </c>
      <c r="P2845">
        <v>0</v>
      </c>
      <c r="Q2845">
        <v>6007</v>
      </c>
      <c r="R2845" t="s">
        <v>97</v>
      </c>
      <c r="S2845">
        <v>0</v>
      </c>
      <c r="T2845">
        <v>0</v>
      </c>
      <c r="U2845">
        <v>0</v>
      </c>
      <c r="V2845" t="s">
        <v>98</v>
      </c>
      <c r="W2845" t="s">
        <v>99</v>
      </c>
    </row>
    <row r="2846" spans="1:23" x14ac:dyDescent="0.35">
      <c r="A2846" t="s">
        <v>45</v>
      </c>
      <c r="B2846" t="s">
        <v>5755</v>
      </c>
      <c r="C2846" t="s">
        <v>60</v>
      </c>
      <c r="D2846" t="s">
        <v>64</v>
      </c>
      <c r="E2846" t="s">
        <v>64</v>
      </c>
      <c r="F2846" t="s">
        <v>49</v>
      </c>
      <c r="G2846" t="s">
        <v>5803</v>
      </c>
      <c r="H2846" t="s">
        <v>5804</v>
      </c>
      <c r="J2846" t="str">
        <f>HYPERLINK("https://www.facebook.com/634639855377280/posts/780067474167850","https://www.facebook.com/634639855377280/posts/780067474167850")</f>
        <v>https://www.facebook.com/634639855377280/posts/780067474167850</v>
      </c>
      <c r="O2846">
        <v>0</v>
      </c>
      <c r="P2846">
        <v>0</v>
      </c>
      <c r="Q2846">
        <v>0</v>
      </c>
      <c r="S2846">
        <v>18</v>
      </c>
      <c r="T2846">
        <v>148</v>
      </c>
      <c r="U2846">
        <v>12</v>
      </c>
      <c r="W2846" t="s">
        <v>346</v>
      </c>
    </row>
    <row r="2847" spans="1:23" x14ac:dyDescent="0.35">
      <c r="A2847" t="s">
        <v>45</v>
      </c>
      <c r="B2847" t="s">
        <v>5755</v>
      </c>
      <c r="C2847" t="s">
        <v>60</v>
      </c>
      <c r="D2847" t="s">
        <v>61</v>
      </c>
      <c r="E2847" t="s">
        <v>61</v>
      </c>
      <c r="F2847" t="s">
        <v>193</v>
      </c>
      <c r="G2847" t="s">
        <v>5805</v>
      </c>
      <c r="H2847" t="s">
        <v>5806</v>
      </c>
      <c r="J2847" t="str">
        <f>HYPERLINK("https://www.facebook.com/634639855377280/posts/779403670900897?comment_id=24609987375315228&amp;reply_comment_id=1216183906007274","https://www.facebook.com/634639855377280/posts/779403670900897?comment_id=24609987375315228&amp;reply_comment_id=1216183906007274")</f>
        <v>https://www.facebook.com/634639855377280/posts/779403670900897?comment_id=24609987375315228&amp;reply_comment_id=1216183906007274</v>
      </c>
      <c r="O2847">
        <v>0</v>
      </c>
      <c r="P2847">
        <v>0</v>
      </c>
      <c r="Q2847">
        <v>0</v>
      </c>
      <c r="S2847">
        <v>0</v>
      </c>
      <c r="T2847">
        <v>0</v>
      </c>
      <c r="U2847">
        <v>0</v>
      </c>
      <c r="W2847" t="s">
        <v>52</v>
      </c>
    </row>
    <row r="2848" spans="1:23" x14ac:dyDescent="0.35">
      <c r="A2848" t="s">
        <v>45</v>
      </c>
      <c r="B2848" t="s">
        <v>5755</v>
      </c>
      <c r="C2848" t="s">
        <v>47</v>
      </c>
      <c r="D2848" t="s">
        <v>5807</v>
      </c>
      <c r="E2848" t="s">
        <v>5807</v>
      </c>
      <c r="F2848" t="s">
        <v>49</v>
      </c>
      <c r="G2848" t="s">
        <v>5808</v>
      </c>
      <c r="H2848" t="s">
        <v>5809</v>
      </c>
      <c r="J2848" t="str">
        <f>HYPERLINK("https://www.youtube.com/watch?v=IHWzT2TNYKQ&amp;lc=Ugw4pdWB29rRxLS7BGd4AaABAg.A--LP0f2i1KA-3i3EtBm4d","https://www.youtube.com/watch?v=IHWzT2TNYKQ&amp;lc=Ugw4pdWB29rRxLS7BGd4AaABAg.A--LP0f2i1KA-3i3EtBm4d")</f>
        <v>https://www.youtube.com/watch?v=IHWzT2TNYKQ&amp;lc=Ugw4pdWB29rRxLS7BGd4AaABAg.A--LP0f2i1KA-3i3EtBm4d</v>
      </c>
      <c r="O2848">
        <v>0</v>
      </c>
      <c r="P2848">
        <v>0</v>
      </c>
      <c r="Q2848">
        <v>0</v>
      </c>
      <c r="S2848">
        <v>0</v>
      </c>
      <c r="T2848">
        <v>0</v>
      </c>
      <c r="U2848">
        <v>0</v>
      </c>
      <c r="W2848" t="s">
        <v>52</v>
      </c>
    </row>
    <row r="2849" spans="1:23" x14ac:dyDescent="0.35">
      <c r="A2849" t="s">
        <v>45</v>
      </c>
      <c r="B2849" t="s">
        <v>5755</v>
      </c>
      <c r="C2849" t="s">
        <v>47</v>
      </c>
      <c r="D2849" t="s">
        <v>5807</v>
      </c>
      <c r="E2849" t="s">
        <v>5807</v>
      </c>
      <c r="F2849" t="s">
        <v>49</v>
      </c>
      <c r="G2849" t="s">
        <v>5810</v>
      </c>
      <c r="H2849" t="s">
        <v>5811</v>
      </c>
      <c r="J2849" t="str">
        <f>HYPERLINK("https://www.youtube.com/watch?v=k4Jk2Nl60tE&amp;lc=Ugw3qJENEOk0DzKaFtZ4AaABAg","https://www.youtube.com/watch?v=k4Jk2Nl60tE&amp;lc=Ugw3qJENEOk0DzKaFtZ4AaABAg")</f>
        <v>https://www.youtube.com/watch?v=k4Jk2Nl60tE&amp;lc=Ugw3qJENEOk0DzKaFtZ4AaABAg</v>
      </c>
      <c r="O2849">
        <v>0</v>
      </c>
      <c r="P2849">
        <v>0</v>
      </c>
      <c r="Q2849">
        <v>0</v>
      </c>
      <c r="S2849">
        <v>0</v>
      </c>
      <c r="T2849">
        <v>0</v>
      </c>
      <c r="U2849">
        <v>0</v>
      </c>
      <c r="W2849" t="s">
        <v>52</v>
      </c>
    </row>
    <row r="2850" spans="1:23" x14ac:dyDescent="0.35">
      <c r="A2850" t="s">
        <v>45</v>
      </c>
      <c r="B2850" t="s">
        <v>5755</v>
      </c>
      <c r="C2850" t="s">
        <v>47</v>
      </c>
      <c r="D2850" t="s">
        <v>351</v>
      </c>
      <c r="E2850" t="s">
        <v>351</v>
      </c>
      <c r="F2850" t="s">
        <v>54</v>
      </c>
      <c r="G2850" t="s">
        <v>5812</v>
      </c>
      <c r="H2850" t="s">
        <v>5813</v>
      </c>
      <c r="J2850" t="str">
        <f>HYPERLINK("https://www.youtube.com/watch?v=ThXQf6FaaYw&amp;lc=UgwkcF-UGe1BahtrqPN4AaABAg","https://www.youtube.com/watch?v=ThXQf6FaaYw&amp;lc=UgwkcF-UGe1BahtrqPN4AaABAg")</f>
        <v>https://www.youtube.com/watch?v=ThXQf6FaaYw&amp;lc=UgwkcF-UGe1BahtrqPN4AaABAg</v>
      </c>
      <c r="O2850">
        <v>0</v>
      </c>
      <c r="P2850">
        <v>0</v>
      </c>
      <c r="Q2850">
        <v>0</v>
      </c>
      <c r="S2850">
        <v>0</v>
      </c>
      <c r="T2850">
        <v>0</v>
      </c>
      <c r="U2850">
        <v>0</v>
      </c>
      <c r="W2850" t="s">
        <v>52</v>
      </c>
    </row>
    <row r="2851" spans="1:23" x14ac:dyDescent="0.35">
      <c r="A2851" t="s">
        <v>45</v>
      </c>
      <c r="B2851" t="s">
        <v>5755</v>
      </c>
      <c r="C2851" t="s">
        <v>47</v>
      </c>
      <c r="D2851" t="s">
        <v>5814</v>
      </c>
      <c r="E2851" t="s">
        <v>5814</v>
      </c>
      <c r="F2851" t="s">
        <v>49</v>
      </c>
      <c r="G2851" t="s">
        <v>5815</v>
      </c>
      <c r="H2851" t="s">
        <v>5816</v>
      </c>
      <c r="J2851" t="str">
        <f>HYPERLINK("https://www.youtube.com/watch?v=--SsTSqIa-4&amp;lc=UgwyVDDVsoKw8T-JKTR4AaABAg","https://www.youtube.com/watch?v=--SsTSqIa-4&amp;lc=UgwyVDDVsoKw8T-JKTR4AaABAg")</f>
        <v>https://www.youtube.com/watch?v=--SsTSqIa-4&amp;lc=UgwyVDDVsoKw8T-JKTR4AaABAg</v>
      </c>
      <c r="O2851">
        <v>0</v>
      </c>
      <c r="P2851">
        <v>0</v>
      </c>
      <c r="Q2851">
        <v>0</v>
      </c>
      <c r="S2851">
        <v>0</v>
      </c>
      <c r="T2851">
        <v>0</v>
      </c>
      <c r="U2851">
        <v>0</v>
      </c>
      <c r="W2851" t="s">
        <v>52</v>
      </c>
    </row>
    <row r="2852" spans="1:23" x14ac:dyDescent="0.35">
      <c r="A2852" t="s">
        <v>45</v>
      </c>
      <c r="B2852" t="s">
        <v>5755</v>
      </c>
      <c r="C2852" t="s">
        <v>93</v>
      </c>
      <c r="D2852" t="s">
        <v>4577</v>
      </c>
      <c r="E2852" t="s">
        <v>4578</v>
      </c>
      <c r="F2852" t="s">
        <v>49</v>
      </c>
      <c r="G2852" t="s">
        <v>5817</v>
      </c>
      <c r="H2852" t="s">
        <v>5818</v>
      </c>
      <c r="J2852" t="str">
        <f>HYPERLINK("https://twitter.com/DerendraMaurya/status/1751111695635018174","https://twitter.com/DerendraMaurya/status/1751111695635018174")</f>
        <v>https://twitter.com/DerendraMaurya/status/1751111695635018174</v>
      </c>
      <c r="O2852">
        <v>0</v>
      </c>
      <c r="P2852">
        <v>0</v>
      </c>
      <c r="Q2852">
        <v>2194</v>
      </c>
      <c r="R2852" t="s">
        <v>513</v>
      </c>
      <c r="S2852">
        <v>0</v>
      </c>
      <c r="T2852">
        <v>0</v>
      </c>
      <c r="U2852">
        <v>0</v>
      </c>
      <c r="W2852" t="s">
        <v>433</v>
      </c>
    </row>
    <row r="2853" spans="1:23" x14ac:dyDescent="0.35">
      <c r="A2853" t="s">
        <v>45</v>
      </c>
      <c r="B2853" t="s">
        <v>5755</v>
      </c>
      <c r="C2853" t="s">
        <v>47</v>
      </c>
      <c r="D2853" t="s">
        <v>68</v>
      </c>
      <c r="E2853" t="s">
        <v>68</v>
      </c>
      <c r="F2853" t="s">
        <v>49</v>
      </c>
      <c r="G2853" t="s">
        <v>102</v>
      </c>
      <c r="H2853" t="s">
        <v>5819</v>
      </c>
      <c r="J2853" t="str">
        <f>HYPERLINK("https://www.youtube.com/watch?v=ySy-ogKu0Pk&amp;lc=UgyyrPzxab6FpUa9BHx4AaABAg.A-30KUQtyOIA-3EnO89_f4","https://www.youtube.com/watch?v=ySy-ogKu0Pk&amp;lc=UgyyrPzxab6FpUa9BHx4AaABAg.A-30KUQtyOIA-3EnO89_f4")</f>
        <v>https://www.youtube.com/watch?v=ySy-ogKu0Pk&amp;lc=UgyyrPzxab6FpUa9BHx4AaABAg.A-30KUQtyOIA-3EnO89_f4</v>
      </c>
      <c r="O2853">
        <v>0</v>
      </c>
      <c r="P2853">
        <v>0</v>
      </c>
      <c r="Q2853">
        <v>0</v>
      </c>
      <c r="S2853">
        <v>0</v>
      </c>
      <c r="T2853">
        <v>0</v>
      </c>
      <c r="U2853">
        <v>0</v>
      </c>
      <c r="W2853" t="s">
        <v>52</v>
      </c>
    </row>
    <row r="2854" spans="1:23" x14ac:dyDescent="0.35">
      <c r="A2854" t="s">
        <v>45</v>
      </c>
      <c r="B2854" t="s">
        <v>5755</v>
      </c>
      <c r="C2854" t="s">
        <v>47</v>
      </c>
      <c r="D2854" t="s">
        <v>68</v>
      </c>
      <c r="E2854" t="s">
        <v>68</v>
      </c>
      <c r="F2854" t="s">
        <v>49</v>
      </c>
      <c r="G2854" t="s">
        <v>162</v>
      </c>
      <c r="H2854" t="s">
        <v>5820</v>
      </c>
      <c r="J2854" t="str">
        <f>HYPERLINK("https://www.youtube.com/watch?v=ThXQf6FaaYw&amp;lc=Ugyw2KG4AZ2Az9H19Hl4AaABAg.A-1bl8uAVB6A-3ERwoigAP","https://www.youtube.com/watch?v=ThXQf6FaaYw&amp;lc=Ugyw2KG4AZ2Az9H19Hl4AaABAg.A-1bl8uAVB6A-3ERwoigAP")</f>
        <v>https://www.youtube.com/watch?v=ThXQf6FaaYw&amp;lc=Ugyw2KG4AZ2Az9H19Hl4AaABAg.A-1bl8uAVB6A-3ERwoigAP</v>
      </c>
      <c r="O2854">
        <v>0</v>
      </c>
      <c r="P2854">
        <v>0</v>
      </c>
      <c r="Q2854">
        <v>0</v>
      </c>
      <c r="S2854">
        <v>0</v>
      </c>
      <c r="T2854">
        <v>0</v>
      </c>
      <c r="U2854">
        <v>0</v>
      </c>
      <c r="W2854" t="s">
        <v>52</v>
      </c>
    </row>
    <row r="2855" spans="1:23" x14ac:dyDescent="0.35">
      <c r="A2855" t="s">
        <v>45</v>
      </c>
      <c r="B2855" t="s">
        <v>5755</v>
      </c>
      <c r="C2855" t="s">
        <v>60</v>
      </c>
      <c r="D2855" t="s">
        <v>64</v>
      </c>
      <c r="E2855" t="s">
        <v>64</v>
      </c>
      <c r="F2855" t="s">
        <v>49</v>
      </c>
      <c r="G2855" t="s">
        <v>5727</v>
      </c>
      <c r="H2855" t="s">
        <v>5821</v>
      </c>
      <c r="J2855" t="str">
        <f>HYPERLINK("https://www.facebook.com/634639855377280/posts/776916321149632?comment_id=404974811933297&amp;reply_comment_id=693777156074706","https://www.facebook.com/634639855377280/posts/776916321149632?comment_id=404974811933297&amp;reply_comment_id=693777156074706")</f>
        <v>https://www.facebook.com/634639855377280/posts/776916321149632?comment_id=404974811933297&amp;reply_comment_id=693777156074706</v>
      </c>
      <c r="K2855" t="s">
        <v>67</v>
      </c>
      <c r="O2855">
        <v>0</v>
      </c>
      <c r="P2855">
        <v>0</v>
      </c>
      <c r="Q2855">
        <v>0</v>
      </c>
      <c r="S2855">
        <v>0</v>
      </c>
      <c r="T2855">
        <v>0</v>
      </c>
      <c r="U2855">
        <v>0</v>
      </c>
      <c r="W2855" t="s">
        <v>52</v>
      </c>
    </row>
    <row r="2856" spans="1:23" x14ac:dyDescent="0.35">
      <c r="A2856" t="s">
        <v>45</v>
      </c>
      <c r="B2856" t="s">
        <v>5755</v>
      </c>
      <c r="C2856" t="s">
        <v>60</v>
      </c>
      <c r="D2856" t="s">
        <v>64</v>
      </c>
      <c r="E2856" t="s">
        <v>64</v>
      </c>
      <c r="F2856" t="s">
        <v>49</v>
      </c>
      <c r="G2856" t="s">
        <v>83</v>
      </c>
      <c r="H2856" t="s">
        <v>5822</v>
      </c>
      <c r="J2856" t="str">
        <f>HYPERLINK("https://www.facebook.com/634639855377280/posts/778891247618806?comment_id=1108473363846384&amp;reply_comment_id=1304878784240698","https://www.facebook.com/634639855377280/posts/778891247618806?comment_id=1108473363846384&amp;reply_comment_id=1304878784240698")</f>
        <v>https://www.facebook.com/634639855377280/posts/778891247618806?comment_id=1108473363846384&amp;reply_comment_id=1304878784240698</v>
      </c>
      <c r="K2856" t="s">
        <v>67</v>
      </c>
      <c r="O2856">
        <v>0</v>
      </c>
      <c r="P2856">
        <v>0</v>
      </c>
      <c r="Q2856">
        <v>0</v>
      </c>
      <c r="S2856">
        <v>0</v>
      </c>
      <c r="T2856">
        <v>0</v>
      </c>
      <c r="U2856">
        <v>0</v>
      </c>
      <c r="W2856" t="s">
        <v>52</v>
      </c>
    </row>
    <row r="2857" spans="1:23" x14ac:dyDescent="0.35">
      <c r="A2857" t="s">
        <v>45</v>
      </c>
      <c r="B2857" t="s">
        <v>5755</v>
      </c>
      <c r="C2857" t="s">
        <v>60</v>
      </c>
      <c r="D2857" t="s">
        <v>64</v>
      </c>
      <c r="E2857" t="s">
        <v>64</v>
      </c>
      <c r="F2857" t="s">
        <v>49</v>
      </c>
      <c r="G2857" t="s">
        <v>83</v>
      </c>
      <c r="H2857" t="s">
        <v>5823</v>
      </c>
      <c r="J2857" t="str">
        <f>HYPERLINK("https://www.facebook.com/634639855377280/posts/779403670900897?comment_id=2126817560988559&amp;reply_comment_id=1590288588409860","https://www.facebook.com/634639855377280/posts/779403670900897?comment_id=2126817560988559&amp;reply_comment_id=1590288588409860")</f>
        <v>https://www.facebook.com/634639855377280/posts/779403670900897?comment_id=2126817560988559&amp;reply_comment_id=1590288588409860</v>
      </c>
      <c r="K2857" t="s">
        <v>67</v>
      </c>
      <c r="O2857">
        <v>0</v>
      </c>
      <c r="P2857">
        <v>0</v>
      </c>
      <c r="Q2857">
        <v>0</v>
      </c>
      <c r="S2857">
        <v>0</v>
      </c>
      <c r="T2857">
        <v>0</v>
      </c>
      <c r="U2857">
        <v>0</v>
      </c>
      <c r="W2857" t="s">
        <v>52</v>
      </c>
    </row>
    <row r="2858" spans="1:23" x14ac:dyDescent="0.35">
      <c r="A2858" t="s">
        <v>45</v>
      </c>
      <c r="B2858" t="s">
        <v>5755</v>
      </c>
      <c r="C2858" t="s">
        <v>60</v>
      </c>
      <c r="D2858" t="s">
        <v>61</v>
      </c>
      <c r="E2858" t="s">
        <v>61</v>
      </c>
      <c r="F2858" t="s">
        <v>49</v>
      </c>
      <c r="G2858" t="s">
        <v>5824</v>
      </c>
      <c r="H2858" t="s">
        <v>5825</v>
      </c>
      <c r="J2858" t="str">
        <f>HYPERLINK("https://www.facebook.com/634639855377280/posts/779403670900897?comment_id=2126817560988559","https://www.facebook.com/634639855377280/posts/779403670900897?comment_id=2126817560988559")</f>
        <v>https://www.facebook.com/634639855377280/posts/779403670900897?comment_id=2126817560988559</v>
      </c>
      <c r="O2858">
        <v>0</v>
      </c>
      <c r="P2858">
        <v>0</v>
      </c>
      <c r="Q2858">
        <v>0</v>
      </c>
      <c r="S2858">
        <v>0</v>
      </c>
      <c r="T2858">
        <v>0</v>
      </c>
      <c r="U2858">
        <v>0</v>
      </c>
      <c r="W2858" t="s">
        <v>52</v>
      </c>
    </row>
    <row r="2859" spans="1:23" x14ac:dyDescent="0.35">
      <c r="A2859" t="s">
        <v>45</v>
      </c>
      <c r="B2859" t="s">
        <v>5755</v>
      </c>
      <c r="C2859" t="s">
        <v>47</v>
      </c>
      <c r="D2859" t="s">
        <v>1038</v>
      </c>
      <c r="E2859" t="s">
        <v>1038</v>
      </c>
      <c r="F2859" t="s">
        <v>49</v>
      </c>
      <c r="G2859" t="s">
        <v>5826</v>
      </c>
      <c r="H2859" t="s">
        <v>5827</v>
      </c>
      <c r="J2859" t="str">
        <f>HYPERLINK("https://www.youtube.com/watch?v=ySy-ogKu0Pk&amp;lc=UgyyrPzxab6FpUa9BHx4AaABAg","https://www.youtube.com/watch?v=ySy-ogKu0Pk&amp;lc=UgyyrPzxab6FpUa9BHx4AaABAg")</f>
        <v>https://www.youtube.com/watch?v=ySy-ogKu0Pk&amp;lc=UgyyrPzxab6FpUa9BHx4AaABAg</v>
      </c>
      <c r="O2859">
        <v>0</v>
      </c>
      <c r="P2859">
        <v>0</v>
      </c>
      <c r="Q2859">
        <v>0</v>
      </c>
      <c r="S2859">
        <v>0</v>
      </c>
      <c r="T2859">
        <v>0</v>
      </c>
      <c r="U2859">
        <v>0</v>
      </c>
      <c r="W2859" t="s">
        <v>52</v>
      </c>
    </row>
    <row r="2860" spans="1:23" x14ac:dyDescent="0.35">
      <c r="A2860" t="s">
        <v>45</v>
      </c>
      <c r="B2860" t="s">
        <v>5755</v>
      </c>
      <c r="C2860" t="s">
        <v>47</v>
      </c>
      <c r="D2860" t="s">
        <v>1038</v>
      </c>
      <c r="E2860" t="s">
        <v>1038</v>
      </c>
      <c r="F2860" t="s">
        <v>49</v>
      </c>
      <c r="G2860" t="s">
        <v>5828</v>
      </c>
      <c r="H2860" t="s">
        <v>5829</v>
      </c>
      <c r="J2860" t="str">
        <f>HYPERLINK("https://www.youtube.com/watch?v=IHWzT2TNYKQ&amp;lc=Ugz5dVMlGgdwxfMeaUl4AaABAg","https://www.youtube.com/watch?v=IHWzT2TNYKQ&amp;lc=Ugz5dVMlGgdwxfMeaUl4AaABAg")</f>
        <v>https://www.youtube.com/watch?v=IHWzT2TNYKQ&amp;lc=Ugz5dVMlGgdwxfMeaUl4AaABAg</v>
      </c>
      <c r="O2860">
        <v>0</v>
      </c>
      <c r="P2860">
        <v>0</v>
      </c>
      <c r="Q2860">
        <v>0</v>
      </c>
      <c r="S2860">
        <v>0</v>
      </c>
      <c r="T2860">
        <v>0</v>
      </c>
      <c r="U2860">
        <v>0</v>
      </c>
      <c r="W2860" t="s">
        <v>52</v>
      </c>
    </row>
    <row r="2861" spans="1:23" x14ac:dyDescent="0.35">
      <c r="A2861" t="s">
        <v>45</v>
      </c>
      <c r="B2861" t="s">
        <v>5755</v>
      </c>
      <c r="C2861" t="s">
        <v>47</v>
      </c>
      <c r="D2861" t="s">
        <v>1038</v>
      </c>
      <c r="E2861" t="s">
        <v>1038</v>
      </c>
      <c r="F2861" t="s">
        <v>54</v>
      </c>
      <c r="G2861" t="s">
        <v>5830</v>
      </c>
      <c r="H2861" t="s">
        <v>5831</v>
      </c>
      <c r="J2861" t="str">
        <f>HYPERLINK("https://www.youtube.com/watch?v=IHWzT2TNYKQ&amp;lc=Ugw4pdWB29rRxLS7BGd4AaABAg.A--LP0f2i1KA-2zi9f0P2Z","https://www.youtube.com/watch?v=IHWzT2TNYKQ&amp;lc=Ugw4pdWB29rRxLS7BGd4AaABAg.A--LP0f2i1KA-2zi9f0P2Z")</f>
        <v>https://www.youtube.com/watch?v=IHWzT2TNYKQ&amp;lc=Ugw4pdWB29rRxLS7BGd4AaABAg.A--LP0f2i1KA-2zi9f0P2Z</v>
      </c>
      <c r="O2861">
        <v>0</v>
      </c>
      <c r="P2861">
        <v>0</v>
      </c>
      <c r="Q2861">
        <v>0</v>
      </c>
      <c r="S2861">
        <v>0</v>
      </c>
      <c r="T2861">
        <v>0</v>
      </c>
      <c r="U2861">
        <v>0</v>
      </c>
      <c r="W2861" t="s">
        <v>52</v>
      </c>
    </row>
    <row r="2862" spans="1:23" x14ac:dyDescent="0.35">
      <c r="A2862" t="s">
        <v>45</v>
      </c>
      <c r="B2862" t="s">
        <v>5832</v>
      </c>
      <c r="C2862" t="s">
        <v>47</v>
      </c>
      <c r="D2862" t="s">
        <v>5833</v>
      </c>
      <c r="E2862" t="s">
        <v>5833</v>
      </c>
      <c r="F2862" t="s">
        <v>49</v>
      </c>
      <c r="G2862" t="s">
        <v>5834</v>
      </c>
      <c r="H2862" t="s">
        <v>5835</v>
      </c>
      <c r="J2862" t="str">
        <f>HYPERLINK("https://www.youtube.com/watch?v=k4Jk2Nl60tE&amp;lc=Ugzd8ZWONSdEt3tUPbd4AaABAg","https://www.youtube.com/watch?v=k4Jk2Nl60tE&amp;lc=Ugzd8ZWONSdEt3tUPbd4AaABAg")</f>
        <v>https://www.youtube.com/watch?v=k4Jk2Nl60tE&amp;lc=Ugzd8ZWONSdEt3tUPbd4AaABAg</v>
      </c>
      <c r="O2862">
        <v>0</v>
      </c>
      <c r="P2862">
        <v>0</v>
      </c>
      <c r="Q2862">
        <v>0</v>
      </c>
      <c r="S2862">
        <v>0</v>
      </c>
      <c r="T2862">
        <v>0</v>
      </c>
      <c r="U2862">
        <v>0</v>
      </c>
      <c r="W2862" t="s">
        <v>52</v>
      </c>
    </row>
    <row r="2863" spans="1:23" x14ac:dyDescent="0.35">
      <c r="A2863" t="s">
        <v>45</v>
      </c>
      <c r="B2863" t="s">
        <v>5832</v>
      </c>
      <c r="C2863" t="s">
        <v>60</v>
      </c>
      <c r="D2863" t="s">
        <v>61</v>
      </c>
      <c r="E2863" t="s">
        <v>61</v>
      </c>
      <c r="F2863" t="s">
        <v>193</v>
      </c>
      <c r="G2863" t="s">
        <v>5620</v>
      </c>
      <c r="H2863" t="s">
        <v>5836</v>
      </c>
      <c r="J2863" t="str">
        <f>HYPERLINK("https://www.facebook.com/634639855377280/posts/776916321149632?comment_id=404974811933297","https://www.facebook.com/634639855377280/posts/776916321149632?comment_id=404974811933297")</f>
        <v>https://www.facebook.com/634639855377280/posts/776916321149632?comment_id=404974811933297</v>
      </c>
      <c r="O2863">
        <v>0</v>
      </c>
      <c r="P2863">
        <v>0</v>
      </c>
      <c r="Q2863">
        <v>0</v>
      </c>
      <c r="S2863">
        <v>0</v>
      </c>
      <c r="T2863">
        <v>0</v>
      </c>
      <c r="U2863">
        <v>0</v>
      </c>
      <c r="W2863" t="s">
        <v>52</v>
      </c>
    </row>
    <row r="2864" spans="1:23" x14ac:dyDescent="0.35">
      <c r="A2864" t="s">
        <v>45</v>
      </c>
      <c r="B2864" t="s">
        <v>5832</v>
      </c>
      <c r="C2864" t="s">
        <v>47</v>
      </c>
      <c r="D2864" t="s">
        <v>205</v>
      </c>
      <c r="E2864" t="s">
        <v>205</v>
      </c>
      <c r="F2864" t="s">
        <v>49</v>
      </c>
      <c r="G2864" t="s">
        <v>5837</v>
      </c>
      <c r="H2864" t="s">
        <v>5838</v>
      </c>
      <c r="J2864" t="str">
        <f>HYPERLINK("https://www.youtube.com/watch?v=k4Jk2Nl60tE&amp;lc=Ugz4wpGFQRFFtCuqwNh4AaABAg","https://www.youtube.com/watch?v=k4Jk2Nl60tE&amp;lc=Ugz4wpGFQRFFtCuqwNh4AaABAg")</f>
        <v>https://www.youtube.com/watch?v=k4Jk2Nl60tE&amp;lc=Ugz4wpGFQRFFtCuqwNh4AaABAg</v>
      </c>
      <c r="O2864">
        <v>0</v>
      </c>
      <c r="P2864">
        <v>0</v>
      </c>
      <c r="Q2864">
        <v>0</v>
      </c>
      <c r="S2864">
        <v>0</v>
      </c>
      <c r="T2864">
        <v>0</v>
      </c>
      <c r="U2864">
        <v>0</v>
      </c>
      <c r="W2864" t="s">
        <v>52</v>
      </c>
    </row>
    <row r="2865" spans="1:23" x14ac:dyDescent="0.35">
      <c r="A2865" t="s">
        <v>45</v>
      </c>
      <c r="B2865" t="s">
        <v>5832</v>
      </c>
      <c r="C2865" t="s">
        <v>60</v>
      </c>
      <c r="D2865" t="s">
        <v>61</v>
      </c>
      <c r="E2865" t="s">
        <v>61</v>
      </c>
      <c r="F2865" t="s">
        <v>49</v>
      </c>
      <c r="G2865" t="s">
        <v>5839</v>
      </c>
      <c r="H2865" t="s">
        <v>5840</v>
      </c>
      <c r="J2865" t="str">
        <f>HYPERLINK("https://www.facebook.com/634639855377280/posts/778891247618806?comment_id=902541434995905","https://www.facebook.com/634639855377280/posts/778891247618806?comment_id=902541434995905")</f>
        <v>https://www.facebook.com/634639855377280/posts/778891247618806?comment_id=902541434995905</v>
      </c>
      <c r="O2865">
        <v>0</v>
      </c>
      <c r="P2865">
        <v>0</v>
      </c>
      <c r="Q2865">
        <v>0</v>
      </c>
      <c r="S2865">
        <v>0</v>
      </c>
      <c r="T2865">
        <v>0</v>
      </c>
      <c r="U2865">
        <v>0</v>
      </c>
      <c r="W2865" t="s">
        <v>52</v>
      </c>
    </row>
    <row r="2866" spans="1:23" x14ac:dyDescent="0.35">
      <c r="A2866" t="s">
        <v>45</v>
      </c>
      <c r="B2866" t="s">
        <v>5832</v>
      </c>
      <c r="C2866" t="s">
        <v>60</v>
      </c>
      <c r="D2866" t="s">
        <v>61</v>
      </c>
      <c r="E2866" t="s">
        <v>61</v>
      </c>
      <c r="F2866" t="s">
        <v>49</v>
      </c>
      <c r="G2866" t="s">
        <v>5841</v>
      </c>
      <c r="H2866" t="s">
        <v>5842</v>
      </c>
      <c r="J2866" t="str">
        <f>HYPERLINK("https://www.facebook.com/634639855377280/posts/778891247618806?comment_id=1108473363846384","https://www.facebook.com/634639855377280/posts/778891247618806?comment_id=1108473363846384")</f>
        <v>https://www.facebook.com/634639855377280/posts/778891247618806?comment_id=1108473363846384</v>
      </c>
      <c r="O2866">
        <v>0</v>
      </c>
      <c r="P2866">
        <v>0</v>
      </c>
      <c r="Q2866">
        <v>0</v>
      </c>
      <c r="S2866">
        <v>0</v>
      </c>
      <c r="T2866">
        <v>0</v>
      </c>
      <c r="U2866">
        <v>0</v>
      </c>
      <c r="W2866" t="s">
        <v>52</v>
      </c>
    </row>
    <row r="2867" spans="1:23" x14ac:dyDescent="0.35">
      <c r="A2867" t="s">
        <v>45</v>
      </c>
      <c r="B2867" t="s">
        <v>5832</v>
      </c>
      <c r="C2867" t="s">
        <v>47</v>
      </c>
      <c r="D2867" t="s">
        <v>5843</v>
      </c>
      <c r="E2867" t="s">
        <v>5843</v>
      </c>
      <c r="F2867" t="s">
        <v>49</v>
      </c>
      <c r="G2867" t="s">
        <v>5844</v>
      </c>
      <c r="H2867" t="s">
        <v>5845</v>
      </c>
      <c r="J2867" t="str">
        <f>HYPERLINK("https://www.youtube.com/watch?v=ThXQf6FaaYw&amp;lc=UgxLuZEUuGPhXmu0hvl4AaABAg","https://www.youtube.com/watch?v=ThXQf6FaaYw&amp;lc=UgxLuZEUuGPhXmu0hvl4AaABAg")</f>
        <v>https://www.youtube.com/watch?v=ThXQf6FaaYw&amp;lc=UgxLuZEUuGPhXmu0hvl4AaABAg</v>
      </c>
      <c r="O2867">
        <v>0</v>
      </c>
      <c r="P2867">
        <v>0</v>
      </c>
      <c r="Q2867">
        <v>0</v>
      </c>
      <c r="S2867">
        <v>0</v>
      </c>
      <c r="T2867">
        <v>0</v>
      </c>
      <c r="U2867">
        <v>0</v>
      </c>
      <c r="W2867" t="s">
        <v>52</v>
      </c>
    </row>
    <row r="2868" spans="1:23" x14ac:dyDescent="0.35">
      <c r="A2868" t="s">
        <v>45</v>
      </c>
      <c r="B2868" t="s">
        <v>5832</v>
      </c>
      <c r="C2868" t="s">
        <v>47</v>
      </c>
      <c r="D2868" t="s">
        <v>5846</v>
      </c>
      <c r="E2868" t="s">
        <v>5846</v>
      </c>
      <c r="F2868" t="s">
        <v>54</v>
      </c>
      <c r="G2868" t="s">
        <v>5847</v>
      </c>
      <c r="H2868" t="s">
        <v>5848</v>
      </c>
      <c r="J2868" t="str">
        <f>HYPERLINK("https://www.youtube.com/watch?v=ThXQf6FaaYw&amp;lc=Ugyw2KG4AZ2Az9H19Hl4AaABAg","https://www.youtube.com/watch?v=ThXQf6FaaYw&amp;lc=Ugyw2KG4AZ2Az9H19Hl4AaABAg")</f>
        <v>https://www.youtube.com/watch?v=ThXQf6FaaYw&amp;lc=Ugyw2KG4AZ2Az9H19Hl4AaABAg</v>
      </c>
      <c r="O2868">
        <v>0</v>
      </c>
      <c r="P2868">
        <v>0</v>
      </c>
      <c r="Q2868">
        <v>0</v>
      </c>
      <c r="S2868">
        <v>0</v>
      </c>
      <c r="T2868">
        <v>0</v>
      </c>
      <c r="U2868">
        <v>0</v>
      </c>
      <c r="W2868" t="s">
        <v>52</v>
      </c>
    </row>
    <row r="2869" spans="1:23" x14ac:dyDescent="0.35">
      <c r="A2869" t="s">
        <v>45</v>
      </c>
      <c r="B2869" t="s">
        <v>5832</v>
      </c>
      <c r="C2869" t="s">
        <v>47</v>
      </c>
      <c r="D2869" t="s">
        <v>68</v>
      </c>
      <c r="E2869" t="s">
        <v>68</v>
      </c>
      <c r="F2869" t="s">
        <v>49</v>
      </c>
      <c r="G2869" t="s">
        <v>102</v>
      </c>
      <c r="H2869" t="s">
        <v>5849</v>
      </c>
      <c r="J2869" t="str">
        <f>HYPERLINK("https://www.youtube.com/watch?v=k4Jk2Nl60tE&amp;lc=UgwYnRGSkPnZKA_PMw94AaABAg.A-1SgEmOJy5A-1XwKdCksY","https://www.youtube.com/watch?v=k4Jk2Nl60tE&amp;lc=UgwYnRGSkPnZKA_PMw94AaABAg.A-1SgEmOJy5A-1XwKdCksY")</f>
        <v>https://www.youtube.com/watch?v=k4Jk2Nl60tE&amp;lc=UgwYnRGSkPnZKA_PMw94AaABAg.A-1SgEmOJy5A-1XwKdCksY</v>
      </c>
      <c r="O2869">
        <v>0</v>
      </c>
      <c r="P2869">
        <v>0</v>
      </c>
      <c r="Q2869">
        <v>0</v>
      </c>
      <c r="S2869">
        <v>0</v>
      </c>
      <c r="T2869">
        <v>0</v>
      </c>
      <c r="U2869">
        <v>0</v>
      </c>
      <c r="W2869" t="s">
        <v>52</v>
      </c>
    </row>
    <row r="2870" spans="1:23" x14ac:dyDescent="0.35">
      <c r="A2870" t="s">
        <v>45</v>
      </c>
      <c r="B2870" t="s">
        <v>5832</v>
      </c>
      <c r="C2870" t="s">
        <v>93</v>
      </c>
      <c r="D2870" t="s">
        <v>94</v>
      </c>
      <c r="E2870" t="s">
        <v>45</v>
      </c>
      <c r="F2870" t="s">
        <v>49</v>
      </c>
      <c r="G2870" t="s">
        <v>5850</v>
      </c>
      <c r="H2870" t="s">
        <v>5851</v>
      </c>
      <c r="J2870" t="str">
        <f>HYPERLINK("https://twitter.com/SpiceMoneyIndia/status/1750846792885780893","https://twitter.com/SpiceMoneyIndia/status/1750846792885780893")</f>
        <v>https://twitter.com/SpiceMoneyIndia/status/1750846792885780893</v>
      </c>
      <c r="K2870" t="s">
        <v>67</v>
      </c>
      <c r="O2870">
        <v>0</v>
      </c>
      <c r="P2870">
        <v>0</v>
      </c>
      <c r="Q2870">
        <v>6008</v>
      </c>
      <c r="R2870" t="s">
        <v>97</v>
      </c>
      <c r="S2870">
        <v>0</v>
      </c>
      <c r="T2870">
        <v>0</v>
      </c>
      <c r="U2870">
        <v>0</v>
      </c>
      <c r="V2870" t="s">
        <v>98</v>
      </c>
      <c r="W2870" t="s">
        <v>99</v>
      </c>
    </row>
    <row r="2871" spans="1:23" x14ac:dyDescent="0.35">
      <c r="A2871" t="s">
        <v>45</v>
      </c>
      <c r="B2871" t="s">
        <v>5832</v>
      </c>
      <c r="C2871" t="s">
        <v>47</v>
      </c>
      <c r="D2871" t="s">
        <v>5852</v>
      </c>
      <c r="E2871" t="s">
        <v>5852</v>
      </c>
      <c r="F2871" t="s">
        <v>49</v>
      </c>
      <c r="G2871" t="s">
        <v>5853</v>
      </c>
      <c r="H2871" t="s">
        <v>5854</v>
      </c>
      <c r="J2871" t="str">
        <f>HYPERLINK("https://www.youtube.com/watch?v=k4Jk2Nl60tE&amp;lc=UgwYnRGSkPnZKA_PMw94AaABAg","https://www.youtube.com/watch?v=k4Jk2Nl60tE&amp;lc=UgwYnRGSkPnZKA_PMw94AaABAg")</f>
        <v>https://www.youtube.com/watch?v=k4Jk2Nl60tE&amp;lc=UgwYnRGSkPnZKA_PMw94AaABAg</v>
      </c>
      <c r="O2871">
        <v>0</v>
      </c>
      <c r="P2871">
        <v>0</v>
      </c>
      <c r="Q2871">
        <v>0</v>
      </c>
      <c r="S2871">
        <v>0</v>
      </c>
      <c r="T2871">
        <v>0</v>
      </c>
      <c r="U2871">
        <v>0</v>
      </c>
      <c r="W2871" t="s">
        <v>52</v>
      </c>
    </row>
    <row r="2872" spans="1:23" x14ac:dyDescent="0.35">
      <c r="A2872" t="s">
        <v>45</v>
      </c>
      <c r="B2872" t="s">
        <v>5832</v>
      </c>
      <c r="C2872" t="s">
        <v>93</v>
      </c>
      <c r="D2872" t="s">
        <v>5855</v>
      </c>
      <c r="E2872" t="s">
        <v>5856</v>
      </c>
      <c r="F2872" t="s">
        <v>49</v>
      </c>
      <c r="G2872" t="s">
        <v>5857</v>
      </c>
      <c r="H2872" t="s">
        <v>5858</v>
      </c>
      <c r="J2872" t="str">
        <f>HYPERLINK("https://twitter.com/sanjuu123456/status/1750819457457655814","https://twitter.com/sanjuu123456/status/1750819457457655814")</f>
        <v>https://twitter.com/sanjuu123456/status/1750819457457655814</v>
      </c>
      <c r="K2872" t="s">
        <v>67</v>
      </c>
      <c r="O2872">
        <v>0</v>
      </c>
      <c r="P2872">
        <v>0</v>
      </c>
      <c r="Q2872">
        <v>106</v>
      </c>
      <c r="R2872" t="s">
        <v>5859</v>
      </c>
      <c r="S2872">
        <v>0</v>
      </c>
      <c r="T2872">
        <v>0</v>
      </c>
      <c r="U2872">
        <v>0</v>
      </c>
      <c r="W2872" t="s">
        <v>99</v>
      </c>
    </row>
    <row r="2873" spans="1:23" x14ac:dyDescent="0.35">
      <c r="A2873" t="s">
        <v>45</v>
      </c>
      <c r="B2873" t="s">
        <v>5832</v>
      </c>
      <c r="C2873" t="s">
        <v>93</v>
      </c>
      <c r="D2873" t="s">
        <v>5855</v>
      </c>
      <c r="E2873" t="s">
        <v>5856</v>
      </c>
      <c r="F2873" t="s">
        <v>49</v>
      </c>
      <c r="G2873" t="s">
        <v>5860</v>
      </c>
      <c r="H2873" t="s">
        <v>5861</v>
      </c>
      <c r="J2873" t="str">
        <f>HYPERLINK("https://twitter.com/sanjuu123456/status/1750818737627054201","https://twitter.com/sanjuu123456/status/1750818737627054201")</f>
        <v>https://twitter.com/sanjuu123456/status/1750818737627054201</v>
      </c>
      <c r="K2873" t="s">
        <v>67</v>
      </c>
      <c r="O2873">
        <v>0</v>
      </c>
      <c r="P2873">
        <v>0</v>
      </c>
      <c r="Q2873">
        <v>106</v>
      </c>
      <c r="R2873" t="s">
        <v>5859</v>
      </c>
      <c r="S2873">
        <v>0</v>
      </c>
      <c r="T2873">
        <v>0</v>
      </c>
      <c r="U2873">
        <v>0</v>
      </c>
      <c r="W2873" t="s">
        <v>99</v>
      </c>
    </row>
    <row r="2874" spans="1:23" x14ac:dyDescent="0.35">
      <c r="A2874" t="s">
        <v>45</v>
      </c>
      <c r="B2874" t="s">
        <v>5832</v>
      </c>
      <c r="C2874" t="s">
        <v>93</v>
      </c>
      <c r="D2874" t="s">
        <v>5855</v>
      </c>
      <c r="E2874" t="s">
        <v>5856</v>
      </c>
      <c r="F2874" t="s">
        <v>193</v>
      </c>
      <c r="G2874" t="s">
        <v>5862</v>
      </c>
      <c r="H2874" t="s">
        <v>5863</v>
      </c>
      <c r="J2874" t="str">
        <f>HYPERLINK("https://twitter.com/sanjuu123456/status/1750817849768350004","https://twitter.com/sanjuu123456/status/1750817849768350004")</f>
        <v>https://twitter.com/sanjuu123456/status/1750817849768350004</v>
      </c>
      <c r="K2874" t="s">
        <v>67</v>
      </c>
      <c r="O2874">
        <v>0</v>
      </c>
      <c r="P2874">
        <v>0</v>
      </c>
      <c r="Q2874">
        <v>106</v>
      </c>
      <c r="R2874" t="s">
        <v>5859</v>
      </c>
      <c r="S2874">
        <v>0</v>
      </c>
      <c r="T2874">
        <v>0</v>
      </c>
      <c r="U2874">
        <v>0</v>
      </c>
      <c r="W2874" t="s">
        <v>99</v>
      </c>
    </row>
    <row r="2875" spans="1:23" x14ac:dyDescent="0.35">
      <c r="A2875" t="s">
        <v>45</v>
      </c>
      <c r="B2875" t="s">
        <v>5832</v>
      </c>
      <c r="C2875" t="s">
        <v>93</v>
      </c>
      <c r="D2875" t="s">
        <v>3262</v>
      </c>
      <c r="E2875" t="s">
        <v>3263</v>
      </c>
      <c r="F2875" t="s">
        <v>49</v>
      </c>
      <c r="G2875" t="s">
        <v>5864</v>
      </c>
      <c r="H2875" t="s">
        <v>5865</v>
      </c>
      <c r="J2875" t="str">
        <f>HYPERLINK("https://twitter.com/ShoaibAkhtertsk/status/1750799878676996103","https://twitter.com/ShoaibAkhtertsk/status/1750799878676996103")</f>
        <v>https://twitter.com/ShoaibAkhtertsk/status/1750799878676996103</v>
      </c>
      <c r="K2875" t="s">
        <v>67</v>
      </c>
      <c r="O2875">
        <v>0</v>
      </c>
      <c r="P2875">
        <v>0</v>
      </c>
      <c r="Q2875">
        <v>50</v>
      </c>
      <c r="R2875" t="s">
        <v>3266</v>
      </c>
      <c r="S2875">
        <v>0</v>
      </c>
      <c r="T2875">
        <v>0</v>
      </c>
      <c r="U2875">
        <v>0</v>
      </c>
      <c r="W2875" t="s">
        <v>99</v>
      </c>
    </row>
    <row r="2876" spans="1:23" x14ac:dyDescent="0.35">
      <c r="A2876" t="s">
        <v>45</v>
      </c>
      <c r="B2876" t="s">
        <v>5832</v>
      </c>
      <c r="C2876" t="s">
        <v>60</v>
      </c>
      <c r="D2876" t="s">
        <v>64</v>
      </c>
      <c r="E2876" t="s">
        <v>64</v>
      </c>
      <c r="F2876" t="s">
        <v>49</v>
      </c>
      <c r="G2876" t="s">
        <v>1595</v>
      </c>
      <c r="H2876" t="s">
        <v>5866</v>
      </c>
      <c r="J2876" t="str">
        <f>HYPERLINK("https://www.facebook.com/634639855377280/posts/776916321149632?comment_id=230467153455026&amp;reply_comment_id=1097677411425330","https://www.facebook.com/634639855377280/posts/776916321149632?comment_id=230467153455026&amp;reply_comment_id=1097677411425330")</f>
        <v>https://www.facebook.com/634639855377280/posts/776916321149632?comment_id=230467153455026&amp;reply_comment_id=1097677411425330</v>
      </c>
      <c r="K2876" t="s">
        <v>67</v>
      </c>
      <c r="O2876">
        <v>0</v>
      </c>
      <c r="P2876">
        <v>0</v>
      </c>
      <c r="Q2876">
        <v>0</v>
      </c>
      <c r="S2876">
        <v>0</v>
      </c>
      <c r="T2876">
        <v>0</v>
      </c>
      <c r="U2876">
        <v>0</v>
      </c>
      <c r="W2876" t="s">
        <v>52</v>
      </c>
    </row>
    <row r="2877" spans="1:23" x14ac:dyDescent="0.35">
      <c r="A2877" t="s">
        <v>45</v>
      </c>
      <c r="B2877" t="s">
        <v>5832</v>
      </c>
      <c r="C2877" t="s">
        <v>60</v>
      </c>
      <c r="D2877" t="s">
        <v>64</v>
      </c>
      <c r="E2877" t="s">
        <v>64</v>
      </c>
      <c r="F2877" t="s">
        <v>49</v>
      </c>
      <c r="G2877" t="s">
        <v>162</v>
      </c>
      <c r="H2877" t="s">
        <v>5867</v>
      </c>
      <c r="J2877" t="str">
        <f>HYPERLINK("https://www.facebook.com/634639855377280/posts/779403670900897?comment_id=740000931393474&amp;reply_comment_id=7063855620367082","https://www.facebook.com/634639855377280/posts/779403670900897?comment_id=740000931393474&amp;reply_comment_id=7063855620367082")</f>
        <v>https://www.facebook.com/634639855377280/posts/779403670900897?comment_id=740000931393474&amp;reply_comment_id=7063855620367082</v>
      </c>
      <c r="K2877" t="s">
        <v>67</v>
      </c>
      <c r="O2877">
        <v>0</v>
      </c>
      <c r="P2877">
        <v>0</v>
      </c>
      <c r="Q2877">
        <v>0</v>
      </c>
      <c r="S2877">
        <v>0</v>
      </c>
      <c r="T2877">
        <v>0</v>
      </c>
      <c r="U2877">
        <v>0</v>
      </c>
      <c r="W2877" t="s">
        <v>52</v>
      </c>
    </row>
    <row r="2878" spans="1:23" x14ac:dyDescent="0.35">
      <c r="A2878" t="s">
        <v>45</v>
      </c>
      <c r="B2878" t="s">
        <v>5832</v>
      </c>
      <c r="C2878" t="s">
        <v>60</v>
      </c>
      <c r="D2878" t="s">
        <v>61</v>
      </c>
      <c r="E2878" t="s">
        <v>61</v>
      </c>
      <c r="F2878" t="s">
        <v>54</v>
      </c>
      <c r="G2878" t="s">
        <v>5868</v>
      </c>
      <c r="H2878" t="s">
        <v>5869</v>
      </c>
      <c r="J2878" t="str">
        <f>HYPERLINK("https://www.facebook.com/634639855377280/posts/779403670900897?comment_id=190556064119785","https://www.facebook.com/634639855377280/posts/779403670900897?comment_id=190556064119785")</f>
        <v>https://www.facebook.com/634639855377280/posts/779403670900897?comment_id=190556064119785</v>
      </c>
      <c r="O2878">
        <v>0</v>
      </c>
      <c r="P2878">
        <v>0</v>
      </c>
      <c r="Q2878">
        <v>0</v>
      </c>
      <c r="S2878">
        <v>0</v>
      </c>
      <c r="T2878">
        <v>0</v>
      </c>
      <c r="U2878">
        <v>0</v>
      </c>
      <c r="W2878" t="s">
        <v>52</v>
      </c>
    </row>
    <row r="2879" spans="1:23" x14ac:dyDescent="0.35">
      <c r="A2879" t="s">
        <v>45</v>
      </c>
      <c r="B2879" t="s">
        <v>5832</v>
      </c>
      <c r="C2879" t="s">
        <v>60</v>
      </c>
      <c r="D2879" t="s">
        <v>64</v>
      </c>
      <c r="E2879" t="s">
        <v>64</v>
      </c>
      <c r="F2879" t="s">
        <v>49</v>
      </c>
      <c r="G2879" t="s">
        <v>100</v>
      </c>
      <c r="H2879" t="s">
        <v>5870</v>
      </c>
      <c r="J2879" t="str">
        <f>HYPERLINK("https://www.facebook.com/634639855377280/posts/779403670900897?comment_id=24609987375315228&amp;reply_comment_id=2647488718761839","https://www.facebook.com/634639855377280/posts/779403670900897?comment_id=24609987375315228&amp;reply_comment_id=2647488718761839")</f>
        <v>https://www.facebook.com/634639855377280/posts/779403670900897?comment_id=24609987375315228&amp;reply_comment_id=2647488718761839</v>
      </c>
      <c r="K2879" t="s">
        <v>67</v>
      </c>
      <c r="O2879">
        <v>0</v>
      </c>
      <c r="P2879">
        <v>0</v>
      </c>
      <c r="Q2879">
        <v>0</v>
      </c>
      <c r="S2879">
        <v>0</v>
      </c>
      <c r="T2879">
        <v>0</v>
      </c>
      <c r="U2879">
        <v>0</v>
      </c>
      <c r="W2879" t="s">
        <v>52</v>
      </c>
    </row>
    <row r="2880" spans="1:23" x14ac:dyDescent="0.35">
      <c r="A2880" t="s">
        <v>45</v>
      </c>
      <c r="B2880" t="s">
        <v>5832</v>
      </c>
      <c r="C2880" t="s">
        <v>60</v>
      </c>
      <c r="D2880" t="s">
        <v>61</v>
      </c>
      <c r="E2880" t="s">
        <v>61</v>
      </c>
      <c r="F2880" t="s">
        <v>49</v>
      </c>
      <c r="G2880" t="s">
        <v>5871</v>
      </c>
      <c r="H2880" t="s">
        <v>5872</v>
      </c>
      <c r="J2880" t="str">
        <f>HYPERLINK("https://www.facebook.com/634639855377280/posts/779403670900897?comment_id=24609987375315228&amp;reply_comment_id=978480583712277","https://www.facebook.com/634639855377280/posts/779403670900897?comment_id=24609987375315228&amp;reply_comment_id=978480583712277")</f>
        <v>https://www.facebook.com/634639855377280/posts/779403670900897?comment_id=24609987375315228&amp;reply_comment_id=978480583712277</v>
      </c>
      <c r="O2880">
        <v>0</v>
      </c>
      <c r="P2880">
        <v>0</v>
      </c>
      <c r="Q2880">
        <v>0</v>
      </c>
      <c r="S2880">
        <v>0</v>
      </c>
      <c r="T2880">
        <v>0</v>
      </c>
      <c r="U2880">
        <v>0</v>
      </c>
      <c r="W2880" t="s">
        <v>52</v>
      </c>
    </row>
    <row r="2881" spans="1:23" x14ac:dyDescent="0.35">
      <c r="A2881" t="s">
        <v>45</v>
      </c>
      <c r="B2881" t="s">
        <v>5832</v>
      </c>
      <c r="C2881" t="s">
        <v>60</v>
      </c>
      <c r="D2881" t="s">
        <v>64</v>
      </c>
      <c r="E2881" t="s">
        <v>64</v>
      </c>
      <c r="F2881" t="s">
        <v>49</v>
      </c>
      <c r="G2881" t="s">
        <v>83</v>
      </c>
      <c r="H2881" t="s">
        <v>5873</v>
      </c>
      <c r="J2881" t="str">
        <f>HYPERLINK("https://www.facebook.com/634639855377280/posts/779403670900897?comment_id=24609987375315228&amp;reply_comment_id=313585351683612","https://www.facebook.com/634639855377280/posts/779403670900897?comment_id=24609987375315228&amp;reply_comment_id=313585351683612")</f>
        <v>https://www.facebook.com/634639855377280/posts/779403670900897?comment_id=24609987375315228&amp;reply_comment_id=313585351683612</v>
      </c>
      <c r="K2881" t="s">
        <v>67</v>
      </c>
      <c r="O2881">
        <v>0</v>
      </c>
      <c r="P2881">
        <v>0</v>
      </c>
      <c r="Q2881">
        <v>0</v>
      </c>
      <c r="S2881">
        <v>0</v>
      </c>
      <c r="T2881">
        <v>0</v>
      </c>
      <c r="U2881">
        <v>0</v>
      </c>
      <c r="W2881" t="s">
        <v>52</v>
      </c>
    </row>
    <row r="2882" spans="1:23" x14ac:dyDescent="0.35">
      <c r="A2882" t="s">
        <v>45</v>
      </c>
      <c r="B2882" t="s">
        <v>5832</v>
      </c>
      <c r="C2882" t="s">
        <v>60</v>
      </c>
      <c r="D2882" t="s">
        <v>61</v>
      </c>
      <c r="E2882" t="s">
        <v>61</v>
      </c>
      <c r="F2882" t="s">
        <v>54</v>
      </c>
      <c r="G2882" t="s">
        <v>5874</v>
      </c>
      <c r="H2882" t="s">
        <v>5875</v>
      </c>
      <c r="J2882" t="str">
        <f>HYPERLINK("https://www.facebook.com/634639855377280/posts/779403670900897?comment_id=24609987375315228","https://www.facebook.com/634639855377280/posts/779403670900897?comment_id=24609987375315228")</f>
        <v>https://www.facebook.com/634639855377280/posts/779403670900897?comment_id=24609987375315228</v>
      </c>
      <c r="O2882">
        <v>0</v>
      </c>
      <c r="P2882">
        <v>0</v>
      </c>
      <c r="Q2882">
        <v>0</v>
      </c>
      <c r="S2882">
        <v>0</v>
      </c>
      <c r="T2882">
        <v>0</v>
      </c>
      <c r="U2882">
        <v>0</v>
      </c>
      <c r="W2882" t="s">
        <v>52</v>
      </c>
    </row>
    <row r="2883" spans="1:23" x14ac:dyDescent="0.35">
      <c r="A2883" t="s">
        <v>45</v>
      </c>
      <c r="B2883" t="s">
        <v>5832</v>
      </c>
      <c r="C2883" t="s">
        <v>60</v>
      </c>
      <c r="D2883" t="s">
        <v>61</v>
      </c>
      <c r="E2883" t="s">
        <v>61</v>
      </c>
      <c r="F2883" t="s">
        <v>54</v>
      </c>
      <c r="G2883" t="s">
        <v>5876</v>
      </c>
      <c r="H2883" t="s">
        <v>5877</v>
      </c>
      <c r="J2883" t="str">
        <f>HYPERLINK("https://www.facebook.com/634639855377280/posts/779403670900897?comment_id=740000931393474","https://www.facebook.com/634639855377280/posts/779403670900897?comment_id=740000931393474")</f>
        <v>https://www.facebook.com/634639855377280/posts/779403670900897?comment_id=740000931393474</v>
      </c>
      <c r="O2883">
        <v>0</v>
      </c>
      <c r="P2883">
        <v>0</v>
      </c>
      <c r="Q2883">
        <v>0</v>
      </c>
      <c r="S2883">
        <v>0</v>
      </c>
      <c r="T2883">
        <v>0</v>
      </c>
      <c r="U2883">
        <v>0</v>
      </c>
      <c r="W2883" t="s">
        <v>52</v>
      </c>
    </row>
    <row r="2884" spans="1:23" x14ac:dyDescent="0.35">
      <c r="A2884" t="s">
        <v>45</v>
      </c>
      <c r="B2884" t="s">
        <v>5832</v>
      </c>
      <c r="C2884" t="s">
        <v>93</v>
      </c>
      <c r="D2884" t="s">
        <v>94</v>
      </c>
      <c r="E2884" t="s">
        <v>45</v>
      </c>
      <c r="F2884" t="s">
        <v>49</v>
      </c>
      <c r="G2884" t="s">
        <v>5817</v>
      </c>
      <c r="H2884" t="s">
        <v>5878</v>
      </c>
      <c r="J2884" t="str">
        <f>HYPERLINK("https://twitter.com/SpiceMoneyIndia/status/1750770778487066702","https://twitter.com/SpiceMoneyIndia/status/1750770778487066702")</f>
        <v>https://twitter.com/SpiceMoneyIndia/status/1750770778487066702</v>
      </c>
      <c r="K2884" t="s">
        <v>67</v>
      </c>
      <c r="O2884">
        <v>0</v>
      </c>
      <c r="P2884">
        <v>0</v>
      </c>
      <c r="Q2884">
        <v>6007</v>
      </c>
      <c r="R2884" t="s">
        <v>97</v>
      </c>
      <c r="S2884">
        <v>0</v>
      </c>
      <c r="T2884">
        <v>0</v>
      </c>
      <c r="U2884">
        <v>0</v>
      </c>
      <c r="V2884" t="s">
        <v>98</v>
      </c>
      <c r="W2884" t="s">
        <v>99</v>
      </c>
    </row>
    <row r="2885" spans="1:23" x14ac:dyDescent="0.35">
      <c r="A2885" t="s">
        <v>45</v>
      </c>
      <c r="B2885" t="s">
        <v>5832</v>
      </c>
      <c r="C2885" t="s">
        <v>60</v>
      </c>
      <c r="D2885" t="s">
        <v>64</v>
      </c>
      <c r="E2885" t="s">
        <v>64</v>
      </c>
      <c r="F2885" t="s">
        <v>49</v>
      </c>
      <c r="G2885" t="s">
        <v>5879</v>
      </c>
      <c r="H2885" t="s">
        <v>5880</v>
      </c>
      <c r="J2885" t="str">
        <f>HYPERLINK("https://www.facebook.com/634639855377280/posts/779403670900897","https://www.facebook.com/634639855377280/posts/779403670900897")</f>
        <v>https://www.facebook.com/634639855377280/posts/779403670900897</v>
      </c>
      <c r="O2885">
        <v>0</v>
      </c>
      <c r="P2885">
        <v>0</v>
      </c>
      <c r="Q2885">
        <v>0</v>
      </c>
      <c r="S2885">
        <v>6</v>
      </c>
      <c r="T2885">
        <v>86</v>
      </c>
      <c r="U2885">
        <v>11</v>
      </c>
      <c r="W2885" t="s">
        <v>346</v>
      </c>
    </row>
    <row r="2886" spans="1:23" x14ac:dyDescent="0.35">
      <c r="A2886" t="s">
        <v>45</v>
      </c>
      <c r="B2886" t="s">
        <v>5832</v>
      </c>
      <c r="C2886" t="s">
        <v>93</v>
      </c>
      <c r="D2886" t="s">
        <v>5881</v>
      </c>
      <c r="E2886" t="s">
        <v>5882</v>
      </c>
      <c r="F2886" t="s">
        <v>193</v>
      </c>
      <c r="G2886" t="s">
        <v>5883</v>
      </c>
      <c r="H2886" t="s">
        <v>5884</v>
      </c>
      <c r="J2886" t="str">
        <f>HYPERLINK("https://twitter.com/santoshbha73771/status/1750769226544255013","https://twitter.com/santoshbha73771/status/1750769226544255013")</f>
        <v>https://twitter.com/santoshbha73771/status/1750769226544255013</v>
      </c>
      <c r="K2886" t="s">
        <v>67</v>
      </c>
      <c r="O2886">
        <v>0</v>
      </c>
      <c r="P2886">
        <v>0</v>
      </c>
      <c r="Q2886">
        <v>0</v>
      </c>
      <c r="S2886">
        <v>0</v>
      </c>
      <c r="T2886">
        <v>0</v>
      </c>
      <c r="U2886">
        <v>0</v>
      </c>
      <c r="W2886" t="s">
        <v>99</v>
      </c>
    </row>
    <row r="2887" spans="1:23" x14ac:dyDescent="0.35">
      <c r="A2887" t="s">
        <v>45</v>
      </c>
      <c r="B2887" t="s">
        <v>5832</v>
      </c>
      <c r="C2887" t="s">
        <v>60</v>
      </c>
      <c r="D2887" t="s">
        <v>61</v>
      </c>
      <c r="E2887" t="s">
        <v>61</v>
      </c>
      <c r="F2887" t="s">
        <v>49</v>
      </c>
      <c r="G2887" t="s">
        <v>5885</v>
      </c>
      <c r="H2887" t="s">
        <v>5886</v>
      </c>
      <c r="J2887" t="str">
        <f>HYPERLINK("https://www.facebook.com/634639855377280/posts/776916321149632?comment_id=230467153455026","https://www.facebook.com/634639855377280/posts/776916321149632?comment_id=230467153455026")</f>
        <v>https://www.facebook.com/634639855377280/posts/776916321149632?comment_id=230467153455026</v>
      </c>
      <c r="O2887">
        <v>0</v>
      </c>
      <c r="P2887">
        <v>0</v>
      </c>
      <c r="Q2887">
        <v>0</v>
      </c>
      <c r="S2887">
        <v>0</v>
      </c>
      <c r="T2887">
        <v>0</v>
      </c>
      <c r="U2887">
        <v>0</v>
      </c>
      <c r="W2887" t="s">
        <v>52</v>
      </c>
    </row>
    <row r="2888" spans="1:23" x14ac:dyDescent="0.35">
      <c r="A2888" t="s">
        <v>45</v>
      </c>
      <c r="B2888" t="s">
        <v>5832</v>
      </c>
      <c r="C2888" t="s">
        <v>47</v>
      </c>
      <c r="D2888" t="s">
        <v>5887</v>
      </c>
      <c r="E2888" t="s">
        <v>5887</v>
      </c>
      <c r="F2888" t="s">
        <v>54</v>
      </c>
      <c r="G2888" t="s">
        <v>5888</v>
      </c>
      <c r="H2888" t="s">
        <v>5889</v>
      </c>
      <c r="J2888" t="str">
        <f>HYPERLINK("https://www.youtube.com/watch?v=ThXQf6FaaYw&amp;lc=UgxARZ0OhVbBxczUN8x4AaABAg","https://www.youtube.com/watch?v=ThXQf6FaaYw&amp;lc=UgxARZ0OhVbBxczUN8x4AaABAg")</f>
        <v>https://www.youtube.com/watch?v=ThXQf6FaaYw&amp;lc=UgxARZ0OhVbBxczUN8x4AaABAg</v>
      </c>
      <c r="O2888">
        <v>0</v>
      </c>
      <c r="P2888">
        <v>0</v>
      </c>
      <c r="Q2888">
        <v>0</v>
      </c>
      <c r="S2888">
        <v>0</v>
      </c>
      <c r="T2888">
        <v>0</v>
      </c>
      <c r="U2888">
        <v>0</v>
      </c>
      <c r="W2888" t="s">
        <v>52</v>
      </c>
    </row>
    <row r="2889" spans="1:23" x14ac:dyDescent="0.35">
      <c r="A2889" t="s">
        <v>45</v>
      </c>
      <c r="B2889" t="s">
        <v>5832</v>
      </c>
      <c r="C2889" t="s">
        <v>47</v>
      </c>
      <c r="D2889" t="s">
        <v>5887</v>
      </c>
      <c r="E2889" t="s">
        <v>5887</v>
      </c>
      <c r="F2889" t="s">
        <v>54</v>
      </c>
      <c r="G2889" t="s">
        <v>5890</v>
      </c>
      <c r="H2889" t="s">
        <v>5891</v>
      </c>
      <c r="J2889" t="str">
        <f>HYPERLINK("https://www.youtube.com/watch?v=ThXQf6FaaYw&amp;lc=Ugxtv9IHHiYTFatepsx4AaABAg","https://www.youtube.com/watch?v=ThXQf6FaaYw&amp;lc=Ugxtv9IHHiYTFatepsx4AaABAg")</f>
        <v>https://www.youtube.com/watch?v=ThXQf6FaaYw&amp;lc=Ugxtv9IHHiYTFatepsx4AaABAg</v>
      </c>
      <c r="O2889">
        <v>0</v>
      </c>
      <c r="P2889">
        <v>0</v>
      </c>
      <c r="Q2889">
        <v>0</v>
      </c>
      <c r="S2889">
        <v>0</v>
      </c>
      <c r="T2889">
        <v>0</v>
      </c>
      <c r="U2889">
        <v>0</v>
      </c>
      <c r="W2889" t="s">
        <v>52</v>
      </c>
    </row>
    <row r="2890" spans="1:23" x14ac:dyDescent="0.35">
      <c r="A2890" t="s">
        <v>45</v>
      </c>
      <c r="B2890" t="s">
        <v>5832</v>
      </c>
      <c r="C2890" t="s">
        <v>60</v>
      </c>
      <c r="D2890" t="s">
        <v>61</v>
      </c>
      <c r="E2890" t="s">
        <v>61</v>
      </c>
      <c r="F2890" t="s">
        <v>54</v>
      </c>
      <c r="G2890" t="s">
        <v>5892</v>
      </c>
      <c r="H2890" t="s">
        <v>5893</v>
      </c>
      <c r="J2890" t="str">
        <f>HYPERLINK("https://www.facebook.com/634639855377280/posts/779275430913721?comment_id=1423538445247753","https://www.facebook.com/634639855377280/posts/779275430913721?comment_id=1423538445247753")</f>
        <v>https://www.facebook.com/634639855377280/posts/779275430913721?comment_id=1423538445247753</v>
      </c>
      <c r="O2890">
        <v>0</v>
      </c>
      <c r="P2890">
        <v>0</v>
      </c>
      <c r="Q2890">
        <v>0</v>
      </c>
      <c r="S2890">
        <v>0</v>
      </c>
      <c r="T2890">
        <v>0</v>
      </c>
      <c r="U2890">
        <v>0</v>
      </c>
      <c r="W2890" t="s">
        <v>52</v>
      </c>
    </row>
    <row r="2891" spans="1:23" x14ac:dyDescent="0.35">
      <c r="A2891" t="s">
        <v>45</v>
      </c>
      <c r="B2891" t="s">
        <v>5832</v>
      </c>
      <c r="C2891" t="s">
        <v>47</v>
      </c>
      <c r="D2891" t="s">
        <v>5894</v>
      </c>
      <c r="E2891" t="s">
        <v>5894</v>
      </c>
      <c r="F2891" t="s">
        <v>49</v>
      </c>
      <c r="G2891" t="s">
        <v>5895</v>
      </c>
      <c r="H2891" t="s">
        <v>5896</v>
      </c>
      <c r="J2891" t="str">
        <f>HYPERLINK("https://www.youtube.com/watch?v=AxBadzsqS-E","https://www.youtube.com/watch?v=AxBadzsqS-E")</f>
        <v>https://www.youtube.com/watch?v=AxBadzsqS-E</v>
      </c>
      <c r="O2891">
        <v>0</v>
      </c>
      <c r="P2891">
        <v>0</v>
      </c>
      <c r="Q2891">
        <v>0</v>
      </c>
      <c r="S2891">
        <v>0</v>
      </c>
      <c r="T2891">
        <v>0</v>
      </c>
      <c r="U2891">
        <v>0</v>
      </c>
      <c r="W2891" t="s">
        <v>346</v>
      </c>
    </row>
    <row r="2892" spans="1:23" x14ac:dyDescent="0.35">
      <c r="A2892" t="s">
        <v>45</v>
      </c>
      <c r="B2892" t="s">
        <v>5832</v>
      </c>
      <c r="C2892" t="s">
        <v>60</v>
      </c>
      <c r="D2892" t="s">
        <v>64</v>
      </c>
      <c r="E2892" t="s">
        <v>64</v>
      </c>
      <c r="F2892" t="s">
        <v>49</v>
      </c>
      <c r="G2892" t="s">
        <v>5897</v>
      </c>
      <c r="H2892" t="s">
        <v>5898</v>
      </c>
      <c r="J2892" t="str">
        <f>HYPERLINK("https://www.facebook.com/634639855377280/posts/779275430913721?comment_id=1579386802812544&amp;reply_comment_id=731657355351180","https://www.facebook.com/634639855377280/posts/779275430913721?comment_id=1579386802812544&amp;reply_comment_id=731657355351180")</f>
        <v>https://www.facebook.com/634639855377280/posts/779275430913721?comment_id=1579386802812544&amp;reply_comment_id=731657355351180</v>
      </c>
      <c r="K2892" t="s">
        <v>67</v>
      </c>
      <c r="O2892">
        <v>0</v>
      </c>
      <c r="P2892">
        <v>0</v>
      </c>
      <c r="Q2892">
        <v>0</v>
      </c>
      <c r="S2892">
        <v>0</v>
      </c>
      <c r="T2892">
        <v>0</v>
      </c>
      <c r="U2892">
        <v>0</v>
      </c>
      <c r="W2892" t="s">
        <v>52</v>
      </c>
    </row>
    <row r="2893" spans="1:23" x14ac:dyDescent="0.35">
      <c r="A2893" t="s">
        <v>45</v>
      </c>
      <c r="B2893" t="s">
        <v>5832</v>
      </c>
      <c r="C2893" t="s">
        <v>60</v>
      </c>
      <c r="D2893" t="s">
        <v>64</v>
      </c>
      <c r="E2893" t="s">
        <v>64</v>
      </c>
      <c r="F2893" t="s">
        <v>49</v>
      </c>
      <c r="G2893" t="s">
        <v>5727</v>
      </c>
      <c r="H2893" t="s">
        <v>5899</v>
      </c>
      <c r="J2893" t="str">
        <f>HYPERLINK("https://www.facebook.com/634639855377280/posts/778891247618806?comment_id=681620200713979&amp;reply_comment_id=899131822009395","https://www.facebook.com/634639855377280/posts/778891247618806?comment_id=681620200713979&amp;reply_comment_id=899131822009395")</f>
        <v>https://www.facebook.com/634639855377280/posts/778891247618806?comment_id=681620200713979&amp;reply_comment_id=899131822009395</v>
      </c>
      <c r="K2893" t="s">
        <v>67</v>
      </c>
      <c r="O2893">
        <v>0</v>
      </c>
      <c r="P2893">
        <v>0</v>
      </c>
      <c r="Q2893">
        <v>0</v>
      </c>
      <c r="S2893">
        <v>0</v>
      </c>
      <c r="T2893">
        <v>0</v>
      </c>
      <c r="U2893">
        <v>0</v>
      </c>
      <c r="W2893" t="s">
        <v>52</v>
      </c>
    </row>
    <row r="2894" spans="1:23" x14ac:dyDescent="0.35">
      <c r="A2894" t="s">
        <v>45</v>
      </c>
      <c r="B2894" t="s">
        <v>5832</v>
      </c>
      <c r="C2894" t="s">
        <v>60</v>
      </c>
      <c r="D2894" t="s">
        <v>61</v>
      </c>
      <c r="E2894" t="s">
        <v>61</v>
      </c>
      <c r="F2894" t="s">
        <v>54</v>
      </c>
      <c r="G2894" t="s">
        <v>5900</v>
      </c>
      <c r="H2894" t="s">
        <v>5901</v>
      </c>
      <c r="J2894" t="str">
        <f>HYPERLINK("https://www.facebook.com/634639855377280/posts/779275430913721?comment_id=1579386802812544","https://www.facebook.com/634639855377280/posts/779275430913721?comment_id=1579386802812544")</f>
        <v>https://www.facebook.com/634639855377280/posts/779275430913721?comment_id=1579386802812544</v>
      </c>
      <c r="O2894">
        <v>0</v>
      </c>
      <c r="P2894">
        <v>0</v>
      </c>
      <c r="Q2894">
        <v>0</v>
      </c>
      <c r="S2894">
        <v>0</v>
      </c>
      <c r="T2894">
        <v>0</v>
      </c>
      <c r="U2894">
        <v>0</v>
      </c>
      <c r="W2894" t="s">
        <v>52</v>
      </c>
    </row>
    <row r="2895" spans="1:23" x14ac:dyDescent="0.35">
      <c r="A2895" t="s">
        <v>45</v>
      </c>
      <c r="B2895" t="s">
        <v>5832</v>
      </c>
      <c r="C2895" t="s">
        <v>60</v>
      </c>
      <c r="D2895" t="s">
        <v>64</v>
      </c>
      <c r="E2895" t="s">
        <v>64</v>
      </c>
      <c r="F2895" t="s">
        <v>49</v>
      </c>
      <c r="G2895" t="s">
        <v>5902</v>
      </c>
      <c r="H2895" t="s">
        <v>5903</v>
      </c>
      <c r="J2895" t="str">
        <f>HYPERLINK("https://www.facebook.com/634639855377280/posts/778114767696454?comment_id=731669085579138&amp;reply_comment_id=1335426847178744","https://www.facebook.com/634639855377280/posts/778114767696454?comment_id=731669085579138&amp;reply_comment_id=1335426847178744")</f>
        <v>https://www.facebook.com/634639855377280/posts/778114767696454?comment_id=731669085579138&amp;reply_comment_id=1335426847178744</v>
      </c>
      <c r="K2895" t="s">
        <v>67</v>
      </c>
      <c r="O2895">
        <v>0</v>
      </c>
      <c r="P2895">
        <v>0</v>
      </c>
      <c r="Q2895">
        <v>0</v>
      </c>
      <c r="S2895">
        <v>0</v>
      </c>
      <c r="T2895">
        <v>0</v>
      </c>
      <c r="U2895">
        <v>0</v>
      </c>
      <c r="W2895" t="s">
        <v>52</v>
      </c>
    </row>
    <row r="2896" spans="1:23" x14ac:dyDescent="0.35">
      <c r="A2896" t="s">
        <v>45</v>
      </c>
      <c r="B2896" t="s">
        <v>5832</v>
      </c>
      <c r="C2896" t="s">
        <v>60</v>
      </c>
      <c r="D2896" t="s">
        <v>61</v>
      </c>
      <c r="E2896" t="s">
        <v>61</v>
      </c>
      <c r="F2896" t="s">
        <v>49</v>
      </c>
      <c r="G2896" t="s">
        <v>5904</v>
      </c>
      <c r="H2896" t="s">
        <v>5905</v>
      </c>
      <c r="J2896" t="str">
        <f>HYPERLINK("https://www.facebook.com/634639855377280/posts/778114767696454?comment_id=731669085579138","https://www.facebook.com/634639855377280/posts/778114767696454?comment_id=731669085579138")</f>
        <v>https://www.facebook.com/634639855377280/posts/778114767696454?comment_id=731669085579138</v>
      </c>
      <c r="O2896">
        <v>0</v>
      </c>
      <c r="P2896">
        <v>0</v>
      </c>
      <c r="Q2896">
        <v>0</v>
      </c>
      <c r="S2896">
        <v>0</v>
      </c>
      <c r="T2896">
        <v>0</v>
      </c>
      <c r="U2896">
        <v>0</v>
      </c>
      <c r="W2896" t="s">
        <v>52</v>
      </c>
    </row>
    <row r="2897" spans="1:23" x14ac:dyDescent="0.35">
      <c r="A2897" t="s">
        <v>45</v>
      </c>
      <c r="B2897" t="s">
        <v>5832</v>
      </c>
      <c r="C2897" t="s">
        <v>60</v>
      </c>
      <c r="D2897" t="s">
        <v>61</v>
      </c>
      <c r="E2897" t="s">
        <v>61</v>
      </c>
      <c r="F2897" t="s">
        <v>49</v>
      </c>
      <c r="G2897" t="s">
        <v>5906</v>
      </c>
      <c r="H2897" t="s">
        <v>5907</v>
      </c>
      <c r="J2897" t="str">
        <f>HYPERLINK("https://www.facebook.com/634639855377280/posts/779275430913721?comment_id=1427244381197122","https://www.facebook.com/634639855377280/posts/779275430913721?comment_id=1427244381197122")</f>
        <v>https://www.facebook.com/634639855377280/posts/779275430913721?comment_id=1427244381197122</v>
      </c>
      <c r="O2897">
        <v>0</v>
      </c>
      <c r="P2897">
        <v>0</v>
      </c>
      <c r="Q2897">
        <v>0</v>
      </c>
      <c r="S2897">
        <v>0</v>
      </c>
      <c r="T2897">
        <v>0</v>
      </c>
      <c r="U2897">
        <v>0</v>
      </c>
      <c r="W2897" t="s">
        <v>52</v>
      </c>
    </row>
    <row r="2898" spans="1:23" x14ac:dyDescent="0.35">
      <c r="A2898" t="s">
        <v>45</v>
      </c>
      <c r="B2898" t="s">
        <v>5832</v>
      </c>
      <c r="C2898" t="s">
        <v>60</v>
      </c>
      <c r="D2898" t="s">
        <v>64</v>
      </c>
      <c r="E2898" t="s">
        <v>64</v>
      </c>
      <c r="F2898" t="s">
        <v>49</v>
      </c>
      <c r="G2898" t="s">
        <v>380</v>
      </c>
      <c r="H2898" t="s">
        <v>5908</v>
      </c>
      <c r="J2898" t="str">
        <f>HYPERLINK("https://www.facebook.com/634639855377280/posts/776916321149632?comment_id=933828541731484&amp;reply_comment_id=1056994325354529","https://www.facebook.com/634639855377280/posts/776916321149632?comment_id=933828541731484&amp;reply_comment_id=1056994325354529")</f>
        <v>https://www.facebook.com/634639855377280/posts/776916321149632?comment_id=933828541731484&amp;reply_comment_id=1056994325354529</v>
      </c>
      <c r="K2898" t="s">
        <v>67</v>
      </c>
      <c r="O2898">
        <v>0</v>
      </c>
      <c r="P2898">
        <v>0</v>
      </c>
      <c r="Q2898">
        <v>0</v>
      </c>
      <c r="S2898">
        <v>0</v>
      </c>
      <c r="T2898">
        <v>0</v>
      </c>
      <c r="U2898">
        <v>0</v>
      </c>
      <c r="W2898" t="s">
        <v>52</v>
      </c>
    </row>
    <row r="2899" spans="1:23" x14ac:dyDescent="0.35">
      <c r="A2899" t="s">
        <v>45</v>
      </c>
      <c r="B2899" t="s">
        <v>5832</v>
      </c>
      <c r="C2899" t="s">
        <v>60</v>
      </c>
      <c r="D2899" t="s">
        <v>64</v>
      </c>
      <c r="E2899" t="s">
        <v>64</v>
      </c>
      <c r="F2899" t="s">
        <v>49</v>
      </c>
      <c r="G2899" t="s">
        <v>266</v>
      </c>
      <c r="H2899" t="s">
        <v>5909</v>
      </c>
      <c r="J2899" t="str">
        <f>HYPERLINK("https://www.facebook.com/634639855377280/posts/778114767696454?comment_id=398854282713499&amp;reply_comment_id=3639271289651394","https://www.facebook.com/634639855377280/posts/778114767696454?comment_id=398854282713499&amp;reply_comment_id=3639271289651394")</f>
        <v>https://www.facebook.com/634639855377280/posts/778114767696454?comment_id=398854282713499&amp;reply_comment_id=3639271289651394</v>
      </c>
      <c r="K2899" t="s">
        <v>67</v>
      </c>
      <c r="O2899">
        <v>0</v>
      </c>
      <c r="P2899">
        <v>0</v>
      </c>
      <c r="Q2899">
        <v>0</v>
      </c>
      <c r="S2899">
        <v>0</v>
      </c>
      <c r="T2899">
        <v>0</v>
      </c>
      <c r="U2899">
        <v>0</v>
      </c>
      <c r="W2899" t="s">
        <v>52</v>
      </c>
    </row>
    <row r="2900" spans="1:23" x14ac:dyDescent="0.35">
      <c r="A2900" t="s">
        <v>45</v>
      </c>
      <c r="B2900" t="s">
        <v>5832</v>
      </c>
      <c r="C2900" t="s">
        <v>60</v>
      </c>
      <c r="D2900" t="s">
        <v>64</v>
      </c>
      <c r="E2900" t="s">
        <v>64</v>
      </c>
      <c r="F2900" t="s">
        <v>49</v>
      </c>
      <c r="G2900" t="s">
        <v>162</v>
      </c>
      <c r="H2900" t="s">
        <v>5910</v>
      </c>
      <c r="J2900" t="str">
        <f>HYPERLINK("https://www.facebook.com/634639855377280/posts/778891247618806?comment_id=612344747698608&amp;reply_comment_id=1131387951641131","https://www.facebook.com/634639855377280/posts/778891247618806?comment_id=612344747698608&amp;reply_comment_id=1131387951641131")</f>
        <v>https://www.facebook.com/634639855377280/posts/778891247618806?comment_id=612344747698608&amp;reply_comment_id=1131387951641131</v>
      </c>
      <c r="K2900" t="s">
        <v>67</v>
      </c>
      <c r="O2900">
        <v>0</v>
      </c>
      <c r="P2900">
        <v>0</v>
      </c>
      <c r="Q2900">
        <v>0</v>
      </c>
      <c r="S2900">
        <v>0</v>
      </c>
      <c r="T2900">
        <v>0</v>
      </c>
      <c r="U2900">
        <v>0</v>
      </c>
      <c r="W2900" t="s">
        <v>52</v>
      </c>
    </row>
    <row r="2901" spans="1:23" x14ac:dyDescent="0.35">
      <c r="A2901" t="s">
        <v>45</v>
      </c>
      <c r="B2901" t="s">
        <v>5832</v>
      </c>
      <c r="C2901" t="s">
        <v>47</v>
      </c>
      <c r="D2901" t="s">
        <v>68</v>
      </c>
      <c r="E2901" t="s">
        <v>68</v>
      </c>
      <c r="F2901" t="s">
        <v>49</v>
      </c>
      <c r="G2901" t="s">
        <v>492</v>
      </c>
      <c r="H2901" t="s">
        <v>5911</v>
      </c>
      <c r="J2901" t="str">
        <f>HYPERLINK("https://www.youtube.com/watch?v=ASfQx196DU4&amp;lc=UgynnacSZrIFNr-SiOR4AaABAg.9zwZELwCX4KA-0cYC0nykB","https://www.youtube.com/watch?v=ASfQx196DU4&amp;lc=UgynnacSZrIFNr-SiOR4AaABAg.9zwZELwCX4KA-0cYC0nykB")</f>
        <v>https://www.youtube.com/watch?v=ASfQx196DU4&amp;lc=UgynnacSZrIFNr-SiOR4AaABAg.9zwZELwCX4KA-0cYC0nykB</v>
      </c>
      <c r="O2901">
        <v>0</v>
      </c>
      <c r="P2901">
        <v>0</v>
      </c>
      <c r="Q2901">
        <v>0</v>
      </c>
      <c r="S2901">
        <v>0</v>
      </c>
      <c r="T2901">
        <v>0</v>
      </c>
      <c r="U2901">
        <v>0</v>
      </c>
      <c r="W2901" t="s">
        <v>52</v>
      </c>
    </row>
    <row r="2902" spans="1:23" x14ac:dyDescent="0.35">
      <c r="A2902" t="s">
        <v>45</v>
      </c>
      <c r="B2902" t="s">
        <v>5832</v>
      </c>
      <c r="C2902" t="s">
        <v>47</v>
      </c>
      <c r="D2902" t="s">
        <v>68</v>
      </c>
      <c r="E2902" t="s">
        <v>68</v>
      </c>
      <c r="F2902" t="s">
        <v>49</v>
      </c>
      <c r="G2902" t="s">
        <v>102</v>
      </c>
      <c r="H2902" t="s">
        <v>5912</v>
      </c>
      <c r="J2902" t="str">
        <f>HYPERLINK("https://www.youtube.com/watch?v=IHWzT2TNYKQ&amp;lc=Ugw4pdWB29rRxLS7BGd4AaABAg.A--LP0f2i1KA-0c2sQEYBo","https://www.youtube.com/watch?v=IHWzT2TNYKQ&amp;lc=Ugw4pdWB29rRxLS7BGd4AaABAg.A--LP0f2i1KA-0c2sQEYBo")</f>
        <v>https://www.youtube.com/watch?v=IHWzT2TNYKQ&amp;lc=Ugw4pdWB29rRxLS7BGd4AaABAg.A--LP0f2i1KA-0c2sQEYBo</v>
      </c>
      <c r="O2902">
        <v>0</v>
      </c>
      <c r="P2902">
        <v>0</v>
      </c>
      <c r="Q2902">
        <v>0</v>
      </c>
      <c r="S2902">
        <v>0</v>
      </c>
      <c r="T2902">
        <v>0</v>
      </c>
      <c r="U2902">
        <v>0</v>
      </c>
      <c r="W2902" t="s">
        <v>52</v>
      </c>
    </row>
    <row r="2903" spans="1:23" x14ac:dyDescent="0.35">
      <c r="A2903" t="s">
        <v>45</v>
      </c>
      <c r="B2903" t="s">
        <v>5832</v>
      </c>
      <c r="C2903" t="s">
        <v>47</v>
      </c>
      <c r="D2903" t="s">
        <v>68</v>
      </c>
      <c r="E2903" t="s">
        <v>68</v>
      </c>
      <c r="F2903" t="s">
        <v>49</v>
      </c>
      <c r="G2903" t="s">
        <v>102</v>
      </c>
      <c r="H2903" t="s">
        <v>5913</v>
      </c>
      <c r="J2903" t="str">
        <f>HYPERLINK("https://www.youtube.com/watch?v=k4Jk2Nl60tE&amp;lc=Ugws5asQRldanLmyoVt4AaABAg.A--CODoZKy7A-0bpQWPThq","https://www.youtube.com/watch?v=k4Jk2Nl60tE&amp;lc=Ugws5asQRldanLmyoVt4AaABAg.A--CODoZKy7A-0bpQWPThq")</f>
        <v>https://www.youtube.com/watch?v=k4Jk2Nl60tE&amp;lc=Ugws5asQRldanLmyoVt4AaABAg.A--CODoZKy7A-0bpQWPThq</v>
      </c>
      <c r="O2903">
        <v>0</v>
      </c>
      <c r="P2903">
        <v>0</v>
      </c>
      <c r="Q2903">
        <v>0</v>
      </c>
      <c r="S2903">
        <v>0</v>
      </c>
      <c r="T2903">
        <v>0</v>
      </c>
      <c r="U2903">
        <v>0</v>
      </c>
      <c r="W2903" t="s">
        <v>52</v>
      </c>
    </row>
    <row r="2904" spans="1:23" x14ac:dyDescent="0.35">
      <c r="A2904" t="s">
        <v>45</v>
      </c>
      <c r="B2904" t="s">
        <v>5832</v>
      </c>
      <c r="C2904" t="s">
        <v>47</v>
      </c>
      <c r="D2904" t="s">
        <v>68</v>
      </c>
      <c r="E2904" t="s">
        <v>68</v>
      </c>
      <c r="F2904" t="s">
        <v>49</v>
      </c>
      <c r="G2904" t="s">
        <v>1595</v>
      </c>
      <c r="H2904" t="s">
        <v>5914</v>
      </c>
      <c r="J2904" t="str">
        <f>HYPERLINK("https://www.youtube.com/watch?v=IHWzT2TNYKQ&amp;lc=UgxkpDtzcpU8Hc7TQiR4AaABAg.A--7qe-eMrRA-0becT7PAF","https://www.youtube.com/watch?v=IHWzT2TNYKQ&amp;lc=UgxkpDtzcpU8Hc7TQiR4AaABAg.A--7qe-eMrRA-0becT7PAF")</f>
        <v>https://www.youtube.com/watch?v=IHWzT2TNYKQ&amp;lc=UgxkpDtzcpU8Hc7TQiR4AaABAg.A--7qe-eMrRA-0becT7PAF</v>
      </c>
      <c r="O2904">
        <v>0</v>
      </c>
      <c r="P2904">
        <v>0</v>
      </c>
      <c r="Q2904">
        <v>0</v>
      </c>
      <c r="S2904">
        <v>0</v>
      </c>
      <c r="T2904">
        <v>0</v>
      </c>
      <c r="U2904">
        <v>0</v>
      </c>
      <c r="W2904" t="s">
        <v>52</v>
      </c>
    </row>
    <row r="2905" spans="1:23" x14ac:dyDescent="0.35">
      <c r="A2905" t="s">
        <v>45</v>
      </c>
      <c r="B2905" t="s">
        <v>5832</v>
      </c>
      <c r="C2905" t="s">
        <v>93</v>
      </c>
      <c r="D2905" t="s">
        <v>94</v>
      </c>
      <c r="E2905" t="s">
        <v>45</v>
      </c>
      <c r="F2905" t="s">
        <v>49</v>
      </c>
      <c r="G2905" t="s">
        <v>5915</v>
      </c>
      <c r="H2905" t="s">
        <v>5916</v>
      </c>
      <c r="J2905" t="str">
        <f>HYPERLINK("https://twitter.com/SpiceMoneyIndia/status/1750719839822282980","https://twitter.com/SpiceMoneyIndia/status/1750719839822282980")</f>
        <v>https://twitter.com/SpiceMoneyIndia/status/1750719839822282980</v>
      </c>
      <c r="K2905" t="s">
        <v>67</v>
      </c>
      <c r="O2905">
        <v>0</v>
      </c>
      <c r="P2905">
        <v>0</v>
      </c>
      <c r="Q2905">
        <v>6007</v>
      </c>
      <c r="R2905" t="s">
        <v>97</v>
      </c>
      <c r="S2905">
        <v>0</v>
      </c>
      <c r="T2905">
        <v>0</v>
      </c>
      <c r="U2905">
        <v>0</v>
      </c>
      <c r="V2905" t="s">
        <v>98</v>
      </c>
      <c r="W2905" t="s">
        <v>99</v>
      </c>
    </row>
    <row r="2906" spans="1:23" x14ac:dyDescent="0.35">
      <c r="A2906" t="s">
        <v>45</v>
      </c>
      <c r="B2906" t="s">
        <v>5832</v>
      </c>
      <c r="C2906" t="s">
        <v>93</v>
      </c>
      <c r="D2906" t="s">
        <v>94</v>
      </c>
      <c r="E2906" t="s">
        <v>45</v>
      </c>
      <c r="F2906" t="s">
        <v>49</v>
      </c>
      <c r="G2906" t="s">
        <v>5219</v>
      </c>
      <c r="H2906" t="s">
        <v>5917</v>
      </c>
      <c r="J2906" t="str">
        <f>HYPERLINK("https://twitter.com/SpiceMoneyIndia/status/1750719714601406688","https://twitter.com/SpiceMoneyIndia/status/1750719714601406688")</f>
        <v>https://twitter.com/SpiceMoneyIndia/status/1750719714601406688</v>
      </c>
      <c r="K2906" t="s">
        <v>67</v>
      </c>
      <c r="O2906">
        <v>0</v>
      </c>
      <c r="P2906">
        <v>0</v>
      </c>
      <c r="Q2906">
        <v>6007</v>
      </c>
      <c r="R2906" t="s">
        <v>97</v>
      </c>
      <c r="S2906">
        <v>0</v>
      </c>
      <c r="T2906">
        <v>0</v>
      </c>
      <c r="U2906">
        <v>0</v>
      </c>
      <c r="V2906" t="s">
        <v>98</v>
      </c>
      <c r="W2906" t="s">
        <v>99</v>
      </c>
    </row>
    <row r="2907" spans="1:23" x14ac:dyDescent="0.35">
      <c r="A2907" t="s">
        <v>45</v>
      </c>
      <c r="B2907" t="s">
        <v>5832</v>
      </c>
      <c r="C2907" t="s">
        <v>47</v>
      </c>
      <c r="D2907" t="s">
        <v>5918</v>
      </c>
      <c r="E2907" t="s">
        <v>5918</v>
      </c>
      <c r="F2907" t="s">
        <v>49</v>
      </c>
      <c r="G2907" t="s">
        <v>5919</v>
      </c>
      <c r="H2907" t="s">
        <v>5920</v>
      </c>
      <c r="J2907" t="str">
        <f>HYPERLINK("https://www.youtube.com/watch?v=ThXQf6FaaYw&amp;lc=UgwEHXczOctiTVNVYtB4AaABAg","https://www.youtube.com/watch?v=ThXQf6FaaYw&amp;lc=UgwEHXczOctiTVNVYtB4AaABAg")</f>
        <v>https://www.youtube.com/watch?v=ThXQf6FaaYw&amp;lc=UgwEHXczOctiTVNVYtB4AaABAg</v>
      </c>
      <c r="O2907">
        <v>0</v>
      </c>
      <c r="P2907">
        <v>0</v>
      </c>
      <c r="Q2907">
        <v>0</v>
      </c>
      <c r="S2907">
        <v>0</v>
      </c>
      <c r="T2907">
        <v>0</v>
      </c>
      <c r="U2907">
        <v>0</v>
      </c>
      <c r="W2907" t="s">
        <v>52</v>
      </c>
    </row>
    <row r="2908" spans="1:23" x14ac:dyDescent="0.35">
      <c r="A2908" t="s">
        <v>45</v>
      </c>
      <c r="B2908" t="s">
        <v>5832</v>
      </c>
      <c r="C2908" t="s">
        <v>60</v>
      </c>
      <c r="D2908" t="s">
        <v>61</v>
      </c>
      <c r="E2908" t="s">
        <v>61</v>
      </c>
      <c r="F2908" t="s">
        <v>54</v>
      </c>
      <c r="G2908" t="s">
        <v>5921</v>
      </c>
      <c r="H2908" t="s">
        <v>5922</v>
      </c>
      <c r="J2908" t="str">
        <f>HYPERLINK("https://www.facebook.com/634639855377280/posts/779275430913721?comment_id=1600928680646355","https://www.facebook.com/634639855377280/posts/779275430913721?comment_id=1600928680646355")</f>
        <v>https://www.facebook.com/634639855377280/posts/779275430913721?comment_id=1600928680646355</v>
      </c>
      <c r="O2908">
        <v>0</v>
      </c>
      <c r="P2908">
        <v>0</v>
      </c>
      <c r="Q2908">
        <v>0</v>
      </c>
      <c r="S2908">
        <v>0</v>
      </c>
      <c r="T2908">
        <v>0</v>
      </c>
      <c r="U2908">
        <v>0</v>
      </c>
      <c r="W2908" t="s">
        <v>52</v>
      </c>
    </row>
    <row r="2909" spans="1:23" x14ac:dyDescent="0.35">
      <c r="A2909" t="s">
        <v>45</v>
      </c>
      <c r="B2909" t="s">
        <v>5832</v>
      </c>
      <c r="C2909" t="s">
        <v>60</v>
      </c>
      <c r="D2909" t="s">
        <v>61</v>
      </c>
      <c r="E2909" t="s">
        <v>61</v>
      </c>
      <c r="F2909" t="s">
        <v>49</v>
      </c>
      <c r="G2909" t="s">
        <v>5923</v>
      </c>
      <c r="H2909" t="s">
        <v>5924</v>
      </c>
      <c r="J2909" t="str">
        <f>HYPERLINK("https://www.facebook.com/634639855377280/posts/778891247618806?comment_id=1144042606578042&amp;reply_comment_id=925415962647407","https://www.facebook.com/634639855377280/posts/778891247618806?comment_id=1144042606578042&amp;reply_comment_id=925415962647407")</f>
        <v>https://www.facebook.com/634639855377280/posts/778891247618806?comment_id=1144042606578042&amp;reply_comment_id=925415962647407</v>
      </c>
      <c r="O2909">
        <v>0</v>
      </c>
      <c r="P2909">
        <v>0</v>
      </c>
      <c r="Q2909">
        <v>0</v>
      </c>
      <c r="S2909">
        <v>0</v>
      </c>
      <c r="T2909">
        <v>0</v>
      </c>
      <c r="U2909">
        <v>0</v>
      </c>
      <c r="W2909" t="s">
        <v>52</v>
      </c>
    </row>
    <row r="2910" spans="1:23" x14ac:dyDescent="0.35">
      <c r="A2910" t="s">
        <v>45</v>
      </c>
      <c r="B2910" t="s">
        <v>5832</v>
      </c>
      <c r="C2910" t="s">
        <v>60</v>
      </c>
      <c r="D2910" t="s">
        <v>61</v>
      </c>
      <c r="E2910" t="s">
        <v>61</v>
      </c>
      <c r="F2910" t="s">
        <v>49</v>
      </c>
      <c r="G2910" t="s">
        <v>5925</v>
      </c>
      <c r="H2910" t="s">
        <v>5926</v>
      </c>
      <c r="J2910" t="str">
        <f>HYPERLINK("https://www.facebook.com/634639855377280/posts/779275430913721?comment_id=1623627758174020","https://www.facebook.com/634639855377280/posts/779275430913721?comment_id=1623627758174020")</f>
        <v>https://www.facebook.com/634639855377280/posts/779275430913721?comment_id=1623627758174020</v>
      </c>
      <c r="O2910">
        <v>0</v>
      </c>
      <c r="P2910">
        <v>0</v>
      </c>
      <c r="Q2910">
        <v>0</v>
      </c>
      <c r="S2910">
        <v>0</v>
      </c>
      <c r="T2910">
        <v>0</v>
      </c>
      <c r="U2910">
        <v>0</v>
      </c>
      <c r="W2910" t="s">
        <v>52</v>
      </c>
    </row>
    <row r="2911" spans="1:23" x14ac:dyDescent="0.35">
      <c r="A2911" t="s">
        <v>45</v>
      </c>
      <c r="B2911" t="s">
        <v>5832</v>
      </c>
      <c r="C2911" t="s">
        <v>60</v>
      </c>
      <c r="D2911" t="s">
        <v>64</v>
      </c>
      <c r="E2911" t="s">
        <v>64</v>
      </c>
      <c r="F2911" t="s">
        <v>49</v>
      </c>
      <c r="G2911" t="s">
        <v>5927</v>
      </c>
      <c r="H2911" t="s">
        <v>5928</v>
      </c>
      <c r="J2911" t="str">
        <f>HYPERLINK("https://www.facebook.com/634639855377280/posts/779275430913721","https://www.facebook.com/634639855377280/posts/779275430913721")</f>
        <v>https://www.facebook.com/634639855377280/posts/779275430913721</v>
      </c>
      <c r="O2911">
        <v>0</v>
      </c>
      <c r="P2911">
        <v>0</v>
      </c>
      <c r="Q2911">
        <v>0</v>
      </c>
      <c r="S2911">
        <v>6</v>
      </c>
      <c r="T2911">
        <v>84</v>
      </c>
      <c r="U2911">
        <v>17</v>
      </c>
      <c r="W2911" t="s">
        <v>346</v>
      </c>
    </row>
    <row r="2912" spans="1:23" x14ac:dyDescent="0.35">
      <c r="A2912" t="s">
        <v>45</v>
      </c>
      <c r="B2912" t="s">
        <v>5832</v>
      </c>
      <c r="C2912" t="s">
        <v>47</v>
      </c>
      <c r="D2912" t="s">
        <v>5929</v>
      </c>
      <c r="E2912" t="s">
        <v>5929</v>
      </c>
      <c r="F2912" t="s">
        <v>49</v>
      </c>
      <c r="G2912" t="s">
        <v>5930</v>
      </c>
      <c r="H2912" t="s">
        <v>5931</v>
      </c>
      <c r="J2912" t="str">
        <f>HYPERLINK("https://www.youtube.com/watch?v=ThXQf6FaaYw&amp;lc=UgyRIBEjoA9cIulkI_F4AaABAg","https://www.youtube.com/watch?v=ThXQf6FaaYw&amp;lc=UgyRIBEjoA9cIulkI_F4AaABAg")</f>
        <v>https://www.youtube.com/watch?v=ThXQf6FaaYw&amp;lc=UgyRIBEjoA9cIulkI_F4AaABAg</v>
      </c>
      <c r="O2912">
        <v>0</v>
      </c>
      <c r="P2912">
        <v>0</v>
      </c>
      <c r="Q2912">
        <v>0</v>
      </c>
      <c r="S2912">
        <v>0</v>
      </c>
      <c r="T2912">
        <v>0</v>
      </c>
      <c r="U2912">
        <v>0</v>
      </c>
      <c r="W2912" t="s">
        <v>52</v>
      </c>
    </row>
    <row r="2913" spans="1:23" x14ac:dyDescent="0.35">
      <c r="A2913" t="s">
        <v>45</v>
      </c>
      <c r="B2913" t="s">
        <v>5832</v>
      </c>
      <c r="C2913" t="s">
        <v>93</v>
      </c>
      <c r="D2913" t="s">
        <v>94</v>
      </c>
      <c r="E2913" t="s">
        <v>45</v>
      </c>
      <c r="F2913" t="s">
        <v>49</v>
      </c>
      <c r="G2913" t="s">
        <v>5932</v>
      </c>
      <c r="H2913" t="s">
        <v>5933</v>
      </c>
      <c r="J2913" t="str">
        <f>HYPERLINK("https://twitter.com/SpiceMoneyIndia/status/1750587394976551013","https://twitter.com/SpiceMoneyIndia/status/1750587394976551013")</f>
        <v>https://twitter.com/SpiceMoneyIndia/status/1750587394976551013</v>
      </c>
      <c r="K2913" t="s">
        <v>67</v>
      </c>
      <c r="O2913">
        <v>0</v>
      </c>
      <c r="P2913">
        <v>0</v>
      </c>
      <c r="Q2913">
        <v>6004</v>
      </c>
      <c r="R2913" t="s">
        <v>97</v>
      </c>
      <c r="S2913">
        <v>0</v>
      </c>
      <c r="T2913">
        <v>0</v>
      </c>
      <c r="U2913">
        <v>0</v>
      </c>
      <c r="V2913" t="s">
        <v>98</v>
      </c>
      <c r="W2913" t="s">
        <v>99</v>
      </c>
    </row>
    <row r="2914" spans="1:23" x14ac:dyDescent="0.35">
      <c r="A2914" t="s">
        <v>45</v>
      </c>
      <c r="B2914" t="s">
        <v>5934</v>
      </c>
      <c r="C2914" t="s">
        <v>47</v>
      </c>
      <c r="D2914" t="s">
        <v>5935</v>
      </c>
      <c r="E2914" t="s">
        <v>5935</v>
      </c>
      <c r="F2914" t="s">
        <v>49</v>
      </c>
      <c r="G2914" t="s">
        <v>5936</v>
      </c>
      <c r="H2914" t="s">
        <v>5937</v>
      </c>
      <c r="J2914" t="str">
        <f>HYPERLINK("https://www.youtube.com/watch?v=ThXQf6FaaYw&amp;lc=Ugy9E_GeloNG9nW80wF4AaABAg","https://www.youtube.com/watch?v=ThXQf6FaaYw&amp;lc=Ugy9E_GeloNG9nW80wF4AaABAg")</f>
        <v>https://www.youtube.com/watch?v=ThXQf6FaaYw&amp;lc=Ugy9E_GeloNG9nW80wF4AaABAg</v>
      </c>
      <c r="O2914">
        <v>0</v>
      </c>
      <c r="P2914">
        <v>0</v>
      </c>
      <c r="Q2914">
        <v>0</v>
      </c>
      <c r="S2914">
        <v>0</v>
      </c>
      <c r="T2914">
        <v>0</v>
      </c>
      <c r="U2914">
        <v>0</v>
      </c>
      <c r="W2914" t="s">
        <v>52</v>
      </c>
    </row>
    <row r="2915" spans="1:23" x14ac:dyDescent="0.35">
      <c r="A2915" t="s">
        <v>45</v>
      </c>
      <c r="B2915" t="s">
        <v>5934</v>
      </c>
      <c r="C2915" t="s">
        <v>60</v>
      </c>
      <c r="D2915" t="s">
        <v>61</v>
      </c>
      <c r="E2915" t="s">
        <v>61</v>
      </c>
      <c r="F2915" t="s">
        <v>54</v>
      </c>
      <c r="G2915" t="s">
        <v>5938</v>
      </c>
      <c r="H2915" t="s">
        <v>5939</v>
      </c>
      <c r="J2915" t="str">
        <f>HYPERLINK("https://www.facebook.com/634639855377280/posts/776275584547039?comment_id=759840512663459","https://www.facebook.com/634639855377280/posts/776275584547039?comment_id=759840512663459")</f>
        <v>https://www.facebook.com/634639855377280/posts/776275584547039?comment_id=759840512663459</v>
      </c>
      <c r="O2915">
        <v>0</v>
      </c>
      <c r="P2915">
        <v>0</v>
      </c>
      <c r="Q2915">
        <v>0</v>
      </c>
      <c r="S2915">
        <v>0</v>
      </c>
      <c r="T2915">
        <v>0</v>
      </c>
      <c r="U2915">
        <v>0</v>
      </c>
      <c r="W2915" t="s">
        <v>52</v>
      </c>
    </row>
    <row r="2916" spans="1:23" x14ac:dyDescent="0.35">
      <c r="A2916" t="s">
        <v>45</v>
      </c>
      <c r="B2916" t="s">
        <v>5934</v>
      </c>
      <c r="C2916" t="s">
        <v>60</v>
      </c>
      <c r="D2916" t="s">
        <v>61</v>
      </c>
      <c r="E2916" t="s">
        <v>61</v>
      </c>
      <c r="F2916" t="s">
        <v>49</v>
      </c>
      <c r="G2916" t="s">
        <v>5034</v>
      </c>
      <c r="H2916" t="s">
        <v>5940</v>
      </c>
      <c r="J2916" t="str">
        <f>HYPERLINK("https://www.facebook.com/634639855377280/posts/778862537621677?comment_id=736669818412129","https://www.facebook.com/634639855377280/posts/778862537621677?comment_id=736669818412129")</f>
        <v>https://www.facebook.com/634639855377280/posts/778862537621677?comment_id=736669818412129</v>
      </c>
      <c r="O2916">
        <v>0</v>
      </c>
      <c r="P2916">
        <v>0</v>
      </c>
      <c r="Q2916">
        <v>0</v>
      </c>
      <c r="S2916">
        <v>0</v>
      </c>
      <c r="T2916">
        <v>0</v>
      </c>
      <c r="U2916">
        <v>0</v>
      </c>
      <c r="W2916" t="s">
        <v>52</v>
      </c>
    </row>
    <row r="2917" spans="1:23" x14ac:dyDescent="0.35">
      <c r="A2917" t="s">
        <v>45</v>
      </c>
      <c r="B2917" t="s">
        <v>5934</v>
      </c>
      <c r="C2917" t="s">
        <v>60</v>
      </c>
      <c r="D2917" t="s">
        <v>61</v>
      </c>
      <c r="E2917" t="s">
        <v>61</v>
      </c>
      <c r="F2917" t="s">
        <v>49</v>
      </c>
      <c r="G2917" t="s">
        <v>5941</v>
      </c>
      <c r="H2917" t="s">
        <v>5942</v>
      </c>
      <c r="J2917" t="str">
        <f>HYPERLINK("https://www.facebook.com/634639855377280/posts/778891247618806?comment_id=1144042606578042","https://www.facebook.com/634639855377280/posts/778891247618806?comment_id=1144042606578042")</f>
        <v>https://www.facebook.com/634639855377280/posts/778891247618806?comment_id=1144042606578042</v>
      </c>
      <c r="O2917">
        <v>0</v>
      </c>
      <c r="P2917">
        <v>0</v>
      </c>
      <c r="Q2917">
        <v>0</v>
      </c>
      <c r="S2917">
        <v>0</v>
      </c>
      <c r="T2917">
        <v>0</v>
      </c>
      <c r="U2917">
        <v>0</v>
      </c>
      <c r="W2917" t="s">
        <v>52</v>
      </c>
    </row>
    <row r="2918" spans="1:23" x14ac:dyDescent="0.35">
      <c r="A2918" t="s">
        <v>45</v>
      </c>
      <c r="B2918" t="s">
        <v>5934</v>
      </c>
      <c r="C2918" t="s">
        <v>47</v>
      </c>
      <c r="D2918" t="s">
        <v>5943</v>
      </c>
      <c r="E2918" t="s">
        <v>5943</v>
      </c>
      <c r="F2918" t="s">
        <v>49</v>
      </c>
      <c r="G2918" t="s">
        <v>5944</v>
      </c>
      <c r="H2918" t="s">
        <v>5945</v>
      </c>
      <c r="J2918" t="str">
        <f>HYPERLINK("https://www.youtube.com/watch?v=IHWzT2TNYKQ&amp;lc=Ugw4pdWB29rRxLS7BGd4AaABAg","https://www.youtube.com/watch?v=IHWzT2TNYKQ&amp;lc=Ugw4pdWB29rRxLS7BGd4AaABAg")</f>
        <v>https://www.youtube.com/watch?v=IHWzT2TNYKQ&amp;lc=Ugw4pdWB29rRxLS7BGd4AaABAg</v>
      </c>
      <c r="O2918">
        <v>0</v>
      </c>
      <c r="P2918">
        <v>0</v>
      </c>
      <c r="Q2918">
        <v>0</v>
      </c>
      <c r="S2918">
        <v>0</v>
      </c>
      <c r="T2918">
        <v>0</v>
      </c>
      <c r="U2918">
        <v>0</v>
      </c>
      <c r="W2918" t="s">
        <v>52</v>
      </c>
    </row>
    <row r="2919" spans="1:23" x14ac:dyDescent="0.35">
      <c r="A2919" t="s">
        <v>45</v>
      </c>
      <c r="B2919" t="s">
        <v>5934</v>
      </c>
      <c r="C2919" t="s">
        <v>47</v>
      </c>
      <c r="D2919" t="s">
        <v>5943</v>
      </c>
      <c r="E2919" t="s">
        <v>5943</v>
      </c>
      <c r="F2919" t="s">
        <v>49</v>
      </c>
      <c r="G2919" t="s">
        <v>5944</v>
      </c>
      <c r="H2919" t="s">
        <v>5946</v>
      </c>
      <c r="J2919" t="str">
        <f>HYPERLINK("https://www.youtube.com/watch?v=ySy-ogKu0Pk&amp;lc=UgypTEIiPpuZniIu-al4AaABAg","https://www.youtube.com/watch?v=ySy-ogKu0Pk&amp;lc=UgypTEIiPpuZniIu-al4AaABAg")</f>
        <v>https://www.youtube.com/watch?v=ySy-ogKu0Pk&amp;lc=UgypTEIiPpuZniIu-al4AaABAg</v>
      </c>
      <c r="O2919">
        <v>0</v>
      </c>
      <c r="P2919">
        <v>0</v>
      </c>
      <c r="Q2919">
        <v>0</v>
      </c>
      <c r="S2919">
        <v>0</v>
      </c>
      <c r="T2919">
        <v>0</v>
      </c>
      <c r="U2919">
        <v>0</v>
      </c>
      <c r="W2919" t="s">
        <v>52</v>
      </c>
    </row>
    <row r="2920" spans="1:23" x14ac:dyDescent="0.35">
      <c r="A2920" t="s">
        <v>45</v>
      </c>
      <c r="B2920" t="s">
        <v>5934</v>
      </c>
      <c r="C2920" t="s">
        <v>47</v>
      </c>
      <c r="D2920" t="s">
        <v>45</v>
      </c>
      <c r="E2920" t="s">
        <v>45</v>
      </c>
      <c r="F2920" t="s">
        <v>49</v>
      </c>
      <c r="G2920" t="s">
        <v>5947</v>
      </c>
      <c r="H2920" t="s">
        <v>5948</v>
      </c>
      <c r="J2920" t="str">
        <f>HYPERLINK("https://www.youtube.com/watch?v=ThXQf6FaaYw","https://www.youtube.com/watch?v=ThXQf6FaaYw")</f>
        <v>https://www.youtube.com/watch?v=ThXQf6FaaYw</v>
      </c>
      <c r="O2920">
        <v>0</v>
      </c>
      <c r="P2920">
        <v>0</v>
      </c>
      <c r="Q2920">
        <v>0</v>
      </c>
      <c r="S2920">
        <v>0</v>
      </c>
      <c r="T2920">
        <v>0</v>
      </c>
      <c r="U2920">
        <v>0</v>
      </c>
      <c r="W2920" t="s">
        <v>346</v>
      </c>
    </row>
    <row r="2921" spans="1:23" x14ac:dyDescent="0.35">
      <c r="A2921" t="s">
        <v>45</v>
      </c>
      <c r="B2921" t="s">
        <v>5934</v>
      </c>
      <c r="C2921" t="s">
        <v>47</v>
      </c>
      <c r="D2921" t="s">
        <v>45</v>
      </c>
      <c r="E2921" t="s">
        <v>45</v>
      </c>
      <c r="F2921" t="s">
        <v>49</v>
      </c>
      <c r="G2921" t="s">
        <v>5947</v>
      </c>
      <c r="H2921" t="s">
        <v>5949</v>
      </c>
      <c r="J2921" t="str">
        <f>HYPERLINK("https://www.youtube.com/watch?v=ThXQf6FaaYw","https://www.youtube.com/watch?v=ThXQf6FaaYw")</f>
        <v>https://www.youtube.com/watch?v=ThXQf6FaaYw</v>
      </c>
      <c r="O2921">
        <v>0</v>
      </c>
      <c r="P2921">
        <v>0</v>
      </c>
      <c r="Q2921">
        <v>0</v>
      </c>
      <c r="S2921">
        <v>0</v>
      </c>
      <c r="T2921">
        <v>0</v>
      </c>
      <c r="U2921">
        <v>0</v>
      </c>
      <c r="W2921" t="s">
        <v>346</v>
      </c>
    </row>
    <row r="2922" spans="1:23" x14ac:dyDescent="0.35">
      <c r="A2922" t="s">
        <v>45</v>
      </c>
      <c r="B2922" t="s">
        <v>5934</v>
      </c>
      <c r="C2922" t="s">
        <v>60</v>
      </c>
      <c r="D2922" t="s">
        <v>61</v>
      </c>
      <c r="E2922" t="s">
        <v>61</v>
      </c>
      <c r="F2922" t="s">
        <v>193</v>
      </c>
      <c r="G2922" t="s">
        <v>5620</v>
      </c>
      <c r="H2922" t="s">
        <v>5950</v>
      </c>
      <c r="J2922" t="str">
        <f>HYPERLINK("https://www.facebook.com/634639855377280/posts/778891247618806?comment_id=681620200713979","https://www.facebook.com/634639855377280/posts/778891247618806?comment_id=681620200713979")</f>
        <v>https://www.facebook.com/634639855377280/posts/778891247618806?comment_id=681620200713979</v>
      </c>
      <c r="O2922">
        <v>0</v>
      </c>
      <c r="P2922">
        <v>0</v>
      </c>
      <c r="Q2922">
        <v>0</v>
      </c>
      <c r="S2922">
        <v>0</v>
      </c>
      <c r="T2922">
        <v>0</v>
      </c>
      <c r="U2922">
        <v>0</v>
      </c>
      <c r="W2922" t="s">
        <v>52</v>
      </c>
    </row>
    <row r="2923" spans="1:23" x14ac:dyDescent="0.35">
      <c r="A2923" t="s">
        <v>45</v>
      </c>
      <c r="B2923" t="s">
        <v>5934</v>
      </c>
      <c r="C2923" t="s">
        <v>93</v>
      </c>
      <c r="D2923" t="s">
        <v>5951</v>
      </c>
      <c r="E2923" t="s">
        <v>5952</v>
      </c>
      <c r="F2923" t="s">
        <v>49</v>
      </c>
      <c r="G2923" t="s">
        <v>5953</v>
      </c>
      <c r="H2923" t="s">
        <v>5954</v>
      </c>
      <c r="J2923" t="str">
        <f>HYPERLINK("https://twitter.com/sumanprashad/status/1750526182242877741","https://twitter.com/sumanprashad/status/1750526182242877741")</f>
        <v>https://twitter.com/sumanprashad/status/1750526182242877741</v>
      </c>
      <c r="K2923" t="s">
        <v>471</v>
      </c>
      <c r="O2923">
        <v>0</v>
      </c>
      <c r="P2923">
        <v>0</v>
      </c>
      <c r="Q2923">
        <v>133</v>
      </c>
      <c r="R2923" t="s">
        <v>5955</v>
      </c>
      <c r="S2923">
        <v>0</v>
      </c>
      <c r="T2923">
        <v>0</v>
      </c>
      <c r="U2923">
        <v>0</v>
      </c>
      <c r="W2923" t="s">
        <v>99</v>
      </c>
    </row>
    <row r="2924" spans="1:23" x14ac:dyDescent="0.35">
      <c r="A2924" t="s">
        <v>45</v>
      </c>
      <c r="B2924" t="s">
        <v>5934</v>
      </c>
      <c r="C2924" t="s">
        <v>60</v>
      </c>
      <c r="D2924" t="s">
        <v>61</v>
      </c>
      <c r="E2924" t="s">
        <v>61</v>
      </c>
      <c r="F2924" t="s">
        <v>49</v>
      </c>
      <c r="G2924" t="s">
        <v>5956</v>
      </c>
      <c r="H2924" t="s">
        <v>5957</v>
      </c>
      <c r="J2924" t="str">
        <f>HYPERLINK("https://www.facebook.com/634639855377280/posts/776916321149632?comment_id=933828541731484","https://www.facebook.com/634639855377280/posts/776916321149632?comment_id=933828541731484")</f>
        <v>https://www.facebook.com/634639855377280/posts/776916321149632?comment_id=933828541731484</v>
      </c>
      <c r="O2924">
        <v>0</v>
      </c>
      <c r="P2924">
        <v>0</v>
      </c>
      <c r="Q2924">
        <v>0</v>
      </c>
      <c r="S2924">
        <v>0</v>
      </c>
      <c r="T2924">
        <v>0</v>
      </c>
      <c r="U2924">
        <v>0</v>
      </c>
      <c r="W2924" t="s">
        <v>52</v>
      </c>
    </row>
    <row r="2925" spans="1:23" x14ac:dyDescent="0.35">
      <c r="A2925" t="s">
        <v>45</v>
      </c>
      <c r="B2925" t="s">
        <v>5934</v>
      </c>
      <c r="C2925" t="s">
        <v>47</v>
      </c>
      <c r="D2925" t="s">
        <v>5958</v>
      </c>
      <c r="E2925" t="s">
        <v>5958</v>
      </c>
      <c r="F2925" t="s">
        <v>49</v>
      </c>
      <c r="G2925" t="s">
        <v>5959</v>
      </c>
      <c r="H2925" t="s">
        <v>5960</v>
      </c>
      <c r="J2925" t="str">
        <f>HYPERLINK("https://www.youtube.com/watch?v=k4Jk2Nl60tE&amp;lc=Ugws5asQRldanLmyoVt4AaABAg","https://www.youtube.com/watch?v=k4Jk2Nl60tE&amp;lc=Ugws5asQRldanLmyoVt4AaABAg")</f>
        <v>https://www.youtube.com/watch?v=k4Jk2Nl60tE&amp;lc=Ugws5asQRldanLmyoVt4AaABAg</v>
      </c>
      <c r="O2925">
        <v>0</v>
      </c>
      <c r="P2925">
        <v>0</v>
      </c>
      <c r="Q2925">
        <v>0</v>
      </c>
      <c r="S2925">
        <v>0</v>
      </c>
      <c r="T2925">
        <v>0</v>
      </c>
      <c r="U2925">
        <v>0</v>
      </c>
      <c r="W2925" t="s">
        <v>52</v>
      </c>
    </row>
    <row r="2926" spans="1:23" x14ac:dyDescent="0.35">
      <c r="A2926" t="s">
        <v>45</v>
      </c>
      <c r="B2926" t="s">
        <v>5934</v>
      </c>
      <c r="C2926" t="s">
        <v>47</v>
      </c>
      <c r="D2926" t="s">
        <v>5961</v>
      </c>
      <c r="E2926" t="s">
        <v>5961</v>
      </c>
      <c r="F2926" t="s">
        <v>49</v>
      </c>
      <c r="G2926" t="s">
        <v>5962</v>
      </c>
      <c r="H2926" t="s">
        <v>5963</v>
      </c>
      <c r="J2926" t="str">
        <f>HYPERLINK("https://www.youtube.com/watch?v=IHWzT2TNYKQ&amp;lc=UgxkpDtzcpU8Hc7TQiR4AaABAg","https://www.youtube.com/watch?v=IHWzT2TNYKQ&amp;lc=UgxkpDtzcpU8Hc7TQiR4AaABAg")</f>
        <v>https://www.youtube.com/watch?v=IHWzT2TNYKQ&amp;lc=UgxkpDtzcpU8Hc7TQiR4AaABAg</v>
      </c>
      <c r="O2926">
        <v>0</v>
      </c>
      <c r="P2926">
        <v>0</v>
      </c>
      <c r="Q2926">
        <v>0</v>
      </c>
      <c r="S2926">
        <v>0</v>
      </c>
      <c r="T2926">
        <v>0</v>
      </c>
      <c r="U2926">
        <v>0</v>
      </c>
      <c r="W2926" t="s">
        <v>52</v>
      </c>
    </row>
    <row r="2927" spans="1:23" x14ac:dyDescent="0.35">
      <c r="A2927" t="s">
        <v>45</v>
      </c>
      <c r="B2927" t="s">
        <v>5934</v>
      </c>
      <c r="C2927" t="s">
        <v>60</v>
      </c>
      <c r="D2927" t="s">
        <v>61</v>
      </c>
      <c r="E2927" t="s">
        <v>61</v>
      </c>
      <c r="F2927" t="s">
        <v>49</v>
      </c>
      <c r="G2927" t="s">
        <v>5964</v>
      </c>
      <c r="H2927" t="s">
        <v>5965</v>
      </c>
      <c r="J2927" t="str">
        <f>HYPERLINK("https://www.facebook.com/634639855377280/posts/778114767696454?comment_id=398854282713499","https://www.facebook.com/634639855377280/posts/778114767696454?comment_id=398854282713499")</f>
        <v>https://www.facebook.com/634639855377280/posts/778114767696454?comment_id=398854282713499</v>
      </c>
      <c r="O2927">
        <v>0</v>
      </c>
      <c r="P2927">
        <v>0</v>
      </c>
      <c r="Q2927">
        <v>0</v>
      </c>
      <c r="S2927">
        <v>0</v>
      </c>
      <c r="T2927">
        <v>0</v>
      </c>
      <c r="U2927">
        <v>0</v>
      </c>
      <c r="W2927" t="s">
        <v>52</v>
      </c>
    </row>
    <row r="2928" spans="1:23" x14ac:dyDescent="0.35">
      <c r="A2928" t="s">
        <v>45</v>
      </c>
      <c r="B2928" t="s">
        <v>5934</v>
      </c>
      <c r="C2928" t="s">
        <v>93</v>
      </c>
      <c r="D2928" t="s">
        <v>5225</v>
      </c>
      <c r="E2928" t="s">
        <v>5226</v>
      </c>
      <c r="F2928" t="s">
        <v>193</v>
      </c>
      <c r="G2928" t="s">
        <v>5966</v>
      </c>
      <c r="H2928" t="s">
        <v>5967</v>
      </c>
      <c r="J2928" t="str">
        <f>HYPERLINK("https://twitter.com/CPLODHII/status/1750512516063731893","https://twitter.com/CPLODHII/status/1750512516063731893")</f>
        <v>https://twitter.com/CPLODHII/status/1750512516063731893</v>
      </c>
      <c r="O2928">
        <v>0</v>
      </c>
      <c r="P2928">
        <v>0</v>
      </c>
      <c r="Q2928">
        <v>255</v>
      </c>
      <c r="R2928" t="s">
        <v>5229</v>
      </c>
      <c r="S2928">
        <v>0</v>
      </c>
      <c r="T2928">
        <v>0</v>
      </c>
      <c r="U2928">
        <v>0</v>
      </c>
      <c r="W2928" t="s">
        <v>99</v>
      </c>
    </row>
    <row r="2929" spans="1:23" x14ac:dyDescent="0.35">
      <c r="A2929" t="s">
        <v>45</v>
      </c>
      <c r="B2929" t="s">
        <v>5934</v>
      </c>
      <c r="C2929" t="s">
        <v>60</v>
      </c>
      <c r="D2929" t="s">
        <v>61</v>
      </c>
      <c r="E2929" t="s">
        <v>61</v>
      </c>
      <c r="F2929" t="s">
        <v>54</v>
      </c>
      <c r="G2929" t="s">
        <v>5968</v>
      </c>
      <c r="H2929" t="s">
        <v>5969</v>
      </c>
      <c r="J2929" t="str">
        <f>HYPERLINK("https://www.facebook.com/634639855377280/posts/778891247618806?comment_id=612344747698608","https://www.facebook.com/634639855377280/posts/778891247618806?comment_id=612344747698608")</f>
        <v>https://www.facebook.com/634639855377280/posts/778891247618806?comment_id=612344747698608</v>
      </c>
      <c r="O2929">
        <v>0</v>
      </c>
      <c r="P2929">
        <v>0</v>
      </c>
      <c r="Q2929">
        <v>0</v>
      </c>
      <c r="S2929">
        <v>0</v>
      </c>
      <c r="T2929">
        <v>0</v>
      </c>
      <c r="U2929">
        <v>0</v>
      </c>
      <c r="W2929" t="s">
        <v>52</v>
      </c>
    </row>
    <row r="2930" spans="1:23" x14ac:dyDescent="0.35">
      <c r="A2930" t="s">
        <v>45</v>
      </c>
      <c r="B2930" t="s">
        <v>5934</v>
      </c>
      <c r="C2930" t="s">
        <v>47</v>
      </c>
      <c r="D2930" t="s">
        <v>5970</v>
      </c>
      <c r="E2930" t="s">
        <v>5970</v>
      </c>
      <c r="F2930" t="s">
        <v>49</v>
      </c>
      <c r="G2930" t="s">
        <v>5971</v>
      </c>
      <c r="H2930" t="s">
        <v>5972</v>
      </c>
      <c r="J2930" t="str">
        <f>HYPERLINK("https://www.youtube.com/watch?v=ASfQx196DU4&amp;lc=UgynnacSZrIFNr-SiOR4AaABAg.9zwZELwCX4KA--4nL26Dhw","https://www.youtube.com/watch?v=ASfQx196DU4&amp;lc=UgynnacSZrIFNr-SiOR4AaABAg.9zwZELwCX4KA--4nL26Dhw")</f>
        <v>https://www.youtube.com/watch?v=ASfQx196DU4&amp;lc=UgynnacSZrIFNr-SiOR4AaABAg.9zwZELwCX4KA--4nL26Dhw</v>
      </c>
      <c r="O2930">
        <v>0</v>
      </c>
      <c r="P2930">
        <v>0</v>
      </c>
      <c r="Q2930">
        <v>0</v>
      </c>
      <c r="S2930">
        <v>0</v>
      </c>
      <c r="T2930">
        <v>0</v>
      </c>
      <c r="U2930">
        <v>0</v>
      </c>
      <c r="W2930" t="s">
        <v>52</v>
      </c>
    </row>
    <row r="2931" spans="1:23" x14ac:dyDescent="0.35">
      <c r="A2931" t="s">
        <v>45</v>
      </c>
      <c r="B2931" t="s">
        <v>5934</v>
      </c>
      <c r="C2931" t="s">
        <v>47</v>
      </c>
      <c r="D2931" t="s">
        <v>351</v>
      </c>
      <c r="E2931" t="s">
        <v>351</v>
      </c>
      <c r="F2931" t="s">
        <v>49</v>
      </c>
      <c r="G2931" t="s">
        <v>5973</v>
      </c>
      <c r="H2931" t="s">
        <v>5974</v>
      </c>
      <c r="J2931" t="str">
        <f>HYPERLINK("https://www.youtube.com/watch?v=HSYQd3mcrTI&amp;lc=Ugz2sJGyXBq0nAWeUuF4AaABAg.9zzjQ_5vFObA--3xhOC2bC","https://www.youtube.com/watch?v=HSYQd3mcrTI&amp;lc=Ugz2sJGyXBq0nAWeUuF4AaABAg.9zzjQ_5vFObA--3xhOC2bC")</f>
        <v>https://www.youtube.com/watch?v=HSYQd3mcrTI&amp;lc=Ugz2sJGyXBq0nAWeUuF4AaABAg.9zzjQ_5vFObA--3xhOC2bC</v>
      </c>
      <c r="O2931">
        <v>0</v>
      </c>
      <c r="P2931">
        <v>0</v>
      </c>
      <c r="Q2931">
        <v>0</v>
      </c>
      <c r="S2931">
        <v>0</v>
      </c>
      <c r="T2931">
        <v>0</v>
      </c>
      <c r="U2931">
        <v>0</v>
      </c>
      <c r="W2931" t="s">
        <v>52</v>
      </c>
    </row>
    <row r="2932" spans="1:23" x14ac:dyDescent="0.35">
      <c r="A2932" t="s">
        <v>45</v>
      </c>
      <c r="B2932" t="s">
        <v>5934</v>
      </c>
      <c r="C2932" t="s">
        <v>47</v>
      </c>
      <c r="D2932" t="s">
        <v>351</v>
      </c>
      <c r="E2932" t="s">
        <v>351</v>
      </c>
      <c r="F2932" t="s">
        <v>49</v>
      </c>
      <c r="G2932" t="s">
        <v>5975</v>
      </c>
      <c r="H2932" t="s">
        <v>5976</v>
      </c>
      <c r="J2932" t="str">
        <f>HYPERLINK("https://www.youtube.com/watch?v=HSYQd3mcrTI&amp;lc=Ugz2sJGyXBq0nAWeUuF4AaABAg.9zzjQ_5vFObA--2pqh-qTe","https://www.youtube.com/watch?v=HSYQd3mcrTI&amp;lc=Ugz2sJGyXBq0nAWeUuF4AaABAg.9zzjQ_5vFObA--2pqh-qTe")</f>
        <v>https://www.youtube.com/watch?v=HSYQd3mcrTI&amp;lc=Ugz2sJGyXBq0nAWeUuF4AaABAg.9zzjQ_5vFObA--2pqh-qTe</v>
      </c>
      <c r="O2932">
        <v>0</v>
      </c>
      <c r="P2932">
        <v>0</v>
      </c>
      <c r="Q2932">
        <v>0</v>
      </c>
      <c r="S2932">
        <v>0</v>
      </c>
      <c r="T2932">
        <v>0</v>
      </c>
      <c r="U2932">
        <v>0</v>
      </c>
      <c r="W2932" t="s">
        <v>52</v>
      </c>
    </row>
    <row r="2933" spans="1:23" x14ac:dyDescent="0.35">
      <c r="A2933" t="s">
        <v>45</v>
      </c>
      <c r="B2933" t="s">
        <v>5934</v>
      </c>
      <c r="C2933" t="s">
        <v>93</v>
      </c>
      <c r="D2933" t="s">
        <v>94</v>
      </c>
      <c r="E2933" t="s">
        <v>45</v>
      </c>
      <c r="F2933" t="s">
        <v>49</v>
      </c>
      <c r="G2933" t="s">
        <v>5977</v>
      </c>
      <c r="H2933" t="s">
        <v>5978</v>
      </c>
      <c r="J2933" t="str">
        <f>HYPERLINK("https://twitter.com/SpiceMoneyIndia/status/1750502221748240877","https://twitter.com/SpiceMoneyIndia/status/1750502221748240877")</f>
        <v>https://twitter.com/SpiceMoneyIndia/status/1750502221748240877</v>
      </c>
      <c r="K2933" t="s">
        <v>67</v>
      </c>
      <c r="O2933">
        <v>0</v>
      </c>
      <c r="P2933">
        <v>0</v>
      </c>
      <c r="Q2933">
        <v>6004</v>
      </c>
      <c r="R2933" t="s">
        <v>97</v>
      </c>
      <c r="S2933">
        <v>0</v>
      </c>
      <c r="T2933">
        <v>0</v>
      </c>
      <c r="U2933">
        <v>0</v>
      </c>
      <c r="V2933" t="s">
        <v>98</v>
      </c>
      <c r="W2933" t="s">
        <v>99</v>
      </c>
    </row>
    <row r="2934" spans="1:23" x14ac:dyDescent="0.35">
      <c r="A2934" t="s">
        <v>45</v>
      </c>
      <c r="B2934" t="s">
        <v>5934</v>
      </c>
      <c r="C2934" t="s">
        <v>60</v>
      </c>
      <c r="D2934" t="s">
        <v>61</v>
      </c>
      <c r="E2934" t="s">
        <v>61</v>
      </c>
      <c r="F2934" t="s">
        <v>49</v>
      </c>
      <c r="G2934" t="s">
        <v>5979</v>
      </c>
      <c r="H2934" t="s">
        <v>5980</v>
      </c>
      <c r="J2934" t="str">
        <f>HYPERLINK("https://www.facebook.com/634639855377280/posts/778799227628008?comment_id=1582032312601165","https://www.facebook.com/634639855377280/posts/778799227628008?comment_id=1582032312601165")</f>
        <v>https://www.facebook.com/634639855377280/posts/778799227628008?comment_id=1582032312601165</v>
      </c>
      <c r="O2934">
        <v>0</v>
      </c>
      <c r="P2934">
        <v>0</v>
      </c>
      <c r="Q2934">
        <v>0</v>
      </c>
      <c r="S2934">
        <v>0</v>
      </c>
      <c r="T2934">
        <v>0</v>
      </c>
      <c r="U2934">
        <v>0</v>
      </c>
      <c r="W2934" t="s">
        <v>52</v>
      </c>
    </row>
    <row r="2935" spans="1:23" x14ac:dyDescent="0.35">
      <c r="A2935" t="s">
        <v>45</v>
      </c>
      <c r="B2935" t="s">
        <v>5934</v>
      </c>
      <c r="C2935" t="s">
        <v>93</v>
      </c>
      <c r="D2935" t="s">
        <v>5981</v>
      </c>
      <c r="E2935" t="s">
        <v>5982</v>
      </c>
      <c r="F2935" t="s">
        <v>54</v>
      </c>
      <c r="G2935" t="s">
        <v>5983</v>
      </c>
      <c r="H2935" t="s">
        <v>5984</v>
      </c>
      <c r="J2935" t="str">
        <f>HYPERLINK("https://twitter.com/Sandeep72227848/status/1750494934682251443","https://twitter.com/Sandeep72227848/status/1750494934682251443")</f>
        <v>https://twitter.com/Sandeep72227848/status/1750494934682251443</v>
      </c>
      <c r="K2935" t="s">
        <v>67</v>
      </c>
      <c r="O2935">
        <v>0</v>
      </c>
      <c r="P2935">
        <v>0</v>
      </c>
      <c r="Q2935">
        <v>8</v>
      </c>
      <c r="S2935">
        <v>0</v>
      </c>
      <c r="T2935">
        <v>0</v>
      </c>
      <c r="U2935">
        <v>0</v>
      </c>
      <c r="W2935" t="s">
        <v>99</v>
      </c>
    </row>
    <row r="2936" spans="1:23" x14ac:dyDescent="0.35">
      <c r="A2936" t="s">
        <v>45</v>
      </c>
      <c r="B2936" t="s">
        <v>5934</v>
      </c>
      <c r="C2936" t="s">
        <v>93</v>
      </c>
      <c r="D2936" t="s">
        <v>94</v>
      </c>
      <c r="E2936" t="s">
        <v>45</v>
      </c>
      <c r="F2936" t="s">
        <v>49</v>
      </c>
      <c r="G2936" t="s">
        <v>5985</v>
      </c>
      <c r="H2936" t="s">
        <v>5986</v>
      </c>
      <c r="J2936" t="str">
        <f>HYPERLINK("https://twitter.com/SpiceMoneyIndia/status/1750493484551713040","https://twitter.com/SpiceMoneyIndia/status/1750493484551713040")</f>
        <v>https://twitter.com/SpiceMoneyIndia/status/1750493484551713040</v>
      </c>
      <c r="K2936" t="s">
        <v>67</v>
      </c>
      <c r="O2936">
        <v>0</v>
      </c>
      <c r="P2936">
        <v>0</v>
      </c>
      <c r="Q2936">
        <v>6004</v>
      </c>
      <c r="R2936" t="s">
        <v>97</v>
      </c>
      <c r="S2936">
        <v>0</v>
      </c>
      <c r="T2936">
        <v>0</v>
      </c>
      <c r="U2936">
        <v>0</v>
      </c>
      <c r="V2936" t="s">
        <v>98</v>
      </c>
      <c r="W2936" t="s">
        <v>99</v>
      </c>
    </row>
    <row r="2937" spans="1:23" x14ac:dyDescent="0.35">
      <c r="A2937" t="s">
        <v>45</v>
      </c>
      <c r="B2937" t="s">
        <v>5934</v>
      </c>
      <c r="C2937" t="s">
        <v>93</v>
      </c>
      <c r="D2937" t="s">
        <v>94</v>
      </c>
      <c r="E2937" t="s">
        <v>45</v>
      </c>
      <c r="F2937" t="s">
        <v>49</v>
      </c>
      <c r="G2937" t="s">
        <v>5987</v>
      </c>
      <c r="H2937" t="s">
        <v>5988</v>
      </c>
      <c r="J2937" t="str">
        <f>HYPERLINK("https://twitter.com/SpiceMoneyIndia/status/1750491984563765738","https://twitter.com/SpiceMoneyIndia/status/1750491984563765738")</f>
        <v>https://twitter.com/SpiceMoneyIndia/status/1750491984563765738</v>
      </c>
      <c r="K2937" t="s">
        <v>67</v>
      </c>
      <c r="O2937">
        <v>0</v>
      </c>
      <c r="P2937">
        <v>0</v>
      </c>
      <c r="Q2937">
        <v>6004</v>
      </c>
      <c r="R2937" t="s">
        <v>97</v>
      </c>
      <c r="S2937">
        <v>0</v>
      </c>
      <c r="T2937">
        <v>0</v>
      </c>
      <c r="U2937">
        <v>0</v>
      </c>
      <c r="V2937" t="s">
        <v>98</v>
      </c>
      <c r="W2937" t="s">
        <v>99</v>
      </c>
    </row>
    <row r="2938" spans="1:23" x14ac:dyDescent="0.35">
      <c r="A2938" t="s">
        <v>45</v>
      </c>
      <c r="B2938" t="s">
        <v>5934</v>
      </c>
      <c r="C2938" t="s">
        <v>60</v>
      </c>
      <c r="D2938" t="s">
        <v>64</v>
      </c>
      <c r="E2938" t="s">
        <v>64</v>
      </c>
      <c r="F2938" t="s">
        <v>49</v>
      </c>
      <c r="G2938" t="s">
        <v>162</v>
      </c>
      <c r="H2938" t="s">
        <v>5989</v>
      </c>
      <c r="J2938" t="str">
        <f>HYPERLINK("https://www.facebook.com/634639855377280/posts/778891247618806?comment_id=207827292419657&amp;reply_comment_id=917816613090021","https://www.facebook.com/634639855377280/posts/778891247618806?comment_id=207827292419657&amp;reply_comment_id=917816613090021")</f>
        <v>https://www.facebook.com/634639855377280/posts/778891247618806?comment_id=207827292419657&amp;reply_comment_id=917816613090021</v>
      </c>
      <c r="K2938" t="s">
        <v>67</v>
      </c>
      <c r="O2938">
        <v>0</v>
      </c>
      <c r="P2938">
        <v>0</v>
      </c>
      <c r="Q2938">
        <v>0</v>
      </c>
      <c r="S2938">
        <v>0</v>
      </c>
      <c r="T2938">
        <v>0</v>
      </c>
      <c r="U2938">
        <v>0</v>
      </c>
      <c r="W2938" t="s">
        <v>52</v>
      </c>
    </row>
    <row r="2939" spans="1:23" x14ac:dyDescent="0.35">
      <c r="A2939" t="s">
        <v>45</v>
      </c>
      <c r="B2939" t="s">
        <v>5934</v>
      </c>
      <c r="C2939" t="s">
        <v>47</v>
      </c>
      <c r="D2939" t="s">
        <v>68</v>
      </c>
      <c r="E2939" t="s">
        <v>68</v>
      </c>
      <c r="F2939" t="s">
        <v>49</v>
      </c>
      <c r="G2939" t="s">
        <v>102</v>
      </c>
      <c r="H2939" t="s">
        <v>5990</v>
      </c>
      <c r="J2939" t="str">
        <f>HYPERLINK("https://www.youtube.com/watch?v=HSYQd3mcrTI&amp;lc=Ugz2sJGyXBq0nAWeUuF4AaABAg.9zzjQ_5vFOb9zztxSX3rL0","https://www.youtube.com/watch?v=HSYQd3mcrTI&amp;lc=Ugz2sJGyXBq0nAWeUuF4AaABAg.9zzjQ_5vFOb9zztxSX3rL0")</f>
        <v>https://www.youtube.com/watch?v=HSYQd3mcrTI&amp;lc=Ugz2sJGyXBq0nAWeUuF4AaABAg.9zzjQ_5vFOb9zztxSX3rL0</v>
      </c>
      <c r="O2939">
        <v>0</v>
      </c>
      <c r="P2939">
        <v>0</v>
      </c>
      <c r="Q2939">
        <v>0</v>
      </c>
      <c r="S2939">
        <v>0</v>
      </c>
      <c r="T2939">
        <v>0</v>
      </c>
      <c r="U2939">
        <v>0</v>
      </c>
      <c r="W2939" t="s">
        <v>52</v>
      </c>
    </row>
    <row r="2940" spans="1:23" x14ac:dyDescent="0.35">
      <c r="A2940" t="s">
        <v>45</v>
      </c>
      <c r="B2940" t="s">
        <v>5934</v>
      </c>
      <c r="C2940" t="s">
        <v>60</v>
      </c>
      <c r="D2940" t="s">
        <v>61</v>
      </c>
      <c r="E2940" t="s">
        <v>61</v>
      </c>
      <c r="F2940" t="s">
        <v>54</v>
      </c>
      <c r="G2940" t="s">
        <v>5991</v>
      </c>
      <c r="H2940" t="s">
        <v>5992</v>
      </c>
      <c r="J2940" t="str">
        <f>HYPERLINK("https://www.facebook.com/634639855377280/posts/778891247618806?comment_id=207827292419657","https://www.facebook.com/634639855377280/posts/778891247618806?comment_id=207827292419657")</f>
        <v>https://www.facebook.com/634639855377280/posts/778891247618806?comment_id=207827292419657</v>
      </c>
      <c r="O2940">
        <v>0</v>
      </c>
      <c r="P2940">
        <v>0</v>
      </c>
      <c r="Q2940">
        <v>0</v>
      </c>
      <c r="S2940">
        <v>0</v>
      </c>
      <c r="T2940">
        <v>0</v>
      </c>
      <c r="U2940">
        <v>0</v>
      </c>
      <c r="W2940" t="s">
        <v>52</v>
      </c>
    </row>
    <row r="2941" spans="1:23" x14ac:dyDescent="0.35">
      <c r="A2941" t="s">
        <v>45</v>
      </c>
      <c r="B2941" t="s">
        <v>5934</v>
      </c>
      <c r="C2941" t="s">
        <v>93</v>
      </c>
      <c r="D2941" t="s">
        <v>94</v>
      </c>
      <c r="E2941" t="s">
        <v>45</v>
      </c>
      <c r="F2941" t="s">
        <v>49</v>
      </c>
      <c r="G2941" t="s">
        <v>5993</v>
      </c>
      <c r="H2941" t="s">
        <v>5994</v>
      </c>
      <c r="J2941" t="str">
        <f>HYPERLINK("https://twitter.com/SpiceMoneyIndia/status/1750465872240718133","https://twitter.com/SpiceMoneyIndia/status/1750465872240718133")</f>
        <v>https://twitter.com/SpiceMoneyIndia/status/1750465872240718133</v>
      </c>
      <c r="K2941" t="s">
        <v>67</v>
      </c>
      <c r="O2941">
        <v>0</v>
      </c>
      <c r="P2941">
        <v>0</v>
      </c>
      <c r="Q2941">
        <v>6003</v>
      </c>
      <c r="R2941" t="s">
        <v>97</v>
      </c>
      <c r="S2941">
        <v>0</v>
      </c>
      <c r="T2941">
        <v>0</v>
      </c>
      <c r="U2941">
        <v>0</v>
      </c>
      <c r="V2941" t="s">
        <v>98</v>
      </c>
      <c r="W2941" t="s">
        <v>99</v>
      </c>
    </row>
    <row r="2942" spans="1:23" x14ac:dyDescent="0.35">
      <c r="A2942" t="s">
        <v>45</v>
      </c>
      <c r="B2942" t="s">
        <v>5934</v>
      </c>
      <c r="C2942" t="s">
        <v>93</v>
      </c>
      <c r="D2942" t="s">
        <v>94</v>
      </c>
      <c r="E2942" t="s">
        <v>45</v>
      </c>
      <c r="F2942" t="s">
        <v>49</v>
      </c>
      <c r="G2942" t="s">
        <v>5995</v>
      </c>
      <c r="H2942" t="s">
        <v>5996</v>
      </c>
      <c r="J2942" t="str">
        <f>HYPERLINK("https://twitter.com/SpiceMoneyIndia/status/1750465572096422185","https://twitter.com/SpiceMoneyIndia/status/1750465572096422185")</f>
        <v>https://twitter.com/SpiceMoneyIndia/status/1750465572096422185</v>
      </c>
      <c r="K2942" t="s">
        <v>67</v>
      </c>
      <c r="O2942">
        <v>0</v>
      </c>
      <c r="P2942">
        <v>0</v>
      </c>
      <c r="Q2942">
        <v>6003</v>
      </c>
      <c r="R2942" t="s">
        <v>97</v>
      </c>
      <c r="S2942">
        <v>0</v>
      </c>
      <c r="T2942">
        <v>0</v>
      </c>
      <c r="U2942">
        <v>0</v>
      </c>
      <c r="V2942" t="s">
        <v>98</v>
      </c>
      <c r="W2942" t="s">
        <v>99</v>
      </c>
    </row>
    <row r="2943" spans="1:23" x14ac:dyDescent="0.35">
      <c r="A2943" t="s">
        <v>45</v>
      </c>
      <c r="B2943" t="s">
        <v>5934</v>
      </c>
      <c r="C2943" t="s">
        <v>60</v>
      </c>
      <c r="D2943" t="s">
        <v>64</v>
      </c>
      <c r="E2943" t="s">
        <v>64</v>
      </c>
      <c r="F2943" t="s">
        <v>49</v>
      </c>
      <c r="G2943" t="s">
        <v>5997</v>
      </c>
      <c r="H2943" t="s">
        <v>5998</v>
      </c>
      <c r="J2943" t="str">
        <f>HYPERLINK("https://www.facebook.com/634639855377280/posts/778891247618806","https://www.facebook.com/634639855377280/posts/778891247618806")</f>
        <v>https://www.facebook.com/634639855377280/posts/778891247618806</v>
      </c>
      <c r="O2943">
        <v>0</v>
      </c>
      <c r="P2943">
        <v>0</v>
      </c>
      <c r="Q2943">
        <v>0</v>
      </c>
      <c r="S2943">
        <v>6</v>
      </c>
      <c r="T2943">
        <v>67</v>
      </c>
      <c r="U2943">
        <v>10</v>
      </c>
      <c r="W2943" t="s">
        <v>346</v>
      </c>
    </row>
    <row r="2944" spans="1:23" x14ac:dyDescent="0.35">
      <c r="A2944" t="s">
        <v>45</v>
      </c>
      <c r="B2944" t="s">
        <v>5934</v>
      </c>
      <c r="C2944" t="s">
        <v>47</v>
      </c>
      <c r="D2944" t="s">
        <v>351</v>
      </c>
      <c r="E2944" t="s">
        <v>351</v>
      </c>
      <c r="F2944" t="s">
        <v>49</v>
      </c>
      <c r="G2944" t="s">
        <v>5999</v>
      </c>
      <c r="H2944" t="s">
        <v>6000</v>
      </c>
      <c r="J2944" t="str">
        <f>HYPERLINK("https://www.youtube.com/watch?v=HSYQd3mcrTI&amp;lc=Ugz2sJGyXBq0nAWeUuF4AaABAg","https://www.youtube.com/watch?v=HSYQd3mcrTI&amp;lc=Ugz2sJGyXBq0nAWeUuF4AaABAg")</f>
        <v>https://www.youtube.com/watch?v=HSYQd3mcrTI&amp;lc=Ugz2sJGyXBq0nAWeUuF4AaABAg</v>
      </c>
      <c r="O2944">
        <v>0</v>
      </c>
      <c r="P2944">
        <v>0</v>
      </c>
      <c r="Q2944">
        <v>0</v>
      </c>
      <c r="S2944">
        <v>0</v>
      </c>
      <c r="T2944">
        <v>0</v>
      </c>
      <c r="U2944">
        <v>0</v>
      </c>
      <c r="W2944" t="s">
        <v>52</v>
      </c>
    </row>
    <row r="2945" spans="1:23" x14ac:dyDescent="0.35">
      <c r="A2945" t="s">
        <v>45</v>
      </c>
      <c r="B2945" t="s">
        <v>5934</v>
      </c>
      <c r="C2945" t="s">
        <v>93</v>
      </c>
      <c r="D2945" t="s">
        <v>94</v>
      </c>
      <c r="E2945" t="s">
        <v>45</v>
      </c>
      <c r="F2945" t="s">
        <v>49</v>
      </c>
      <c r="G2945" t="s">
        <v>6001</v>
      </c>
      <c r="H2945" t="s">
        <v>6002</v>
      </c>
      <c r="J2945" t="str">
        <f>HYPERLINK("https://twitter.com/SpiceMoneyIndia/status/1750457150181085369","https://twitter.com/SpiceMoneyIndia/status/1750457150181085369")</f>
        <v>https://twitter.com/SpiceMoneyIndia/status/1750457150181085369</v>
      </c>
      <c r="K2945" t="s">
        <v>67</v>
      </c>
      <c r="O2945">
        <v>0</v>
      </c>
      <c r="P2945">
        <v>0</v>
      </c>
      <c r="Q2945">
        <v>6003</v>
      </c>
      <c r="R2945" t="s">
        <v>97</v>
      </c>
      <c r="S2945">
        <v>0</v>
      </c>
      <c r="T2945">
        <v>0</v>
      </c>
      <c r="U2945">
        <v>0</v>
      </c>
      <c r="V2945" t="s">
        <v>98</v>
      </c>
      <c r="W2945" t="s">
        <v>99</v>
      </c>
    </row>
    <row r="2946" spans="1:23" x14ac:dyDescent="0.35">
      <c r="A2946" t="s">
        <v>45</v>
      </c>
      <c r="B2946" t="s">
        <v>5934</v>
      </c>
      <c r="C2946" t="s">
        <v>60</v>
      </c>
      <c r="D2946" t="s">
        <v>64</v>
      </c>
      <c r="E2946" t="s">
        <v>64</v>
      </c>
      <c r="F2946" t="s">
        <v>49</v>
      </c>
      <c r="G2946" t="s">
        <v>162</v>
      </c>
      <c r="H2946" t="s">
        <v>6003</v>
      </c>
      <c r="J2946" t="str">
        <f>HYPERLINK("https://www.facebook.com/634639855377280/posts/778862537621677?comment_id=251804791291360&amp;reply_comment_id=298618003193524","https://www.facebook.com/634639855377280/posts/778862537621677?comment_id=251804791291360&amp;reply_comment_id=298618003193524")</f>
        <v>https://www.facebook.com/634639855377280/posts/778862537621677?comment_id=251804791291360&amp;reply_comment_id=298618003193524</v>
      </c>
      <c r="K2946" t="s">
        <v>67</v>
      </c>
      <c r="O2946">
        <v>0</v>
      </c>
      <c r="P2946">
        <v>0</v>
      </c>
      <c r="Q2946">
        <v>0</v>
      </c>
      <c r="S2946">
        <v>0</v>
      </c>
      <c r="T2946">
        <v>0</v>
      </c>
      <c r="U2946">
        <v>0</v>
      </c>
      <c r="W2946" t="s">
        <v>52</v>
      </c>
    </row>
    <row r="2947" spans="1:23" x14ac:dyDescent="0.35">
      <c r="A2947" t="s">
        <v>45</v>
      </c>
      <c r="B2947" t="s">
        <v>5934</v>
      </c>
      <c r="C2947" t="s">
        <v>60</v>
      </c>
      <c r="D2947" t="s">
        <v>61</v>
      </c>
      <c r="E2947" t="s">
        <v>61</v>
      </c>
      <c r="F2947" t="s">
        <v>54</v>
      </c>
      <c r="G2947" t="s">
        <v>2440</v>
      </c>
      <c r="H2947" t="s">
        <v>6004</v>
      </c>
      <c r="J2947" t="str">
        <f>HYPERLINK("https://www.facebook.com/634639855377280/posts/778862537621677?comment_id=251804791291360","https://www.facebook.com/634639855377280/posts/778862537621677?comment_id=251804791291360")</f>
        <v>https://www.facebook.com/634639855377280/posts/778862537621677?comment_id=251804791291360</v>
      </c>
      <c r="O2947">
        <v>0</v>
      </c>
      <c r="P2947">
        <v>0</v>
      </c>
      <c r="Q2947">
        <v>0</v>
      </c>
      <c r="S2947">
        <v>0</v>
      </c>
      <c r="T2947">
        <v>0</v>
      </c>
      <c r="U2947">
        <v>0</v>
      </c>
      <c r="W2947" t="s">
        <v>52</v>
      </c>
    </row>
    <row r="2948" spans="1:23" x14ac:dyDescent="0.35">
      <c r="A2948" t="s">
        <v>45</v>
      </c>
      <c r="B2948" t="s">
        <v>5934</v>
      </c>
      <c r="C2948" t="s">
        <v>60</v>
      </c>
      <c r="D2948" t="s">
        <v>64</v>
      </c>
      <c r="E2948" t="s">
        <v>64</v>
      </c>
      <c r="F2948" t="s">
        <v>49</v>
      </c>
      <c r="G2948" t="s">
        <v>6005</v>
      </c>
      <c r="H2948" t="s">
        <v>6006</v>
      </c>
      <c r="J2948" t="str">
        <f>HYPERLINK("https://www.facebook.com/634639855377280/posts/778862537621677","https://www.facebook.com/634639855377280/posts/778862537621677")</f>
        <v>https://www.facebook.com/634639855377280/posts/778862537621677</v>
      </c>
      <c r="O2948">
        <v>0</v>
      </c>
      <c r="P2948">
        <v>0</v>
      </c>
      <c r="Q2948">
        <v>0</v>
      </c>
      <c r="S2948">
        <v>2</v>
      </c>
      <c r="T2948">
        <v>27</v>
      </c>
      <c r="U2948">
        <v>3</v>
      </c>
      <c r="W2948" t="s">
        <v>346</v>
      </c>
    </row>
    <row r="2949" spans="1:23" x14ac:dyDescent="0.35">
      <c r="A2949" t="s">
        <v>45</v>
      </c>
      <c r="B2949" t="s">
        <v>5934</v>
      </c>
      <c r="C2949" t="s">
        <v>93</v>
      </c>
      <c r="D2949" t="s">
        <v>94</v>
      </c>
      <c r="E2949" t="s">
        <v>45</v>
      </c>
      <c r="F2949" t="s">
        <v>49</v>
      </c>
      <c r="G2949" t="s">
        <v>6007</v>
      </c>
      <c r="H2949" t="s">
        <v>6008</v>
      </c>
      <c r="J2949" t="str">
        <f>HYPERLINK("https://twitter.com/SpiceMoneyIndia/status/1750432344727572926","https://twitter.com/SpiceMoneyIndia/status/1750432344727572926")</f>
        <v>https://twitter.com/SpiceMoneyIndia/status/1750432344727572926</v>
      </c>
      <c r="K2949" t="s">
        <v>67</v>
      </c>
      <c r="O2949">
        <v>0</v>
      </c>
      <c r="P2949">
        <v>0</v>
      </c>
      <c r="Q2949">
        <v>6004</v>
      </c>
      <c r="R2949" t="s">
        <v>97</v>
      </c>
      <c r="S2949">
        <v>0</v>
      </c>
      <c r="T2949">
        <v>0</v>
      </c>
      <c r="U2949">
        <v>0</v>
      </c>
      <c r="V2949" t="s">
        <v>98</v>
      </c>
      <c r="W2949" t="s">
        <v>99</v>
      </c>
    </row>
    <row r="2950" spans="1:23" x14ac:dyDescent="0.35">
      <c r="A2950" t="s">
        <v>45</v>
      </c>
      <c r="B2950" t="s">
        <v>5934</v>
      </c>
      <c r="C2950" t="s">
        <v>47</v>
      </c>
      <c r="D2950" t="s">
        <v>6009</v>
      </c>
      <c r="E2950" t="s">
        <v>6009</v>
      </c>
      <c r="F2950" t="s">
        <v>49</v>
      </c>
      <c r="G2950" t="s">
        <v>6010</v>
      </c>
      <c r="H2950" t="s">
        <v>6011</v>
      </c>
      <c r="J2950" t="str">
        <f>HYPERLINK("https://www.youtube.com/watch?v=IHWzT2TNYKQ&amp;lc=Ugwe5MEU2lxbP_oQQp94AaABAg.9zyjOreFXAY9zzXrJgN756","https://www.youtube.com/watch?v=IHWzT2TNYKQ&amp;lc=Ugwe5MEU2lxbP_oQQp94AaABAg.9zyjOreFXAY9zzXrJgN756")</f>
        <v>https://www.youtube.com/watch?v=IHWzT2TNYKQ&amp;lc=Ugwe5MEU2lxbP_oQQp94AaABAg.9zyjOreFXAY9zzXrJgN756</v>
      </c>
      <c r="O2950">
        <v>0</v>
      </c>
      <c r="P2950">
        <v>0</v>
      </c>
      <c r="Q2950">
        <v>0</v>
      </c>
      <c r="S2950">
        <v>0</v>
      </c>
      <c r="T2950">
        <v>0</v>
      </c>
      <c r="U2950">
        <v>0</v>
      </c>
      <c r="W2950" t="s">
        <v>52</v>
      </c>
    </row>
    <row r="2951" spans="1:23" x14ac:dyDescent="0.35">
      <c r="A2951" t="s">
        <v>45</v>
      </c>
      <c r="B2951" t="s">
        <v>5934</v>
      </c>
      <c r="C2951" t="s">
        <v>47</v>
      </c>
      <c r="D2951" t="s">
        <v>68</v>
      </c>
      <c r="E2951" t="s">
        <v>68</v>
      </c>
      <c r="F2951" t="s">
        <v>49</v>
      </c>
      <c r="G2951" t="s">
        <v>102</v>
      </c>
      <c r="H2951" t="s">
        <v>6012</v>
      </c>
      <c r="J2951" t="str">
        <f>HYPERLINK("https://www.youtube.com/watch?v=k4Jk2Nl60tE&amp;lc=Ugw-DL_llqF-xzOoTzp4AaABAg.9zxldrkJRr19zzX_XajdTS","https://www.youtube.com/watch?v=k4Jk2Nl60tE&amp;lc=Ugw-DL_llqF-xzOoTzp4AaABAg.9zxldrkJRr19zzX_XajdTS")</f>
        <v>https://www.youtube.com/watch?v=k4Jk2Nl60tE&amp;lc=Ugw-DL_llqF-xzOoTzp4AaABAg.9zxldrkJRr19zzX_XajdTS</v>
      </c>
      <c r="O2951">
        <v>0</v>
      </c>
      <c r="P2951">
        <v>0</v>
      </c>
      <c r="Q2951">
        <v>0</v>
      </c>
      <c r="S2951">
        <v>0</v>
      </c>
      <c r="T2951">
        <v>0</v>
      </c>
      <c r="U2951">
        <v>0</v>
      </c>
      <c r="W2951" t="s">
        <v>52</v>
      </c>
    </row>
    <row r="2952" spans="1:23" x14ac:dyDescent="0.35">
      <c r="A2952" t="s">
        <v>45</v>
      </c>
      <c r="B2952" t="s">
        <v>5934</v>
      </c>
      <c r="C2952" t="s">
        <v>60</v>
      </c>
      <c r="D2952" t="s">
        <v>61</v>
      </c>
      <c r="E2952" t="s">
        <v>61</v>
      </c>
      <c r="F2952" t="s">
        <v>49</v>
      </c>
      <c r="G2952" t="s">
        <v>6013</v>
      </c>
      <c r="H2952" t="s">
        <v>6014</v>
      </c>
      <c r="J2952" t="str">
        <f>HYPERLINK("https://www.facebook.com/634639855377280/posts/776916321149632?comment_id=394422233258748","https://www.facebook.com/634639855377280/posts/776916321149632?comment_id=394422233258748")</f>
        <v>https://www.facebook.com/634639855377280/posts/776916321149632?comment_id=394422233258748</v>
      </c>
      <c r="O2952">
        <v>0</v>
      </c>
      <c r="P2952">
        <v>0</v>
      </c>
      <c r="Q2952">
        <v>0</v>
      </c>
      <c r="S2952">
        <v>0</v>
      </c>
      <c r="T2952">
        <v>0</v>
      </c>
      <c r="U2952">
        <v>0</v>
      </c>
      <c r="W2952" t="s">
        <v>52</v>
      </c>
    </row>
    <row r="2953" spans="1:23" x14ac:dyDescent="0.35">
      <c r="A2953" t="s">
        <v>45</v>
      </c>
      <c r="B2953" t="s">
        <v>5934</v>
      </c>
      <c r="C2953" t="s">
        <v>47</v>
      </c>
      <c r="D2953" t="s">
        <v>68</v>
      </c>
      <c r="E2953" t="s">
        <v>68</v>
      </c>
      <c r="F2953" t="s">
        <v>49</v>
      </c>
      <c r="G2953" t="s">
        <v>102</v>
      </c>
      <c r="H2953" t="s">
        <v>6015</v>
      </c>
      <c r="J2953" t="str">
        <f>HYPERLINK("https://www.youtube.com/watch?v=IHWzT2TNYKQ&amp;lc=Ugwe5MEU2lxbP_oQQp94AaABAg.9zyjOreFXAY9zzXVbvUcrk","https://www.youtube.com/watch?v=IHWzT2TNYKQ&amp;lc=Ugwe5MEU2lxbP_oQQp94AaABAg.9zyjOreFXAY9zzXVbvUcrk")</f>
        <v>https://www.youtube.com/watch?v=IHWzT2TNYKQ&amp;lc=Ugwe5MEU2lxbP_oQQp94AaABAg.9zyjOreFXAY9zzXVbvUcrk</v>
      </c>
      <c r="O2953">
        <v>0</v>
      </c>
      <c r="P2953">
        <v>0</v>
      </c>
      <c r="Q2953">
        <v>0</v>
      </c>
      <c r="S2953">
        <v>0</v>
      </c>
      <c r="T2953">
        <v>0</v>
      </c>
      <c r="U2953">
        <v>0</v>
      </c>
      <c r="W2953" t="s">
        <v>52</v>
      </c>
    </row>
    <row r="2954" spans="1:23" x14ac:dyDescent="0.35">
      <c r="A2954" t="s">
        <v>45</v>
      </c>
      <c r="B2954" t="s">
        <v>5934</v>
      </c>
      <c r="C2954" t="s">
        <v>60</v>
      </c>
      <c r="D2954" t="s">
        <v>64</v>
      </c>
      <c r="E2954" t="s">
        <v>64</v>
      </c>
      <c r="F2954" t="s">
        <v>49</v>
      </c>
      <c r="G2954" t="s">
        <v>83</v>
      </c>
      <c r="H2954" t="s">
        <v>6016</v>
      </c>
      <c r="J2954" t="str">
        <f>HYPERLINK("https://www.facebook.com/634639855377280/posts/776916321149632?comment_id=1101360174219064&amp;reply_comment_id=347064828128768","https://www.facebook.com/634639855377280/posts/776916321149632?comment_id=1101360174219064&amp;reply_comment_id=347064828128768")</f>
        <v>https://www.facebook.com/634639855377280/posts/776916321149632?comment_id=1101360174219064&amp;reply_comment_id=347064828128768</v>
      </c>
      <c r="K2954" t="s">
        <v>67</v>
      </c>
      <c r="O2954">
        <v>0</v>
      </c>
      <c r="P2954">
        <v>0</v>
      </c>
      <c r="Q2954">
        <v>0</v>
      </c>
      <c r="S2954">
        <v>0</v>
      </c>
      <c r="T2954">
        <v>0</v>
      </c>
      <c r="U2954">
        <v>0</v>
      </c>
      <c r="W2954" t="s">
        <v>52</v>
      </c>
    </row>
    <row r="2955" spans="1:23" x14ac:dyDescent="0.35">
      <c r="A2955" t="s">
        <v>45</v>
      </c>
      <c r="B2955" t="s">
        <v>5934</v>
      </c>
      <c r="C2955" t="s">
        <v>60</v>
      </c>
      <c r="D2955" t="s">
        <v>64</v>
      </c>
      <c r="E2955" t="s">
        <v>64</v>
      </c>
      <c r="F2955" t="s">
        <v>49</v>
      </c>
      <c r="G2955" t="s">
        <v>83</v>
      </c>
      <c r="H2955" t="s">
        <v>6017</v>
      </c>
      <c r="J2955" t="str">
        <f>HYPERLINK("https://www.facebook.com/634639855377280/posts/778305741010690?comment_id=2001244753592875&amp;reply_comment_id=1034704738130486","https://www.facebook.com/634639855377280/posts/778305741010690?comment_id=2001244753592875&amp;reply_comment_id=1034704738130486")</f>
        <v>https://www.facebook.com/634639855377280/posts/778305741010690?comment_id=2001244753592875&amp;reply_comment_id=1034704738130486</v>
      </c>
      <c r="K2955" t="s">
        <v>67</v>
      </c>
      <c r="O2955">
        <v>0</v>
      </c>
      <c r="P2955">
        <v>0</v>
      </c>
      <c r="Q2955">
        <v>0</v>
      </c>
      <c r="S2955">
        <v>0</v>
      </c>
      <c r="T2955">
        <v>0</v>
      </c>
      <c r="U2955">
        <v>0</v>
      </c>
      <c r="W2955" t="s">
        <v>52</v>
      </c>
    </row>
    <row r="2956" spans="1:23" x14ac:dyDescent="0.35">
      <c r="A2956" t="s">
        <v>45</v>
      </c>
      <c r="B2956" t="s">
        <v>5934</v>
      </c>
      <c r="C2956" t="s">
        <v>93</v>
      </c>
      <c r="D2956" t="s">
        <v>94</v>
      </c>
      <c r="E2956" t="s">
        <v>45</v>
      </c>
      <c r="F2956" t="s">
        <v>49</v>
      </c>
      <c r="G2956" t="s">
        <v>5514</v>
      </c>
      <c r="H2956" t="s">
        <v>6018</v>
      </c>
      <c r="J2956" t="str">
        <f>HYPERLINK("https://twitter.com/SpiceMoneyIndia/status/1750427528295076057","https://twitter.com/SpiceMoneyIndia/status/1750427528295076057")</f>
        <v>https://twitter.com/SpiceMoneyIndia/status/1750427528295076057</v>
      </c>
      <c r="K2956" t="s">
        <v>67</v>
      </c>
      <c r="O2956">
        <v>0</v>
      </c>
      <c r="P2956">
        <v>0</v>
      </c>
      <c r="Q2956">
        <v>6004</v>
      </c>
      <c r="R2956" t="s">
        <v>97</v>
      </c>
      <c r="S2956">
        <v>0</v>
      </c>
      <c r="T2956">
        <v>0</v>
      </c>
      <c r="U2956">
        <v>0</v>
      </c>
      <c r="V2956" t="s">
        <v>98</v>
      </c>
      <c r="W2956" t="s">
        <v>99</v>
      </c>
    </row>
    <row r="2957" spans="1:23" x14ac:dyDescent="0.35">
      <c r="A2957" t="s">
        <v>45</v>
      </c>
      <c r="B2957" t="s">
        <v>5934</v>
      </c>
      <c r="C2957" t="s">
        <v>60</v>
      </c>
      <c r="D2957" t="s">
        <v>64</v>
      </c>
      <c r="E2957" t="s">
        <v>64</v>
      </c>
      <c r="F2957" t="s">
        <v>49</v>
      </c>
      <c r="G2957" t="s">
        <v>454</v>
      </c>
      <c r="H2957" t="s">
        <v>6019</v>
      </c>
      <c r="J2957" t="str">
        <f>HYPERLINK("https://www.facebook.com/634639855377280/posts/776286744545923?comment_id=1513769559195942&amp;reply_comment_id=291153510275192","https://www.facebook.com/634639855377280/posts/776286744545923?comment_id=1513769559195942&amp;reply_comment_id=291153510275192")</f>
        <v>https://www.facebook.com/634639855377280/posts/776286744545923?comment_id=1513769559195942&amp;reply_comment_id=291153510275192</v>
      </c>
      <c r="K2957" t="s">
        <v>67</v>
      </c>
      <c r="O2957">
        <v>0</v>
      </c>
      <c r="P2957">
        <v>0</v>
      </c>
      <c r="Q2957">
        <v>0</v>
      </c>
      <c r="S2957">
        <v>0</v>
      </c>
      <c r="T2957">
        <v>0</v>
      </c>
      <c r="U2957">
        <v>0</v>
      </c>
      <c r="W2957" t="s">
        <v>52</v>
      </c>
    </row>
    <row r="2958" spans="1:23" x14ac:dyDescent="0.35">
      <c r="A2958" t="s">
        <v>45</v>
      </c>
      <c r="B2958" t="s">
        <v>5934</v>
      </c>
      <c r="C2958" t="s">
        <v>93</v>
      </c>
      <c r="D2958" t="s">
        <v>94</v>
      </c>
      <c r="E2958" t="s">
        <v>45</v>
      </c>
      <c r="F2958" t="s">
        <v>49</v>
      </c>
      <c r="G2958" t="s">
        <v>6020</v>
      </c>
      <c r="H2958" t="s">
        <v>6021</v>
      </c>
      <c r="J2958" t="str">
        <f>HYPERLINK("https://twitter.com/SpiceMoneyIndia/status/1750426853045620857","https://twitter.com/SpiceMoneyIndia/status/1750426853045620857")</f>
        <v>https://twitter.com/SpiceMoneyIndia/status/1750426853045620857</v>
      </c>
      <c r="K2958" t="s">
        <v>67</v>
      </c>
      <c r="O2958">
        <v>0</v>
      </c>
      <c r="P2958">
        <v>0</v>
      </c>
      <c r="Q2958">
        <v>6004</v>
      </c>
      <c r="R2958" t="s">
        <v>97</v>
      </c>
      <c r="S2958">
        <v>0</v>
      </c>
      <c r="T2958">
        <v>0</v>
      </c>
      <c r="U2958">
        <v>0</v>
      </c>
      <c r="V2958" t="s">
        <v>98</v>
      </c>
      <c r="W2958" t="s">
        <v>99</v>
      </c>
    </row>
    <row r="2959" spans="1:23" x14ac:dyDescent="0.35">
      <c r="A2959" t="s">
        <v>45</v>
      </c>
      <c r="B2959" t="s">
        <v>5934</v>
      </c>
      <c r="C2959" t="s">
        <v>47</v>
      </c>
      <c r="D2959" t="s">
        <v>68</v>
      </c>
      <c r="E2959" t="s">
        <v>68</v>
      </c>
      <c r="F2959" t="s">
        <v>49</v>
      </c>
      <c r="G2959" t="s">
        <v>162</v>
      </c>
      <c r="H2959" t="s">
        <v>6022</v>
      </c>
      <c r="J2959" t="str">
        <f>HYPERLINK("https://www.youtube.com/watch?v=k4Jk2Nl60tE&amp;lc=Ugz2ERQ5LQYtnBifKGB4AaABAg.9zxce8cxx1Y9zzV-UTqUI9","https://www.youtube.com/watch?v=k4Jk2Nl60tE&amp;lc=Ugz2ERQ5LQYtnBifKGB4AaABAg.9zxce8cxx1Y9zzV-UTqUI9")</f>
        <v>https://www.youtube.com/watch?v=k4Jk2Nl60tE&amp;lc=Ugz2ERQ5LQYtnBifKGB4AaABAg.9zxce8cxx1Y9zzV-UTqUI9</v>
      </c>
      <c r="O2959">
        <v>0</v>
      </c>
      <c r="P2959">
        <v>0</v>
      </c>
      <c r="Q2959">
        <v>0</v>
      </c>
      <c r="S2959">
        <v>0</v>
      </c>
      <c r="T2959">
        <v>0</v>
      </c>
      <c r="U2959">
        <v>0</v>
      </c>
      <c r="W2959" t="s">
        <v>52</v>
      </c>
    </row>
    <row r="2960" spans="1:23" x14ac:dyDescent="0.35">
      <c r="A2960" t="s">
        <v>45</v>
      </c>
      <c r="B2960" t="s">
        <v>5934</v>
      </c>
      <c r="C2960" t="s">
        <v>47</v>
      </c>
      <c r="D2960" t="s">
        <v>68</v>
      </c>
      <c r="E2960" t="s">
        <v>68</v>
      </c>
      <c r="F2960" t="s">
        <v>49</v>
      </c>
      <c r="G2960" t="s">
        <v>3773</v>
      </c>
      <c r="H2960" t="s">
        <v>6023</v>
      </c>
      <c r="J2960" t="str">
        <f>HYPERLINK("https://www.youtube.com/watch?v=IHWzT2TNYKQ&amp;lc=Ugx6MTi0BW5dbHQvLm94AaABAg.9zxgC6QuTO69zzUte7E07-","https://www.youtube.com/watch?v=IHWzT2TNYKQ&amp;lc=Ugx6MTi0BW5dbHQvLm94AaABAg.9zxgC6QuTO69zzUte7E07-")</f>
        <v>https://www.youtube.com/watch?v=IHWzT2TNYKQ&amp;lc=Ugx6MTi0BW5dbHQvLm94AaABAg.9zxgC6QuTO69zzUte7E07-</v>
      </c>
      <c r="O2960">
        <v>0</v>
      </c>
      <c r="P2960">
        <v>0</v>
      </c>
      <c r="Q2960">
        <v>0</v>
      </c>
      <c r="S2960">
        <v>0</v>
      </c>
      <c r="T2960">
        <v>0</v>
      </c>
      <c r="U2960">
        <v>0</v>
      </c>
      <c r="W2960" t="s">
        <v>52</v>
      </c>
    </row>
    <row r="2961" spans="1:23" x14ac:dyDescent="0.35">
      <c r="A2961" t="s">
        <v>45</v>
      </c>
      <c r="B2961" t="s">
        <v>5934</v>
      </c>
      <c r="C2961" t="s">
        <v>47</v>
      </c>
      <c r="D2961" t="s">
        <v>68</v>
      </c>
      <c r="E2961" t="s">
        <v>68</v>
      </c>
      <c r="F2961" t="s">
        <v>49</v>
      </c>
      <c r="G2961" t="s">
        <v>102</v>
      </c>
      <c r="H2961" t="s">
        <v>6024</v>
      </c>
      <c r="J2961" t="str">
        <f>HYPERLINK("https://www.youtube.com/watch?v=k4Jk2Nl60tE&amp;lc=Ugz8OxGOHYtvL31PPPJ4AaABAg.9zxoe87Yx6h9zzUi35zRCO","https://www.youtube.com/watch?v=k4Jk2Nl60tE&amp;lc=Ugz8OxGOHYtvL31PPPJ4AaABAg.9zxoe87Yx6h9zzUi35zRCO")</f>
        <v>https://www.youtube.com/watch?v=k4Jk2Nl60tE&amp;lc=Ugz8OxGOHYtvL31PPPJ4AaABAg.9zxoe87Yx6h9zzUi35zRCO</v>
      </c>
      <c r="O2961">
        <v>0</v>
      </c>
      <c r="P2961">
        <v>0</v>
      </c>
      <c r="Q2961">
        <v>0</v>
      </c>
      <c r="S2961">
        <v>0</v>
      </c>
      <c r="T2961">
        <v>0</v>
      </c>
      <c r="U2961">
        <v>0</v>
      </c>
      <c r="W2961" t="s">
        <v>52</v>
      </c>
    </row>
    <row r="2962" spans="1:23" x14ac:dyDescent="0.35">
      <c r="A2962" t="s">
        <v>45</v>
      </c>
      <c r="B2962" t="s">
        <v>5934</v>
      </c>
      <c r="C2962" t="s">
        <v>47</v>
      </c>
      <c r="D2962" t="s">
        <v>68</v>
      </c>
      <c r="E2962" t="s">
        <v>68</v>
      </c>
      <c r="F2962" t="s">
        <v>49</v>
      </c>
      <c r="G2962" t="s">
        <v>102</v>
      </c>
      <c r="H2962" t="s">
        <v>6025</v>
      </c>
      <c r="J2962" t="str">
        <f>HYPERLINK("https://www.youtube.com/watch?v=k4Jk2Nl60tE&amp;lc=Ugw9N5tEbFsPjD7PBl14AaABAg.9zxnfmaWWlS9zzUgBx9Bic","https://www.youtube.com/watch?v=k4Jk2Nl60tE&amp;lc=Ugw9N5tEbFsPjD7PBl14AaABAg.9zxnfmaWWlS9zzUgBx9Bic")</f>
        <v>https://www.youtube.com/watch?v=k4Jk2Nl60tE&amp;lc=Ugw9N5tEbFsPjD7PBl14AaABAg.9zxnfmaWWlS9zzUgBx9Bic</v>
      </c>
      <c r="O2962">
        <v>0</v>
      </c>
      <c r="P2962">
        <v>0</v>
      </c>
      <c r="Q2962">
        <v>0</v>
      </c>
      <c r="S2962">
        <v>0</v>
      </c>
      <c r="T2962">
        <v>0</v>
      </c>
      <c r="U2962">
        <v>0</v>
      </c>
      <c r="W2962" t="s">
        <v>52</v>
      </c>
    </row>
    <row r="2963" spans="1:23" x14ac:dyDescent="0.35">
      <c r="A2963" t="s">
        <v>45</v>
      </c>
      <c r="B2963" t="s">
        <v>5934</v>
      </c>
      <c r="C2963" t="s">
        <v>47</v>
      </c>
      <c r="D2963" t="s">
        <v>68</v>
      </c>
      <c r="E2963" t="s">
        <v>68</v>
      </c>
      <c r="F2963" t="s">
        <v>49</v>
      </c>
      <c r="G2963" t="s">
        <v>3901</v>
      </c>
      <c r="H2963" t="s">
        <v>6026</v>
      </c>
      <c r="J2963" t="str">
        <f>HYPERLINK("https://www.youtube.com/watch?v=7N6n0nCAmV8&amp;lc=UgwBHsCcl6F64S8UK7t4AaABAg.9zzLiJeEukK9zzUcLmqJps","https://www.youtube.com/watch?v=7N6n0nCAmV8&amp;lc=UgwBHsCcl6F64S8UK7t4AaABAg.9zzLiJeEukK9zzUcLmqJps")</f>
        <v>https://www.youtube.com/watch?v=7N6n0nCAmV8&amp;lc=UgwBHsCcl6F64S8UK7t4AaABAg.9zzLiJeEukK9zzUcLmqJps</v>
      </c>
      <c r="O2963">
        <v>0</v>
      </c>
      <c r="P2963">
        <v>0</v>
      </c>
      <c r="Q2963">
        <v>0</v>
      </c>
      <c r="S2963">
        <v>0</v>
      </c>
      <c r="T2963">
        <v>0</v>
      </c>
      <c r="U2963">
        <v>0</v>
      </c>
      <c r="W2963" t="s">
        <v>52</v>
      </c>
    </row>
    <row r="2964" spans="1:23" x14ac:dyDescent="0.35">
      <c r="A2964" t="s">
        <v>45</v>
      </c>
      <c r="B2964" t="s">
        <v>5934</v>
      </c>
      <c r="C2964" t="s">
        <v>93</v>
      </c>
      <c r="D2964" t="s">
        <v>3262</v>
      </c>
      <c r="E2964" t="s">
        <v>3263</v>
      </c>
      <c r="F2964" t="s">
        <v>49</v>
      </c>
      <c r="G2964" t="s">
        <v>4187</v>
      </c>
      <c r="H2964" t="s">
        <v>6027</v>
      </c>
      <c r="J2964" t="str">
        <f>HYPERLINK("https://twitter.com/ShoaibAkhtertsk/status/1750420925387014230","https://twitter.com/ShoaibAkhtertsk/status/1750420925387014230")</f>
        <v>https://twitter.com/ShoaibAkhtertsk/status/1750420925387014230</v>
      </c>
      <c r="K2964" t="s">
        <v>67</v>
      </c>
      <c r="O2964">
        <v>0</v>
      </c>
      <c r="P2964">
        <v>0</v>
      </c>
      <c r="Q2964">
        <v>50</v>
      </c>
      <c r="R2964" t="s">
        <v>3266</v>
      </c>
      <c r="S2964">
        <v>0</v>
      </c>
      <c r="T2964">
        <v>0</v>
      </c>
      <c r="U2964">
        <v>0</v>
      </c>
      <c r="W2964" t="s">
        <v>433</v>
      </c>
    </row>
    <row r="2965" spans="1:23" x14ac:dyDescent="0.35">
      <c r="A2965" t="s">
        <v>45</v>
      </c>
      <c r="B2965" t="s">
        <v>5934</v>
      </c>
      <c r="C2965" t="s">
        <v>93</v>
      </c>
      <c r="D2965" t="s">
        <v>94</v>
      </c>
      <c r="E2965" t="s">
        <v>45</v>
      </c>
      <c r="F2965" t="s">
        <v>49</v>
      </c>
      <c r="G2965" t="s">
        <v>6028</v>
      </c>
      <c r="H2965" t="s">
        <v>6029</v>
      </c>
      <c r="J2965" t="str">
        <f>HYPERLINK("https://twitter.com/SpiceMoneyIndia/status/1750411752460910841","https://twitter.com/SpiceMoneyIndia/status/1750411752460910841")</f>
        <v>https://twitter.com/SpiceMoneyIndia/status/1750411752460910841</v>
      </c>
      <c r="K2965" t="s">
        <v>67</v>
      </c>
      <c r="O2965">
        <v>0</v>
      </c>
      <c r="P2965">
        <v>0</v>
      </c>
      <c r="Q2965">
        <v>6004</v>
      </c>
      <c r="R2965" t="s">
        <v>97</v>
      </c>
      <c r="S2965">
        <v>0</v>
      </c>
      <c r="T2965">
        <v>0</v>
      </c>
      <c r="U2965">
        <v>0</v>
      </c>
      <c r="V2965" t="s">
        <v>98</v>
      </c>
      <c r="W2965" t="s">
        <v>99</v>
      </c>
    </row>
    <row r="2966" spans="1:23" x14ac:dyDescent="0.35">
      <c r="A2966" t="s">
        <v>45</v>
      </c>
      <c r="B2966" t="s">
        <v>5934</v>
      </c>
      <c r="C2966" t="s">
        <v>60</v>
      </c>
      <c r="D2966" t="s">
        <v>61</v>
      </c>
      <c r="E2966" t="s">
        <v>61</v>
      </c>
      <c r="F2966" t="s">
        <v>49</v>
      </c>
      <c r="G2966" t="s">
        <v>6030</v>
      </c>
      <c r="H2966" t="s">
        <v>6031</v>
      </c>
      <c r="J2966" t="str">
        <f>HYPERLINK("https://www.facebook.com/634639855377280/posts/776286744545923?comment_id=1513769559195942","https://www.facebook.com/634639855377280/posts/776286744545923?comment_id=1513769559195942")</f>
        <v>https://www.facebook.com/634639855377280/posts/776286744545923?comment_id=1513769559195942</v>
      </c>
      <c r="O2966">
        <v>0</v>
      </c>
      <c r="P2966">
        <v>0</v>
      </c>
      <c r="Q2966">
        <v>0</v>
      </c>
      <c r="S2966">
        <v>0</v>
      </c>
      <c r="T2966">
        <v>0</v>
      </c>
      <c r="U2966">
        <v>0</v>
      </c>
      <c r="W2966" t="s">
        <v>52</v>
      </c>
    </row>
    <row r="2967" spans="1:23" x14ac:dyDescent="0.35">
      <c r="A2967" t="s">
        <v>45</v>
      </c>
      <c r="B2967" t="s">
        <v>5934</v>
      </c>
      <c r="C2967" t="s">
        <v>60</v>
      </c>
      <c r="D2967" t="s">
        <v>61</v>
      </c>
      <c r="E2967" t="s">
        <v>61</v>
      </c>
      <c r="F2967" t="s">
        <v>49</v>
      </c>
      <c r="G2967" t="s">
        <v>6030</v>
      </c>
      <c r="H2967" t="s">
        <v>6032</v>
      </c>
      <c r="J2967" t="str">
        <f>HYPERLINK("https://www.facebook.com/634639855377280/posts/776916321149632?comment_id=1441448286782799","https://www.facebook.com/634639855377280/posts/776916321149632?comment_id=1441448286782799")</f>
        <v>https://www.facebook.com/634639855377280/posts/776916321149632?comment_id=1441448286782799</v>
      </c>
      <c r="O2967">
        <v>0</v>
      </c>
      <c r="P2967">
        <v>0</v>
      </c>
      <c r="Q2967">
        <v>0</v>
      </c>
      <c r="S2967">
        <v>0</v>
      </c>
      <c r="T2967">
        <v>0</v>
      </c>
      <c r="U2967">
        <v>0</v>
      </c>
      <c r="W2967" t="s">
        <v>52</v>
      </c>
    </row>
    <row r="2968" spans="1:23" x14ac:dyDescent="0.35">
      <c r="A2968" t="s">
        <v>45</v>
      </c>
      <c r="B2968" t="s">
        <v>5934</v>
      </c>
      <c r="C2968" t="s">
        <v>60</v>
      </c>
      <c r="D2968" t="s">
        <v>61</v>
      </c>
      <c r="E2968" t="s">
        <v>61</v>
      </c>
      <c r="F2968" t="s">
        <v>49</v>
      </c>
      <c r="G2968" t="s">
        <v>6030</v>
      </c>
      <c r="H2968" t="s">
        <v>6033</v>
      </c>
      <c r="J2968" t="str">
        <f>HYPERLINK("https://www.facebook.com/634639855377280/posts/777009237807007?comment_id=397135749457917","https://www.facebook.com/634639855377280/posts/777009237807007?comment_id=397135749457917")</f>
        <v>https://www.facebook.com/634639855377280/posts/777009237807007?comment_id=397135749457917</v>
      </c>
      <c r="O2968">
        <v>0</v>
      </c>
      <c r="P2968">
        <v>0</v>
      </c>
      <c r="Q2968">
        <v>0</v>
      </c>
      <c r="S2968">
        <v>0</v>
      </c>
      <c r="T2968">
        <v>0</v>
      </c>
      <c r="U2968">
        <v>0</v>
      </c>
      <c r="W2968" t="s">
        <v>52</v>
      </c>
    </row>
    <row r="2969" spans="1:23" x14ac:dyDescent="0.35">
      <c r="A2969" t="s">
        <v>45</v>
      </c>
      <c r="B2969" t="s">
        <v>5934</v>
      </c>
      <c r="C2969" t="s">
        <v>60</v>
      </c>
      <c r="D2969" t="s">
        <v>61</v>
      </c>
      <c r="E2969" t="s">
        <v>61</v>
      </c>
      <c r="F2969" t="s">
        <v>49</v>
      </c>
      <c r="G2969" t="s">
        <v>6030</v>
      </c>
      <c r="H2969" t="s">
        <v>6034</v>
      </c>
      <c r="J2969" t="str">
        <f>HYPERLINK("https://www.facebook.com/634639855377280/posts/778114767696454?comment_id=908730027597520","https://www.facebook.com/634639855377280/posts/778114767696454?comment_id=908730027597520")</f>
        <v>https://www.facebook.com/634639855377280/posts/778114767696454?comment_id=908730027597520</v>
      </c>
      <c r="O2969">
        <v>0</v>
      </c>
      <c r="P2969">
        <v>0</v>
      </c>
      <c r="Q2969">
        <v>0</v>
      </c>
      <c r="S2969">
        <v>0</v>
      </c>
      <c r="T2969">
        <v>0</v>
      </c>
      <c r="U2969">
        <v>0</v>
      </c>
      <c r="W2969" t="s">
        <v>52</v>
      </c>
    </row>
    <row r="2970" spans="1:23" x14ac:dyDescent="0.35">
      <c r="A2970" t="s">
        <v>45</v>
      </c>
      <c r="B2970" t="s">
        <v>5934</v>
      </c>
      <c r="C2970" t="s">
        <v>60</v>
      </c>
      <c r="D2970" t="s">
        <v>61</v>
      </c>
      <c r="E2970" t="s">
        <v>61</v>
      </c>
      <c r="F2970" t="s">
        <v>49</v>
      </c>
      <c r="G2970" t="s">
        <v>6030</v>
      </c>
      <c r="H2970" t="s">
        <v>6035</v>
      </c>
      <c r="J2970" t="str">
        <f>HYPERLINK("https://www.facebook.com/634639855377280/posts/778305741010690?comment_id=945110113674979","https://www.facebook.com/634639855377280/posts/778305741010690?comment_id=945110113674979")</f>
        <v>https://www.facebook.com/634639855377280/posts/778305741010690?comment_id=945110113674979</v>
      </c>
      <c r="O2970">
        <v>0</v>
      </c>
      <c r="P2970">
        <v>0</v>
      </c>
      <c r="Q2970">
        <v>0</v>
      </c>
      <c r="S2970">
        <v>0</v>
      </c>
      <c r="T2970">
        <v>0</v>
      </c>
      <c r="U2970">
        <v>0</v>
      </c>
      <c r="W2970" t="s">
        <v>52</v>
      </c>
    </row>
    <row r="2971" spans="1:23" x14ac:dyDescent="0.35">
      <c r="A2971" t="s">
        <v>45</v>
      </c>
      <c r="B2971" t="s">
        <v>5934</v>
      </c>
      <c r="C2971" t="s">
        <v>60</v>
      </c>
      <c r="D2971" t="s">
        <v>61</v>
      </c>
      <c r="E2971" t="s">
        <v>61</v>
      </c>
      <c r="F2971" t="s">
        <v>49</v>
      </c>
      <c r="G2971" t="s">
        <v>6030</v>
      </c>
      <c r="H2971" t="s">
        <v>6036</v>
      </c>
      <c r="J2971" t="str">
        <f>HYPERLINK("https://www.facebook.com/634639855377280/posts/778799227628008?comment_id=910996236952540&amp;reply_comment_id=295945860145135","https://www.facebook.com/634639855377280/posts/778799227628008?comment_id=910996236952540&amp;reply_comment_id=295945860145135")</f>
        <v>https://www.facebook.com/634639855377280/posts/778799227628008?comment_id=910996236952540&amp;reply_comment_id=295945860145135</v>
      </c>
      <c r="O2971">
        <v>0</v>
      </c>
      <c r="P2971">
        <v>0</v>
      </c>
      <c r="Q2971">
        <v>0</v>
      </c>
      <c r="S2971">
        <v>0</v>
      </c>
      <c r="T2971">
        <v>0</v>
      </c>
      <c r="U2971">
        <v>0</v>
      </c>
      <c r="W2971" t="s">
        <v>52</v>
      </c>
    </row>
    <row r="2972" spans="1:23" x14ac:dyDescent="0.35">
      <c r="A2972" t="s">
        <v>45</v>
      </c>
      <c r="B2972" t="s">
        <v>5934</v>
      </c>
      <c r="C2972" t="s">
        <v>60</v>
      </c>
      <c r="D2972" t="s">
        <v>61</v>
      </c>
      <c r="E2972" t="s">
        <v>61</v>
      </c>
      <c r="F2972" t="s">
        <v>49</v>
      </c>
      <c r="G2972" t="s">
        <v>6037</v>
      </c>
      <c r="H2972" t="s">
        <v>6038</v>
      </c>
      <c r="J2972" t="str">
        <f>HYPERLINK("https://www.facebook.com/634639855377280/posts/778305741010690?comment_id=937180804510130","https://www.facebook.com/634639855377280/posts/778305741010690?comment_id=937180804510130")</f>
        <v>https://www.facebook.com/634639855377280/posts/778305741010690?comment_id=937180804510130</v>
      </c>
      <c r="O2972">
        <v>0</v>
      </c>
      <c r="P2972">
        <v>0</v>
      </c>
      <c r="Q2972">
        <v>0</v>
      </c>
      <c r="S2972">
        <v>0</v>
      </c>
      <c r="T2972">
        <v>0</v>
      </c>
      <c r="U2972">
        <v>0</v>
      </c>
      <c r="W2972" t="s">
        <v>52</v>
      </c>
    </row>
    <row r="2973" spans="1:23" x14ac:dyDescent="0.35">
      <c r="A2973" t="s">
        <v>45</v>
      </c>
      <c r="B2973" t="s">
        <v>5934</v>
      </c>
      <c r="C2973" t="s">
        <v>60</v>
      </c>
      <c r="D2973" t="s">
        <v>61</v>
      </c>
      <c r="E2973" t="s">
        <v>61</v>
      </c>
      <c r="F2973" t="s">
        <v>49</v>
      </c>
      <c r="G2973" t="s">
        <v>6030</v>
      </c>
      <c r="H2973" t="s">
        <v>6039</v>
      </c>
      <c r="J2973" t="str">
        <f>HYPERLINK("https://www.facebook.com/634639855377280/posts/778799227628008?comment_id=910996236952540","https://www.facebook.com/634639855377280/posts/778799227628008?comment_id=910996236952540")</f>
        <v>https://www.facebook.com/634639855377280/posts/778799227628008?comment_id=910996236952540</v>
      </c>
      <c r="O2973">
        <v>0</v>
      </c>
      <c r="P2973">
        <v>0</v>
      </c>
      <c r="Q2973">
        <v>0</v>
      </c>
      <c r="S2973">
        <v>0</v>
      </c>
      <c r="T2973">
        <v>0</v>
      </c>
      <c r="U2973">
        <v>0</v>
      </c>
      <c r="W2973" t="s">
        <v>52</v>
      </c>
    </row>
    <row r="2974" spans="1:23" x14ac:dyDescent="0.35">
      <c r="A2974" t="s">
        <v>45</v>
      </c>
      <c r="B2974" t="s">
        <v>5934</v>
      </c>
      <c r="C2974" t="s">
        <v>93</v>
      </c>
      <c r="D2974" t="s">
        <v>94</v>
      </c>
      <c r="E2974" t="s">
        <v>45</v>
      </c>
      <c r="F2974" t="s">
        <v>49</v>
      </c>
      <c r="G2974" t="s">
        <v>6040</v>
      </c>
      <c r="H2974" t="s">
        <v>6041</v>
      </c>
      <c r="J2974" t="str">
        <f>HYPERLINK("https://twitter.com/SpiceMoneyIndia/status/1750408015994626348","https://twitter.com/SpiceMoneyIndia/status/1750408015994626348")</f>
        <v>https://twitter.com/SpiceMoneyIndia/status/1750408015994626348</v>
      </c>
      <c r="K2974" t="s">
        <v>67</v>
      </c>
      <c r="O2974">
        <v>0</v>
      </c>
      <c r="P2974">
        <v>0</v>
      </c>
      <c r="Q2974">
        <v>6004</v>
      </c>
      <c r="R2974" t="s">
        <v>97</v>
      </c>
      <c r="S2974">
        <v>0</v>
      </c>
      <c r="T2974">
        <v>0</v>
      </c>
      <c r="U2974">
        <v>0</v>
      </c>
      <c r="V2974" t="s">
        <v>98</v>
      </c>
      <c r="W2974" t="s">
        <v>99</v>
      </c>
    </row>
    <row r="2975" spans="1:23" x14ac:dyDescent="0.35">
      <c r="A2975" t="s">
        <v>45</v>
      </c>
      <c r="B2975" t="s">
        <v>5934</v>
      </c>
      <c r="C2975" t="s">
        <v>60</v>
      </c>
      <c r="D2975" t="s">
        <v>64</v>
      </c>
      <c r="E2975" t="s">
        <v>64</v>
      </c>
      <c r="F2975" t="s">
        <v>49</v>
      </c>
      <c r="G2975" t="s">
        <v>6042</v>
      </c>
      <c r="H2975" t="s">
        <v>6043</v>
      </c>
      <c r="J2975" t="str">
        <f>HYPERLINK("https://www.facebook.com/634639855377280/posts/778799227628008","https://www.facebook.com/634639855377280/posts/778799227628008")</f>
        <v>https://www.facebook.com/634639855377280/posts/778799227628008</v>
      </c>
      <c r="O2975">
        <v>0</v>
      </c>
      <c r="P2975">
        <v>0</v>
      </c>
      <c r="Q2975">
        <v>0</v>
      </c>
      <c r="S2975">
        <v>2</v>
      </c>
      <c r="T2975">
        <v>28</v>
      </c>
      <c r="U2975">
        <v>2</v>
      </c>
      <c r="W2975" t="s">
        <v>346</v>
      </c>
    </row>
    <row r="2976" spans="1:23" x14ac:dyDescent="0.35">
      <c r="A2976" t="s">
        <v>45</v>
      </c>
      <c r="B2976" t="s">
        <v>5934</v>
      </c>
      <c r="C2976" t="s">
        <v>47</v>
      </c>
      <c r="D2976" t="s">
        <v>6044</v>
      </c>
      <c r="E2976" t="s">
        <v>6044</v>
      </c>
      <c r="F2976" t="s">
        <v>49</v>
      </c>
      <c r="G2976" t="s">
        <v>6045</v>
      </c>
      <c r="H2976" t="s">
        <v>6046</v>
      </c>
      <c r="J2976" t="str">
        <f>HYPERLINK("https://www.youtube.com/watch?v=7N6n0nCAmV8&amp;lc=UgwBHsCcl6F64S8UK7t4AaABAg","https://www.youtube.com/watch?v=7N6n0nCAmV8&amp;lc=UgwBHsCcl6F64S8UK7t4AaABAg")</f>
        <v>https://www.youtube.com/watch?v=7N6n0nCAmV8&amp;lc=UgwBHsCcl6F64S8UK7t4AaABAg</v>
      </c>
      <c r="O2976">
        <v>0</v>
      </c>
      <c r="P2976">
        <v>0</v>
      </c>
      <c r="Q2976">
        <v>0</v>
      </c>
      <c r="S2976">
        <v>0</v>
      </c>
      <c r="T2976">
        <v>0</v>
      </c>
      <c r="U2976">
        <v>0</v>
      </c>
      <c r="W2976" t="s">
        <v>52</v>
      </c>
    </row>
    <row r="2977" spans="1:42" x14ac:dyDescent="0.35">
      <c r="A2977" t="s">
        <v>45</v>
      </c>
      <c r="B2977" t="s">
        <v>5934</v>
      </c>
      <c r="C2977" t="s">
        <v>47</v>
      </c>
      <c r="D2977" t="s">
        <v>2003</v>
      </c>
      <c r="E2977" t="s">
        <v>2003</v>
      </c>
      <c r="F2977" t="s">
        <v>49</v>
      </c>
      <c r="G2977" t="s">
        <v>6047</v>
      </c>
      <c r="H2977" t="s">
        <v>6048</v>
      </c>
      <c r="J2977" t="str">
        <f>HYPERLINK("https://www.youtube.com/watch?v=IHWzT2TNYKQ&amp;lc=UgzPnorv4uPzDC05Tbt4AaABAg.9zvRXWV9XG39zz7Ipa4U5C","https://www.youtube.com/watch?v=IHWzT2TNYKQ&amp;lc=UgzPnorv4uPzDC05Tbt4AaABAg.9zvRXWV9XG39zz7Ipa4U5C")</f>
        <v>https://www.youtube.com/watch?v=IHWzT2TNYKQ&amp;lc=UgzPnorv4uPzDC05Tbt4AaABAg.9zvRXWV9XG39zz7Ipa4U5C</v>
      </c>
      <c r="O2977">
        <v>0</v>
      </c>
      <c r="P2977">
        <v>0</v>
      </c>
      <c r="Q2977">
        <v>0</v>
      </c>
      <c r="S2977">
        <v>0</v>
      </c>
      <c r="T2977">
        <v>0</v>
      </c>
      <c r="U2977">
        <v>0</v>
      </c>
      <c r="W2977" t="s">
        <v>52</v>
      </c>
    </row>
    <row r="2978" spans="1:42" x14ac:dyDescent="0.35">
      <c r="A2978" t="s">
        <v>45</v>
      </c>
      <c r="B2978" t="s">
        <v>5934</v>
      </c>
      <c r="C2978" t="s">
        <v>93</v>
      </c>
      <c r="D2978" t="s">
        <v>94</v>
      </c>
      <c r="E2978" t="s">
        <v>45</v>
      </c>
      <c r="F2978" t="s">
        <v>49</v>
      </c>
      <c r="G2978" t="s">
        <v>6049</v>
      </c>
      <c r="H2978" t="s">
        <v>6050</v>
      </c>
      <c r="J2978" t="str">
        <f>HYPERLINK("https://twitter.com/SpiceMoneyIndia/status/1750372925058789468","https://twitter.com/SpiceMoneyIndia/status/1750372925058789468")</f>
        <v>https://twitter.com/SpiceMoneyIndia/status/1750372925058789468</v>
      </c>
      <c r="K2978" t="s">
        <v>67</v>
      </c>
      <c r="O2978">
        <v>0</v>
      </c>
      <c r="P2978">
        <v>0</v>
      </c>
      <c r="Q2978">
        <v>6004</v>
      </c>
      <c r="R2978" t="s">
        <v>97</v>
      </c>
      <c r="S2978">
        <v>0</v>
      </c>
      <c r="T2978">
        <v>0</v>
      </c>
      <c r="U2978">
        <v>0</v>
      </c>
      <c r="V2978" t="s">
        <v>98</v>
      </c>
      <c r="W2978" t="s">
        <v>99</v>
      </c>
    </row>
    <row r="2979" spans="1:42" x14ac:dyDescent="0.35">
      <c r="A2979" t="s">
        <v>45</v>
      </c>
      <c r="B2979" t="s">
        <v>5934</v>
      </c>
      <c r="C2979" t="s">
        <v>93</v>
      </c>
      <c r="D2979" t="s">
        <v>5543</v>
      </c>
      <c r="E2979" t="s">
        <v>5544</v>
      </c>
      <c r="F2979" t="s">
        <v>193</v>
      </c>
      <c r="G2979" t="s">
        <v>6051</v>
      </c>
      <c r="H2979" t="s">
        <v>6052</v>
      </c>
      <c r="J2979" t="str">
        <f>HYPERLINK("https://twitter.com/PRINCE_GUPTA_64/status/1750366362185216437","https://twitter.com/PRINCE_GUPTA_64/status/1750366362185216437")</f>
        <v>https://twitter.com/PRINCE_GUPTA_64/status/1750366362185216437</v>
      </c>
      <c r="O2979">
        <v>0</v>
      </c>
      <c r="P2979">
        <v>0</v>
      </c>
      <c r="Q2979">
        <v>3</v>
      </c>
      <c r="S2979">
        <v>0</v>
      </c>
      <c r="T2979">
        <v>0</v>
      </c>
      <c r="U2979">
        <v>0</v>
      </c>
      <c r="W2979" t="s">
        <v>99</v>
      </c>
    </row>
    <row r="2980" spans="1:42" x14ac:dyDescent="0.35">
      <c r="A2980" t="s">
        <v>45</v>
      </c>
      <c r="B2980" t="s">
        <v>5934</v>
      </c>
      <c r="C2980" t="s">
        <v>93</v>
      </c>
      <c r="D2980" t="s">
        <v>5543</v>
      </c>
      <c r="E2980" t="s">
        <v>5544</v>
      </c>
      <c r="F2980" t="s">
        <v>193</v>
      </c>
      <c r="G2980" t="s">
        <v>6053</v>
      </c>
      <c r="H2980" t="s">
        <v>6054</v>
      </c>
      <c r="J2980" t="str">
        <f>HYPERLINK("https://twitter.com/PRINCE_GUPTA_64/status/1750365936891130115","https://twitter.com/PRINCE_GUPTA_64/status/1750365936891130115")</f>
        <v>https://twitter.com/PRINCE_GUPTA_64/status/1750365936891130115</v>
      </c>
      <c r="O2980">
        <v>0</v>
      </c>
      <c r="P2980">
        <v>0</v>
      </c>
      <c r="Q2980">
        <v>3</v>
      </c>
      <c r="S2980">
        <v>0</v>
      </c>
      <c r="T2980">
        <v>0</v>
      </c>
      <c r="U2980">
        <v>0</v>
      </c>
      <c r="W2980" t="s">
        <v>99</v>
      </c>
    </row>
    <row r="2981" spans="1:42" x14ac:dyDescent="0.35">
      <c r="A2981" t="s">
        <v>45</v>
      </c>
      <c r="B2981" t="s">
        <v>5934</v>
      </c>
      <c r="C2981" t="s">
        <v>93</v>
      </c>
      <c r="D2981" t="s">
        <v>3262</v>
      </c>
      <c r="E2981" t="s">
        <v>3263</v>
      </c>
      <c r="F2981" t="s">
        <v>49</v>
      </c>
      <c r="G2981" t="s">
        <v>6055</v>
      </c>
      <c r="H2981" t="s">
        <v>6056</v>
      </c>
      <c r="J2981" t="str">
        <f>HYPERLINK("https://twitter.com/ShoaibAkhtertsk/status/1750362037958631540","https://twitter.com/ShoaibAkhtertsk/status/1750362037958631540")</f>
        <v>https://twitter.com/ShoaibAkhtertsk/status/1750362037958631540</v>
      </c>
      <c r="K2981" t="s">
        <v>67</v>
      </c>
      <c r="O2981">
        <v>0</v>
      </c>
      <c r="P2981">
        <v>0</v>
      </c>
      <c r="Q2981">
        <v>50</v>
      </c>
      <c r="R2981" t="s">
        <v>3266</v>
      </c>
      <c r="S2981">
        <v>0</v>
      </c>
      <c r="T2981">
        <v>0</v>
      </c>
      <c r="U2981">
        <v>0</v>
      </c>
      <c r="W2981" t="s">
        <v>99</v>
      </c>
    </row>
    <row r="2982" spans="1:42" x14ac:dyDescent="0.35">
      <c r="A2982" t="s">
        <v>45</v>
      </c>
      <c r="B2982" t="s">
        <v>5934</v>
      </c>
      <c r="C2982" t="s">
        <v>60</v>
      </c>
      <c r="D2982" t="s">
        <v>61</v>
      </c>
      <c r="E2982" t="s">
        <v>61</v>
      </c>
      <c r="F2982" t="s">
        <v>54</v>
      </c>
      <c r="G2982" t="s">
        <v>6057</v>
      </c>
      <c r="H2982" t="s">
        <v>6058</v>
      </c>
      <c r="J2982" t="str">
        <f>HYPERLINK("https://www.facebook.com/634639855377280/posts/778114767696454?comment_id=1399128347371759","https://www.facebook.com/634639855377280/posts/778114767696454?comment_id=1399128347371759")</f>
        <v>https://www.facebook.com/634639855377280/posts/778114767696454?comment_id=1399128347371759</v>
      </c>
      <c r="O2982">
        <v>0</v>
      </c>
      <c r="P2982">
        <v>0</v>
      </c>
      <c r="Q2982">
        <v>0</v>
      </c>
      <c r="S2982">
        <v>0</v>
      </c>
      <c r="T2982">
        <v>0</v>
      </c>
      <c r="U2982">
        <v>0</v>
      </c>
      <c r="W2982" t="s">
        <v>52</v>
      </c>
    </row>
    <row r="2983" spans="1:42" x14ac:dyDescent="0.35">
      <c r="A2983" t="s">
        <v>45</v>
      </c>
      <c r="B2983" t="s">
        <v>5934</v>
      </c>
      <c r="C2983" t="s">
        <v>60</v>
      </c>
      <c r="D2983" t="s">
        <v>61</v>
      </c>
      <c r="E2983" t="s">
        <v>61</v>
      </c>
      <c r="F2983" t="s">
        <v>49</v>
      </c>
      <c r="G2983" t="s">
        <v>6059</v>
      </c>
      <c r="H2983" t="s">
        <v>6060</v>
      </c>
      <c r="J2983" t="str">
        <f>HYPERLINK("https://www.facebook.com/634639855377280/posts/776916321149632?comment_id=390263406913497&amp;reply_comment_id=349570824588709","https://www.facebook.com/634639855377280/posts/776916321149632?comment_id=390263406913497&amp;reply_comment_id=349570824588709")</f>
        <v>https://www.facebook.com/634639855377280/posts/776916321149632?comment_id=390263406913497&amp;reply_comment_id=349570824588709</v>
      </c>
      <c r="O2983">
        <v>0</v>
      </c>
      <c r="P2983">
        <v>0</v>
      </c>
      <c r="Q2983">
        <v>0</v>
      </c>
      <c r="S2983">
        <v>0</v>
      </c>
      <c r="T2983">
        <v>0</v>
      </c>
      <c r="U2983">
        <v>0</v>
      </c>
      <c r="W2983" t="s">
        <v>52</v>
      </c>
    </row>
    <row r="2984" spans="1:42" x14ac:dyDescent="0.35">
      <c r="A2984" t="s">
        <v>45</v>
      </c>
      <c r="B2984" t="s">
        <v>5934</v>
      </c>
      <c r="C2984" t="s">
        <v>47</v>
      </c>
      <c r="D2984" t="s">
        <v>6009</v>
      </c>
      <c r="E2984" t="s">
        <v>6009</v>
      </c>
      <c r="F2984" t="s">
        <v>49</v>
      </c>
      <c r="G2984" t="s">
        <v>6061</v>
      </c>
      <c r="H2984" t="s">
        <v>6062</v>
      </c>
      <c r="J2984" t="str">
        <f>HYPERLINK("https://www.youtube.com/watch?v=IHWzT2TNYKQ&amp;lc=Ugwe5MEU2lxbP_oQQp94AaABAg","https://www.youtube.com/watch?v=IHWzT2TNYKQ&amp;lc=Ugwe5MEU2lxbP_oQQp94AaABAg")</f>
        <v>https://www.youtube.com/watch?v=IHWzT2TNYKQ&amp;lc=Ugwe5MEU2lxbP_oQQp94AaABAg</v>
      </c>
      <c r="O2984">
        <v>0</v>
      </c>
      <c r="P2984">
        <v>0</v>
      </c>
      <c r="Q2984">
        <v>0</v>
      </c>
      <c r="S2984">
        <v>0</v>
      </c>
      <c r="T2984">
        <v>0</v>
      </c>
      <c r="U2984">
        <v>0</v>
      </c>
      <c r="W2984" t="s">
        <v>52</v>
      </c>
    </row>
    <row r="2985" spans="1:42" x14ac:dyDescent="0.35">
      <c r="A2985" t="s">
        <v>45</v>
      </c>
      <c r="B2985" t="s">
        <v>6063</v>
      </c>
      <c r="C2985" t="s">
        <v>47</v>
      </c>
      <c r="D2985" t="s">
        <v>736</v>
      </c>
      <c r="E2985" t="s">
        <v>736</v>
      </c>
      <c r="F2985" t="s">
        <v>193</v>
      </c>
      <c r="G2985" t="s">
        <v>6064</v>
      </c>
      <c r="H2985" t="s">
        <v>6065</v>
      </c>
      <c r="J2985" t="str">
        <f>HYPERLINK("https://www.youtube.com/watch?v=R6yix9M8Fr8","https://www.youtube.com/watch?v=R6yix9M8Fr8")</f>
        <v>https://www.youtube.com/watch?v=R6yix9M8Fr8</v>
      </c>
      <c r="O2985">
        <v>0</v>
      </c>
      <c r="P2985">
        <v>0</v>
      </c>
      <c r="Q2985">
        <v>0</v>
      </c>
      <c r="S2985">
        <v>0</v>
      </c>
      <c r="T2985">
        <v>0</v>
      </c>
      <c r="U2985">
        <v>0</v>
      </c>
      <c r="W2985" t="s">
        <v>346</v>
      </c>
      <c r="AP2985" t="s">
        <v>1420</v>
      </c>
    </row>
    <row r="2986" spans="1:42" x14ac:dyDescent="0.35">
      <c r="A2986" t="s">
        <v>45</v>
      </c>
      <c r="B2986" t="s">
        <v>6063</v>
      </c>
      <c r="C2986" t="s">
        <v>93</v>
      </c>
      <c r="D2986" t="s">
        <v>5777</v>
      </c>
      <c r="E2986" t="s">
        <v>5778</v>
      </c>
      <c r="F2986" t="s">
        <v>54</v>
      </c>
      <c r="G2986" t="s">
        <v>6066</v>
      </c>
      <c r="H2986" t="s">
        <v>6067</v>
      </c>
      <c r="J2986" t="str">
        <f>HYPERLINK("https://twitter.com/JatinTripathiii/status/1750203726919557475","https://twitter.com/JatinTripathiii/status/1750203726919557475")</f>
        <v>https://twitter.com/JatinTripathiii/status/1750203726919557475</v>
      </c>
      <c r="K2986" t="s">
        <v>67</v>
      </c>
      <c r="O2986">
        <v>0</v>
      </c>
      <c r="P2986">
        <v>0</v>
      </c>
      <c r="Q2986">
        <v>9</v>
      </c>
      <c r="R2986" t="s">
        <v>5781</v>
      </c>
      <c r="S2986">
        <v>0</v>
      </c>
      <c r="T2986">
        <v>0</v>
      </c>
      <c r="U2986">
        <v>0</v>
      </c>
      <c r="W2986" t="s">
        <v>99</v>
      </c>
    </row>
    <row r="2987" spans="1:42" x14ac:dyDescent="0.35">
      <c r="A2987" t="s">
        <v>45</v>
      </c>
      <c r="B2987" t="s">
        <v>6063</v>
      </c>
      <c r="C2987" t="s">
        <v>93</v>
      </c>
      <c r="D2987" t="s">
        <v>5777</v>
      </c>
      <c r="E2987" t="s">
        <v>5778</v>
      </c>
      <c r="F2987" t="s">
        <v>49</v>
      </c>
      <c r="G2987" t="s">
        <v>6068</v>
      </c>
      <c r="H2987" t="s">
        <v>6069</v>
      </c>
      <c r="J2987" t="str">
        <f>HYPERLINK("https://twitter.com/JatinTripathiii/status/1750202520289599832","https://twitter.com/JatinTripathiii/status/1750202520289599832")</f>
        <v>https://twitter.com/JatinTripathiii/status/1750202520289599832</v>
      </c>
      <c r="K2987" t="s">
        <v>67</v>
      </c>
      <c r="O2987">
        <v>0</v>
      </c>
      <c r="P2987">
        <v>0</v>
      </c>
      <c r="Q2987">
        <v>9</v>
      </c>
      <c r="R2987" t="s">
        <v>5781</v>
      </c>
      <c r="S2987">
        <v>0</v>
      </c>
      <c r="T2987">
        <v>0</v>
      </c>
      <c r="U2987">
        <v>0</v>
      </c>
      <c r="W2987" t="s">
        <v>99</v>
      </c>
    </row>
    <row r="2988" spans="1:42" x14ac:dyDescent="0.35">
      <c r="A2988" t="s">
        <v>45</v>
      </c>
      <c r="B2988" t="s">
        <v>6063</v>
      </c>
      <c r="C2988" t="s">
        <v>93</v>
      </c>
      <c r="D2988" t="s">
        <v>5777</v>
      </c>
      <c r="E2988" t="s">
        <v>5778</v>
      </c>
      <c r="F2988" t="s">
        <v>49</v>
      </c>
      <c r="G2988" t="s">
        <v>6070</v>
      </c>
      <c r="H2988" t="s">
        <v>6071</v>
      </c>
      <c r="J2988" t="str">
        <f>HYPERLINK("https://twitter.com/JatinTripathiii/status/1750201119492702625","https://twitter.com/JatinTripathiii/status/1750201119492702625")</f>
        <v>https://twitter.com/JatinTripathiii/status/1750201119492702625</v>
      </c>
      <c r="K2988" t="s">
        <v>67</v>
      </c>
      <c r="O2988">
        <v>0</v>
      </c>
      <c r="P2988">
        <v>0</v>
      </c>
      <c r="Q2988">
        <v>9</v>
      </c>
      <c r="R2988" t="s">
        <v>5781</v>
      </c>
      <c r="S2988">
        <v>0</v>
      </c>
      <c r="T2988">
        <v>0</v>
      </c>
      <c r="U2988">
        <v>0</v>
      </c>
      <c r="W2988" t="s">
        <v>99</v>
      </c>
    </row>
    <row r="2989" spans="1:42" x14ac:dyDescent="0.35">
      <c r="A2989" t="s">
        <v>45</v>
      </c>
      <c r="B2989" t="s">
        <v>6063</v>
      </c>
      <c r="C2989" t="s">
        <v>60</v>
      </c>
      <c r="D2989" t="s">
        <v>61</v>
      </c>
      <c r="E2989" t="s">
        <v>61</v>
      </c>
      <c r="F2989" t="s">
        <v>49</v>
      </c>
      <c r="G2989" t="s">
        <v>6072</v>
      </c>
      <c r="H2989" t="s">
        <v>6073</v>
      </c>
      <c r="J2989" t="str">
        <f>HYPERLINK("https://www.facebook.com/634639855377280/posts/774950251346239?comment_id=392608296491392&amp;reply_comment_id=696008985990281","https://www.facebook.com/634639855377280/posts/774950251346239?comment_id=392608296491392&amp;reply_comment_id=696008985990281")</f>
        <v>https://www.facebook.com/634639855377280/posts/774950251346239?comment_id=392608296491392&amp;reply_comment_id=696008985990281</v>
      </c>
      <c r="O2989">
        <v>0</v>
      </c>
      <c r="P2989">
        <v>0</v>
      </c>
      <c r="Q2989">
        <v>0</v>
      </c>
      <c r="S2989">
        <v>0</v>
      </c>
      <c r="T2989">
        <v>0</v>
      </c>
      <c r="U2989">
        <v>0</v>
      </c>
      <c r="W2989" t="s">
        <v>52</v>
      </c>
    </row>
    <row r="2990" spans="1:42" x14ac:dyDescent="0.35">
      <c r="A2990" t="s">
        <v>45</v>
      </c>
      <c r="B2990" t="s">
        <v>6063</v>
      </c>
      <c r="C2990" t="s">
        <v>47</v>
      </c>
      <c r="D2990" t="s">
        <v>6074</v>
      </c>
      <c r="E2990" t="s">
        <v>6074</v>
      </c>
      <c r="F2990" t="s">
        <v>49</v>
      </c>
      <c r="G2990" t="s">
        <v>6075</v>
      </c>
      <c r="H2990" t="s">
        <v>6076</v>
      </c>
      <c r="J2990" t="str">
        <f>HYPERLINK("https://www.youtube.com/watch?v=k4Jk2Nl60tE&amp;lc=Ugz8OxGOHYtvL31PPPJ4AaABAg","https://www.youtube.com/watch?v=k4Jk2Nl60tE&amp;lc=Ugz8OxGOHYtvL31PPPJ4AaABAg")</f>
        <v>https://www.youtube.com/watch?v=k4Jk2Nl60tE&amp;lc=Ugz8OxGOHYtvL31PPPJ4AaABAg</v>
      </c>
      <c r="O2990">
        <v>0</v>
      </c>
      <c r="P2990">
        <v>0</v>
      </c>
      <c r="Q2990">
        <v>0</v>
      </c>
      <c r="S2990">
        <v>0</v>
      </c>
      <c r="T2990">
        <v>0</v>
      </c>
      <c r="U2990">
        <v>0</v>
      </c>
      <c r="W2990" t="s">
        <v>52</v>
      </c>
    </row>
    <row r="2991" spans="1:42" x14ac:dyDescent="0.35">
      <c r="A2991" t="s">
        <v>45</v>
      </c>
      <c r="B2991" t="s">
        <v>6063</v>
      </c>
      <c r="C2991" t="s">
        <v>47</v>
      </c>
      <c r="D2991" t="s">
        <v>6077</v>
      </c>
      <c r="E2991" t="s">
        <v>6077</v>
      </c>
      <c r="F2991" t="s">
        <v>54</v>
      </c>
      <c r="G2991" t="s">
        <v>6078</v>
      </c>
      <c r="H2991" t="s">
        <v>6079</v>
      </c>
      <c r="J2991" t="str">
        <f>HYPERLINK("https://www.youtube.com/watch?v=k4Jk2Nl60tE&amp;lc=Ugw9N5tEbFsPjD7PBl14AaABAg","https://www.youtube.com/watch?v=k4Jk2Nl60tE&amp;lc=Ugw9N5tEbFsPjD7PBl14AaABAg")</f>
        <v>https://www.youtube.com/watch?v=k4Jk2Nl60tE&amp;lc=Ugw9N5tEbFsPjD7PBl14AaABAg</v>
      </c>
      <c r="O2991">
        <v>0</v>
      </c>
      <c r="P2991">
        <v>0</v>
      </c>
      <c r="Q2991">
        <v>0</v>
      </c>
      <c r="S2991">
        <v>0</v>
      </c>
      <c r="T2991">
        <v>0</v>
      </c>
      <c r="U2991">
        <v>0</v>
      </c>
      <c r="W2991" t="s">
        <v>52</v>
      </c>
    </row>
    <row r="2992" spans="1:42" x14ac:dyDescent="0.35">
      <c r="A2992" t="s">
        <v>45</v>
      </c>
      <c r="B2992" t="s">
        <v>6063</v>
      </c>
      <c r="C2992" t="s">
        <v>60</v>
      </c>
      <c r="D2992" t="s">
        <v>61</v>
      </c>
      <c r="E2992" t="s">
        <v>61</v>
      </c>
      <c r="F2992" t="s">
        <v>54</v>
      </c>
      <c r="G2992" t="s">
        <v>6080</v>
      </c>
      <c r="H2992" t="s">
        <v>6081</v>
      </c>
      <c r="J2992" t="str">
        <f>HYPERLINK("https://www.facebook.com/634639855377280/posts/778305741010690?comment_id=2001244753592875","https://www.facebook.com/634639855377280/posts/778305741010690?comment_id=2001244753592875")</f>
        <v>https://www.facebook.com/634639855377280/posts/778305741010690?comment_id=2001244753592875</v>
      </c>
      <c r="O2992">
        <v>0</v>
      </c>
      <c r="P2992">
        <v>0</v>
      </c>
      <c r="Q2992">
        <v>0</v>
      </c>
      <c r="S2992">
        <v>0</v>
      </c>
      <c r="T2992">
        <v>0</v>
      </c>
      <c r="U2992">
        <v>0</v>
      </c>
      <c r="W2992" t="s">
        <v>52</v>
      </c>
    </row>
    <row r="2993" spans="1:23" x14ac:dyDescent="0.35">
      <c r="A2993" t="s">
        <v>45</v>
      </c>
      <c r="B2993" t="s">
        <v>6063</v>
      </c>
      <c r="C2993" t="s">
        <v>47</v>
      </c>
      <c r="D2993" t="s">
        <v>6082</v>
      </c>
      <c r="E2993" t="s">
        <v>6082</v>
      </c>
      <c r="F2993" t="s">
        <v>49</v>
      </c>
      <c r="G2993" t="s">
        <v>6083</v>
      </c>
      <c r="H2993" t="s">
        <v>6084</v>
      </c>
      <c r="J2993" t="str">
        <f>HYPERLINK("https://www.youtube.com/watch?v=k4Jk2Nl60tE&amp;lc=Ugw-DL_llqF-xzOoTzp4AaABAg","https://www.youtube.com/watch?v=k4Jk2Nl60tE&amp;lc=Ugw-DL_llqF-xzOoTzp4AaABAg")</f>
        <v>https://www.youtube.com/watch?v=k4Jk2Nl60tE&amp;lc=Ugw-DL_llqF-xzOoTzp4AaABAg</v>
      </c>
      <c r="O2993">
        <v>0</v>
      </c>
      <c r="P2993">
        <v>0</v>
      </c>
      <c r="Q2993">
        <v>0</v>
      </c>
      <c r="S2993">
        <v>0</v>
      </c>
      <c r="T2993">
        <v>0</v>
      </c>
      <c r="U2993">
        <v>0</v>
      </c>
      <c r="W2993" t="s">
        <v>52</v>
      </c>
    </row>
    <row r="2994" spans="1:23" x14ac:dyDescent="0.35">
      <c r="A2994" t="s">
        <v>45</v>
      </c>
      <c r="B2994" t="s">
        <v>6063</v>
      </c>
      <c r="C2994" t="s">
        <v>47</v>
      </c>
      <c r="D2994" t="s">
        <v>6085</v>
      </c>
      <c r="E2994" t="s">
        <v>6085</v>
      </c>
      <c r="F2994" t="s">
        <v>54</v>
      </c>
      <c r="G2994" t="s">
        <v>6086</v>
      </c>
      <c r="H2994" t="s">
        <v>6087</v>
      </c>
      <c r="J2994" t="str">
        <f>HYPERLINK("https://www.youtube.com/watch?v=IHWzT2TNYKQ&amp;lc=Ugx6MTi0BW5dbHQvLm94AaABAg","https://www.youtube.com/watch?v=IHWzT2TNYKQ&amp;lc=Ugx6MTi0BW5dbHQvLm94AaABAg")</f>
        <v>https://www.youtube.com/watch?v=IHWzT2TNYKQ&amp;lc=Ugx6MTi0BW5dbHQvLm94AaABAg</v>
      </c>
      <c r="O2994">
        <v>0</v>
      </c>
      <c r="P2994">
        <v>0</v>
      </c>
      <c r="Q2994">
        <v>0</v>
      </c>
      <c r="S2994">
        <v>0</v>
      </c>
      <c r="T2994">
        <v>0</v>
      </c>
      <c r="U2994">
        <v>0</v>
      </c>
      <c r="W2994" t="s">
        <v>52</v>
      </c>
    </row>
    <row r="2995" spans="1:23" x14ac:dyDescent="0.35">
      <c r="A2995" t="s">
        <v>45</v>
      </c>
      <c r="B2995" t="s">
        <v>6063</v>
      </c>
      <c r="C2995" t="s">
        <v>47</v>
      </c>
      <c r="D2995" t="s">
        <v>6088</v>
      </c>
      <c r="E2995" t="s">
        <v>6088</v>
      </c>
      <c r="F2995" t="s">
        <v>54</v>
      </c>
      <c r="G2995" t="s">
        <v>6089</v>
      </c>
      <c r="H2995" t="s">
        <v>6090</v>
      </c>
      <c r="J2995" t="str">
        <f>HYPERLINK("https://www.youtube.com/watch?v=k4Jk2Nl60tE&amp;lc=Ugz2ERQ5LQYtnBifKGB4AaABAg","https://www.youtube.com/watch?v=k4Jk2Nl60tE&amp;lc=Ugz2ERQ5LQYtnBifKGB4AaABAg")</f>
        <v>https://www.youtube.com/watch?v=k4Jk2Nl60tE&amp;lc=Ugz2ERQ5LQYtnBifKGB4AaABAg</v>
      </c>
      <c r="O2995">
        <v>0</v>
      </c>
      <c r="P2995">
        <v>0</v>
      </c>
      <c r="Q2995">
        <v>0</v>
      </c>
      <c r="S2995">
        <v>0</v>
      </c>
      <c r="T2995">
        <v>0</v>
      </c>
      <c r="U2995">
        <v>0</v>
      </c>
      <c r="W2995" t="s">
        <v>52</v>
      </c>
    </row>
    <row r="2996" spans="1:23" x14ac:dyDescent="0.35">
      <c r="A2996" t="s">
        <v>45</v>
      </c>
      <c r="B2996" t="s">
        <v>6063</v>
      </c>
      <c r="C2996" t="s">
        <v>47</v>
      </c>
      <c r="D2996" t="s">
        <v>3637</v>
      </c>
      <c r="E2996" t="s">
        <v>3637</v>
      </c>
      <c r="F2996" t="s">
        <v>49</v>
      </c>
      <c r="G2996" t="s">
        <v>6091</v>
      </c>
      <c r="H2996" t="s">
        <v>6092</v>
      </c>
      <c r="J2996" t="str">
        <f>HYPERLINK("https://www.youtube.com/watch?v=k4Jk2Nl60tE&amp;lc=UgxowTJsnesN3a5xFkV4AaABAg","https://www.youtube.com/watch?v=k4Jk2Nl60tE&amp;lc=UgxowTJsnesN3a5xFkV4AaABAg")</f>
        <v>https://www.youtube.com/watch?v=k4Jk2Nl60tE&amp;lc=UgxowTJsnesN3a5xFkV4AaABAg</v>
      </c>
      <c r="O2996">
        <v>0</v>
      </c>
      <c r="P2996">
        <v>0</v>
      </c>
      <c r="Q2996">
        <v>0</v>
      </c>
      <c r="S2996">
        <v>0</v>
      </c>
      <c r="T2996">
        <v>0</v>
      </c>
      <c r="U2996">
        <v>0</v>
      </c>
      <c r="W2996" t="s">
        <v>52</v>
      </c>
    </row>
    <row r="2997" spans="1:23" x14ac:dyDescent="0.35">
      <c r="A2997" t="s">
        <v>45</v>
      </c>
      <c r="B2997" t="s">
        <v>6063</v>
      </c>
      <c r="C2997" t="s">
        <v>93</v>
      </c>
      <c r="D2997" t="s">
        <v>6093</v>
      </c>
      <c r="E2997" t="s">
        <v>6094</v>
      </c>
      <c r="F2997" t="s">
        <v>49</v>
      </c>
      <c r="G2997" t="s">
        <v>6095</v>
      </c>
      <c r="H2997" t="s">
        <v>6096</v>
      </c>
      <c r="J2997" t="str">
        <f>HYPERLINK("https://twitter.com/BizIndustryNews/status/1750157841619710086","https://twitter.com/BizIndustryNews/status/1750157841619710086")</f>
        <v>https://twitter.com/BizIndustryNews/status/1750157841619710086</v>
      </c>
      <c r="K2997" t="s">
        <v>67</v>
      </c>
      <c r="O2997">
        <v>0</v>
      </c>
      <c r="P2997">
        <v>0</v>
      </c>
      <c r="Q2997">
        <v>13</v>
      </c>
      <c r="S2997">
        <v>0</v>
      </c>
      <c r="T2997">
        <v>0</v>
      </c>
      <c r="U2997">
        <v>0</v>
      </c>
      <c r="W2997" t="s">
        <v>99</v>
      </c>
    </row>
    <row r="2998" spans="1:23" x14ac:dyDescent="0.35">
      <c r="A2998" t="s">
        <v>45</v>
      </c>
      <c r="B2998" t="s">
        <v>6063</v>
      </c>
      <c r="C2998" t="s">
        <v>47</v>
      </c>
      <c r="D2998" t="s">
        <v>6097</v>
      </c>
      <c r="E2998" t="s">
        <v>6097</v>
      </c>
      <c r="F2998" t="s">
        <v>54</v>
      </c>
      <c r="G2998" t="s">
        <v>6098</v>
      </c>
      <c r="H2998" t="s">
        <v>6099</v>
      </c>
      <c r="J2998" t="str">
        <f>HYPERLINK("https://www.youtube.com/watch?v=bqCzR_Mufx4&amp;lc=UgxRFXCnEJMrfD30QYF4AaABAg","https://www.youtube.com/watch?v=bqCzR_Mufx4&amp;lc=UgxRFXCnEJMrfD30QYF4AaABAg")</f>
        <v>https://www.youtube.com/watch?v=bqCzR_Mufx4&amp;lc=UgxRFXCnEJMrfD30QYF4AaABAg</v>
      </c>
      <c r="O2998">
        <v>0</v>
      </c>
      <c r="P2998">
        <v>0</v>
      </c>
      <c r="Q2998">
        <v>0</v>
      </c>
      <c r="S2998">
        <v>0</v>
      </c>
      <c r="T2998">
        <v>0</v>
      </c>
      <c r="U2998">
        <v>0</v>
      </c>
      <c r="W2998" t="s">
        <v>52</v>
      </c>
    </row>
    <row r="2999" spans="1:23" x14ac:dyDescent="0.35">
      <c r="A2999" t="s">
        <v>45</v>
      </c>
      <c r="B2999" t="s">
        <v>6063</v>
      </c>
      <c r="C2999" t="s">
        <v>47</v>
      </c>
      <c r="D2999" t="s">
        <v>6100</v>
      </c>
      <c r="E2999" t="s">
        <v>6100</v>
      </c>
      <c r="F2999" t="s">
        <v>54</v>
      </c>
      <c r="G2999" t="s">
        <v>6101</v>
      </c>
      <c r="H2999" t="s">
        <v>6102</v>
      </c>
      <c r="J2999" t="str">
        <f>HYPERLINK("https://www.youtube.com/watch?v=k4Jk2Nl60tE&amp;lc=UgwumvM-LYA7LRlUrJF4AaABAg","https://www.youtube.com/watch?v=k4Jk2Nl60tE&amp;lc=UgwumvM-LYA7LRlUrJF4AaABAg")</f>
        <v>https://www.youtube.com/watch?v=k4Jk2Nl60tE&amp;lc=UgwumvM-LYA7LRlUrJF4AaABAg</v>
      </c>
      <c r="O2999">
        <v>0</v>
      </c>
      <c r="P2999">
        <v>0</v>
      </c>
      <c r="Q2999">
        <v>0</v>
      </c>
      <c r="S2999">
        <v>0</v>
      </c>
      <c r="T2999">
        <v>0</v>
      </c>
      <c r="U2999">
        <v>0</v>
      </c>
      <c r="W2999" t="s">
        <v>52</v>
      </c>
    </row>
    <row r="3000" spans="1:23" x14ac:dyDescent="0.35">
      <c r="A3000" t="s">
        <v>45</v>
      </c>
      <c r="B3000" t="s">
        <v>6063</v>
      </c>
      <c r="C3000" t="s">
        <v>93</v>
      </c>
      <c r="D3000" t="s">
        <v>6103</v>
      </c>
      <c r="E3000" t="s">
        <v>6104</v>
      </c>
      <c r="F3000" t="s">
        <v>193</v>
      </c>
      <c r="G3000" t="s">
        <v>6105</v>
      </c>
      <c r="H3000" t="s">
        <v>6106</v>
      </c>
      <c r="J3000" t="str">
        <f>HYPERLINK("https://twitter.com/ShahidH42990125/status/1750150981420281912","https://twitter.com/ShahidH42990125/status/1750150981420281912")</f>
        <v>https://twitter.com/ShahidH42990125/status/1750150981420281912</v>
      </c>
      <c r="K3000" t="s">
        <v>67</v>
      </c>
      <c r="O3000">
        <v>0</v>
      </c>
      <c r="P3000">
        <v>0</v>
      </c>
      <c r="Q3000">
        <v>60</v>
      </c>
      <c r="R3000" t="s">
        <v>6107</v>
      </c>
      <c r="S3000">
        <v>0</v>
      </c>
      <c r="T3000">
        <v>0</v>
      </c>
      <c r="U3000">
        <v>0</v>
      </c>
      <c r="W3000" t="s">
        <v>99</v>
      </c>
    </row>
    <row r="3001" spans="1:23" x14ac:dyDescent="0.35">
      <c r="A3001" t="s">
        <v>45</v>
      </c>
      <c r="B3001" t="s">
        <v>6063</v>
      </c>
      <c r="C3001" t="s">
        <v>60</v>
      </c>
      <c r="D3001" t="s">
        <v>61</v>
      </c>
      <c r="E3001" t="s">
        <v>61</v>
      </c>
      <c r="F3001" t="s">
        <v>49</v>
      </c>
      <c r="G3001" t="s">
        <v>6108</v>
      </c>
      <c r="H3001" t="s">
        <v>6109</v>
      </c>
      <c r="J3001" t="str">
        <f>HYPERLINK("https://www.facebook.com/634639855377280/posts/776916321149632?comment_id=1101360174219064","https://www.facebook.com/634639855377280/posts/776916321149632?comment_id=1101360174219064")</f>
        <v>https://www.facebook.com/634639855377280/posts/776916321149632?comment_id=1101360174219064</v>
      </c>
      <c r="O3001">
        <v>0</v>
      </c>
      <c r="P3001">
        <v>0</v>
      </c>
      <c r="Q3001">
        <v>0</v>
      </c>
      <c r="S3001">
        <v>0</v>
      </c>
      <c r="T3001">
        <v>0</v>
      </c>
      <c r="U3001">
        <v>0</v>
      </c>
      <c r="W3001" t="s">
        <v>52</v>
      </c>
    </row>
    <row r="3002" spans="1:23" x14ac:dyDescent="0.35">
      <c r="A3002" t="s">
        <v>45</v>
      </c>
      <c r="B3002" t="s">
        <v>6063</v>
      </c>
      <c r="C3002" t="s">
        <v>93</v>
      </c>
      <c r="D3002" t="s">
        <v>6110</v>
      </c>
      <c r="E3002" t="s">
        <v>6111</v>
      </c>
      <c r="F3002" t="s">
        <v>49</v>
      </c>
      <c r="G3002" t="s">
        <v>6112</v>
      </c>
      <c r="H3002" t="s">
        <v>6113</v>
      </c>
      <c r="J3002" t="str">
        <f>HYPERLINK("https://twitter.com/DK_YADAV82/status/1750139926992339042","https://twitter.com/DK_YADAV82/status/1750139926992339042")</f>
        <v>https://twitter.com/DK_YADAV82/status/1750139926992339042</v>
      </c>
      <c r="K3002" t="s">
        <v>67</v>
      </c>
      <c r="O3002">
        <v>0</v>
      </c>
      <c r="P3002">
        <v>0</v>
      </c>
      <c r="Q3002">
        <v>112</v>
      </c>
      <c r="R3002" t="s">
        <v>6114</v>
      </c>
      <c r="S3002">
        <v>0</v>
      </c>
      <c r="T3002">
        <v>0</v>
      </c>
      <c r="U3002">
        <v>0</v>
      </c>
      <c r="W3002" t="s">
        <v>99</v>
      </c>
    </row>
    <row r="3003" spans="1:23" x14ac:dyDescent="0.35">
      <c r="A3003" t="s">
        <v>45</v>
      </c>
      <c r="B3003" t="s">
        <v>6063</v>
      </c>
      <c r="C3003" t="s">
        <v>93</v>
      </c>
      <c r="D3003" t="s">
        <v>94</v>
      </c>
      <c r="E3003" t="s">
        <v>45</v>
      </c>
      <c r="F3003" t="s">
        <v>49</v>
      </c>
      <c r="G3003" t="s">
        <v>6115</v>
      </c>
      <c r="H3003" t="s">
        <v>6116</v>
      </c>
      <c r="J3003" t="str">
        <f>HYPERLINK("https://twitter.com/SpiceMoneyIndia/status/1750137140862681470","https://twitter.com/SpiceMoneyIndia/status/1750137140862681470")</f>
        <v>https://twitter.com/SpiceMoneyIndia/status/1750137140862681470</v>
      </c>
      <c r="K3003" t="s">
        <v>67</v>
      </c>
      <c r="O3003">
        <v>0</v>
      </c>
      <c r="P3003">
        <v>0</v>
      </c>
      <c r="Q3003">
        <v>6001</v>
      </c>
      <c r="R3003" t="s">
        <v>97</v>
      </c>
      <c r="S3003">
        <v>0</v>
      </c>
      <c r="T3003">
        <v>0</v>
      </c>
      <c r="U3003">
        <v>0</v>
      </c>
      <c r="V3003" t="s">
        <v>98</v>
      </c>
      <c r="W3003" t="s">
        <v>99</v>
      </c>
    </row>
    <row r="3004" spans="1:23" x14ac:dyDescent="0.35">
      <c r="A3004" t="s">
        <v>45</v>
      </c>
      <c r="B3004" t="s">
        <v>6063</v>
      </c>
      <c r="C3004" t="s">
        <v>60</v>
      </c>
      <c r="D3004" t="s">
        <v>61</v>
      </c>
      <c r="E3004" t="s">
        <v>61</v>
      </c>
      <c r="F3004" t="s">
        <v>49</v>
      </c>
      <c r="G3004" t="s">
        <v>6117</v>
      </c>
      <c r="H3004" t="s">
        <v>6118</v>
      </c>
      <c r="J3004" t="str">
        <f>HYPERLINK("https://www.facebook.com/634639855377280/posts/776916321149632?comment_id=390263406913497&amp;reply_comment_id=1035437137515509","https://www.facebook.com/634639855377280/posts/776916321149632?comment_id=390263406913497&amp;reply_comment_id=1035437137515509")</f>
        <v>https://www.facebook.com/634639855377280/posts/776916321149632?comment_id=390263406913497&amp;reply_comment_id=1035437137515509</v>
      </c>
      <c r="O3004">
        <v>0</v>
      </c>
      <c r="P3004">
        <v>0</v>
      </c>
      <c r="Q3004">
        <v>0</v>
      </c>
      <c r="S3004">
        <v>0</v>
      </c>
      <c r="T3004">
        <v>0</v>
      </c>
      <c r="U3004">
        <v>0</v>
      </c>
      <c r="W3004" t="s">
        <v>52</v>
      </c>
    </row>
    <row r="3005" spans="1:23" x14ac:dyDescent="0.35">
      <c r="A3005" t="s">
        <v>45</v>
      </c>
      <c r="B3005" t="s">
        <v>6063</v>
      </c>
      <c r="C3005" t="s">
        <v>60</v>
      </c>
      <c r="D3005" t="s">
        <v>64</v>
      </c>
      <c r="E3005" t="s">
        <v>64</v>
      </c>
      <c r="F3005" t="s">
        <v>49</v>
      </c>
      <c r="G3005" t="s">
        <v>100</v>
      </c>
      <c r="H3005" t="s">
        <v>6119</v>
      </c>
      <c r="J3005" t="str">
        <f>HYPERLINK("https://www.facebook.com/634639855377280/posts/776916321149632?comment_id=390263406913497&amp;reply_comment_id=901677361687792","https://www.facebook.com/634639855377280/posts/776916321149632?comment_id=390263406913497&amp;reply_comment_id=901677361687792")</f>
        <v>https://www.facebook.com/634639855377280/posts/776916321149632?comment_id=390263406913497&amp;reply_comment_id=901677361687792</v>
      </c>
      <c r="K3005" t="s">
        <v>67</v>
      </c>
      <c r="O3005">
        <v>0</v>
      </c>
      <c r="P3005">
        <v>0</v>
      </c>
      <c r="Q3005">
        <v>0</v>
      </c>
      <c r="S3005">
        <v>0</v>
      </c>
      <c r="T3005">
        <v>0</v>
      </c>
      <c r="U3005">
        <v>0</v>
      </c>
      <c r="W3005" t="s">
        <v>52</v>
      </c>
    </row>
    <row r="3006" spans="1:23" x14ac:dyDescent="0.35">
      <c r="A3006" t="s">
        <v>45</v>
      </c>
      <c r="B3006" t="s">
        <v>6063</v>
      </c>
      <c r="C3006" t="s">
        <v>60</v>
      </c>
      <c r="D3006" t="s">
        <v>64</v>
      </c>
      <c r="E3006" t="s">
        <v>64</v>
      </c>
      <c r="F3006" t="s">
        <v>49</v>
      </c>
      <c r="G3006" t="s">
        <v>492</v>
      </c>
      <c r="H3006" t="s">
        <v>6120</v>
      </c>
      <c r="J3006" t="str">
        <f>HYPERLINK("https://www.facebook.com/634639855377280/posts/776916321149632?comment_id=3083673978434478&amp;reply_comment_id=729517662577000","https://www.facebook.com/634639855377280/posts/776916321149632?comment_id=3083673978434478&amp;reply_comment_id=729517662577000")</f>
        <v>https://www.facebook.com/634639855377280/posts/776916321149632?comment_id=3083673978434478&amp;reply_comment_id=729517662577000</v>
      </c>
      <c r="K3006" t="s">
        <v>67</v>
      </c>
      <c r="O3006">
        <v>0</v>
      </c>
      <c r="P3006">
        <v>0</v>
      </c>
      <c r="Q3006">
        <v>0</v>
      </c>
      <c r="S3006">
        <v>0</v>
      </c>
      <c r="T3006">
        <v>0</v>
      </c>
      <c r="U3006">
        <v>0</v>
      </c>
      <c r="W3006" t="s">
        <v>52</v>
      </c>
    </row>
    <row r="3007" spans="1:23" x14ac:dyDescent="0.35">
      <c r="A3007" t="s">
        <v>45</v>
      </c>
      <c r="B3007" t="s">
        <v>6063</v>
      </c>
      <c r="C3007" t="s">
        <v>60</v>
      </c>
      <c r="D3007" t="s">
        <v>64</v>
      </c>
      <c r="E3007" t="s">
        <v>64</v>
      </c>
      <c r="F3007" t="s">
        <v>49</v>
      </c>
      <c r="G3007" t="s">
        <v>83</v>
      </c>
      <c r="H3007" t="s">
        <v>6121</v>
      </c>
      <c r="J3007" t="str">
        <f>HYPERLINK("https://www.facebook.com/634639855377280/posts/777516464422951?comment_id=374369078650559&amp;reply_comment_id=1453325555603640","https://www.facebook.com/634639855377280/posts/777516464422951?comment_id=374369078650559&amp;reply_comment_id=1453325555603640")</f>
        <v>https://www.facebook.com/634639855377280/posts/777516464422951?comment_id=374369078650559&amp;reply_comment_id=1453325555603640</v>
      </c>
      <c r="K3007" t="s">
        <v>67</v>
      </c>
      <c r="O3007">
        <v>0</v>
      </c>
      <c r="P3007">
        <v>0</v>
      </c>
      <c r="Q3007">
        <v>0</v>
      </c>
      <c r="S3007">
        <v>0</v>
      </c>
      <c r="T3007">
        <v>0</v>
      </c>
      <c r="U3007">
        <v>0</v>
      </c>
      <c r="W3007" t="s">
        <v>52</v>
      </c>
    </row>
    <row r="3008" spans="1:23" x14ac:dyDescent="0.35">
      <c r="A3008" t="s">
        <v>45</v>
      </c>
      <c r="B3008" t="s">
        <v>6063</v>
      </c>
      <c r="C3008" t="s">
        <v>60</v>
      </c>
      <c r="D3008" t="s">
        <v>64</v>
      </c>
      <c r="E3008" t="s">
        <v>64</v>
      </c>
      <c r="F3008" t="s">
        <v>49</v>
      </c>
      <c r="G3008" t="s">
        <v>83</v>
      </c>
      <c r="H3008" t="s">
        <v>6122</v>
      </c>
      <c r="J3008" t="str">
        <f>HYPERLINK("https://www.facebook.com/634639855377280/posts/774950251346239?comment_id=392608296491392&amp;reply_comment_id=785596780271954","https://www.facebook.com/634639855377280/posts/774950251346239?comment_id=392608296491392&amp;reply_comment_id=785596780271954")</f>
        <v>https://www.facebook.com/634639855377280/posts/774950251346239?comment_id=392608296491392&amp;reply_comment_id=785596780271954</v>
      </c>
      <c r="K3008" t="s">
        <v>67</v>
      </c>
      <c r="O3008">
        <v>0</v>
      </c>
      <c r="P3008">
        <v>0</v>
      </c>
      <c r="Q3008">
        <v>0</v>
      </c>
      <c r="S3008">
        <v>0</v>
      </c>
      <c r="T3008">
        <v>0</v>
      </c>
      <c r="U3008">
        <v>0</v>
      </c>
      <c r="W3008" t="s">
        <v>52</v>
      </c>
    </row>
    <row r="3009" spans="1:23" x14ac:dyDescent="0.35">
      <c r="A3009" t="s">
        <v>45</v>
      </c>
      <c r="B3009" t="s">
        <v>6063</v>
      </c>
      <c r="C3009" t="s">
        <v>60</v>
      </c>
      <c r="D3009" t="s">
        <v>64</v>
      </c>
      <c r="E3009" t="s">
        <v>64</v>
      </c>
      <c r="F3009" t="s">
        <v>49</v>
      </c>
      <c r="G3009" t="s">
        <v>3773</v>
      </c>
      <c r="H3009" t="s">
        <v>6123</v>
      </c>
      <c r="J3009" t="str">
        <f>HYPERLINK("https://www.facebook.com/634639855377280/posts/778305741010690?comment_id=25206885538955519&amp;reply_comment_id=862184902312564","https://www.facebook.com/634639855377280/posts/778305741010690?comment_id=25206885538955519&amp;reply_comment_id=862184902312564")</f>
        <v>https://www.facebook.com/634639855377280/posts/778305741010690?comment_id=25206885538955519&amp;reply_comment_id=862184902312564</v>
      </c>
      <c r="K3009" t="s">
        <v>67</v>
      </c>
      <c r="O3009">
        <v>0</v>
      </c>
      <c r="P3009">
        <v>0</v>
      </c>
      <c r="Q3009">
        <v>0</v>
      </c>
      <c r="S3009">
        <v>0</v>
      </c>
      <c r="T3009">
        <v>0</v>
      </c>
      <c r="U3009">
        <v>0</v>
      </c>
      <c r="W3009" t="s">
        <v>52</v>
      </c>
    </row>
    <row r="3010" spans="1:23" x14ac:dyDescent="0.35">
      <c r="A3010" t="s">
        <v>45</v>
      </c>
      <c r="B3010" t="s">
        <v>6063</v>
      </c>
      <c r="C3010" t="s">
        <v>93</v>
      </c>
      <c r="D3010" t="s">
        <v>94</v>
      </c>
      <c r="E3010" t="s">
        <v>45</v>
      </c>
      <c r="F3010" t="s">
        <v>49</v>
      </c>
      <c r="G3010" t="s">
        <v>6124</v>
      </c>
      <c r="H3010" t="s">
        <v>6125</v>
      </c>
      <c r="J3010" t="str">
        <f>HYPERLINK("https://twitter.com/SpiceMoneyIndia/status/1750132007080722495","https://twitter.com/SpiceMoneyIndia/status/1750132007080722495")</f>
        <v>https://twitter.com/SpiceMoneyIndia/status/1750132007080722495</v>
      </c>
      <c r="K3010" t="s">
        <v>67</v>
      </c>
      <c r="O3010">
        <v>0</v>
      </c>
      <c r="P3010">
        <v>0</v>
      </c>
      <c r="Q3010">
        <v>6001</v>
      </c>
      <c r="R3010" t="s">
        <v>97</v>
      </c>
      <c r="S3010">
        <v>0</v>
      </c>
      <c r="T3010">
        <v>0</v>
      </c>
      <c r="U3010">
        <v>0</v>
      </c>
      <c r="V3010" t="s">
        <v>98</v>
      </c>
      <c r="W3010" t="s">
        <v>99</v>
      </c>
    </row>
    <row r="3011" spans="1:23" x14ac:dyDescent="0.35">
      <c r="A3011" t="s">
        <v>45</v>
      </c>
      <c r="B3011" t="s">
        <v>6063</v>
      </c>
      <c r="C3011" t="s">
        <v>60</v>
      </c>
      <c r="D3011" t="s">
        <v>64</v>
      </c>
      <c r="E3011" t="s">
        <v>64</v>
      </c>
      <c r="F3011" t="s">
        <v>49</v>
      </c>
      <c r="G3011" t="s">
        <v>6126</v>
      </c>
      <c r="H3011" t="s">
        <v>6127</v>
      </c>
      <c r="J3011" t="str">
        <f>HYPERLINK("https://www.facebook.com/634639855377280/posts/774950251346239?comment_id=373476665318470&amp;reply_comment_id=905970984174813","https://www.facebook.com/634639855377280/posts/774950251346239?comment_id=373476665318470&amp;reply_comment_id=905970984174813")</f>
        <v>https://www.facebook.com/634639855377280/posts/774950251346239?comment_id=373476665318470&amp;reply_comment_id=905970984174813</v>
      </c>
      <c r="K3011" t="s">
        <v>67</v>
      </c>
      <c r="O3011">
        <v>0</v>
      </c>
      <c r="P3011">
        <v>0</v>
      </c>
      <c r="Q3011">
        <v>0</v>
      </c>
      <c r="S3011">
        <v>0</v>
      </c>
      <c r="T3011">
        <v>0</v>
      </c>
      <c r="U3011">
        <v>0</v>
      </c>
      <c r="W3011" t="s">
        <v>52</v>
      </c>
    </row>
    <row r="3012" spans="1:23" x14ac:dyDescent="0.35">
      <c r="A3012" t="s">
        <v>45</v>
      </c>
      <c r="B3012" t="s">
        <v>6063</v>
      </c>
      <c r="C3012" t="s">
        <v>93</v>
      </c>
      <c r="D3012" t="s">
        <v>5225</v>
      </c>
      <c r="E3012" t="s">
        <v>5226</v>
      </c>
      <c r="F3012" t="s">
        <v>49</v>
      </c>
      <c r="G3012" t="s">
        <v>6128</v>
      </c>
      <c r="H3012" t="s">
        <v>6129</v>
      </c>
      <c r="J3012" t="str">
        <f>HYPERLINK("https://twitter.com/CPLODHII/status/1750128309139362266","https://twitter.com/CPLODHII/status/1750128309139362266")</f>
        <v>https://twitter.com/CPLODHII/status/1750128309139362266</v>
      </c>
      <c r="O3012">
        <v>0</v>
      </c>
      <c r="P3012">
        <v>0</v>
      </c>
      <c r="Q3012">
        <v>256</v>
      </c>
      <c r="R3012" t="s">
        <v>5229</v>
      </c>
      <c r="S3012">
        <v>0</v>
      </c>
      <c r="T3012">
        <v>0</v>
      </c>
      <c r="U3012">
        <v>0</v>
      </c>
      <c r="W3012" t="s">
        <v>99</v>
      </c>
    </row>
    <row r="3013" spans="1:23" x14ac:dyDescent="0.35">
      <c r="A3013" t="s">
        <v>45</v>
      </c>
      <c r="B3013" t="s">
        <v>6063</v>
      </c>
      <c r="C3013" t="s">
        <v>60</v>
      </c>
      <c r="D3013" t="s">
        <v>64</v>
      </c>
      <c r="E3013" t="s">
        <v>64</v>
      </c>
      <c r="F3013" t="s">
        <v>49</v>
      </c>
      <c r="G3013" t="s">
        <v>162</v>
      </c>
      <c r="H3013" t="s">
        <v>6130</v>
      </c>
      <c r="J3013" t="str">
        <f>HYPERLINK("https://www.facebook.com/634639855377280/posts/778114767696454?comment_id=310493028659156&amp;reply_comment_id=920201129722555","https://www.facebook.com/634639855377280/posts/778114767696454?comment_id=310493028659156&amp;reply_comment_id=920201129722555")</f>
        <v>https://www.facebook.com/634639855377280/posts/778114767696454?comment_id=310493028659156&amp;reply_comment_id=920201129722555</v>
      </c>
      <c r="K3013" t="s">
        <v>67</v>
      </c>
      <c r="O3013">
        <v>0</v>
      </c>
      <c r="P3013">
        <v>0</v>
      </c>
      <c r="Q3013">
        <v>0</v>
      </c>
      <c r="S3013">
        <v>0</v>
      </c>
      <c r="T3013">
        <v>0</v>
      </c>
      <c r="U3013">
        <v>0</v>
      </c>
      <c r="W3013" t="s">
        <v>52</v>
      </c>
    </row>
    <row r="3014" spans="1:23" x14ac:dyDescent="0.35">
      <c r="A3014" t="s">
        <v>45</v>
      </c>
      <c r="B3014" t="s">
        <v>6063</v>
      </c>
      <c r="C3014" t="s">
        <v>93</v>
      </c>
      <c r="D3014" t="s">
        <v>94</v>
      </c>
      <c r="E3014" t="s">
        <v>45</v>
      </c>
      <c r="F3014" t="s">
        <v>49</v>
      </c>
      <c r="G3014" t="s">
        <v>6131</v>
      </c>
      <c r="H3014" t="s">
        <v>6132</v>
      </c>
      <c r="J3014" t="str">
        <f>HYPERLINK("https://twitter.com/SpiceMoneyIndia/status/1750123833770582178","https://twitter.com/SpiceMoneyIndia/status/1750123833770582178")</f>
        <v>https://twitter.com/SpiceMoneyIndia/status/1750123833770582178</v>
      </c>
      <c r="K3014" t="s">
        <v>67</v>
      </c>
      <c r="O3014">
        <v>0</v>
      </c>
      <c r="P3014">
        <v>0</v>
      </c>
      <c r="Q3014">
        <v>6001</v>
      </c>
      <c r="R3014" t="s">
        <v>97</v>
      </c>
      <c r="S3014">
        <v>0</v>
      </c>
      <c r="T3014">
        <v>0</v>
      </c>
      <c r="U3014">
        <v>0</v>
      </c>
      <c r="V3014" t="s">
        <v>98</v>
      </c>
      <c r="W3014" t="s">
        <v>99</v>
      </c>
    </row>
    <row r="3015" spans="1:23" x14ac:dyDescent="0.35">
      <c r="A3015" t="s">
        <v>45</v>
      </c>
      <c r="B3015" t="s">
        <v>6063</v>
      </c>
      <c r="C3015" t="s">
        <v>60</v>
      </c>
      <c r="D3015" t="s">
        <v>61</v>
      </c>
      <c r="E3015" t="s">
        <v>61</v>
      </c>
      <c r="F3015" t="s">
        <v>49</v>
      </c>
      <c r="G3015" t="s">
        <v>6133</v>
      </c>
      <c r="H3015" t="s">
        <v>6134</v>
      </c>
      <c r="J3015" t="str">
        <f>HYPERLINK("https://www.facebook.com/634639855377280/posts/778305741010690?comment_id=25206885538955519","https://www.facebook.com/634639855377280/posts/778305741010690?comment_id=25206885538955519")</f>
        <v>https://www.facebook.com/634639855377280/posts/778305741010690?comment_id=25206885538955519</v>
      </c>
      <c r="O3015">
        <v>0</v>
      </c>
      <c r="P3015">
        <v>0</v>
      </c>
      <c r="Q3015">
        <v>0</v>
      </c>
      <c r="S3015">
        <v>0</v>
      </c>
      <c r="T3015">
        <v>0</v>
      </c>
      <c r="U3015">
        <v>0</v>
      </c>
      <c r="W3015" t="s">
        <v>52</v>
      </c>
    </row>
    <row r="3016" spans="1:23" x14ac:dyDescent="0.35">
      <c r="A3016" t="s">
        <v>45</v>
      </c>
      <c r="B3016" t="s">
        <v>6063</v>
      </c>
      <c r="C3016" t="s">
        <v>93</v>
      </c>
      <c r="D3016" t="s">
        <v>94</v>
      </c>
      <c r="E3016" t="s">
        <v>45</v>
      </c>
      <c r="F3016" t="s">
        <v>49</v>
      </c>
      <c r="G3016" t="s">
        <v>6135</v>
      </c>
      <c r="H3016" t="s">
        <v>6136</v>
      </c>
      <c r="J3016" t="str">
        <f>HYPERLINK("https://twitter.com/SpiceMoneyIndia/status/1750111254444724423","https://twitter.com/SpiceMoneyIndia/status/1750111254444724423")</f>
        <v>https://twitter.com/SpiceMoneyIndia/status/1750111254444724423</v>
      </c>
      <c r="K3016" t="s">
        <v>67</v>
      </c>
      <c r="O3016">
        <v>0</v>
      </c>
      <c r="P3016">
        <v>0</v>
      </c>
      <c r="Q3016">
        <v>6000</v>
      </c>
      <c r="R3016" t="s">
        <v>97</v>
      </c>
      <c r="S3016">
        <v>0</v>
      </c>
      <c r="T3016">
        <v>0</v>
      </c>
      <c r="U3016">
        <v>0</v>
      </c>
      <c r="V3016" t="s">
        <v>98</v>
      </c>
      <c r="W3016" t="s">
        <v>99</v>
      </c>
    </row>
    <row r="3017" spans="1:23" x14ac:dyDescent="0.35">
      <c r="A3017" t="s">
        <v>45</v>
      </c>
      <c r="B3017" t="s">
        <v>6063</v>
      </c>
      <c r="C3017" t="s">
        <v>93</v>
      </c>
      <c r="D3017" t="s">
        <v>94</v>
      </c>
      <c r="E3017" t="s">
        <v>45</v>
      </c>
      <c r="F3017" t="s">
        <v>49</v>
      </c>
      <c r="G3017" t="s">
        <v>6137</v>
      </c>
      <c r="H3017" t="s">
        <v>6138</v>
      </c>
      <c r="J3017" t="str">
        <f>HYPERLINK("https://twitter.com/SpiceMoneyIndia/status/1750111225151983798","https://twitter.com/SpiceMoneyIndia/status/1750111225151983798")</f>
        <v>https://twitter.com/SpiceMoneyIndia/status/1750111225151983798</v>
      </c>
      <c r="K3017" t="s">
        <v>67</v>
      </c>
      <c r="O3017">
        <v>0</v>
      </c>
      <c r="P3017">
        <v>0</v>
      </c>
      <c r="Q3017">
        <v>6000</v>
      </c>
      <c r="R3017" t="s">
        <v>97</v>
      </c>
      <c r="S3017">
        <v>0</v>
      </c>
      <c r="T3017">
        <v>0</v>
      </c>
      <c r="U3017">
        <v>0</v>
      </c>
      <c r="V3017" t="s">
        <v>98</v>
      </c>
      <c r="W3017" t="s">
        <v>99</v>
      </c>
    </row>
    <row r="3018" spans="1:23" x14ac:dyDescent="0.35">
      <c r="A3018" t="s">
        <v>45</v>
      </c>
      <c r="B3018" t="s">
        <v>6063</v>
      </c>
      <c r="C3018" t="s">
        <v>60</v>
      </c>
      <c r="D3018" t="s">
        <v>64</v>
      </c>
      <c r="E3018" t="s">
        <v>64</v>
      </c>
      <c r="F3018" t="s">
        <v>49</v>
      </c>
      <c r="G3018" t="s">
        <v>6139</v>
      </c>
      <c r="H3018" t="s">
        <v>6140</v>
      </c>
      <c r="J3018" t="str">
        <f>HYPERLINK("https://www.facebook.com/634639855377280/posts/778305741010690","https://www.facebook.com/634639855377280/posts/778305741010690")</f>
        <v>https://www.facebook.com/634639855377280/posts/778305741010690</v>
      </c>
      <c r="O3018">
        <v>0</v>
      </c>
      <c r="P3018">
        <v>0</v>
      </c>
      <c r="Q3018">
        <v>0</v>
      </c>
      <c r="S3018">
        <v>4</v>
      </c>
      <c r="T3018">
        <v>52</v>
      </c>
      <c r="U3018">
        <v>3</v>
      </c>
      <c r="W3018" t="s">
        <v>346</v>
      </c>
    </row>
    <row r="3019" spans="1:23" x14ac:dyDescent="0.35">
      <c r="A3019" t="s">
        <v>45</v>
      </c>
      <c r="B3019" t="s">
        <v>6063</v>
      </c>
      <c r="C3019" t="s">
        <v>93</v>
      </c>
      <c r="D3019" t="s">
        <v>94</v>
      </c>
      <c r="E3019" t="s">
        <v>45</v>
      </c>
      <c r="F3019" t="s">
        <v>49</v>
      </c>
      <c r="G3019" t="s">
        <v>6141</v>
      </c>
      <c r="H3019" t="s">
        <v>6142</v>
      </c>
      <c r="J3019" t="str">
        <f>HYPERLINK("https://twitter.com/SpiceMoneyIndia/status/1750110022661484680","https://twitter.com/SpiceMoneyIndia/status/1750110022661484680")</f>
        <v>https://twitter.com/SpiceMoneyIndia/status/1750110022661484680</v>
      </c>
      <c r="K3019" t="s">
        <v>67</v>
      </c>
      <c r="O3019">
        <v>0</v>
      </c>
      <c r="P3019">
        <v>0</v>
      </c>
      <c r="Q3019">
        <v>6000</v>
      </c>
      <c r="R3019" t="s">
        <v>97</v>
      </c>
      <c r="S3019">
        <v>0</v>
      </c>
      <c r="T3019">
        <v>0</v>
      </c>
      <c r="U3019">
        <v>0</v>
      </c>
      <c r="V3019" t="s">
        <v>98</v>
      </c>
      <c r="W3019" t="s">
        <v>99</v>
      </c>
    </row>
    <row r="3020" spans="1:23" x14ac:dyDescent="0.35">
      <c r="A3020" t="s">
        <v>45</v>
      </c>
      <c r="B3020" t="s">
        <v>6063</v>
      </c>
      <c r="C3020" t="s">
        <v>93</v>
      </c>
      <c r="D3020" t="s">
        <v>6143</v>
      </c>
      <c r="E3020" t="s">
        <v>6144</v>
      </c>
      <c r="F3020" t="s">
        <v>49</v>
      </c>
      <c r="G3020" t="s">
        <v>6145</v>
      </c>
      <c r="H3020" t="s">
        <v>6146</v>
      </c>
      <c r="J3020" t="str">
        <f>HYPERLINK("https://twitter.com/ravipratatpsing/status/1750105544902545886","https://twitter.com/ravipratatpsing/status/1750105544902545886")</f>
        <v>https://twitter.com/ravipratatpsing/status/1750105544902545886</v>
      </c>
      <c r="K3020" t="s">
        <v>67</v>
      </c>
      <c r="O3020">
        <v>0</v>
      </c>
      <c r="P3020">
        <v>0</v>
      </c>
      <c r="Q3020">
        <v>30</v>
      </c>
      <c r="R3020" t="s">
        <v>6147</v>
      </c>
      <c r="S3020">
        <v>0</v>
      </c>
      <c r="T3020">
        <v>0</v>
      </c>
      <c r="U3020">
        <v>0</v>
      </c>
      <c r="W3020" t="s">
        <v>99</v>
      </c>
    </row>
    <row r="3021" spans="1:23" x14ac:dyDescent="0.35">
      <c r="A3021" t="s">
        <v>45</v>
      </c>
      <c r="B3021" t="s">
        <v>6063</v>
      </c>
      <c r="C3021" t="s">
        <v>60</v>
      </c>
      <c r="D3021" t="s">
        <v>61</v>
      </c>
      <c r="E3021" t="s">
        <v>61</v>
      </c>
      <c r="F3021" t="s">
        <v>54</v>
      </c>
      <c r="G3021" t="s">
        <v>6148</v>
      </c>
      <c r="H3021" t="s">
        <v>6149</v>
      </c>
      <c r="J3021" t="str">
        <f>HYPERLINK("https://www.facebook.com/634639855377280/posts/778114767696454?comment_id=310493028659156","https://www.facebook.com/634639855377280/posts/778114767696454?comment_id=310493028659156")</f>
        <v>https://www.facebook.com/634639855377280/posts/778114767696454?comment_id=310493028659156</v>
      </c>
      <c r="O3021">
        <v>0</v>
      </c>
      <c r="P3021">
        <v>0</v>
      </c>
      <c r="Q3021">
        <v>0</v>
      </c>
      <c r="S3021">
        <v>0</v>
      </c>
      <c r="T3021">
        <v>0</v>
      </c>
      <c r="U3021">
        <v>0</v>
      </c>
      <c r="W3021" t="s">
        <v>52</v>
      </c>
    </row>
    <row r="3022" spans="1:23" x14ac:dyDescent="0.35">
      <c r="A3022" t="s">
        <v>45</v>
      </c>
      <c r="B3022" t="s">
        <v>6063</v>
      </c>
      <c r="C3022" t="s">
        <v>93</v>
      </c>
      <c r="D3022" t="s">
        <v>94</v>
      </c>
      <c r="E3022" t="s">
        <v>45</v>
      </c>
      <c r="F3022" t="s">
        <v>49</v>
      </c>
      <c r="G3022" t="s">
        <v>4187</v>
      </c>
      <c r="H3022" t="s">
        <v>6150</v>
      </c>
      <c r="J3022" t="str">
        <f>HYPERLINK("https://twitter.com/SpiceMoneyIndia/status/1750103712427864396","https://twitter.com/SpiceMoneyIndia/status/1750103712427864396")</f>
        <v>https://twitter.com/SpiceMoneyIndia/status/1750103712427864396</v>
      </c>
      <c r="K3022" t="s">
        <v>67</v>
      </c>
      <c r="O3022">
        <v>0</v>
      </c>
      <c r="P3022">
        <v>0</v>
      </c>
      <c r="Q3022">
        <v>6000</v>
      </c>
      <c r="R3022" t="s">
        <v>97</v>
      </c>
      <c r="S3022">
        <v>0</v>
      </c>
      <c r="T3022">
        <v>0</v>
      </c>
      <c r="U3022">
        <v>0</v>
      </c>
      <c r="V3022" t="s">
        <v>98</v>
      </c>
      <c r="W3022" t="s">
        <v>99</v>
      </c>
    </row>
    <row r="3023" spans="1:23" x14ac:dyDescent="0.35">
      <c r="A3023" t="s">
        <v>45</v>
      </c>
      <c r="B3023" t="s">
        <v>6063</v>
      </c>
      <c r="C3023" t="s">
        <v>93</v>
      </c>
      <c r="D3023" t="s">
        <v>94</v>
      </c>
      <c r="E3023" t="s">
        <v>45</v>
      </c>
      <c r="F3023" t="s">
        <v>49</v>
      </c>
      <c r="G3023" t="s">
        <v>6151</v>
      </c>
      <c r="H3023" t="s">
        <v>6152</v>
      </c>
      <c r="J3023" t="str">
        <f>HYPERLINK("https://twitter.com/SpiceMoneyIndia/status/1750103458647265716","https://twitter.com/SpiceMoneyIndia/status/1750103458647265716")</f>
        <v>https://twitter.com/SpiceMoneyIndia/status/1750103458647265716</v>
      </c>
      <c r="K3023" t="s">
        <v>67</v>
      </c>
      <c r="O3023">
        <v>0</v>
      </c>
      <c r="P3023">
        <v>0</v>
      </c>
      <c r="Q3023">
        <v>6000</v>
      </c>
      <c r="R3023" t="s">
        <v>97</v>
      </c>
      <c r="S3023">
        <v>0</v>
      </c>
      <c r="T3023">
        <v>0</v>
      </c>
      <c r="U3023">
        <v>0</v>
      </c>
      <c r="V3023" t="s">
        <v>98</v>
      </c>
      <c r="W3023" t="s">
        <v>99</v>
      </c>
    </row>
    <row r="3024" spans="1:23" x14ac:dyDescent="0.35">
      <c r="A3024" t="s">
        <v>45</v>
      </c>
      <c r="B3024" t="s">
        <v>6063</v>
      </c>
      <c r="C3024" t="s">
        <v>93</v>
      </c>
      <c r="D3024" t="s">
        <v>94</v>
      </c>
      <c r="E3024" t="s">
        <v>45</v>
      </c>
      <c r="F3024" t="s">
        <v>49</v>
      </c>
      <c r="G3024" t="s">
        <v>6153</v>
      </c>
      <c r="H3024" t="s">
        <v>6154</v>
      </c>
      <c r="J3024" t="str">
        <f>HYPERLINK("https://twitter.com/SpiceMoneyIndia/status/1750103204585746879","https://twitter.com/SpiceMoneyIndia/status/1750103204585746879")</f>
        <v>https://twitter.com/SpiceMoneyIndia/status/1750103204585746879</v>
      </c>
      <c r="K3024" t="s">
        <v>67</v>
      </c>
      <c r="O3024">
        <v>0</v>
      </c>
      <c r="P3024">
        <v>0</v>
      </c>
      <c r="Q3024">
        <v>6000</v>
      </c>
      <c r="R3024" t="s">
        <v>97</v>
      </c>
      <c r="S3024">
        <v>0</v>
      </c>
      <c r="T3024">
        <v>0</v>
      </c>
      <c r="U3024">
        <v>0</v>
      </c>
      <c r="V3024" t="s">
        <v>98</v>
      </c>
      <c r="W3024" t="s">
        <v>99</v>
      </c>
    </row>
    <row r="3025" spans="1:23" x14ac:dyDescent="0.35">
      <c r="A3025" t="s">
        <v>45</v>
      </c>
      <c r="B3025" t="s">
        <v>6063</v>
      </c>
      <c r="C3025" t="s">
        <v>47</v>
      </c>
      <c r="D3025" t="s">
        <v>6155</v>
      </c>
      <c r="E3025" t="s">
        <v>6155</v>
      </c>
      <c r="F3025" t="s">
        <v>49</v>
      </c>
      <c r="G3025" t="s">
        <v>6156</v>
      </c>
      <c r="H3025" t="s">
        <v>6157</v>
      </c>
      <c r="J3025" t="str">
        <f>HYPERLINK("https://www.youtube.com/watch?v=E51cuHAXSFs","https://www.youtube.com/watch?v=E51cuHAXSFs")</f>
        <v>https://www.youtube.com/watch?v=E51cuHAXSFs</v>
      </c>
      <c r="O3025">
        <v>0</v>
      </c>
      <c r="P3025">
        <v>0</v>
      </c>
      <c r="Q3025">
        <v>0</v>
      </c>
      <c r="S3025">
        <v>0</v>
      </c>
      <c r="T3025">
        <v>0</v>
      </c>
      <c r="U3025">
        <v>0</v>
      </c>
      <c r="W3025" t="s">
        <v>346</v>
      </c>
    </row>
    <row r="3026" spans="1:23" x14ac:dyDescent="0.35">
      <c r="A3026" t="s">
        <v>45</v>
      </c>
      <c r="B3026" t="s">
        <v>6063</v>
      </c>
      <c r="C3026" t="s">
        <v>47</v>
      </c>
      <c r="D3026" t="s">
        <v>68</v>
      </c>
      <c r="E3026" t="s">
        <v>68</v>
      </c>
      <c r="F3026" t="s">
        <v>49</v>
      </c>
      <c r="G3026" t="s">
        <v>162</v>
      </c>
      <c r="H3026" t="s">
        <v>6158</v>
      </c>
      <c r="J3026" t="str">
        <f>HYPERLINK("https://www.youtube.com/watch?v=k4Jk2Nl60tE&amp;lc=UgyyFa9dif55RcKuFrZ4AaABAg.9zu35pKOtNP9zxBlLO5pgs","https://www.youtube.com/watch?v=k4Jk2Nl60tE&amp;lc=UgyyFa9dif55RcKuFrZ4AaABAg.9zu35pKOtNP9zxBlLO5pgs")</f>
        <v>https://www.youtube.com/watch?v=k4Jk2Nl60tE&amp;lc=UgyyFa9dif55RcKuFrZ4AaABAg.9zu35pKOtNP9zxBlLO5pgs</v>
      </c>
      <c r="O3026">
        <v>0</v>
      </c>
      <c r="P3026">
        <v>0</v>
      </c>
      <c r="Q3026">
        <v>0</v>
      </c>
      <c r="S3026">
        <v>0</v>
      </c>
      <c r="T3026">
        <v>0</v>
      </c>
      <c r="U3026">
        <v>0</v>
      </c>
      <c r="W3026" t="s">
        <v>52</v>
      </c>
    </row>
    <row r="3027" spans="1:23" x14ac:dyDescent="0.35">
      <c r="A3027" t="s">
        <v>45</v>
      </c>
      <c r="B3027" t="s">
        <v>6063</v>
      </c>
      <c r="C3027" t="s">
        <v>47</v>
      </c>
      <c r="D3027" t="s">
        <v>68</v>
      </c>
      <c r="E3027" t="s">
        <v>68</v>
      </c>
      <c r="F3027" t="s">
        <v>49</v>
      </c>
      <c r="G3027" t="s">
        <v>102</v>
      </c>
      <c r="H3027" t="s">
        <v>6159</v>
      </c>
      <c r="J3027" t="str">
        <f>HYPERLINK("https://www.youtube.com/watch?v=k4Jk2Nl60tE&amp;lc=UgyMDbVtRNbWcnqJhkZ4AaABAg.9zu2jToryjS9zxBfHtybMe","https://www.youtube.com/watch?v=k4Jk2Nl60tE&amp;lc=UgyMDbVtRNbWcnqJhkZ4AaABAg.9zu2jToryjS9zxBfHtybMe")</f>
        <v>https://www.youtube.com/watch?v=k4Jk2Nl60tE&amp;lc=UgyMDbVtRNbWcnqJhkZ4AaABAg.9zu2jToryjS9zxBfHtybMe</v>
      </c>
      <c r="O3027">
        <v>0</v>
      </c>
      <c r="P3027">
        <v>0</v>
      </c>
      <c r="Q3027">
        <v>0</v>
      </c>
      <c r="S3027">
        <v>0</v>
      </c>
      <c r="T3027">
        <v>0</v>
      </c>
      <c r="U3027">
        <v>0</v>
      </c>
      <c r="W3027" t="s">
        <v>52</v>
      </c>
    </row>
    <row r="3028" spans="1:23" x14ac:dyDescent="0.35">
      <c r="A3028" t="s">
        <v>45</v>
      </c>
      <c r="B3028" t="s">
        <v>6063</v>
      </c>
      <c r="C3028" t="s">
        <v>47</v>
      </c>
      <c r="D3028" t="s">
        <v>68</v>
      </c>
      <c r="E3028" t="s">
        <v>68</v>
      </c>
      <c r="F3028" t="s">
        <v>49</v>
      </c>
      <c r="G3028" t="s">
        <v>102</v>
      </c>
      <c r="H3028" t="s">
        <v>6160</v>
      </c>
      <c r="J3028" t="str">
        <f>HYPERLINK("https://www.youtube.com/watch?v=k4Jk2Nl60tE&amp;lc=Ugw3mqhYOqun4pAZtMd4AaABAg.9zu-kWaDn9M9zxBV4bWiiy","https://www.youtube.com/watch?v=k4Jk2Nl60tE&amp;lc=Ugw3mqhYOqun4pAZtMd4AaABAg.9zu-kWaDn9M9zxBV4bWiiy")</f>
        <v>https://www.youtube.com/watch?v=k4Jk2Nl60tE&amp;lc=Ugw3mqhYOqun4pAZtMd4AaABAg.9zu-kWaDn9M9zxBV4bWiiy</v>
      </c>
      <c r="O3028">
        <v>0</v>
      </c>
      <c r="P3028">
        <v>0</v>
      </c>
      <c r="Q3028">
        <v>0</v>
      </c>
      <c r="S3028">
        <v>0</v>
      </c>
      <c r="T3028">
        <v>0</v>
      </c>
      <c r="U3028">
        <v>0</v>
      </c>
      <c r="W3028" t="s">
        <v>52</v>
      </c>
    </row>
    <row r="3029" spans="1:23" x14ac:dyDescent="0.35">
      <c r="A3029" t="s">
        <v>45</v>
      </c>
      <c r="B3029" t="s">
        <v>6063</v>
      </c>
      <c r="C3029" t="s">
        <v>47</v>
      </c>
      <c r="D3029" t="s">
        <v>68</v>
      </c>
      <c r="E3029" t="s">
        <v>68</v>
      </c>
      <c r="F3029" t="s">
        <v>49</v>
      </c>
      <c r="G3029" t="s">
        <v>162</v>
      </c>
      <c r="H3029" t="s">
        <v>6161</v>
      </c>
      <c r="J3029" t="str">
        <f>HYPERLINK("https://www.youtube.com/watch?v=k4Jk2Nl60tE&amp;lc=Ugx2cimyU5NsVeH7RRd4AaABAg.9zu-tTtEXc59zxBF06YXPN","https://www.youtube.com/watch?v=k4Jk2Nl60tE&amp;lc=Ugx2cimyU5NsVeH7RRd4AaABAg.9zu-tTtEXc59zxBF06YXPN")</f>
        <v>https://www.youtube.com/watch?v=k4Jk2Nl60tE&amp;lc=Ugx2cimyU5NsVeH7RRd4AaABAg.9zu-tTtEXc59zxBF06YXPN</v>
      </c>
      <c r="O3029">
        <v>0</v>
      </c>
      <c r="P3029">
        <v>0</v>
      </c>
      <c r="Q3029">
        <v>0</v>
      </c>
      <c r="S3029">
        <v>0</v>
      </c>
      <c r="T3029">
        <v>0</v>
      </c>
      <c r="U3029">
        <v>0</v>
      </c>
      <c r="W3029" t="s">
        <v>52</v>
      </c>
    </row>
    <row r="3030" spans="1:23" x14ac:dyDescent="0.35">
      <c r="A3030" t="s">
        <v>45</v>
      </c>
      <c r="B3030" t="s">
        <v>6063</v>
      </c>
      <c r="C3030" t="s">
        <v>47</v>
      </c>
      <c r="D3030" t="s">
        <v>68</v>
      </c>
      <c r="E3030" t="s">
        <v>68</v>
      </c>
      <c r="F3030" t="s">
        <v>49</v>
      </c>
      <c r="G3030" t="s">
        <v>6162</v>
      </c>
      <c r="H3030" t="s">
        <v>6163</v>
      </c>
      <c r="J3030" t="str">
        <f>HYPERLINK("https://www.youtube.com/watch?v=k4Jk2Nl60tE&amp;lc=UgwHhXVmWTtTeUnsywV4AaABAg.9zu-p24EvaV9zxB0Vzy6OH","https://www.youtube.com/watch?v=k4Jk2Nl60tE&amp;lc=UgwHhXVmWTtTeUnsywV4AaABAg.9zu-p24EvaV9zxB0Vzy6OH")</f>
        <v>https://www.youtube.com/watch?v=k4Jk2Nl60tE&amp;lc=UgwHhXVmWTtTeUnsywV4AaABAg.9zu-p24EvaV9zxB0Vzy6OH</v>
      </c>
      <c r="O3030">
        <v>0</v>
      </c>
      <c r="P3030">
        <v>0</v>
      </c>
      <c r="Q3030">
        <v>0</v>
      </c>
      <c r="S3030">
        <v>0</v>
      </c>
      <c r="T3030">
        <v>0</v>
      </c>
      <c r="U3030">
        <v>0</v>
      </c>
      <c r="W3030" t="s">
        <v>52</v>
      </c>
    </row>
    <row r="3031" spans="1:23" x14ac:dyDescent="0.35">
      <c r="A3031" t="s">
        <v>45</v>
      </c>
      <c r="B3031" t="s">
        <v>6063</v>
      </c>
      <c r="C3031" t="s">
        <v>93</v>
      </c>
      <c r="D3031" t="s">
        <v>6164</v>
      </c>
      <c r="E3031" t="s">
        <v>6165</v>
      </c>
      <c r="F3031" t="s">
        <v>49</v>
      </c>
      <c r="G3031" t="s">
        <v>6166</v>
      </c>
      <c r="H3031" t="s">
        <v>6167</v>
      </c>
      <c r="J3031" t="str">
        <f>HYPERLINK("https://twitter.com/maithilbabulal/status/1750099311185297613","https://twitter.com/maithilbabulal/status/1750099311185297613")</f>
        <v>https://twitter.com/maithilbabulal/status/1750099311185297613</v>
      </c>
      <c r="O3031">
        <v>0</v>
      </c>
      <c r="P3031">
        <v>0</v>
      </c>
      <c r="Q3031">
        <v>49</v>
      </c>
      <c r="R3031" t="s">
        <v>6168</v>
      </c>
      <c r="S3031">
        <v>0</v>
      </c>
      <c r="T3031">
        <v>0</v>
      </c>
      <c r="U3031">
        <v>0</v>
      </c>
      <c r="W3031" t="s">
        <v>99</v>
      </c>
    </row>
    <row r="3032" spans="1:23" x14ac:dyDescent="0.35">
      <c r="A3032" t="s">
        <v>45</v>
      </c>
      <c r="B3032" t="s">
        <v>6063</v>
      </c>
      <c r="C3032" t="s">
        <v>47</v>
      </c>
      <c r="D3032" t="s">
        <v>68</v>
      </c>
      <c r="E3032" t="s">
        <v>68</v>
      </c>
      <c r="F3032" t="s">
        <v>49</v>
      </c>
      <c r="G3032" t="s">
        <v>102</v>
      </c>
      <c r="H3032" t="s">
        <v>6169</v>
      </c>
      <c r="J3032" t="str">
        <f>HYPERLINK("https://www.youtube.com/watch?v=ySy-ogKu0Pk&amp;lc=Ugw5bHqT7P4S6WLV1i54AaABAg.9zuOWBwW3JB9zxATWIGhxV","https://www.youtube.com/watch?v=ySy-ogKu0Pk&amp;lc=Ugw5bHqT7P4S6WLV1i54AaABAg.9zuOWBwW3JB9zxATWIGhxV")</f>
        <v>https://www.youtube.com/watch?v=ySy-ogKu0Pk&amp;lc=Ugw5bHqT7P4S6WLV1i54AaABAg.9zuOWBwW3JB9zxATWIGhxV</v>
      </c>
      <c r="O3032">
        <v>0</v>
      </c>
      <c r="P3032">
        <v>0</v>
      </c>
      <c r="Q3032">
        <v>0</v>
      </c>
      <c r="S3032">
        <v>0</v>
      </c>
      <c r="T3032">
        <v>0</v>
      </c>
      <c r="U3032">
        <v>0</v>
      </c>
      <c r="W3032" t="s">
        <v>52</v>
      </c>
    </row>
    <row r="3033" spans="1:23" x14ac:dyDescent="0.35">
      <c r="A3033" t="s">
        <v>45</v>
      </c>
      <c r="B3033" t="s">
        <v>6063</v>
      </c>
      <c r="C3033" t="s">
        <v>93</v>
      </c>
      <c r="D3033" t="s">
        <v>94</v>
      </c>
      <c r="E3033" t="s">
        <v>45</v>
      </c>
      <c r="F3033" t="s">
        <v>49</v>
      </c>
      <c r="G3033" t="s">
        <v>5219</v>
      </c>
      <c r="H3033" t="s">
        <v>6170</v>
      </c>
      <c r="J3033" t="str">
        <f>HYPERLINK("https://twitter.com/SpiceMoneyIndia/status/1750098356880408810","https://twitter.com/SpiceMoneyIndia/status/1750098356880408810")</f>
        <v>https://twitter.com/SpiceMoneyIndia/status/1750098356880408810</v>
      </c>
      <c r="K3033" t="s">
        <v>67</v>
      </c>
      <c r="O3033">
        <v>0</v>
      </c>
      <c r="P3033">
        <v>0</v>
      </c>
      <c r="Q3033">
        <v>6000</v>
      </c>
      <c r="R3033" t="s">
        <v>97</v>
      </c>
      <c r="S3033">
        <v>0</v>
      </c>
      <c r="T3033">
        <v>0</v>
      </c>
      <c r="U3033">
        <v>0</v>
      </c>
      <c r="V3033" t="s">
        <v>98</v>
      </c>
      <c r="W3033" t="s">
        <v>99</v>
      </c>
    </row>
    <row r="3034" spans="1:23" x14ac:dyDescent="0.35">
      <c r="A3034" t="s">
        <v>45</v>
      </c>
      <c r="B3034" t="s">
        <v>6063</v>
      </c>
      <c r="C3034" t="s">
        <v>47</v>
      </c>
      <c r="D3034" t="s">
        <v>68</v>
      </c>
      <c r="E3034" t="s">
        <v>68</v>
      </c>
      <c r="F3034" t="s">
        <v>49</v>
      </c>
      <c r="G3034" t="s">
        <v>1595</v>
      </c>
      <c r="H3034" t="s">
        <v>6171</v>
      </c>
      <c r="J3034" t="str">
        <f>HYPERLINK("https://www.youtube.com/watch?v=ySy-ogKu0Pk&amp;lc=Ugz_WAFi3NjUv2fCqW14AaABAg.9zuPfi0BT0I9zxA6PpG2Rw","https://www.youtube.com/watch?v=ySy-ogKu0Pk&amp;lc=Ugz_WAFi3NjUv2fCqW14AaABAg.9zuPfi0BT0I9zxA6PpG2Rw")</f>
        <v>https://www.youtube.com/watch?v=ySy-ogKu0Pk&amp;lc=Ugz_WAFi3NjUv2fCqW14AaABAg.9zuPfi0BT0I9zxA6PpG2Rw</v>
      </c>
      <c r="O3034">
        <v>0</v>
      </c>
      <c r="P3034">
        <v>0</v>
      </c>
      <c r="Q3034">
        <v>0</v>
      </c>
      <c r="S3034">
        <v>0</v>
      </c>
      <c r="T3034">
        <v>0</v>
      </c>
      <c r="U3034">
        <v>0</v>
      </c>
      <c r="W3034" t="s">
        <v>52</v>
      </c>
    </row>
    <row r="3035" spans="1:23" x14ac:dyDescent="0.35">
      <c r="A3035" t="s">
        <v>45</v>
      </c>
      <c r="B3035" t="s">
        <v>6063</v>
      </c>
      <c r="C3035" t="s">
        <v>47</v>
      </c>
      <c r="D3035" t="s">
        <v>68</v>
      </c>
      <c r="E3035" t="s">
        <v>68</v>
      </c>
      <c r="F3035" t="s">
        <v>49</v>
      </c>
      <c r="G3035" t="s">
        <v>6172</v>
      </c>
      <c r="H3035" t="s">
        <v>6173</v>
      </c>
      <c r="J3035" t="str">
        <f>HYPERLINK("https://www.youtube.com/watch?v=IHWzT2TNYKQ&amp;lc=UgyjiOXUO_7dA_-_vvl4AaABAg.9zuvTLzoYL09zxA-AI9gQF","https://www.youtube.com/watch?v=IHWzT2TNYKQ&amp;lc=UgyjiOXUO_7dA_-_vvl4AaABAg.9zuvTLzoYL09zxA-AI9gQF")</f>
        <v>https://www.youtube.com/watch?v=IHWzT2TNYKQ&amp;lc=UgyjiOXUO_7dA_-_vvl4AaABAg.9zuvTLzoYL09zxA-AI9gQF</v>
      </c>
      <c r="O3035">
        <v>0</v>
      </c>
      <c r="P3035">
        <v>0</v>
      </c>
      <c r="Q3035">
        <v>0</v>
      </c>
      <c r="S3035">
        <v>0</v>
      </c>
      <c r="T3035">
        <v>0</v>
      </c>
      <c r="U3035">
        <v>0</v>
      </c>
      <c r="W3035" t="s">
        <v>52</v>
      </c>
    </row>
    <row r="3036" spans="1:23" x14ac:dyDescent="0.35">
      <c r="A3036" t="s">
        <v>45</v>
      </c>
      <c r="B3036" t="s">
        <v>6063</v>
      </c>
      <c r="C3036" t="s">
        <v>47</v>
      </c>
      <c r="D3036" t="s">
        <v>68</v>
      </c>
      <c r="E3036" t="s">
        <v>68</v>
      </c>
      <c r="F3036" t="s">
        <v>49</v>
      </c>
      <c r="G3036" t="s">
        <v>102</v>
      </c>
      <c r="H3036" t="s">
        <v>6174</v>
      </c>
      <c r="J3036" t="str">
        <f>HYPERLINK("https://www.youtube.com/watch?v=ASfQx196DU4&amp;lc=UgynnacSZrIFNr-SiOR4AaABAg.9zwZELwCX4K9zx9mt7zYPm","https://www.youtube.com/watch?v=ASfQx196DU4&amp;lc=UgynnacSZrIFNr-SiOR4AaABAg.9zwZELwCX4K9zx9mt7zYPm")</f>
        <v>https://www.youtube.com/watch?v=ASfQx196DU4&amp;lc=UgynnacSZrIFNr-SiOR4AaABAg.9zwZELwCX4K9zx9mt7zYPm</v>
      </c>
      <c r="O3036">
        <v>0</v>
      </c>
      <c r="P3036">
        <v>0</v>
      </c>
      <c r="Q3036">
        <v>0</v>
      </c>
      <c r="S3036">
        <v>0</v>
      </c>
      <c r="T3036">
        <v>0</v>
      </c>
      <c r="U3036">
        <v>0</v>
      </c>
      <c r="W3036" t="s">
        <v>52</v>
      </c>
    </row>
    <row r="3037" spans="1:23" x14ac:dyDescent="0.35">
      <c r="A3037" t="s">
        <v>45</v>
      </c>
      <c r="B3037" t="s">
        <v>6063</v>
      </c>
      <c r="C3037" t="s">
        <v>47</v>
      </c>
      <c r="D3037" t="s">
        <v>68</v>
      </c>
      <c r="E3037" t="s">
        <v>68</v>
      </c>
      <c r="F3037" t="s">
        <v>49</v>
      </c>
      <c r="G3037" t="s">
        <v>162</v>
      </c>
      <c r="H3037" t="s">
        <v>6175</v>
      </c>
      <c r="J3037" t="str">
        <f>HYPERLINK("https://www.youtube.com/watch?v=k4Jk2Nl60tE&amp;lc=UgzGn5quZsTftr58EcN4AaABAg.9zuCGpetOjE9zx9fg4AufT","https://www.youtube.com/watch?v=k4Jk2Nl60tE&amp;lc=UgzGn5quZsTftr58EcN4AaABAg.9zuCGpetOjE9zx9fg4AufT")</f>
        <v>https://www.youtube.com/watch?v=k4Jk2Nl60tE&amp;lc=UgzGn5quZsTftr58EcN4AaABAg.9zuCGpetOjE9zx9fg4AufT</v>
      </c>
      <c r="O3037">
        <v>0</v>
      </c>
      <c r="P3037">
        <v>0</v>
      </c>
      <c r="Q3037">
        <v>0</v>
      </c>
      <c r="S3037">
        <v>0</v>
      </c>
      <c r="T3037">
        <v>0</v>
      </c>
      <c r="U3037">
        <v>0</v>
      </c>
      <c r="W3037" t="s">
        <v>52</v>
      </c>
    </row>
    <row r="3038" spans="1:23" x14ac:dyDescent="0.35">
      <c r="A3038" t="s">
        <v>45</v>
      </c>
      <c r="B3038" t="s">
        <v>6063</v>
      </c>
      <c r="C3038" t="s">
        <v>93</v>
      </c>
      <c r="D3038" t="s">
        <v>5225</v>
      </c>
      <c r="E3038" t="s">
        <v>5226</v>
      </c>
      <c r="F3038" t="s">
        <v>49</v>
      </c>
      <c r="G3038" t="s">
        <v>6176</v>
      </c>
      <c r="H3038" t="s">
        <v>6177</v>
      </c>
      <c r="J3038" t="str">
        <f>HYPERLINK("https://twitter.com/CPLODHII/status/1750096639115858127","https://twitter.com/CPLODHII/status/1750096639115858127")</f>
        <v>https://twitter.com/CPLODHII/status/1750096639115858127</v>
      </c>
      <c r="O3038">
        <v>0</v>
      </c>
      <c r="P3038">
        <v>0</v>
      </c>
      <c r="Q3038">
        <v>256</v>
      </c>
      <c r="R3038" t="s">
        <v>5229</v>
      </c>
      <c r="S3038">
        <v>0</v>
      </c>
      <c r="T3038">
        <v>0</v>
      </c>
      <c r="U3038">
        <v>0</v>
      </c>
      <c r="W3038" t="s">
        <v>99</v>
      </c>
    </row>
    <row r="3039" spans="1:23" x14ac:dyDescent="0.35">
      <c r="A3039" t="s">
        <v>45</v>
      </c>
      <c r="B3039" t="s">
        <v>6063</v>
      </c>
      <c r="C3039" t="s">
        <v>93</v>
      </c>
      <c r="D3039" t="s">
        <v>94</v>
      </c>
      <c r="E3039" t="s">
        <v>45</v>
      </c>
      <c r="F3039" t="s">
        <v>49</v>
      </c>
      <c r="G3039" t="s">
        <v>6178</v>
      </c>
      <c r="H3039" t="s">
        <v>6179</v>
      </c>
      <c r="J3039" t="str">
        <f>HYPERLINK("https://twitter.com/SpiceMoneyIndia/status/1750095486537855262","https://twitter.com/SpiceMoneyIndia/status/1750095486537855262")</f>
        <v>https://twitter.com/SpiceMoneyIndia/status/1750095486537855262</v>
      </c>
      <c r="K3039" t="s">
        <v>67</v>
      </c>
      <c r="O3039">
        <v>0</v>
      </c>
      <c r="P3039">
        <v>0</v>
      </c>
      <c r="Q3039">
        <v>6000</v>
      </c>
      <c r="R3039" t="s">
        <v>97</v>
      </c>
      <c r="S3039">
        <v>0</v>
      </c>
      <c r="T3039">
        <v>0</v>
      </c>
      <c r="U3039">
        <v>0</v>
      </c>
      <c r="V3039" t="s">
        <v>98</v>
      </c>
      <c r="W3039" t="s">
        <v>99</v>
      </c>
    </row>
    <row r="3040" spans="1:23" x14ac:dyDescent="0.35">
      <c r="A3040" t="s">
        <v>45</v>
      </c>
      <c r="B3040" t="s">
        <v>6063</v>
      </c>
      <c r="C3040" t="s">
        <v>93</v>
      </c>
      <c r="D3040" t="s">
        <v>5225</v>
      </c>
      <c r="E3040" t="s">
        <v>5226</v>
      </c>
      <c r="F3040" t="s">
        <v>49</v>
      </c>
      <c r="G3040" t="s">
        <v>6180</v>
      </c>
      <c r="H3040" t="s">
        <v>6181</v>
      </c>
      <c r="J3040" t="str">
        <f>HYPERLINK("https://twitter.com/CPLODHII/status/1750087915605295529","https://twitter.com/CPLODHII/status/1750087915605295529")</f>
        <v>https://twitter.com/CPLODHII/status/1750087915605295529</v>
      </c>
      <c r="O3040">
        <v>0</v>
      </c>
      <c r="P3040">
        <v>0</v>
      </c>
      <c r="Q3040">
        <v>256</v>
      </c>
      <c r="R3040" t="s">
        <v>5229</v>
      </c>
      <c r="S3040">
        <v>0</v>
      </c>
      <c r="T3040">
        <v>0</v>
      </c>
      <c r="U3040">
        <v>0</v>
      </c>
      <c r="W3040" t="s">
        <v>99</v>
      </c>
    </row>
    <row r="3041" spans="1:23" x14ac:dyDescent="0.35">
      <c r="A3041" t="s">
        <v>45</v>
      </c>
      <c r="B3041" t="s">
        <v>6063</v>
      </c>
      <c r="C3041" t="s">
        <v>47</v>
      </c>
      <c r="D3041" t="s">
        <v>68</v>
      </c>
      <c r="E3041" t="s">
        <v>68</v>
      </c>
      <c r="F3041" t="s">
        <v>49</v>
      </c>
      <c r="G3041" t="s">
        <v>162</v>
      </c>
      <c r="H3041" t="s">
        <v>6182</v>
      </c>
      <c r="J3041" t="str">
        <f>HYPERLINK("https://www.youtube.com/watch?v=k4Jk2Nl60tE&amp;lc=Ugx74XhaqlqZQpREvqF4AaABAg.9zu-bOTT4rq9zx1KRbAozz","https://www.youtube.com/watch?v=k4Jk2Nl60tE&amp;lc=Ugx74XhaqlqZQpREvqF4AaABAg.9zu-bOTT4rq9zx1KRbAozz")</f>
        <v>https://www.youtube.com/watch?v=k4Jk2Nl60tE&amp;lc=Ugx74XhaqlqZQpREvqF4AaABAg.9zu-bOTT4rq9zx1KRbAozz</v>
      </c>
      <c r="O3041">
        <v>0</v>
      </c>
      <c r="P3041">
        <v>0</v>
      </c>
      <c r="Q3041">
        <v>0</v>
      </c>
      <c r="S3041">
        <v>0</v>
      </c>
      <c r="T3041">
        <v>0</v>
      </c>
      <c r="U3041">
        <v>0</v>
      </c>
      <c r="W3041" t="s">
        <v>52</v>
      </c>
    </row>
    <row r="3042" spans="1:23" x14ac:dyDescent="0.35">
      <c r="A3042" t="s">
        <v>45</v>
      </c>
      <c r="B3042" t="s">
        <v>6063</v>
      </c>
      <c r="C3042" t="s">
        <v>47</v>
      </c>
      <c r="D3042" t="s">
        <v>68</v>
      </c>
      <c r="E3042" t="s">
        <v>68</v>
      </c>
      <c r="F3042" t="s">
        <v>49</v>
      </c>
      <c r="G3042" t="s">
        <v>102</v>
      </c>
      <c r="H3042" t="s">
        <v>6183</v>
      </c>
      <c r="J3042" t="str">
        <f>HYPERLINK("https://www.youtube.com/watch?v=k4Jk2Nl60tE&amp;lc=Ugz9t3FKwIzocB5Uwml4AaABAg.9zv83C3hBgH9zx1-1bm-jB","https://www.youtube.com/watch?v=k4Jk2Nl60tE&amp;lc=Ugz9t3FKwIzocB5Uwml4AaABAg.9zv83C3hBgH9zx1-1bm-jB")</f>
        <v>https://www.youtube.com/watch?v=k4Jk2Nl60tE&amp;lc=Ugz9t3FKwIzocB5Uwml4AaABAg.9zv83C3hBgH9zx1-1bm-jB</v>
      </c>
      <c r="O3042">
        <v>0</v>
      </c>
      <c r="P3042">
        <v>0</v>
      </c>
      <c r="Q3042">
        <v>0</v>
      </c>
      <c r="S3042">
        <v>0</v>
      </c>
      <c r="T3042">
        <v>0</v>
      </c>
      <c r="U3042">
        <v>0</v>
      </c>
      <c r="W3042" t="s">
        <v>52</v>
      </c>
    </row>
    <row r="3043" spans="1:23" x14ac:dyDescent="0.35">
      <c r="A3043" t="s">
        <v>45</v>
      </c>
      <c r="B3043" t="s">
        <v>6063</v>
      </c>
      <c r="C3043" t="s">
        <v>47</v>
      </c>
      <c r="D3043" t="s">
        <v>68</v>
      </c>
      <c r="E3043" t="s">
        <v>68</v>
      </c>
      <c r="F3043" t="s">
        <v>49</v>
      </c>
      <c r="G3043" t="s">
        <v>102</v>
      </c>
      <c r="H3043" t="s">
        <v>6184</v>
      </c>
      <c r="J3043" t="str">
        <f>HYPERLINK("https://www.youtube.com/watch?v=k4Jk2Nl60tE&amp;lc=Ugw3V4YpIejTRT-ddyB4AaABAg.9zwiVFW7eO_9zx0uOBVzX9","https://www.youtube.com/watch?v=k4Jk2Nl60tE&amp;lc=Ugw3V4YpIejTRT-ddyB4AaABAg.9zwiVFW7eO_9zx0uOBVzX9")</f>
        <v>https://www.youtube.com/watch?v=k4Jk2Nl60tE&amp;lc=Ugw3V4YpIejTRT-ddyB4AaABAg.9zwiVFW7eO_9zx0uOBVzX9</v>
      </c>
      <c r="O3043">
        <v>0</v>
      </c>
      <c r="P3043">
        <v>0</v>
      </c>
      <c r="Q3043">
        <v>0</v>
      </c>
      <c r="S3043">
        <v>0</v>
      </c>
      <c r="T3043">
        <v>0</v>
      </c>
      <c r="U3043">
        <v>0</v>
      </c>
      <c r="W3043" t="s">
        <v>52</v>
      </c>
    </row>
    <row r="3044" spans="1:23" x14ac:dyDescent="0.35">
      <c r="A3044" t="s">
        <v>45</v>
      </c>
      <c r="B3044" t="s">
        <v>6063</v>
      </c>
      <c r="C3044" t="s">
        <v>47</v>
      </c>
      <c r="D3044" t="s">
        <v>68</v>
      </c>
      <c r="E3044" t="s">
        <v>68</v>
      </c>
      <c r="F3044" t="s">
        <v>49</v>
      </c>
      <c r="G3044" t="s">
        <v>162</v>
      </c>
      <c r="H3044" t="s">
        <v>6185</v>
      </c>
      <c r="J3044" t="str">
        <f>HYPERLINK("https://www.youtube.com/watch?v=k4Jk2Nl60tE&amp;lc=UgyKRpTUUK1AK8JMvbt4AaABAg.9zuKCMfVS4d9zx0cGrIMhl","https://www.youtube.com/watch?v=k4Jk2Nl60tE&amp;lc=UgyKRpTUUK1AK8JMvbt4AaABAg.9zuKCMfVS4d9zx0cGrIMhl")</f>
        <v>https://www.youtube.com/watch?v=k4Jk2Nl60tE&amp;lc=UgyKRpTUUK1AK8JMvbt4AaABAg.9zuKCMfVS4d9zx0cGrIMhl</v>
      </c>
      <c r="O3044">
        <v>0</v>
      </c>
      <c r="P3044">
        <v>0</v>
      </c>
      <c r="Q3044">
        <v>0</v>
      </c>
      <c r="S3044">
        <v>0</v>
      </c>
      <c r="T3044">
        <v>0</v>
      </c>
      <c r="U3044">
        <v>0</v>
      </c>
      <c r="W3044" t="s">
        <v>52</v>
      </c>
    </row>
    <row r="3045" spans="1:23" x14ac:dyDescent="0.35">
      <c r="A3045" t="s">
        <v>45</v>
      </c>
      <c r="B3045" t="s">
        <v>6063</v>
      </c>
      <c r="C3045" t="s">
        <v>47</v>
      </c>
      <c r="D3045" t="s">
        <v>846</v>
      </c>
      <c r="E3045" t="s">
        <v>846</v>
      </c>
      <c r="F3045" t="s">
        <v>49</v>
      </c>
      <c r="G3045" t="s">
        <v>6186</v>
      </c>
      <c r="H3045" t="s">
        <v>6187</v>
      </c>
      <c r="J3045" t="str">
        <f>HYPERLINK("https://www.youtube.com/watch?v=k4Jk2Nl60tE&amp;lc=Ugyk3TGXOzvobwspWgp4AaABAg","https://www.youtube.com/watch?v=k4Jk2Nl60tE&amp;lc=Ugyk3TGXOzvobwspWgp4AaABAg")</f>
        <v>https://www.youtube.com/watch?v=k4Jk2Nl60tE&amp;lc=Ugyk3TGXOzvobwspWgp4AaABAg</v>
      </c>
      <c r="O3045">
        <v>0</v>
      </c>
      <c r="P3045">
        <v>0</v>
      </c>
      <c r="Q3045">
        <v>0</v>
      </c>
      <c r="S3045">
        <v>0</v>
      </c>
      <c r="T3045">
        <v>0</v>
      </c>
      <c r="U3045">
        <v>0</v>
      </c>
      <c r="W3045" t="s">
        <v>52</v>
      </c>
    </row>
    <row r="3046" spans="1:23" x14ac:dyDescent="0.35">
      <c r="A3046" t="s">
        <v>45</v>
      </c>
      <c r="B3046" t="s">
        <v>6063</v>
      </c>
      <c r="C3046" t="s">
        <v>60</v>
      </c>
      <c r="D3046" t="s">
        <v>61</v>
      </c>
      <c r="E3046" t="s">
        <v>61</v>
      </c>
      <c r="F3046" t="s">
        <v>49</v>
      </c>
      <c r="G3046" t="s">
        <v>6188</v>
      </c>
      <c r="H3046" t="s">
        <v>6189</v>
      </c>
      <c r="J3046" t="str">
        <f>HYPERLINK("https://www.facebook.com/634639855377280/posts/776916321149632?comment_id=1092579601926402","https://www.facebook.com/634639855377280/posts/776916321149632?comment_id=1092579601926402")</f>
        <v>https://www.facebook.com/634639855377280/posts/776916321149632?comment_id=1092579601926402</v>
      </c>
      <c r="O3046">
        <v>0</v>
      </c>
      <c r="P3046">
        <v>0</v>
      </c>
      <c r="Q3046">
        <v>0</v>
      </c>
      <c r="S3046">
        <v>0</v>
      </c>
      <c r="T3046">
        <v>0</v>
      </c>
      <c r="U3046">
        <v>0</v>
      </c>
      <c r="W3046" t="s">
        <v>52</v>
      </c>
    </row>
    <row r="3047" spans="1:23" x14ac:dyDescent="0.35">
      <c r="A3047" t="s">
        <v>45</v>
      </c>
      <c r="B3047" t="s">
        <v>6063</v>
      </c>
      <c r="C3047" t="s">
        <v>93</v>
      </c>
      <c r="D3047" t="s">
        <v>5015</v>
      </c>
      <c r="E3047" t="s">
        <v>5016</v>
      </c>
      <c r="F3047" t="s">
        <v>193</v>
      </c>
      <c r="G3047" t="s">
        <v>6190</v>
      </c>
      <c r="H3047" t="s">
        <v>6191</v>
      </c>
      <c r="J3047" t="str">
        <f>HYPERLINK("https://twitter.com/lovingvishwas24/status/1750065493896278296","https://twitter.com/lovingvishwas24/status/1750065493896278296")</f>
        <v>https://twitter.com/lovingvishwas24/status/1750065493896278296</v>
      </c>
      <c r="K3047" t="s">
        <v>67</v>
      </c>
      <c r="O3047">
        <v>0</v>
      </c>
      <c r="P3047">
        <v>0</v>
      </c>
      <c r="Q3047">
        <v>6</v>
      </c>
      <c r="S3047">
        <v>0</v>
      </c>
      <c r="T3047">
        <v>0</v>
      </c>
      <c r="U3047">
        <v>0</v>
      </c>
      <c r="W3047" t="s">
        <v>99</v>
      </c>
    </row>
    <row r="3048" spans="1:23" x14ac:dyDescent="0.35">
      <c r="A3048" t="s">
        <v>45</v>
      </c>
      <c r="B3048" t="s">
        <v>6063</v>
      </c>
      <c r="C3048" t="s">
        <v>93</v>
      </c>
      <c r="D3048" t="s">
        <v>3262</v>
      </c>
      <c r="E3048" t="s">
        <v>3263</v>
      </c>
      <c r="F3048" t="s">
        <v>49</v>
      </c>
      <c r="G3048" t="s">
        <v>6192</v>
      </c>
      <c r="H3048" t="s">
        <v>6193</v>
      </c>
      <c r="J3048" t="str">
        <f>HYPERLINK("https://twitter.com/ShoaibAkhtertsk/status/1750060827166810238","https://twitter.com/ShoaibAkhtertsk/status/1750060827166810238")</f>
        <v>https://twitter.com/ShoaibAkhtertsk/status/1750060827166810238</v>
      </c>
      <c r="K3048" t="s">
        <v>67</v>
      </c>
      <c r="O3048">
        <v>0</v>
      </c>
      <c r="P3048">
        <v>0</v>
      </c>
      <c r="Q3048">
        <v>50</v>
      </c>
      <c r="R3048" t="s">
        <v>3266</v>
      </c>
      <c r="S3048">
        <v>0</v>
      </c>
      <c r="T3048">
        <v>0</v>
      </c>
      <c r="U3048">
        <v>0</v>
      </c>
      <c r="W3048" t="s">
        <v>99</v>
      </c>
    </row>
    <row r="3049" spans="1:23" x14ac:dyDescent="0.35">
      <c r="A3049" t="s">
        <v>45</v>
      </c>
      <c r="B3049" t="s">
        <v>6063</v>
      </c>
      <c r="C3049" t="s">
        <v>93</v>
      </c>
      <c r="D3049" t="s">
        <v>6194</v>
      </c>
      <c r="E3049" t="s">
        <v>6195</v>
      </c>
      <c r="F3049" t="s">
        <v>49</v>
      </c>
      <c r="G3049" t="s">
        <v>6196</v>
      </c>
      <c r="H3049" t="s">
        <v>6197</v>
      </c>
      <c r="J3049" t="str">
        <f>HYPERLINK("https://twitter.com/EthRambone70112/status/1750050328219640079","https://twitter.com/EthRambone70112/status/1750050328219640079")</f>
        <v>https://twitter.com/EthRambone70112/status/1750050328219640079</v>
      </c>
      <c r="O3049">
        <v>0</v>
      </c>
      <c r="P3049">
        <v>0</v>
      </c>
      <c r="Q3049">
        <v>0</v>
      </c>
      <c r="R3049" t="s">
        <v>6198</v>
      </c>
      <c r="S3049">
        <v>0</v>
      </c>
      <c r="T3049">
        <v>0</v>
      </c>
      <c r="U3049">
        <v>0</v>
      </c>
      <c r="W3049" t="s">
        <v>99</v>
      </c>
    </row>
    <row r="3050" spans="1:23" x14ac:dyDescent="0.35">
      <c r="A3050" t="s">
        <v>45</v>
      </c>
      <c r="B3050" t="s">
        <v>6063</v>
      </c>
      <c r="C3050" t="s">
        <v>93</v>
      </c>
      <c r="D3050" t="s">
        <v>6199</v>
      </c>
      <c r="E3050" t="s">
        <v>6200</v>
      </c>
      <c r="F3050" t="s">
        <v>193</v>
      </c>
      <c r="G3050" t="s">
        <v>6201</v>
      </c>
      <c r="H3050" t="s">
        <v>6202</v>
      </c>
      <c r="J3050" t="str">
        <f>HYPERLINK("https://twitter.com/InvGurInd/status/1750050294837194864","https://twitter.com/InvGurInd/status/1750050294837194864")</f>
        <v>https://twitter.com/InvGurInd/status/1750050294837194864</v>
      </c>
      <c r="O3050">
        <v>0</v>
      </c>
      <c r="P3050">
        <v>0</v>
      </c>
      <c r="Q3050">
        <v>17434</v>
      </c>
      <c r="R3050" t="s">
        <v>513</v>
      </c>
      <c r="S3050">
        <v>0</v>
      </c>
      <c r="T3050">
        <v>0</v>
      </c>
      <c r="U3050">
        <v>0</v>
      </c>
      <c r="V3050" t="s">
        <v>98</v>
      </c>
      <c r="W3050" t="s">
        <v>99</v>
      </c>
    </row>
    <row r="3051" spans="1:23" x14ac:dyDescent="0.35">
      <c r="A3051" t="s">
        <v>45</v>
      </c>
      <c r="B3051" t="s">
        <v>6063</v>
      </c>
      <c r="C3051" t="s">
        <v>93</v>
      </c>
      <c r="D3051" t="s">
        <v>1319</v>
      </c>
      <c r="E3051" t="s">
        <v>1320</v>
      </c>
      <c r="F3051" t="s">
        <v>49</v>
      </c>
      <c r="G3051" t="s">
        <v>6203</v>
      </c>
      <c r="H3051" t="s">
        <v>6204</v>
      </c>
      <c r="J3051" t="str">
        <f>HYPERLINK("https://twitter.com/ashukm/status/1750047102955368624","https://twitter.com/ashukm/status/1750047102955368624")</f>
        <v>https://twitter.com/ashukm/status/1750047102955368624</v>
      </c>
      <c r="K3051" t="s">
        <v>67</v>
      </c>
      <c r="O3051">
        <v>0</v>
      </c>
      <c r="P3051">
        <v>0</v>
      </c>
      <c r="Q3051">
        <v>173</v>
      </c>
      <c r="S3051">
        <v>0</v>
      </c>
      <c r="T3051">
        <v>0</v>
      </c>
      <c r="U3051">
        <v>0</v>
      </c>
      <c r="W3051" t="s">
        <v>99</v>
      </c>
    </row>
    <row r="3052" spans="1:23" x14ac:dyDescent="0.35">
      <c r="A3052" t="s">
        <v>45</v>
      </c>
      <c r="B3052" t="s">
        <v>6063</v>
      </c>
      <c r="C3052" t="s">
        <v>93</v>
      </c>
      <c r="D3052" t="s">
        <v>94</v>
      </c>
      <c r="E3052" t="s">
        <v>45</v>
      </c>
      <c r="F3052" t="s">
        <v>49</v>
      </c>
      <c r="G3052" t="s">
        <v>6205</v>
      </c>
      <c r="H3052" t="s">
        <v>6206</v>
      </c>
      <c r="J3052" t="str">
        <f>HYPERLINK("https://twitter.com/SpiceMoneyIndia/status/1750042246542483915","https://twitter.com/SpiceMoneyIndia/status/1750042246542483915")</f>
        <v>https://twitter.com/SpiceMoneyIndia/status/1750042246542483915</v>
      </c>
      <c r="K3052" t="s">
        <v>67</v>
      </c>
      <c r="O3052">
        <v>0</v>
      </c>
      <c r="P3052">
        <v>0</v>
      </c>
      <c r="Q3052">
        <v>6001</v>
      </c>
      <c r="R3052" t="s">
        <v>97</v>
      </c>
      <c r="S3052">
        <v>0</v>
      </c>
      <c r="T3052">
        <v>0</v>
      </c>
      <c r="U3052">
        <v>0</v>
      </c>
      <c r="V3052" t="s">
        <v>98</v>
      </c>
      <c r="W3052" t="s">
        <v>99</v>
      </c>
    </row>
    <row r="3053" spans="1:23" x14ac:dyDescent="0.35">
      <c r="A3053" t="s">
        <v>45</v>
      </c>
      <c r="B3053" t="s">
        <v>6063</v>
      </c>
      <c r="C3053" t="s">
        <v>47</v>
      </c>
      <c r="D3053" t="s">
        <v>238</v>
      </c>
      <c r="E3053" t="s">
        <v>238</v>
      </c>
      <c r="F3053" t="s">
        <v>54</v>
      </c>
      <c r="G3053" t="s">
        <v>6207</v>
      </c>
      <c r="H3053" t="s">
        <v>6208</v>
      </c>
      <c r="J3053" t="str">
        <f>HYPERLINK("https://www.youtube.com/watch?v=IHWzT2TNYKQ&amp;lc=UgwFEpi01bBzD0vD9Z94AaABAg","https://www.youtube.com/watch?v=IHWzT2TNYKQ&amp;lc=UgwFEpi01bBzD0vD9Z94AaABAg")</f>
        <v>https://www.youtube.com/watch?v=IHWzT2TNYKQ&amp;lc=UgwFEpi01bBzD0vD9Z94AaABAg</v>
      </c>
      <c r="O3053">
        <v>0</v>
      </c>
      <c r="P3053">
        <v>0</v>
      </c>
      <c r="Q3053">
        <v>0</v>
      </c>
      <c r="S3053">
        <v>0</v>
      </c>
      <c r="T3053">
        <v>0</v>
      </c>
      <c r="U3053">
        <v>0</v>
      </c>
      <c r="W3053" t="s">
        <v>52</v>
      </c>
    </row>
    <row r="3054" spans="1:23" x14ac:dyDescent="0.35">
      <c r="A3054" t="s">
        <v>45</v>
      </c>
      <c r="B3054" t="s">
        <v>6063</v>
      </c>
      <c r="C3054" t="s">
        <v>47</v>
      </c>
      <c r="D3054" t="s">
        <v>6209</v>
      </c>
      <c r="E3054" t="s">
        <v>6209</v>
      </c>
      <c r="F3054" t="s">
        <v>193</v>
      </c>
      <c r="G3054" t="s">
        <v>6210</v>
      </c>
      <c r="H3054" t="s">
        <v>6211</v>
      </c>
      <c r="J3054" t="str">
        <f>HYPERLINK("https://www.youtube.com/watch?v=k4Jk2Nl60tE&amp;lc=Ugw3V4YpIejTRT-ddyB4AaABAg","https://www.youtube.com/watch?v=k4Jk2Nl60tE&amp;lc=Ugw3V4YpIejTRT-ddyB4AaABAg")</f>
        <v>https://www.youtube.com/watch?v=k4Jk2Nl60tE&amp;lc=Ugw3V4YpIejTRT-ddyB4AaABAg</v>
      </c>
      <c r="O3054">
        <v>0</v>
      </c>
      <c r="P3054">
        <v>0</v>
      </c>
      <c r="Q3054">
        <v>0</v>
      </c>
      <c r="S3054">
        <v>0</v>
      </c>
      <c r="T3054">
        <v>0</v>
      </c>
      <c r="U3054">
        <v>0</v>
      </c>
      <c r="W3054" t="s">
        <v>52</v>
      </c>
    </row>
    <row r="3055" spans="1:23" x14ac:dyDescent="0.35">
      <c r="A3055" t="s">
        <v>45</v>
      </c>
      <c r="B3055" t="s">
        <v>6063</v>
      </c>
      <c r="C3055" t="s">
        <v>60</v>
      </c>
      <c r="D3055" t="s">
        <v>61</v>
      </c>
      <c r="E3055" t="s">
        <v>61</v>
      </c>
      <c r="F3055" t="s">
        <v>49</v>
      </c>
      <c r="G3055" t="s">
        <v>6212</v>
      </c>
      <c r="H3055" t="s">
        <v>6213</v>
      </c>
      <c r="J3055" t="str">
        <f>HYPERLINK("https://www.facebook.com/634639855377280/posts/778114767696454?comment_id=690449693172601","https://www.facebook.com/634639855377280/posts/778114767696454?comment_id=690449693172601")</f>
        <v>https://www.facebook.com/634639855377280/posts/778114767696454?comment_id=690449693172601</v>
      </c>
      <c r="O3055">
        <v>0</v>
      </c>
      <c r="P3055">
        <v>0</v>
      </c>
      <c r="Q3055">
        <v>0</v>
      </c>
      <c r="S3055">
        <v>0</v>
      </c>
      <c r="T3055">
        <v>0</v>
      </c>
      <c r="U3055">
        <v>0</v>
      </c>
      <c r="W3055" t="s">
        <v>52</v>
      </c>
    </row>
    <row r="3056" spans="1:23" x14ac:dyDescent="0.35">
      <c r="A3056" t="s">
        <v>45</v>
      </c>
      <c r="B3056" t="s">
        <v>6063</v>
      </c>
      <c r="C3056" t="s">
        <v>93</v>
      </c>
      <c r="D3056" t="s">
        <v>6110</v>
      </c>
      <c r="E3056" t="s">
        <v>6111</v>
      </c>
      <c r="F3056" t="s">
        <v>49</v>
      </c>
      <c r="G3056" t="s">
        <v>6214</v>
      </c>
      <c r="H3056" t="s">
        <v>6215</v>
      </c>
      <c r="J3056" t="str">
        <f>HYPERLINK("https://twitter.com/DK_YADAV82/status/1750028519889928499","https://twitter.com/DK_YADAV82/status/1750028519889928499")</f>
        <v>https://twitter.com/DK_YADAV82/status/1750028519889928499</v>
      </c>
      <c r="K3056" t="s">
        <v>67</v>
      </c>
      <c r="O3056">
        <v>0</v>
      </c>
      <c r="P3056">
        <v>0</v>
      </c>
      <c r="Q3056">
        <v>112</v>
      </c>
      <c r="R3056" t="s">
        <v>6114</v>
      </c>
      <c r="S3056">
        <v>0</v>
      </c>
      <c r="T3056">
        <v>0</v>
      </c>
      <c r="U3056">
        <v>0</v>
      </c>
      <c r="W3056" t="s">
        <v>99</v>
      </c>
    </row>
    <row r="3057" spans="1:23" x14ac:dyDescent="0.35">
      <c r="A3057" t="s">
        <v>45</v>
      </c>
      <c r="B3057" t="s">
        <v>6063</v>
      </c>
      <c r="C3057" t="s">
        <v>47</v>
      </c>
      <c r="D3057" t="s">
        <v>6216</v>
      </c>
      <c r="E3057" t="s">
        <v>6216</v>
      </c>
      <c r="F3057" t="s">
        <v>49</v>
      </c>
      <c r="G3057" t="s">
        <v>6217</v>
      </c>
      <c r="H3057" t="s">
        <v>6218</v>
      </c>
      <c r="J3057" t="str">
        <f>HYPERLINK("https://www.youtube.com/watch?v=ASfQx196DU4&amp;lc=UgynnacSZrIFNr-SiOR4AaABAg","https://www.youtube.com/watch?v=ASfQx196DU4&amp;lc=UgynnacSZrIFNr-SiOR4AaABAg")</f>
        <v>https://www.youtube.com/watch?v=ASfQx196DU4&amp;lc=UgynnacSZrIFNr-SiOR4AaABAg</v>
      </c>
      <c r="O3057">
        <v>0</v>
      </c>
      <c r="P3057">
        <v>0</v>
      </c>
      <c r="Q3057">
        <v>0</v>
      </c>
      <c r="S3057">
        <v>0</v>
      </c>
      <c r="T3057">
        <v>0</v>
      </c>
      <c r="U3057">
        <v>0</v>
      </c>
      <c r="W3057" t="s">
        <v>52</v>
      </c>
    </row>
    <row r="3058" spans="1:23" x14ac:dyDescent="0.35">
      <c r="A3058" t="s">
        <v>45</v>
      </c>
      <c r="B3058" t="s">
        <v>6063</v>
      </c>
      <c r="C3058" t="s">
        <v>47</v>
      </c>
      <c r="D3058" t="s">
        <v>68</v>
      </c>
      <c r="E3058" t="s">
        <v>68</v>
      </c>
      <c r="F3058" t="s">
        <v>49</v>
      </c>
      <c r="G3058" t="s">
        <v>162</v>
      </c>
      <c r="H3058" t="s">
        <v>6219</v>
      </c>
      <c r="J3058" t="str">
        <f>HYPERLINK("https://www.youtube.com/watch?v=k4Jk2Nl60tE&amp;lc=Ugzos7Yrp3090PBRRcx4AaABAg.9zu4fdsnJv99zwYhmk8M7L","https://www.youtube.com/watch?v=k4Jk2Nl60tE&amp;lc=Ugzos7Yrp3090PBRRcx4AaABAg.9zu4fdsnJv99zwYhmk8M7L")</f>
        <v>https://www.youtube.com/watch?v=k4Jk2Nl60tE&amp;lc=Ugzos7Yrp3090PBRRcx4AaABAg.9zu4fdsnJv99zwYhmk8M7L</v>
      </c>
      <c r="O3058">
        <v>0</v>
      </c>
      <c r="P3058">
        <v>0</v>
      </c>
      <c r="Q3058">
        <v>0</v>
      </c>
      <c r="S3058">
        <v>0</v>
      </c>
      <c r="T3058">
        <v>0</v>
      </c>
      <c r="U3058">
        <v>0</v>
      </c>
      <c r="W3058" t="s">
        <v>52</v>
      </c>
    </row>
    <row r="3059" spans="1:23" x14ac:dyDescent="0.35">
      <c r="A3059" t="s">
        <v>45</v>
      </c>
      <c r="B3059" t="s">
        <v>6063</v>
      </c>
      <c r="C3059" t="s">
        <v>47</v>
      </c>
      <c r="D3059" t="s">
        <v>68</v>
      </c>
      <c r="E3059" t="s">
        <v>68</v>
      </c>
      <c r="F3059" t="s">
        <v>49</v>
      </c>
      <c r="G3059" t="s">
        <v>162</v>
      </c>
      <c r="H3059" t="s">
        <v>6220</v>
      </c>
      <c r="J3059" t="str">
        <f>HYPERLINK("https://www.youtube.com/watch?v=k4Jk2Nl60tE&amp;lc=UgzApK68k6vR_zpB8PR4AaABAg.9zu117gqwkT9zwYfo9t78-","https://www.youtube.com/watch?v=k4Jk2Nl60tE&amp;lc=UgzApK68k6vR_zpB8PR4AaABAg.9zu117gqwkT9zwYfo9t78-")</f>
        <v>https://www.youtube.com/watch?v=k4Jk2Nl60tE&amp;lc=UgzApK68k6vR_zpB8PR4AaABAg.9zu117gqwkT9zwYfo9t78-</v>
      </c>
      <c r="O3059">
        <v>0</v>
      </c>
      <c r="P3059">
        <v>0</v>
      </c>
      <c r="Q3059">
        <v>0</v>
      </c>
      <c r="S3059">
        <v>0</v>
      </c>
      <c r="T3059">
        <v>0</v>
      </c>
      <c r="U3059">
        <v>0</v>
      </c>
      <c r="W3059" t="s">
        <v>52</v>
      </c>
    </row>
    <row r="3060" spans="1:23" x14ac:dyDescent="0.35">
      <c r="A3060" t="s">
        <v>45</v>
      </c>
      <c r="B3060" t="s">
        <v>6063</v>
      </c>
      <c r="C3060" t="s">
        <v>47</v>
      </c>
      <c r="D3060" t="s">
        <v>68</v>
      </c>
      <c r="E3060" t="s">
        <v>68</v>
      </c>
      <c r="F3060" t="s">
        <v>49</v>
      </c>
      <c r="G3060" t="s">
        <v>69</v>
      </c>
      <c r="H3060" t="s">
        <v>6221</v>
      </c>
      <c r="J3060" t="str">
        <f>HYPERLINK("https://www.youtube.com/watch?v=k4Jk2Nl60tE&amp;lc=Ugz6fEp38wsiZE40_Yd4AaABAg.9zu0ZtZC6fk9zwYYU9DfNC","https://www.youtube.com/watch?v=k4Jk2Nl60tE&amp;lc=Ugz6fEp38wsiZE40_Yd4AaABAg.9zu0ZtZC6fk9zwYYU9DfNC")</f>
        <v>https://www.youtube.com/watch?v=k4Jk2Nl60tE&amp;lc=Ugz6fEp38wsiZE40_Yd4AaABAg.9zu0ZtZC6fk9zwYYU9DfNC</v>
      </c>
      <c r="O3060">
        <v>0</v>
      </c>
      <c r="P3060">
        <v>0</v>
      </c>
      <c r="Q3060">
        <v>0</v>
      </c>
      <c r="S3060">
        <v>0</v>
      </c>
      <c r="T3060">
        <v>0</v>
      </c>
      <c r="U3060">
        <v>0</v>
      </c>
      <c r="W3060" t="s">
        <v>52</v>
      </c>
    </row>
    <row r="3061" spans="1:23" x14ac:dyDescent="0.35">
      <c r="A3061" t="s">
        <v>45</v>
      </c>
      <c r="B3061" t="s">
        <v>6063</v>
      </c>
      <c r="C3061" t="s">
        <v>47</v>
      </c>
      <c r="D3061" t="s">
        <v>68</v>
      </c>
      <c r="E3061" t="s">
        <v>68</v>
      </c>
      <c r="F3061" t="s">
        <v>49</v>
      </c>
      <c r="G3061" t="s">
        <v>69</v>
      </c>
      <c r="H3061" t="s">
        <v>6222</v>
      </c>
      <c r="J3061" t="str">
        <f>HYPERLINK("https://www.youtube.com/watch?v=k4Jk2Nl60tE&amp;lc=UgwCoMCuXhrzpBXhTWp4AaABAg.9zu0ObqoKt89zwYM3io8ER","https://www.youtube.com/watch?v=k4Jk2Nl60tE&amp;lc=UgwCoMCuXhrzpBXhTWp4AaABAg.9zu0ObqoKt89zwYM3io8ER")</f>
        <v>https://www.youtube.com/watch?v=k4Jk2Nl60tE&amp;lc=UgwCoMCuXhrzpBXhTWp4AaABAg.9zu0ObqoKt89zwYM3io8ER</v>
      </c>
      <c r="O3061">
        <v>0</v>
      </c>
      <c r="P3061">
        <v>0</v>
      </c>
      <c r="Q3061">
        <v>0</v>
      </c>
      <c r="S3061">
        <v>0</v>
      </c>
      <c r="T3061">
        <v>0</v>
      </c>
      <c r="U3061">
        <v>0</v>
      </c>
      <c r="W3061" t="s">
        <v>52</v>
      </c>
    </row>
    <row r="3062" spans="1:23" x14ac:dyDescent="0.35">
      <c r="A3062" t="s">
        <v>45</v>
      </c>
      <c r="B3062" t="s">
        <v>6063</v>
      </c>
      <c r="C3062" t="s">
        <v>47</v>
      </c>
      <c r="D3062" t="s">
        <v>68</v>
      </c>
      <c r="E3062" t="s">
        <v>68</v>
      </c>
      <c r="F3062" t="s">
        <v>49</v>
      </c>
      <c r="G3062" t="s">
        <v>6223</v>
      </c>
      <c r="H3062" t="s">
        <v>6224</v>
      </c>
      <c r="J3062" t="str">
        <f>HYPERLINK("https://www.youtube.com/watch?v=k4Jk2Nl60tE&amp;lc=UgxBmcEjaNZMhxGi-iR4AaABAg.9zu5v0d2Jwa9zwYEKT6Na9","https://www.youtube.com/watch?v=k4Jk2Nl60tE&amp;lc=UgxBmcEjaNZMhxGi-iR4AaABAg.9zu5v0d2Jwa9zwYEKT6Na9")</f>
        <v>https://www.youtube.com/watch?v=k4Jk2Nl60tE&amp;lc=UgxBmcEjaNZMhxGi-iR4AaABAg.9zu5v0d2Jwa9zwYEKT6Na9</v>
      </c>
      <c r="O3062">
        <v>0</v>
      </c>
      <c r="P3062">
        <v>0</v>
      </c>
      <c r="Q3062">
        <v>0</v>
      </c>
      <c r="S3062">
        <v>0</v>
      </c>
      <c r="T3062">
        <v>0</v>
      </c>
      <c r="U3062">
        <v>0</v>
      </c>
      <c r="W3062" t="s">
        <v>52</v>
      </c>
    </row>
    <row r="3063" spans="1:23" x14ac:dyDescent="0.35">
      <c r="A3063" t="s">
        <v>45</v>
      </c>
      <c r="B3063" t="s">
        <v>6063</v>
      </c>
      <c r="C3063" t="s">
        <v>47</v>
      </c>
      <c r="D3063" t="s">
        <v>68</v>
      </c>
      <c r="E3063" t="s">
        <v>68</v>
      </c>
      <c r="F3063" t="s">
        <v>49</v>
      </c>
      <c r="G3063" t="s">
        <v>102</v>
      </c>
      <c r="H3063" t="s">
        <v>6225</v>
      </c>
      <c r="J3063" t="str">
        <f>HYPERLINK("https://www.youtube.com/watch?v=ySy-ogKu0Pk&amp;lc=Ugxbj5nHTpVrs3vALw54AaABAg.9zuRrkyhO6X9zwVyW8a6lf","https://www.youtube.com/watch?v=ySy-ogKu0Pk&amp;lc=Ugxbj5nHTpVrs3vALw54AaABAg.9zuRrkyhO6X9zwVyW8a6lf")</f>
        <v>https://www.youtube.com/watch?v=ySy-ogKu0Pk&amp;lc=Ugxbj5nHTpVrs3vALw54AaABAg.9zuRrkyhO6X9zwVyW8a6lf</v>
      </c>
      <c r="O3063">
        <v>0</v>
      </c>
      <c r="P3063">
        <v>0</v>
      </c>
      <c r="Q3063">
        <v>0</v>
      </c>
      <c r="S3063">
        <v>0</v>
      </c>
      <c r="T3063">
        <v>0</v>
      </c>
      <c r="U3063">
        <v>0</v>
      </c>
      <c r="W3063" t="s">
        <v>52</v>
      </c>
    </row>
    <row r="3064" spans="1:23" x14ac:dyDescent="0.35">
      <c r="A3064" t="s">
        <v>45</v>
      </c>
      <c r="B3064" t="s">
        <v>6063</v>
      </c>
      <c r="C3064" t="s">
        <v>47</v>
      </c>
      <c r="D3064" t="s">
        <v>68</v>
      </c>
      <c r="E3064" t="s">
        <v>68</v>
      </c>
      <c r="F3064" t="s">
        <v>49</v>
      </c>
      <c r="G3064" t="s">
        <v>1595</v>
      </c>
      <c r="H3064" t="s">
        <v>6226</v>
      </c>
      <c r="J3064" t="str">
        <f>HYPERLINK("https://www.youtube.com/watch?v=ySy-ogKu0Pk&amp;lc=Ugx7Nl7T-dHH1CnX4a94AaABAg.9zuSO-drgnE9zwUV1FdyRJ","https://www.youtube.com/watch?v=ySy-ogKu0Pk&amp;lc=Ugx7Nl7T-dHH1CnX4a94AaABAg.9zuSO-drgnE9zwUV1FdyRJ")</f>
        <v>https://www.youtube.com/watch?v=ySy-ogKu0Pk&amp;lc=Ugx7Nl7T-dHH1CnX4a94AaABAg.9zuSO-drgnE9zwUV1FdyRJ</v>
      </c>
      <c r="O3064">
        <v>0</v>
      </c>
      <c r="P3064">
        <v>0</v>
      </c>
      <c r="Q3064">
        <v>0</v>
      </c>
      <c r="S3064">
        <v>0</v>
      </c>
      <c r="T3064">
        <v>0</v>
      </c>
      <c r="U3064">
        <v>0</v>
      </c>
      <c r="W3064" t="s">
        <v>52</v>
      </c>
    </row>
    <row r="3065" spans="1:23" x14ac:dyDescent="0.35">
      <c r="A3065" t="s">
        <v>45</v>
      </c>
      <c r="B3065" t="s">
        <v>6063</v>
      </c>
      <c r="C3065" t="s">
        <v>47</v>
      </c>
      <c r="D3065" t="s">
        <v>68</v>
      </c>
      <c r="E3065" t="s">
        <v>68</v>
      </c>
      <c r="F3065" t="s">
        <v>49</v>
      </c>
      <c r="G3065" t="s">
        <v>100</v>
      </c>
      <c r="H3065" t="s">
        <v>6227</v>
      </c>
      <c r="J3065" t="str">
        <f>HYPERLINK("https://www.youtube.com/watch?v=IHWzT2TNYKQ&amp;lc=UgwbOl1DVNIl56q_He14AaABAg.9zuwXQd76509zwTqTogdCF","https://www.youtube.com/watch?v=IHWzT2TNYKQ&amp;lc=UgwbOl1DVNIl56q_He14AaABAg.9zuwXQd76509zwTqTogdCF")</f>
        <v>https://www.youtube.com/watch?v=IHWzT2TNYKQ&amp;lc=UgwbOl1DVNIl56q_He14AaABAg.9zuwXQd76509zwTqTogdCF</v>
      </c>
      <c r="O3065">
        <v>0</v>
      </c>
      <c r="P3065">
        <v>0</v>
      </c>
      <c r="Q3065">
        <v>0</v>
      </c>
      <c r="S3065">
        <v>0</v>
      </c>
      <c r="T3065">
        <v>0</v>
      </c>
      <c r="U3065">
        <v>0</v>
      </c>
      <c r="W3065" t="s">
        <v>52</v>
      </c>
    </row>
    <row r="3066" spans="1:23" x14ac:dyDescent="0.35">
      <c r="A3066" t="s">
        <v>45</v>
      </c>
      <c r="B3066" t="s">
        <v>6063</v>
      </c>
      <c r="C3066" t="s">
        <v>47</v>
      </c>
      <c r="D3066" t="s">
        <v>68</v>
      </c>
      <c r="E3066" t="s">
        <v>68</v>
      </c>
      <c r="F3066" t="s">
        <v>49</v>
      </c>
      <c r="G3066" t="s">
        <v>102</v>
      </c>
      <c r="H3066" t="s">
        <v>6228</v>
      </c>
      <c r="J3066" t="str">
        <f>HYPERLINK("https://www.youtube.com/watch?v=z58WzdIZIO8&amp;lc=UgwqlRpDgi4pmAe-UAF4AaABAg.9zuv6vDHlWn9zwQ9b6pyKr","https://www.youtube.com/watch?v=z58WzdIZIO8&amp;lc=UgwqlRpDgi4pmAe-UAF4AaABAg.9zuv6vDHlWn9zwQ9b6pyKr")</f>
        <v>https://www.youtube.com/watch?v=z58WzdIZIO8&amp;lc=UgwqlRpDgi4pmAe-UAF4AaABAg.9zuv6vDHlWn9zwQ9b6pyKr</v>
      </c>
      <c r="O3066">
        <v>0</v>
      </c>
      <c r="P3066">
        <v>0</v>
      </c>
      <c r="Q3066">
        <v>0</v>
      </c>
      <c r="S3066">
        <v>0</v>
      </c>
      <c r="T3066">
        <v>0</v>
      </c>
      <c r="U3066">
        <v>0</v>
      </c>
      <c r="W3066" t="s">
        <v>52</v>
      </c>
    </row>
    <row r="3067" spans="1:23" x14ac:dyDescent="0.35">
      <c r="A3067" t="s">
        <v>45</v>
      </c>
      <c r="B3067" t="s">
        <v>6063</v>
      </c>
      <c r="C3067" t="s">
        <v>47</v>
      </c>
      <c r="D3067" t="s">
        <v>68</v>
      </c>
      <c r="E3067" t="s">
        <v>68</v>
      </c>
      <c r="F3067" t="s">
        <v>49</v>
      </c>
      <c r="G3067" t="s">
        <v>102</v>
      </c>
      <c r="H3067" t="s">
        <v>6229</v>
      </c>
      <c r="J3067" t="str">
        <f>HYPERLINK("https://www.youtube.com/watch?v=IHWzT2TNYKQ&amp;lc=UgygEZ8zar4C-6MW3Dd4AaABAg.9zv4JWViru_9zwPweV0ROd","https://www.youtube.com/watch?v=IHWzT2TNYKQ&amp;lc=UgygEZ8zar4C-6MW3Dd4AaABAg.9zv4JWViru_9zwPweV0ROd")</f>
        <v>https://www.youtube.com/watch?v=IHWzT2TNYKQ&amp;lc=UgygEZ8zar4C-6MW3Dd4AaABAg.9zv4JWViru_9zwPweV0ROd</v>
      </c>
      <c r="O3067">
        <v>0</v>
      </c>
      <c r="P3067">
        <v>0</v>
      </c>
      <c r="Q3067">
        <v>0</v>
      </c>
      <c r="S3067">
        <v>0</v>
      </c>
      <c r="T3067">
        <v>0</v>
      </c>
      <c r="U3067">
        <v>0</v>
      </c>
      <c r="W3067" t="s">
        <v>52</v>
      </c>
    </row>
    <row r="3068" spans="1:23" x14ac:dyDescent="0.35">
      <c r="A3068" t="s">
        <v>45</v>
      </c>
      <c r="B3068" t="s">
        <v>6063</v>
      </c>
      <c r="C3068" t="s">
        <v>47</v>
      </c>
      <c r="D3068" t="s">
        <v>68</v>
      </c>
      <c r="E3068" t="s">
        <v>68</v>
      </c>
      <c r="F3068" t="s">
        <v>49</v>
      </c>
      <c r="G3068" t="s">
        <v>100</v>
      </c>
      <c r="H3068" t="s">
        <v>6230</v>
      </c>
      <c r="J3068" t="str">
        <f>HYPERLINK("https://www.youtube.com/watch?v=IHWzT2TNYKQ&amp;lc=UgzPnorv4uPzDC05Tbt4AaABAg.9zvRXWV9XG39zwPhB3UCQw","https://www.youtube.com/watch?v=IHWzT2TNYKQ&amp;lc=UgzPnorv4uPzDC05Tbt4AaABAg.9zvRXWV9XG39zwPhB3UCQw")</f>
        <v>https://www.youtube.com/watch?v=IHWzT2TNYKQ&amp;lc=UgzPnorv4uPzDC05Tbt4AaABAg.9zvRXWV9XG39zwPhB3UCQw</v>
      </c>
      <c r="O3068">
        <v>0</v>
      </c>
      <c r="P3068">
        <v>0</v>
      </c>
      <c r="Q3068">
        <v>0</v>
      </c>
      <c r="S3068">
        <v>0</v>
      </c>
      <c r="T3068">
        <v>0</v>
      </c>
      <c r="U3068">
        <v>0</v>
      </c>
      <c r="W3068" t="s">
        <v>52</v>
      </c>
    </row>
    <row r="3069" spans="1:23" x14ac:dyDescent="0.35">
      <c r="A3069" t="s">
        <v>45</v>
      </c>
      <c r="B3069" t="s">
        <v>6063</v>
      </c>
      <c r="C3069" t="s">
        <v>60</v>
      </c>
      <c r="D3069" t="s">
        <v>64</v>
      </c>
      <c r="E3069" t="s">
        <v>64</v>
      </c>
      <c r="F3069" t="s">
        <v>49</v>
      </c>
      <c r="G3069" t="s">
        <v>6231</v>
      </c>
      <c r="H3069" t="s">
        <v>6232</v>
      </c>
      <c r="J3069" t="str">
        <f>HYPERLINK("https://www.facebook.com/634639855377280/posts/778114767696454","https://www.facebook.com/634639855377280/posts/778114767696454")</f>
        <v>https://www.facebook.com/634639855377280/posts/778114767696454</v>
      </c>
      <c r="O3069">
        <v>0</v>
      </c>
      <c r="P3069">
        <v>0</v>
      </c>
      <c r="Q3069">
        <v>0</v>
      </c>
      <c r="S3069">
        <v>9</v>
      </c>
      <c r="T3069">
        <v>30</v>
      </c>
      <c r="U3069">
        <v>6</v>
      </c>
      <c r="W3069" t="s">
        <v>346</v>
      </c>
    </row>
    <row r="3070" spans="1:23" x14ac:dyDescent="0.35">
      <c r="A3070" t="s">
        <v>45</v>
      </c>
      <c r="B3070" t="s">
        <v>6063</v>
      </c>
      <c r="C3070" t="s">
        <v>47</v>
      </c>
      <c r="D3070" t="s">
        <v>5125</v>
      </c>
      <c r="E3070" t="s">
        <v>5125</v>
      </c>
      <c r="F3070" t="s">
        <v>49</v>
      </c>
      <c r="G3070" t="s">
        <v>6233</v>
      </c>
      <c r="H3070" t="s">
        <v>6234</v>
      </c>
      <c r="J3070" t="str">
        <f>HYPERLINK("https://www.youtube.com/watch?v=pJw8yRpVZew&amp;lc=Ugx8LRkn_0Z8u48deMV4AaABAg","https://www.youtube.com/watch?v=pJw8yRpVZew&amp;lc=Ugx8LRkn_0Z8u48deMV4AaABAg")</f>
        <v>https://www.youtube.com/watch?v=pJw8yRpVZew&amp;lc=Ugx8LRkn_0Z8u48deMV4AaABAg</v>
      </c>
      <c r="O3070">
        <v>0</v>
      </c>
      <c r="P3070">
        <v>0</v>
      </c>
      <c r="Q3070">
        <v>0</v>
      </c>
      <c r="S3070">
        <v>0</v>
      </c>
      <c r="T3070">
        <v>0</v>
      </c>
      <c r="U3070">
        <v>0</v>
      </c>
      <c r="W3070" t="s">
        <v>52</v>
      </c>
    </row>
    <row r="3071" spans="1:23" x14ac:dyDescent="0.35">
      <c r="A3071" t="s">
        <v>45</v>
      </c>
      <c r="B3071" t="s">
        <v>6063</v>
      </c>
      <c r="C3071" t="s">
        <v>47</v>
      </c>
      <c r="D3071" t="s">
        <v>5125</v>
      </c>
      <c r="E3071" t="s">
        <v>5125</v>
      </c>
      <c r="F3071" t="s">
        <v>54</v>
      </c>
      <c r="G3071" t="s">
        <v>6235</v>
      </c>
      <c r="H3071" t="s">
        <v>6236</v>
      </c>
      <c r="J3071" t="str">
        <f>HYPERLINK("https://www.youtube.com/watch?v=IHWzT2TNYKQ&amp;lc=UgysRbJmnwz9s08Nf4t4AaABAg","https://www.youtube.com/watch?v=IHWzT2TNYKQ&amp;lc=UgysRbJmnwz9s08Nf4t4AaABAg")</f>
        <v>https://www.youtube.com/watch?v=IHWzT2TNYKQ&amp;lc=UgysRbJmnwz9s08Nf4t4AaABAg</v>
      </c>
      <c r="O3071">
        <v>0</v>
      </c>
      <c r="P3071">
        <v>0</v>
      </c>
      <c r="Q3071">
        <v>0</v>
      </c>
      <c r="S3071">
        <v>0</v>
      </c>
      <c r="T3071">
        <v>0</v>
      </c>
      <c r="U3071">
        <v>0</v>
      </c>
      <c r="W3071" t="s">
        <v>52</v>
      </c>
    </row>
    <row r="3072" spans="1:23" x14ac:dyDescent="0.35">
      <c r="A3072" t="s">
        <v>45</v>
      </c>
      <c r="B3072" t="s">
        <v>6063</v>
      </c>
      <c r="C3072" t="s">
        <v>47</v>
      </c>
      <c r="D3072" t="s">
        <v>2003</v>
      </c>
      <c r="E3072" t="s">
        <v>2003</v>
      </c>
      <c r="F3072" t="s">
        <v>49</v>
      </c>
      <c r="G3072" t="s">
        <v>6237</v>
      </c>
      <c r="H3072" t="s">
        <v>6238</v>
      </c>
      <c r="J3072" t="str">
        <f>HYPERLINK("https://www.youtube.com/watch?v=XgzHGCJjfls&amp;lc=UgyXp-D6Ne0-HkNYbXp4AaABAg","https://www.youtube.com/watch?v=XgzHGCJjfls&amp;lc=UgyXp-D6Ne0-HkNYbXp4AaABAg")</f>
        <v>https://www.youtube.com/watch?v=XgzHGCJjfls&amp;lc=UgyXp-D6Ne0-HkNYbXp4AaABAg</v>
      </c>
      <c r="O3072">
        <v>0</v>
      </c>
      <c r="P3072">
        <v>0</v>
      </c>
      <c r="Q3072">
        <v>0</v>
      </c>
      <c r="S3072">
        <v>0</v>
      </c>
      <c r="T3072">
        <v>0</v>
      </c>
      <c r="U3072">
        <v>0</v>
      </c>
      <c r="W3072" t="s">
        <v>52</v>
      </c>
    </row>
    <row r="3073" spans="1:23" x14ac:dyDescent="0.35">
      <c r="A3073" t="s">
        <v>45</v>
      </c>
      <c r="B3073" t="s">
        <v>6063</v>
      </c>
      <c r="C3073" t="s">
        <v>47</v>
      </c>
      <c r="D3073" t="s">
        <v>2003</v>
      </c>
      <c r="E3073" t="s">
        <v>2003</v>
      </c>
      <c r="F3073" t="s">
        <v>49</v>
      </c>
      <c r="G3073" t="s">
        <v>6237</v>
      </c>
      <c r="H3073" t="s">
        <v>6239</v>
      </c>
      <c r="J3073" t="str">
        <f>HYPERLINK("https://www.youtube.com/watch?v=2LBdc-y1tKQ&amp;lc=UgxNNZzWV1NoXyx2N614AaABAg","https://www.youtube.com/watch?v=2LBdc-y1tKQ&amp;lc=UgxNNZzWV1NoXyx2N614AaABAg")</f>
        <v>https://www.youtube.com/watch?v=2LBdc-y1tKQ&amp;lc=UgxNNZzWV1NoXyx2N614AaABAg</v>
      </c>
      <c r="O3073">
        <v>0</v>
      </c>
      <c r="P3073">
        <v>0</v>
      </c>
      <c r="Q3073">
        <v>0</v>
      </c>
      <c r="S3073">
        <v>0</v>
      </c>
      <c r="T3073">
        <v>0</v>
      </c>
      <c r="U3073">
        <v>0</v>
      </c>
      <c r="W3073" t="s">
        <v>52</v>
      </c>
    </row>
    <row r="3074" spans="1:23" x14ac:dyDescent="0.35">
      <c r="A3074" t="s">
        <v>45</v>
      </c>
      <c r="B3074" t="s">
        <v>6063</v>
      </c>
      <c r="C3074" t="s">
        <v>47</v>
      </c>
      <c r="D3074" t="s">
        <v>2003</v>
      </c>
      <c r="E3074" t="s">
        <v>2003</v>
      </c>
      <c r="F3074" t="s">
        <v>49</v>
      </c>
      <c r="G3074" t="s">
        <v>6237</v>
      </c>
      <c r="H3074" t="s">
        <v>6240</v>
      </c>
      <c r="J3074" t="str">
        <f>HYPERLINK("https://www.youtube.com/watch?v=w_spCvVW92w&amp;lc=Ugwh0Inxd67ad_EInrN4AaABAg","https://www.youtube.com/watch?v=w_spCvVW92w&amp;lc=Ugwh0Inxd67ad_EInrN4AaABAg")</f>
        <v>https://www.youtube.com/watch?v=w_spCvVW92w&amp;lc=Ugwh0Inxd67ad_EInrN4AaABAg</v>
      </c>
      <c r="O3074">
        <v>0</v>
      </c>
      <c r="P3074">
        <v>0</v>
      </c>
      <c r="Q3074">
        <v>0</v>
      </c>
      <c r="S3074">
        <v>0</v>
      </c>
      <c r="T3074">
        <v>0</v>
      </c>
      <c r="U3074">
        <v>0</v>
      </c>
      <c r="W3074" t="s">
        <v>52</v>
      </c>
    </row>
    <row r="3075" spans="1:23" x14ac:dyDescent="0.35">
      <c r="A3075" t="s">
        <v>45</v>
      </c>
      <c r="B3075" t="s">
        <v>6063</v>
      </c>
      <c r="C3075" t="s">
        <v>47</v>
      </c>
      <c r="D3075" t="s">
        <v>2003</v>
      </c>
      <c r="E3075" t="s">
        <v>2003</v>
      </c>
      <c r="F3075" t="s">
        <v>49</v>
      </c>
      <c r="G3075" t="s">
        <v>6237</v>
      </c>
      <c r="H3075" t="s">
        <v>6241</v>
      </c>
      <c r="J3075" t="str">
        <f>HYPERLINK("https://www.youtube.com/watch?v=WFhlOwAtEvE&amp;lc=UgwICBnwMIJvk21fRoZ4AaABAg","https://www.youtube.com/watch?v=WFhlOwAtEvE&amp;lc=UgwICBnwMIJvk21fRoZ4AaABAg")</f>
        <v>https://www.youtube.com/watch?v=WFhlOwAtEvE&amp;lc=UgwICBnwMIJvk21fRoZ4AaABAg</v>
      </c>
      <c r="O3075">
        <v>0</v>
      </c>
      <c r="P3075">
        <v>0</v>
      </c>
      <c r="Q3075">
        <v>0</v>
      </c>
      <c r="S3075">
        <v>0</v>
      </c>
      <c r="T3075">
        <v>0</v>
      </c>
      <c r="U3075">
        <v>0</v>
      </c>
      <c r="W3075" t="s">
        <v>52</v>
      </c>
    </row>
    <row r="3076" spans="1:23" x14ac:dyDescent="0.35">
      <c r="A3076" t="s">
        <v>45</v>
      </c>
      <c r="B3076" t="s">
        <v>6063</v>
      </c>
      <c r="C3076" t="s">
        <v>47</v>
      </c>
      <c r="D3076" t="s">
        <v>2003</v>
      </c>
      <c r="E3076" t="s">
        <v>2003</v>
      </c>
      <c r="F3076" t="s">
        <v>49</v>
      </c>
      <c r="G3076" t="s">
        <v>6237</v>
      </c>
      <c r="H3076" t="s">
        <v>6242</v>
      </c>
      <c r="J3076" t="str">
        <f>HYPERLINK("https://www.youtube.com/watch?v=ySy-ogKu0Pk&amp;lc=UgwKhxWfzqhvHdYmD2t4AaABAg","https://www.youtube.com/watch?v=ySy-ogKu0Pk&amp;lc=UgwKhxWfzqhvHdYmD2t4AaABAg")</f>
        <v>https://www.youtube.com/watch?v=ySy-ogKu0Pk&amp;lc=UgwKhxWfzqhvHdYmD2t4AaABAg</v>
      </c>
      <c r="O3076">
        <v>0</v>
      </c>
      <c r="P3076">
        <v>0</v>
      </c>
      <c r="Q3076">
        <v>0</v>
      </c>
      <c r="S3076">
        <v>0</v>
      </c>
      <c r="T3076">
        <v>0</v>
      </c>
      <c r="U3076">
        <v>0</v>
      </c>
      <c r="W3076" t="s">
        <v>52</v>
      </c>
    </row>
    <row r="3077" spans="1:23" x14ac:dyDescent="0.35">
      <c r="A3077" t="s">
        <v>45</v>
      </c>
      <c r="B3077" t="s">
        <v>6063</v>
      </c>
      <c r="C3077" t="s">
        <v>47</v>
      </c>
      <c r="D3077" t="s">
        <v>2003</v>
      </c>
      <c r="E3077" t="s">
        <v>2003</v>
      </c>
      <c r="F3077" t="s">
        <v>49</v>
      </c>
      <c r="G3077" t="s">
        <v>6237</v>
      </c>
      <c r="H3077" t="s">
        <v>6243</v>
      </c>
      <c r="J3077" t="str">
        <f>HYPERLINK("https://www.youtube.com/watch?v=IHWzT2TNYKQ&amp;lc=UgzmW2xhNsxqiB9x0hJ4AaABAg","https://www.youtube.com/watch?v=IHWzT2TNYKQ&amp;lc=UgzmW2xhNsxqiB9x0hJ4AaABAg")</f>
        <v>https://www.youtube.com/watch?v=IHWzT2TNYKQ&amp;lc=UgzmW2xhNsxqiB9x0hJ4AaABAg</v>
      </c>
      <c r="O3077">
        <v>0</v>
      </c>
      <c r="P3077">
        <v>0</v>
      </c>
      <c r="Q3077">
        <v>0</v>
      </c>
      <c r="S3077">
        <v>0</v>
      </c>
      <c r="T3077">
        <v>0</v>
      </c>
      <c r="U3077">
        <v>0</v>
      </c>
      <c r="W3077" t="s">
        <v>52</v>
      </c>
    </row>
    <row r="3078" spans="1:23" x14ac:dyDescent="0.35">
      <c r="A3078" t="s">
        <v>45</v>
      </c>
      <c r="B3078" t="s">
        <v>6244</v>
      </c>
      <c r="C3078" t="s">
        <v>47</v>
      </c>
      <c r="D3078" t="s">
        <v>2003</v>
      </c>
      <c r="E3078" t="s">
        <v>2003</v>
      </c>
      <c r="F3078" t="s">
        <v>193</v>
      </c>
      <c r="G3078" t="s">
        <v>6245</v>
      </c>
      <c r="H3078" t="s">
        <v>6246</v>
      </c>
      <c r="J3078" t="str">
        <f>HYPERLINK("https://www.youtube.com/watch?v=IHWzT2TNYKQ&amp;lc=UgzPnorv4uPzDC05Tbt4AaABAg","https://www.youtube.com/watch?v=IHWzT2TNYKQ&amp;lc=UgzPnorv4uPzDC05Tbt4AaABAg")</f>
        <v>https://www.youtube.com/watch?v=IHWzT2TNYKQ&amp;lc=UgzPnorv4uPzDC05Tbt4AaABAg</v>
      </c>
      <c r="O3078">
        <v>0</v>
      </c>
      <c r="P3078">
        <v>0</v>
      </c>
      <c r="Q3078">
        <v>0</v>
      </c>
      <c r="S3078">
        <v>0</v>
      </c>
      <c r="T3078">
        <v>0</v>
      </c>
      <c r="U3078">
        <v>0</v>
      </c>
      <c r="W3078" t="s">
        <v>52</v>
      </c>
    </row>
    <row r="3079" spans="1:23" x14ac:dyDescent="0.35">
      <c r="A3079" t="s">
        <v>45</v>
      </c>
      <c r="B3079" t="s">
        <v>6244</v>
      </c>
      <c r="C3079" t="s">
        <v>60</v>
      </c>
      <c r="D3079" t="s">
        <v>61</v>
      </c>
      <c r="E3079" t="s">
        <v>61</v>
      </c>
      <c r="F3079" t="s">
        <v>49</v>
      </c>
      <c r="G3079" t="s">
        <v>6247</v>
      </c>
      <c r="H3079" t="s">
        <v>6248</v>
      </c>
      <c r="J3079" t="str">
        <f>HYPERLINK("https://www.facebook.com/634639855377280/posts/774950251346239?comment_id=373476665318470","https://www.facebook.com/634639855377280/posts/774950251346239?comment_id=373476665318470")</f>
        <v>https://www.facebook.com/634639855377280/posts/774950251346239?comment_id=373476665318470</v>
      </c>
      <c r="O3079">
        <v>0</v>
      </c>
      <c r="P3079">
        <v>0</v>
      </c>
      <c r="Q3079">
        <v>0</v>
      </c>
      <c r="S3079">
        <v>0</v>
      </c>
      <c r="T3079">
        <v>0</v>
      </c>
      <c r="U3079">
        <v>0</v>
      </c>
      <c r="W3079" t="s">
        <v>52</v>
      </c>
    </row>
    <row r="3080" spans="1:23" x14ac:dyDescent="0.35">
      <c r="A3080" t="s">
        <v>45</v>
      </c>
      <c r="B3080" t="s">
        <v>6244</v>
      </c>
      <c r="C3080" t="s">
        <v>93</v>
      </c>
      <c r="D3080" t="s">
        <v>6249</v>
      </c>
      <c r="E3080" t="s">
        <v>6250</v>
      </c>
      <c r="F3080" t="s">
        <v>49</v>
      </c>
      <c r="G3080" t="s">
        <v>6251</v>
      </c>
      <c r="H3080" t="s">
        <v>6252</v>
      </c>
      <c r="J3080" t="str">
        <f>HYPERLINK("https://twitter.com/ROHITKU22787129/status/1749824958426235176","https://twitter.com/ROHITKU22787129/status/1749824958426235176")</f>
        <v>https://twitter.com/ROHITKU22787129/status/1749824958426235176</v>
      </c>
      <c r="K3080" t="s">
        <v>67</v>
      </c>
      <c r="O3080">
        <v>0</v>
      </c>
      <c r="P3080">
        <v>0</v>
      </c>
      <c r="Q3080">
        <v>48</v>
      </c>
      <c r="R3080" t="s">
        <v>6253</v>
      </c>
      <c r="S3080">
        <v>0</v>
      </c>
      <c r="T3080">
        <v>0</v>
      </c>
      <c r="U3080">
        <v>0</v>
      </c>
      <c r="W3080" t="s">
        <v>99</v>
      </c>
    </row>
    <row r="3081" spans="1:23" x14ac:dyDescent="0.35">
      <c r="A3081" t="s">
        <v>45</v>
      </c>
      <c r="B3081" t="s">
        <v>6244</v>
      </c>
      <c r="C3081" t="s">
        <v>60</v>
      </c>
      <c r="D3081" t="s">
        <v>61</v>
      </c>
      <c r="E3081" t="s">
        <v>61</v>
      </c>
      <c r="F3081" t="s">
        <v>49</v>
      </c>
      <c r="G3081" t="s">
        <v>6254</v>
      </c>
      <c r="H3081" t="s">
        <v>6255</v>
      </c>
      <c r="J3081" t="str">
        <f>HYPERLINK("https://www.facebook.com/634639855377280/posts/776916321149632?comment_id=389834593449697","https://www.facebook.com/634639855377280/posts/776916321149632?comment_id=389834593449697")</f>
        <v>https://www.facebook.com/634639855377280/posts/776916321149632?comment_id=389834593449697</v>
      </c>
      <c r="O3081">
        <v>0</v>
      </c>
      <c r="P3081">
        <v>0</v>
      </c>
      <c r="Q3081">
        <v>0</v>
      </c>
      <c r="S3081">
        <v>0</v>
      </c>
      <c r="T3081">
        <v>0</v>
      </c>
      <c r="U3081">
        <v>0</v>
      </c>
      <c r="W3081" t="s">
        <v>52</v>
      </c>
    </row>
    <row r="3082" spans="1:23" x14ac:dyDescent="0.35">
      <c r="A3082" t="s">
        <v>45</v>
      </c>
      <c r="B3082" t="s">
        <v>6244</v>
      </c>
      <c r="C3082" t="s">
        <v>47</v>
      </c>
      <c r="D3082" t="s">
        <v>6256</v>
      </c>
      <c r="E3082" t="s">
        <v>6256</v>
      </c>
      <c r="F3082" t="s">
        <v>49</v>
      </c>
      <c r="G3082" t="s">
        <v>6257</v>
      </c>
      <c r="H3082" t="s">
        <v>6258</v>
      </c>
      <c r="J3082" t="str">
        <f>HYPERLINK("https://www.youtube.com/watch?v=k4Jk2Nl60tE&amp;lc=Ugz9t3FKwIzocB5Uwml4AaABAg","https://www.youtube.com/watch?v=k4Jk2Nl60tE&amp;lc=Ugz9t3FKwIzocB5Uwml4AaABAg")</f>
        <v>https://www.youtube.com/watch?v=k4Jk2Nl60tE&amp;lc=Ugz9t3FKwIzocB5Uwml4AaABAg</v>
      </c>
      <c r="O3082">
        <v>0</v>
      </c>
      <c r="P3082">
        <v>0</v>
      </c>
      <c r="Q3082">
        <v>0</v>
      </c>
      <c r="S3082">
        <v>0</v>
      </c>
      <c r="T3082">
        <v>0</v>
      </c>
      <c r="U3082">
        <v>0</v>
      </c>
      <c r="W3082" t="s">
        <v>52</v>
      </c>
    </row>
    <row r="3083" spans="1:23" x14ac:dyDescent="0.35">
      <c r="A3083" t="s">
        <v>45</v>
      </c>
      <c r="B3083" t="s">
        <v>6244</v>
      </c>
      <c r="C3083" t="s">
        <v>93</v>
      </c>
      <c r="D3083" t="s">
        <v>6259</v>
      </c>
      <c r="E3083" t="s">
        <v>6260</v>
      </c>
      <c r="F3083" t="s">
        <v>49</v>
      </c>
      <c r="G3083" t="s">
        <v>6261</v>
      </c>
      <c r="H3083" t="s">
        <v>6262</v>
      </c>
      <c r="J3083" t="str">
        <f>HYPERLINK("https://twitter.com/dineshsahu0202/status/1749810256279175626","https://twitter.com/dineshsahu0202/status/1749810256279175626")</f>
        <v>https://twitter.com/dineshsahu0202/status/1749810256279175626</v>
      </c>
      <c r="K3083" t="s">
        <v>67</v>
      </c>
      <c r="O3083">
        <v>0</v>
      </c>
      <c r="P3083">
        <v>0</v>
      </c>
      <c r="Q3083">
        <v>2</v>
      </c>
      <c r="S3083">
        <v>0</v>
      </c>
      <c r="T3083">
        <v>0</v>
      </c>
      <c r="U3083">
        <v>0</v>
      </c>
      <c r="W3083" t="s">
        <v>99</v>
      </c>
    </row>
    <row r="3084" spans="1:23" x14ac:dyDescent="0.35">
      <c r="A3084" t="s">
        <v>45</v>
      </c>
      <c r="B3084" t="s">
        <v>6244</v>
      </c>
      <c r="C3084" t="s">
        <v>47</v>
      </c>
      <c r="D3084" t="s">
        <v>6263</v>
      </c>
      <c r="E3084" t="s">
        <v>6263</v>
      </c>
      <c r="F3084" t="s">
        <v>49</v>
      </c>
      <c r="G3084" t="s">
        <v>6264</v>
      </c>
      <c r="H3084" t="s">
        <v>6265</v>
      </c>
      <c r="J3084" t="str">
        <f>HYPERLINK("https://www.youtube.com/watch?v=IHWzT2TNYKQ&amp;lc=UgyoLK_Kq-WkVdMtozV4AaABAg","https://www.youtube.com/watch?v=IHWzT2TNYKQ&amp;lc=UgyoLK_Kq-WkVdMtozV4AaABAg")</f>
        <v>https://www.youtube.com/watch?v=IHWzT2TNYKQ&amp;lc=UgyoLK_Kq-WkVdMtozV4AaABAg</v>
      </c>
      <c r="O3084">
        <v>0</v>
      </c>
      <c r="P3084">
        <v>0</v>
      </c>
      <c r="Q3084">
        <v>0</v>
      </c>
      <c r="S3084">
        <v>0</v>
      </c>
      <c r="T3084">
        <v>0</v>
      </c>
      <c r="U3084">
        <v>0</v>
      </c>
      <c r="W3084" t="s">
        <v>52</v>
      </c>
    </row>
    <row r="3085" spans="1:23" x14ac:dyDescent="0.35">
      <c r="A3085" t="s">
        <v>45</v>
      </c>
      <c r="B3085" t="s">
        <v>6244</v>
      </c>
      <c r="C3085" t="s">
        <v>47</v>
      </c>
      <c r="D3085" t="s">
        <v>5833</v>
      </c>
      <c r="E3085" t="s">
        <v>5833</v>
      </c>
      <c r="F3085" t="s">
        <v>49</v>
      </c>
      <c r="G3085" t="s">
        <v>6266</v>
      </c>
      <c r="H3085" t="s">
        <v>6267</v>
      </c>
      <c r="J3085" t="str">
        <f>HYPERLINK("https://www.youtube.com/watch?v=IHWzT2TNYKQ&amp;lc=UgygEZ8zar4C-6MW3Dd4AaABAg","https://www.youtube.com/watch?v=IHWzT2TNYKQ&amp;lc=UgygEZ8zar4C-6MW3Dd4AaABAg")</f>
        <v>https://www.youtube.com/watch?v=IHWzT2TNYKQ&amp;lc=UgygEZ8zar4C-6MW3Dd4AaABAg</v>
      </c>
      <c r="O3085">
        <v>0</v>
      </c>
      <c r="P3085">
        <v>0</v>
      </c>
      <c r="Q3085">
        <v>0</v>
      </c>
      <c r="S3085">
        <v>0</v>
      </c>
      <c r="T3085">
        <v>0</v>
      </c>
      <c r="U3085">
        <v>0</v>
      </c>
      <c r="W3085" t="s">
        <v>52</v>
      </c>
    </row>
    <row r="3086" spans="1:23" x14ac:dyDescent="0.35">
      <c r="A3086" t="s">
        <v>45</v>
      </c>
      <c r="B3086" t="s">
        <v>6244</v>
      </c>
      <c r="C3086" t="s">
        <v>60</v>
      </c>
      <c r="D3086" t="s">
        <v>61</v>
      </c>
      <c r="E3086" t="s">
        <v>61</v>
      </c>
      <c r="F3086" t="s">
        <v>49</v>
      </c>
      <c r="G3086" t="s">
        <v>6268</v>
      </c>
      <c r="H3086" t="s">
        <v>6269</v>
      </c>
      <c r="J3086" t="str">
        <f>HYPERLINK("https://www.facebook.com/634639855377280/posts/774483894726208?comment_id=188664647637912&amp;reply_comment_id=928964511731444","https://www.facebook.com/634639855377280/posts/774483894726208?comment_id=188664647637912&amp;reply_comment_id=928964511731444")</f>
        <v>https://www.facebook.com/634639855377280/posts/774483894726208?comment_id=188664647637912&amp;reply_comment_id=928964511731444</v>
      </c>
      <c r="O3086">
        <v>0</v>
      </c>
      <c r="P3086">
        <v>0</v>
      </c>
      <c r="Q3086">
        <v>0</v>
      </c>
      <c r="S3086">
        <v>0</v>
      </c>
      <c r="T3086">
        <v>0</v>
      </c>
      <c r="U3086">
        <v>0</v>
      </c>
      <c r="W3086" t="s">
        <v>52</v>
      </c>
    </row>
    <row r="3087" spans="1:23" x14ac:dyDescent="0.35">
      <c r="A3087" t="s">
        <v>45</v>
      </c>
      <c r="B3087" t="s">
        <v>6244</v>
      </c>
      <c r="C3087" t="s">
        <v>47</v>
      </c>
      <c r="D3087" t="s">
        <v>6270</v>
      </c>
      <c r="E3087" t="s">
        <v>6270</v>
      </c>
      <c r="F3087" t="s">
        <v>54</v>
      </c>
      <c r="G3087" t="s">
        <v>6271</v>
      </c>
      <c r="H3087" t="s">
        <v>6272</v>
      </c>
      <c r="J3087" t="str">
        <f>HYPERLINK("https://www.youtube.com/watch?v=IHWzT2TNYKQ&amp;lc=Ugwa2PGTixXxciO70kZ4AaABAg","https://www.youtube.com/watch?v=IHWzT2TNYKQ&amp;lc=Ugwa2PGTixXxciO70kZ4AaABAg")</f>
        <v>https://www.youtube.com/watch?v=IHWzT2TNYKQ&amp;lc=Ugwa2PGTixXxciO70kZ4AaABAg</v>
      </c>
      <c r="O3087">
        <v>0</v>
      </c>
      <c r="P3087">
        <v>0</v>
      </c>
      <c r="Q3087">
        <v>0</v>
      </c>
      <c r="S3087">
        <v>0</v>
      </c>
      <c r="T3087">
        <v>0</v>
      </c>
      <c r="U3087">
        <v>0</v>
      </c>
      <c r="W3087" t="s">
        <v>52</v>
      </c>
    </row>
    <row r="3088" spans="1:23" x14ac:dyDescent="0.35">
      <c r="A3088" t="s">
        <v>45</v>
      </c>
      <c r="B3088" t="s">
        <v>6244</v>
      </c>
      <c r="C3088" t="s">
        <v>60</v>
      </c>
      <c r="D3088" t="s">
        <v>61</v>
      </c>
      <c r="E3088" t="s">
        <v>61</v>
      </c>
      <c r="F3088" t="s">
        <v>49</v>
      </c>
      <c r="G3088" t="s">
        <v>6273</v>
      </c>
      <c r="H3088" t="s">
        <v>6274</v>
      </c>
      <c r="J3088" t="str">
        <f>HYPERLINK("https://www.facebook.com/634639855377280/posts/774412801399984?comment_id=265543606378607","https://www.facebook.com/634639855377280/posts/774412801399984?comment_id=265543606378607")</f>
        <v>https://www.facebook.com/634639855377280/posts/774412801399984?comment_id=265543606378607</v>
      </c>
      <c r="O3088">
        <v>0</v>
      </c>
      <c r="P3088">
        <v>0</v>
      </c>
      <c r="Q3088">
        <v>0</v>
      </c>
      <c r="S3088">
        <v>0</v>
      </c>
      <c r="T3088">
        <v>0</v>
      </c>
      <c r="U3088">
        <v>0</v>
      </c>
      <c r="W3088" t="s">
        <v>52</v>
      </c>
    </row>
    <row r="3089" spans="1:23" x14ac:dyDescent="0.35">
      <c r="A3089" t="s">
        <v>45</v>
      </c>
      <c r="B3089" t="s">
        <v>6244</v>
      </c>
      <c r="C3089" t="s">
        <v>47</v>
      </c>
      <c r="D3089" t="s">
        <v>6275</v>
      </c>
      <c r="E3089" t="s">
        <v>6275</v>
      </c>
      <c r="F3089" t="s">
        <v>49</v>
      </c>
      <c r="G3089" t="s">
        <v>6276</v>
      </c>
      <c r="H3089" t="s">
        <v>6277</v>
      </c>
      <c r="J3089" t="str">
        <f>HYPERLINK("https://www.youtube.com/watch?v=IHWzT2TNYKQ&amp;lc=UgwbOl1DVNIl56q_He14AaABAg","https://www.youtube.com/watch?v=IHWzT2TNYKQ&amp;lc=UgwbOl1DVNIl56q_He14AaABAg")</f>
        <v>https://www.youtube.com/watch?v=IHWzT2TNYKQ&amp;lc=UgwbOl1DVNIl56q_He14AaABAg</v>
      </c>
      <c r="O3089">
        <v>0</v>
      </c>
      <c r="P3089">
        <v>0</v>
      </c>
      <c r="Q3089">
        <v>0</v>
      </c>
      <c r="S3089">
        <v>0</v>
      </c>
      <c r="T3089">
        <v>0</v>
      </c>
      <c r="U3089">
        <v>0</v>
      </c>
      <c r="W3089" t="s">
        <v>52</v>
      </c>
    </row>
    <row r="3090" spans="1:23" x14ac:dyDescent="0.35">
      <c r="A3090" t="s">
        <v>45</v>
      </c>
      <c r="B3090" t="s">
        <v>6244</v>
      </c>
      <c r="C3090" t="s">
        <v>60</v>
      </c>
      <c r="D3090" t="s">
        <v>61</v>
      </c>
      <c r="E3090" t="s">
        <v>61</v>
      </c>
      <c r="F3090" t="s">
        <v>49</v>
      </c>
      <c r="G3090" t="s">
        <v>6278</v>
      </c>
      <c r="H3090" t="s">
        <v>6279</v>
      </c>
      <c r="J3090" t="str">
        <f>HYPERLINK("https://www.facebook.com/634639855377280/posts/774412801399984?comment_id=675753267962846","https://www.facebook.com/634639855377280/posts/774412801399984?comment_id=675753267962846")</f>
        <v>https://www.facebook.com/634639855377280/posts/774412801399984?comment_id=675753267962846</v>
      </c>
      <c r="O3090">
        <v>0</v>
      </c>
      <c r="P3090">
        <v>0</v>
      </c>
      <c r="Q3090">
        <v>0</v>
      </c>
      <c r="S3090">
        <v>0</v>
      </c>
      <c r="T3090">
        <v>0</v>
      </c>
      <c r="U3090">
        <v>0</v>
      </c>
      <c r="W3090" t="s">
        <v>52</v>
      </c>
    </row>
    <row r="3091" spans="1:23" x14ac:dyDescent="0.35">
      <c r="A3091" t="s">
        <v>45</v>
      </c>
      <c r="B3091" t="s">
        <v>6244</v>
      </c>
      <c r="C3091" t="s">
        <v>47</v>
      </c>
      <c r="D3091" t="s">
        <v>6280</v>
      </c>
      <c r="E3091" t="s">
        <v>6280</v>
      </c>
      <c r="F3091" t="s">
        <v>54</v>
      </c>
      <c r="G3091" t="s">
        <v>6281</v>
      </c>
      <c r="H3091" t="s">
        <v>6282</v>
      </c>
      <c r="J3091" t="str">
        <f>HYPERLINK("https://www.youtube.com/watch?v=IHWzT2TNYKQ&amp;lc=UgyjiOXUO_7dA_-_vvl4AaABAg","https://www.youtube.com/watch?v=IHWzT2TNYKQ&amp;lc=UgyjiOXUO_7dA_-_vvl4AaABAg")</f>
        <v>https://www.youtube.com/watch?v=IHWzT2TNYKQ&amp;lc=UgyjiOXUO_7dA_-_vvl4AaABAg</v>
      </c>
      <c r="O3091">
        <v>0</v>
      </c>
      <c r="P3091">
        <v>0</v>
      </c>
      <c r="Q3091">
        <v>0</v>
      </c>
      <c r="S3091">
        <v>0</v>
      </c>
      <c r="T3091">
        <v>0</v>
      </c>
      <c r="U3091">
        <v>0</v>
      </c>
      <c r="W3091" t="s">
        <v>52</v>
      </c>
    </row>
    <row r="3092" spans="1:23" x14ac:dyDescent="0.35">
      <c r="A3092" t="s">
        <v>45</v>
      </c>
      <c r="B3092" t="s">
        <v>6244</v>
      </c>
      <c r="C3092" t="s">
        <v>47</v>
      </c>
      <c r="D3092" t="s">
        <v>6283</v>
      </c>
      <c r="E3092" t="s">
        <v>6283</v>
      </c>
      <c r="F3092" t="s">
        <v>49</v>
      </c>
      <c r="G3092" t="s">
        <v>6284</v>
      </c>
      <c r="H3092" t="s">
        <v>6285</v>
      </c>
      <c r="J3092" t="str">
        <f>HYPERLINK("https://www.youtube.com/watch?v=z58WzdIZIO8&amp;lc=UgwqlRpDgi4pmAe-UAF4AaABAg","https://www.youtube.com/watch?v=z58WzdIZIO8&amp;lc=UgwqlRpDgi4pmAe-UAF4AaABAg")</f>
        <v>https://www.youtube.com/watch?v=z58WzdIZIO8&amp;lc=UgwqlRpDgi4pmAe-UAF4AaABAg</v>
      </c>
      <c r="O3092">
        <v>0</v>
      </c>
      <c r="P3092">
        <v>0</v>
      </c>
      <c r="Q3092">
        <v>0</v>
      </c>
      <c r="S3092">
        <v>0</v>
      </c>
      <c r="T3092">
        <v>0</v>
      </c>
      <c r="U3092">
        <v>0</v>
      </c>
      <c r="W3092" t="s">
        <v>52</v>
      </c>
    </row>
    <row r="3093" spans="1:23" x14ac:dyDescent="0.35">
      <c r="A3093" t="s">
        <v>45</v>
      </c>
      <c r="B3093" t="s">
        <v>6244</v>
      </c>
      <c r="C3093" t="s">
        <v>47</v>
      </c>
      <c r="D3093" t="s">
        <v>45</v>
      </c>
      <c r="E3093" t="s">
        <v>45</v>
      </c>
      <c r="F3093" t="s">
        <v>49</v>
      </c>
      <c r="G3093" t="s">
        <v>6286</v>
      </c>
      <c r="H3093" t="s">
        <v>6287</v>
      </c>
      <c r="J3093" t="str">
        <f>HYPERLINK("https://www.youtube.com/watch?v=IHWzT2TNYKQ","https://www.youtube.com/watch?v=IHWzT2TNYKQ")</f>
        <v>https://www.youtube.com/watch?v=IHWzT2TNYKQ</v>
      </c>
      <c r="O3093">
        <v>0</v>
      </c>
      <c r="P3093">
        <v>0</v>
      </c>
      <c r="Q3093">
        <v>0</v>
      </c>
      <c r="S3093">
        <v>0</v>
      </c>
      <c r="T3093">
        <v>0</v>
      </c>
      <c r="U3093">
        <v>0</v>
      </c>
      <c r="W3093" t="s">
        <v>346</v>
      </c>
    </row>
    <row r="3094" spans="1:23" x14ac:dyDescent="0.35">
      <c r="A3094" t="s">
        <v>45</v>
      </c>
      <c r="B3094" t="s">
        <v>6244</v>
      </c>
      <c r="C3094" t="s">
        <v>47</v>
      </c>
      <c r="D3094" t="s">
        <v>45</v>
      </c>
      <c r="E3094" t="s">
        <v>45</v>
      </c>
      <c r="F3094" t="s">
        <v>49</v>
      </c>
      <c r="G3094" t="s">
        <v>6286</v>
      </c>
      <c r="H3094" t="s">
        <v>6288</v>
      </c>
      <c r="J3094" t="str">
        <f>HYPERLINK("https://www.youtube.com/watch?v=IHWzT2TNYKQ","https://www.youtube.com/watch?v=IHWzT2TNYKQ")</f>
        <v>https://www.youtube.com/watch?v=IHWzT2TNYKQ</v>
      </c>
      <c r="O3094">
        <v>0</v>
      </c>
      <c r="P3094">
        <v>0</v>
      </c>
      <c r="Q3094">
        <v>0</v>
      </c>
      <c r="S3094">
        <v>0</v>
      </c>
      <c r="T3094">
        <v>0</v>
      </c>
      <c r="U3094">
        <v>0</v>
      </c>
      <c r="W3094" t="s">
        <v>346</v>
      </c>
    </row>
    <row r="3095" spans="1:23" x14ac:dyDescent="0.35">
      <c r="A3095" t="s">
        <v>45</v>
      </c>
      <c r="B3095" t="s">
        <v>6244</v>
      </c>
      <c r="C3095" t="s">
        <v>47</v>
      </c>
      <c r="D3095" t="s">
        <v>4207</v>
      </c>
      <c r="E3095" t="s">
        <v>4207</v>
      </c>
      <c r="F3095" t="s">
        <v>49</v>
      </c>
      <c r="G3095" t="s">
        <v>6289</v>
      </c>
      <c r="H3095" t="s">
        <v>6290</v>
      </c>
      <c r="J3095" t="str">
        <f>HYPERLINK("https://www.youtube.com/watch?v=ySy-ogKu0Pk&amp;lc=UgxwO0Vjk00IVTRN1dV4AaABAg","https://www.youtube.com/watch?v=ySy-ogKu0Pk&amp;lc=UgxwO0Vjk00IVTRN1dV4AaABAg")</f>
        <v>https://www.youtube.com/watch?v=ySy-ogKu0Pk&amp;lc=UgxwO0Vjk00IVTRN1dV4AaABAg</v>
      </c>
      <c r="O3095">
        <v>0</v>
      </c>
      <c r="P3095">
        <v>0</v>
      </c>
      <c r="Q3095">
        <v>0</v>
      </c>
      <c r="S3095">
        <v>0</v>
      </c>
      <c r="T3095">
        <v>0</v>
      </c>
      <c r="U3095">
        <v>0</v>
      </c>
      <c r="W3095" t="s">
        <v>52</v>
      </c>
    </row>
    <row r="3096" spans="1:23" x14ac:dyDescent="0.35">
      <c r="A3096" t="s">
        <v>45</v>
      </c>
      <c r="B3096" t="s">
        <v>6244</v>
      </c>
      <c r="C3096" t="s">
        <v>60</v>
      </c>
      <c r="D3096" t="s">
        <v>61</v>
      </c>
      <c r="E3096" t="s">
        <v>61</v>
      </c>
      <c r="F3096" t="s">
        <v>49</v>
      </c>
      <c r="G3096" t="s">
        <v>6291</v>
      </c>
      <c r="H3096" t="s">
        <v>6292</v>
      </c>
      <c r="J3096" t="str">
        <f>HYPERLINK("https://www.facebook.com/634639855377280/posts/774950251346239?comment_id=392608296491392","https://www.facebook.com/634639855377280/posts/774950251346239?comment_id=392608296491392")</f>
        <v>https://www.facebook.com/634639855377280/posts/774950251346239?comment_id=392608296491392</v>
      </c>
      <c r="O3096">
        <v>0</v>
      </c>
      <c r="P3096">
        <v>0</v>
      </c>
      <c r="Q3096">
        <v>0</v>
      </c>
      <c r="S3096">
        <v>0</v>
      </c>
      <c r="T3096">
        <v>0</v>
      </c>
      <c r="U3096">
        <v>0</v>
      </c>
      <c r="W3096" t="s">
        <v>52</v>
      </c>
    </row>
    <row r="3097" spans="1:23" x14ac:dyDescent="0.35">
      <c r="A3097" t="s">
        <v>45</v>
      </c>
      <c r="B3097" t="s">
        <v>6244</v>
      </c>
      <c r="C3097" t="s">
        <v>93</v>
      </c>
      <c r="D3097" t="s">
        <v>94</v>
      </c>
      <c r="E3097" t="s">
        <v>45</v>
      </c>
      <c r="F3097" t="s">
        <v>49</v>
      </c>
      <c r="G3097" t="s">
        <v>6293</v>
      </c>
      <c r="H3097" t="s">
        <v>6294</v>
      </c>
      <c r="J3097" t="str">
        <f>HYPERLINK("https://twitter.com/SpiceMoneyIndia/status/1749720167750467860","https://twitter.com/SpiceMoneyIndia/status/1749720167750467860")</f>
        <v>https://twitter.com/SpiceMoneyIndia/status/1749720167750467860</v>
      </c>
      <c r="K3097" t="s">
        <v>67</v>
      </c>
      <c r="O3097">
        <v>0</v>
      </c>
      <c r="P3097">
        <v>0</v>
      </c>
      <c r="Q3097">
        <v>5999</v>
      </c>
      <c r="R3097" t="s">
        <v>97</v>
      </c>
      <c r="S3097">
        <v>0</v>
      </c>
      <c r="T3097">
        <v>0</v>
      </c>
      <c r="U3097">
        <v>0</v>
      </c>
      <c r="V3097" t="s">
        <v>98</v>
      </c>
      <c r="W3097" t="s">
        <v>99</v>
      </c>
    </row>
    <row r="3098" spans="1:23" x14ac:dyDescent="0.35">
      <c r="A3098" t="s">
        <v>45</v>
      </c>
      <c r="B3098" t="s">
        <v>6244</v>
      </c>
      <c r="C3098" t="s">
        <v>93</v>
      </c>
      <c r="D3098" t="s">
        <v>94</v>
      </c>
      <c r="E3098" t="s">
        <v>45</v>
      </c>
      <c r="F3098" t="s">
        <v>49</v>
      </c>
      <c r="G3098" t="s">
        <v>6295</v>
      </c>
      <c r="H3098" t="s">
        <v>6296</v>
      </c>
      <c r="J3098" t="str">
        <f>HYPERLINK("https://twitter.com/SpiceMoneyIndia/status/1749719660722074087","https://twitter.com/SpiceMoneyIndia/status/1749719660722074087")</f>
        <v>https://twitter.com/SpiceMoneyIndia/status/1749719660722074087</v>
      </c>
      <c r="K3098" t="s">
        <v>67</v>
      </c>
      <c r="O3098">
        <v>0</v>
      </c>
      <c r="P3098">
        <v>0</v>
      </c>
      <c r="Q3098">
        <v>5999</v>
      </c>
      <c r="R3098" t="s">
        <v>97</v>
      </c>
      <c r="S3098">
        <v>0</v>
      </c>
      <c r="T3098">
        <v>0</v>
      </c>
      <c r="U3098">
        <v>0</v>
      </c>
      <c r="V3098" t="s">
        <v>98</v>
      </c>
      <c r="W3098" t="s">
        <v>99</v>
      </c>
    </row>
    <row r="3099" spans="1:23" x14ac:dyDescent="0.35">
      <c r="A3099" t="s">
        <v>45</v>
      </c>
      <c r="B3099" t="s">
        <v>6244</v>
      </c>
      <c r="C3099" t="s">
        <v>93</v>
      </c>
      <c r="D3099" t="s">
        <v>94</v>
      </c>
      <c r="E3099" t="s">
        <v>45</v>
      </c>
      <c r="F3099" t="s">
        <v>49</v>
      </c>
      <c r="G3099" t="s">
        <v>6297</v>
      </c>
      <c r="H3099" t="s">
        <v>6298</v>
      </c>
      <c r="J3099" t="str">
        <f>HYPERLINK("https://twitter.com/SpiceMoneyIndia/status/1749719318223528099","https://twitter.com/SpiceMoneyIndia/status/1749719318223528099")</f>
        <v>https://twitter.com/SpiceMoneyIndia/status/1749719318223528099</v>
      </c>
      <c r="K3099" t="s">
        <v>67</v>
      </c>
      <c r="O3099">
        <v>0</v>
      </c>
      <c r="P3099">
        <v>0</v>
      </c>
      <c r="Q3099">
        <v>5999</v>
      </c>
      <c r="R3099" t="s">
        <v>97</v>
      </c>
      <c r="S3099">
        <v>0</v>
      </c>
      <c r="T3099">
        <v>0</v>
      </c>
      <c r="U3099">
        <v>0</v>
      </c>
      <c r="V3099" t="s">
        <v>98</v>
      </c>
      <c r="W3099" t="s">
        <v>99</v>
      </c>
    </row>
    <row r="3100" spans="1:23" x14ac:dyDescent="0.35">
      <c r="A3100" t="s">
        <v>45</v>
      </c>
      <c r="B3100" t="s">
        <v>6244</v>
      </c>
      <c r="C3100" t="s">
        <v>60</v>
      </c>
      <c r="D3100" t="s">
        <v>64</v>
      </c>
      <c r="E3100" t="s">
        <v>64</v>
      </c>
      <c r="F3100" t="s">
        <v>49</v>
      </c>
      <c r="G3100" t="s">
        <v>6299</v>
      </c>
      <c r="H3100" t="s">
        <v>6300</v>
      </c>
      <c r="J3100" t="str">
        <f>HYPERLINK("https://www.facebook.com/634639855377280/posts/777669051074359","https://www.facebook.com/634639855377280/posts/777669051074359")</f>
        <v>https://www.facebook.com/634639855377280/posts/777669051074359</v>
      </c>
      <c r="O3100">
        <v>0</v>
      </c>
      <c r="P3100">
        <v>0</v>
      </c>
      <c r="Q3100">
        <v>0</v>
      </c>
      <c r="S3100">
        <v>0</v>
      </c>
      <c r="T3100">
        <v>17</v>
      </c>
      <c r="U3100">
        <v>3</v>
      </c>
      <c r="W3100" t="s">
        <v>346</v>
      </c>
    </row>
    <row r="3101" spans="1:23" x14ac:dyDescent="0.35">
      <c r="A3101" t="s">
        <v>45</v>
      </c>
      <c r="B3101" t="s">
        <v>6244</v>
      </c>
      <c r="C3101" t="s">
        <v>47</v>
      </c>
      <c r="D3101" t="s">
        <v>1016</v>
      </c>
      <c r="E3101" t="s">
        <v>1016</v>
      </c>
      <c r="F3101" t="s">
        <v>49</v>
      </c>
      <c r="G3101" t="s">
        <v>6301</v>
      </c>
      <c r="H3101" t="s">
        <v>6302</v>
      </c>
      <c r="J3101" t="str">
        <f>HYPERLINK("https://www.youtube.com/watch?v=ySy-ogKu0Pk&amp;lc=Ugx7Nl7T-dHH1CnX4a94AaABAg","https://www.youtube.com/watch?v=ySy-ogKu0Pk&amp;lc=Ugx7Nl7T-dHH1CnX4a94AaABAg")</f>
        <v>https://www.youtube.com/watch?v=ySy-ogKu0Pk&amp;lc=Ugx7Nl7T-dHH1CnX4a94AaABAg</v>
      </c>
      <c r="O3101">
        <v>0</v>
      </c>
      <c r="P3101">
        <v>0</v>
      </c>
      <c r="Q3101">
        <v>0</v>
      </c>
      <c r="S3101">
        <v>0</v>
      </c>
      <c r="T3101">
        <v>0</v>
      </c>
      <c r="U3101">
        <v>0</v>
      </c>
      <c r="W3101" t="s">
        <v>52</v>
      </c>
    </row>
    <row r="3102" spans="1:23" x14ac:dyDescent="0.35">
      <c r="A3102" t="s">
        <v>45</v>
      </c>
      <c r="B3102" t="s">
        <v>6244</v>
      </c>
      <c r="C3102" t="s">
        <v>47</v>
      </c>
      <c r="D3102" t="s">
        <v>6303</v>
      </c>
      <c r="E3102" t="s">
        <v>6303</v>
      </c>
      <c r="F3102" t="s">
        <v>49</v>
      </c>
      <c r="G3102" t="s">
        <v>6304</v>
      </c>
      <c r="H3102" t="s">
        <v>6305</v>
      </c>
      <c r="J3102" t="str">
        <f>HYPERLINK("https://www.youtube.com/watch?v=ySy-ogKu0Pk&amp;lc=Ugxbj5nHTpVrs3vALw54AaABAg","https://www.youtube.com/watch?v=ySy-ogKu0Pk&amp;lc=Ugxbj5nHTpVrs3vALw54AaABAg")</f>
        <v>https://www.youtube.com/watch?v=ySy-ogKu0Pk&amp;lc=Ugxbj5nHTpVrs3vALw54AaABAg</v>
      </c>
      <c r="O3102">
        <v>0</v>
      </c>
      <c r="P3102">
        <v>0</v>
      </c>
      <c r="Q3102">
        <v>0</v>
      </c>
      <c r="S3102">
        <v>0</v>
      </c>
      <c r="T3102">
        <v>0</v>
      </c>
      <c r="U3102">
        <v>0</v>
      </c>
      <c r="W3102" t="s">
        <v>52</v>
      </c>
    </row>
    <row r="3103" spans="1:23" x14ac:dyDescent="0.35">
      <c r="A3103" t="s">
        <v>45</v>
      </c>
      <c r="B3103" t="s">
        <v>6244</v>
      </c>
      <c r="C3103" t="s">
        <v>47</v>
      </c>
      <c r="D3103" t="s">
        <v>6306</v>
      </c>
      <c r="E3103" t="s">
        <v>6306</v>
      </c>
      <c r="F3103" t="s">
        <v>49</v>
      </c>
      <c r="G3103" t="s">
        <v>6307</v>
      </c>
      <c r="H3103" t="s">
        <v>6308</v>
      </c>
      <c r="J3103" t="str">
        <f>HYPERLINK("https://www.youtube.com/watch?v=ySy-ogKu0Pk&amp;lc=Ugz_WAFi3NjUv2fCqW14AaABAg","https://www.youtube.com/watch?v=ySy-ogKu0Pk&amp;lc=Ugz_WAFi3NjUv2fCqW14AaABAg")</f>
        <v>https://www.youtube.com/watch?v=ySy-ogKu0Pk&amp;lc=Ugz_WAFi3NjUv2fCqW14AaABAg</v>
      </c>
      <c r="O3103">
        <v>0</v>
      </c>
      <c r="P3103">
        <v>0</v>
      </c>
      <c r="Q3103">
        <v>0</v>
      </c>
      <c r="S3103">
        <v>0</v>
      </c>
      <c r="T3103">
        <v>0</v>
      </c>
      <c r="U3103">
        <v>0</v>
      </c>
      <c r="W3103" t="s">
        <v>52</v>
      </c>
    </row>
    <row r="3104" spans="1:23" x14ac:dyDescent="0.35">
      <c r="A3104" t="s">
        <v>45</v>
      </c>
      <c r="B3104" t="s">
        <v>6244</v>
      </c>
      <c r="C3104" t="s">
        <v>47</v>
      </c>
      <c r="D3104" t="s">
        <v>6309</v>
      </c>
      <c r="E3104" t="s">
        <v>6309</v>
      </c>
      <c r="F3104" t="s">
        <v>193</v>
      </c>
      <c r="G3104" t="s">
        <v>6310</v>
      </c>
      <c r="H3104" t="s">
        <v>6311</v>
      </c>
      <c r="J3104" t="str">
        <f>HYPERLINK("https://www.youtube.com/watch?v=ySy-ogKu0Pk&amp;lc=Ugw5bHqT7P4S6WLV1i54AaABAg","https://www.youtube.com/watch?v=ySy-ogKu0Pk&amp;lc=Ugw5bHqT7P4S6WLV1i54AaABAg")</f>
        <v>https://www.youtube.com/watch?v=ySy-ogKu0Pk&amp;lc=Ugw5bHqT7P4S6WLV1i54AaABAg</v>
      </c>
      <c r="O3104">
        <v>0</v>
      </c>
      <c r="P3104">
        <v>0</v>
      </c>
      <c r="Q3104">
        <v>0</v>
      </c>
      <c r="S3104">
        <v>0</v>
      </c>
      <c r="T3104">
        <v>0</v>
      </c>
      <c r="U3104">
        <v>0</v>
      </c>
      <c r="W3104" t="s">
        <v>52</v>
      </c>
    </row>
    <row r="3105" spans="1:23" x14ac:dyDescent="0.35">
      <c r="A3105" t="s">
        <v>45</v>
      </c>
      <c r="B3105" t="s">
        <v>6244</v>
      </c>
      <c r="C3105" t="s">
        <v>47</v>
      </c>
      <c r="D3105" t="s">
        <v>6312</v>
      </c>
      <c r="E3105" t="s">
        <v>6312</v>
      </c>
      <c r="F3105" t="s">
        <v>54</v>
      </c>
      <c r="G3105" t="s">
        <v>6313</v>
      </c>
      <c r="H3105" t="s">
        <v>6314</v>
      </c>
      <c r="J3105" t="str">
        <f>HYPERLINK("https://www.youtube.com/watch?v=ySy-ogKu0Pk&amp;lc=UgzCWduqho6tnkBHS0p4AaABAg","https://www.youtube.com/watch?v=ySy-ogKu0Pk&amp;lc=UgzCWduqho6tnkBHS0p4AaABAg")</f>
        <v>https://www.youtube.com/watch?v=ySy-ogKu0Pk&amp;lc=UgzCWduqho6tnkBHS0p4AaABAg</v>
      </c>
      <c r="O3105">
        <v>0</v>
      </c>
      <c r="P3105">
        <v>0</v>
      </c>
      <c r="Q3105">
        <v>0</v>
      </c>
      <c r="S3105">
        <v>0</v>
      </c>
      <c r="T3105">
        <v>0</v>
      </c>
      <c r="U3105">
        <v>0</v>
      </c>
      <c r="W3105" t="s">
        <v>52</v>
      </c>
    </row>
    <row r="3106" spans="1:23" x14ac:dyDescent="0.35">
      <c r="A3106" t="s">
        <v>45</v>
      </c>
      <c r="B3106" t="s">
        <v>6244</v>
      </c>
      <c r="C3106" t="s">
        <v>47</v>
      </c>
      <c r="D3106" t="s">
        <v>6315</v>
      </c>
      <c r="E3106" t="s">
        <v>6315</v>
      </c>
      <c r="F3106" t="s">
        <v>49</v>
      </c>
      <c r="G3106" t="s">
        <v>6316</v>
      </c>
      <c r="H3106" t="s">
        <v>6317</v>
      </c>
      <c r="J3106" t="str">
        <f>HYPERLINK("https://www.youtube.com/watch?v=ySy-ogKu0Pk&amp;lc=Ugzxv_IuuZAP1lbtTzR4AaABAg","https://www.youtube.com/watch?v=ySy-ogKu0Pk&amp;lc=Ugzxv_IuuZAP1lbtTzR4AaABAg")</f>
        <v>https://www.youtube.com/watch?v=ySy-ogKu0Pk&amp;lc=Ugzxv_IuuZAP1lbtTzR4AaABAg</v>
      </c>
      <c r="O3106">
        <v>0</v>
      </c>
      <c r="P3106">
        <v>0</v>
      </c>
      <c r="Q3106">
        <v>0</v>
      </c>
      <c r="S3106">
        <v>0</v>
      </c>
      <c r="T3106">
        <v>0</v>
      </c>
      <c r="U3106">
        <v>0</v>
      </c>
      <c r="W3106" t="s">
        <v>52</v>
      </c>
    </row>
    <row r="3107" spans="1:23" x14ac:dyDescent="0.35">
      <c r="A3107" t="s">
        <v>45</v>
      </c>
      <c r="B3107" t="s">
        <v>6244</v>
      </c>
      <c r="C3107" t="s">
        <v>47</v>
      </c>
      <c r="D3107" t="s">
        <v>45</v>
      </c>
      <c r="E3107" t="s">
        <v>45</v>
      </c>
      <c r="F3107" t="s">
        <v>49</v>
      </c>
      <c r="G3107" t="s">
        <v>6318</v>
      </c>
      <c r="H3107" t="s">
        <v>6319</v>
      </c>
      <c r="J3107" t="str">
        <f>HYPERLINK("https://www.youtube.com/watch?v=ySy-ogKu0Pk","https://www.youtube.com/watch?v=ySy-ogKu0Pk")</f>
        <v>https://www.youtube.com/watch?v=ySy-ogKu0Pk</v>
      </c>
      <c r="O3107">
        <v>0</v>
      </c>
      <c r="P3107">
        <v>0</v>
      </c>
      <c r="Q3107">
        <v>0</v>
      </c>
      <c r="S3107">
        <v>0</v>
      </c>
      <c r="T3107">
        <v>0</v>
      </c>
      <c r="U3107">
        <v>0</v>
      </c>
      <c r="W3107" t="s">
        <v>346</v>
      </c>
    </row>
    <row r="3108" spans="1:23" x14ac:dyDescent="0.35">
      <c r="A3108" t="s">
        <v>45</v>
      </c>
      <c r="B3108" t="s">
        <v>6244</v>
      </c>
      <c r="C3108" t="s">
        <v>60</v>
      </c>
      <c r="D3108" t="s">
        <v>61</v>
      </c>
      <c r="E3108" t="s">
        <v>61</v>
      </c>
      <c r="F3108" t="s">
        <v>49</v>
      </c>
      <c r="G3108" t="s">
        <v>6320</v>
      </c>
      <c r="H3108" t="s">
        <v>6321</v>
      </c>
      <c r="J3108" t="str">
        <f>HYPERLINK("https://www.facebook.com/634639855377280/posts/777516464422951?comment_id=399629122425689","https://www.facebook.com/634639855377280/posts/777516464422951?comment_id=399629122425689")</f>
        <v>https://www.facebook.com/634639855377280/posts/777516464422951?comment_id=399629122425689</v>
      </c>
      <c r="O3108">
        <v>0</v>
      </c>
      <c r="P3108">
        <v>0</v>
      </c>
      <c r="Q3108">
        <v>0</v>
      </c>
      <c r="S3108">
        <v>0</v>
      </c>
      <c r="T3108">
        <v>0</v>
      </c>
      <c r="U3108">
        <v>0</v>
      </c>
      <c r="W3108" t="s">
        <v>52</v>
      </c>
    </row>
    <row r="3109" spans="1:23" x14ac:dyDescent="0.35">
      <c r="A3109" t="s">
        <v>45</v>
      </c>
      <c r="B3109" t="s">
        <v>6244</v>
      </c>
      <c r="C3109" t="s">
        <v>60</v>
      </c>
      <c r="D3109" t="s">
        <v>61</v>
      </c>
      <c r="E3109" t="s">
        <v>61</v>
      </c>
      <c r="F3109" t="s">
        <v>54</v>
      </c>
      <c r="G3109" t="s">
        <v>4730</v>
      </c>
      <c r="H3109" t="s">
        <v>6322</v>
      </c>
      <c r="J3109" t="str">
        <f>HYPERLINK("https://www.facebook.com/634639855377280/posts/777516464422951?comment_id=1516517965580831","https://www.facebook.com/634639855377280/posts/777516464422951?comment_id=1516517965580831")</f>
        <v>https://www.facebook.com/634639855377280/posts/777516464422951?comment_id=1516517965580831</v>
      </c>
      <c r="O3109">
        <v>0</v>
      </c>
      <c r="P3109">
        <v>0</v>
      </c>
      <c r="Q3109">
        <v>0</v>
      </c>
      <c r="S3109">
        <v>0</v>
      </c>
      <c r="T3109">
        <v>0</v>
      </c>
      <c r="U3109">
        <v>0</v>
      </c>
      <c r="W3109" t="s">
        <v>52</v>
      </c>
    </row>
    <row r="3110" spans="1:23" x14ac:dyDescent="0.35">
      <c r="A3110" t="s">
        <v>45</v>
      </c>
      <c r="B3110" t="s">
        <v>6244</v>
      </c>
      <c r="C3110" t="s">
        <v>47</v>
      </c>
      <c r="D3110" t="s">
        <v>238</v>
      </c>
      <c r="E3110" t="s">
        <v>238</v>
      </c>
      <c r="F3110" t="s">
        <v>54</v>
      </c>
      <c r="G3110" t="s">
        <v>6323</v>
      </c>
      <c r="H3110" t="s">
        <v>6324</v>
      </c>
      <c r="J3110" t="str">
        <f>HYPERLINK("https://www.youtube.com/watch?v=k4Jk2Nl60tE&amp;lc=UgyKRpTUUK1AK8JMvbt4AaABAg","https://www.youtube.com/watch?v=k4Jk2Nl60tE&amp;lc=UgyKRpTUUK1AK8JMvbt4AaABAg")</f>
        <v>https://www.youtube.com/watch?v=k4Jk2Nl60tE&amp;lc=UgyKRpTUUK1AK8JMvbt4AaABAg</v>
      </c>
      <c r="O3110">
        <v>0</v>
      </c>
      <c r="P3110">
        <v>0</v>
      </c>
      <c r="Q3110">
        <v>0</v>
      </c>
      <c r="S3110">
        <v>0</v>
      </c>
      <c r="T3110">
        <v>0</v>
      </c>
      <c r="U3110">
        <v>0</v>
      </c>
      <c r="W3110" t="s">
        <v>52</v>
      </c>
    </row>
    <row r="3111" spans="1:23" x14ac:dyDescent="0.35">
      <c r="A3111" t="s">
        <v>45</v>
      </c>
      <c r="B3111" t="s">
        <v>6244</v>
      </c>
      <c r="C3111" t="s">
        <v>47</v>
      </c>
      <c r="D3111" t="s">
        <v>4207</v>
      </c>
      <c r="E3111" t="s">
        <v>4207</v>
      </c>
      <c r="F3111" t="s">
        <v>49</v>
      </c>
      <c r="G3111" t="s">
        <v>6325</v>
      </c>
      <c r="H3111" t="s">
        <v>6326</v>
      </c>
      <c r="J3111" t="str">
        <f>HYPERLINK("https://www.youtube.com/watch?v=k4Jk2Nl60tE&amp;lc=Ugz6fEp38wsiZE40_Yd4AaABAg.9zu0ZtZC6fk9zuF7wXz1LL","https://www.youtube.com/watch?v=k4Jk2Nl60tE&amp;lc=Ugz6fEp38wsiZE40_Yd4AaABAg.9zu0ZtZC6fk9zuF7wXz1LL")</f>
        <v>https://www.youtube.com/watch?v=k4Jk2Nl60tE&amp;lc=Ugz6fEp38wsiZE40_Yd4AaABAg.9zu0ZtZC6fk9zuF7wXz1LL</v>
      </c>
      <c r="O3111">
        <v>0</v>
      </c>
      <c r="P3111">
        <v>0</v>
      </c>
      <c r="Q3111">
        <v>0</v>
      </c>
      <c r="S3111">
        <v>0</v>
      </c>
      <c r="T3111">
        <v>0</v>
      </c>
      <c r="U3111">
        <v>0</v>
      </c>
      <c r="W3111" t="s">
        <v>52</v>
      </c>
    </row>
    <row r="3112" spans="1:23" x14ac:dyDescent="0.35">
      <c r="A3112" t="s">
        <v>45</v>
      </c>
      <c r="B3112" t="s">
        <v>6244</v>
      </c>
      <c r="C3112" t="s">
        <v>60</v>
      </c>
      <c r="D3112" t="s">
        <v>61</v>
      </c>
      <c r="E3112" t="s">
        <v>61</v>
      </c>
      <c r="F3112" t="s">
        <v>49</v>
      </c>
      <c r="G3112" t="s">
        <v>6327</v>
      </c>
      <c r="H3112" t="s">
        <v>6328</v>
      </c>
      <c r="J3112" t="str">
        <f>HYPERLINK("https://www.facebook.com/634639855377280/posts/774483894726208?comment_id=349091071317198","https://www.facebook.com/634639855377280/posts/774483894726208?comment_id=349091071317198")</f>
        <v>https://www.facebook.com/634639855377280/posts/774483894726208?comment_id=349091071317198</v>
      </c>
      <c r="O3112">
        <v>0</v>
      </c>
      <c r="P3112">
        <v>0</v>
      </c>
      <c r="Q3112">
        <v>0</v>
      </c>
      <c r="S3112">
        <v>0</v>
      </c>
      <c r="T3112">
        <v>0</v>
      </c>
      <c r="U3112">
        <v>0</v>
      </c>
      <c r="W3112" t="s">
        <v>52</v>
      </c>
    </row>
    <row r="3113" spans="1:23" x14ac:dyDescent="0.35">
      <c r="A3113" t="s">
        <v>45</v>
      </c>
      <c r="B3113" t="s">
        <v>6244</v>
      </c>
      <c r="C3113" t="s">
        <v>47</v>
      </c>
      <c r="D3113" t="s">
        <v>6329</v>
      </c>
      <c r="E3113" t="s">
        <v>6329</v>
      </c>
      <c r="F3113" t="s">
        <v>54</v>
      </c>
      <c r="G3113" t="s">
        <v>6330</v>
      </c>
      <c r="H3113" t="s">
        <v>6331</v>
      </c>
      <c r="J3113" t="str">
        <f>HYPERLINK("https://www.youtube.com/watch?v=k4Jk2Nl60tE&amp;lc=Ugz6fEp38wsiZE40_Yd4AaABAg.9zu0ZtZC6fk9zuD7p3JL2v","https://www.youtube.com/watch?v=k4Jk2Nl60tE&amp;lc=Ugz6fEp38wsiZE40_Yd4AaABAg.9zu0ZtZC6fk9zuD7p3JL2v")</f>
        <v>https://www.youtube.com/watch?v=k4Jk2Nl60tE&amp;lc=Ugz6fEp38wsiZE40_Yd4AaABAg.9zu0ZtZC6fk9zuD7p3JL2v</v>
      </c>
      <c r="O3113">
        <v>0</v>
      </c>
      <c r="P3113">
        <v>0</v>
      </c>
      <c r="Q3113">
        <v>0</v>
      </c>
      <c r="S3113">
        <v>0</v>
      </c>
      <c r="T3113">
        <v>0</v>
      </c>
      <c r="U3113">
        <v>0</v>
      </c>
      <c r="W3113" t="s">
        <v>52</v>
      </c>
    </row>
    <row r="3114" spans="1:23" x14ac:dyDescent="0.35">
      <c r="A3114" t="s">
        <v>45</v>
      </c>
      <c r="B3114" t="s">
        <v>6244</v>
      </c>
      <c r="C3114" t="s">
        <v>47</v>
      </c>
      <c r="D3114" t="s">
        <v>6332</v>
      </c>
      <c r="E3114" t="s">
        <v>6332</v>
      </c>
      <c r="F3114" t="s">
        <v>49</v>
      </c>
      <c r="G3114" t="s">
        <v>6333</v>
      </c>
      <c r="H3114" t="s">
        <v>6334</v>
      </c>
      <c r="J3114" t="str">
        <f>HYPERLINK("https://www.youtube.com/watch?v=k4Jk2Nl60tE&amp;lc=UgzGn5quZsTftr58EcN4AaABAg","https://www.youtube.com/watch?v=k4Jk2Nl60tE&amp;lc=UgzGn5quZsTftr58EcN4AaABAg")</f>
        <v>https://www.youtube.com/watch?v=k4Jk2Nl60tE&amp;lc=UgzGn5quZsTftr58EcN4AaABAg</v>
      </c>
      <c r="O3114">
        <v>0</v>
      </c>
      <c r="P3114">
        <v>0</v>
      </c>
      <c r="Q3114">
        <v>0</v>
      </c>
      <c r="S3114">
        <v>0</v>
      </c>
      <c r="T3114">
        <v>0</v>
      </c>
      <c r="U3114">
        <v>0</v>
      </c>
      <c r="W3114" t="s">
        <v>52</v>
      </c>
    </row>
    <row r="3115" spans="1:23" x14ac:dyDescent="0.35">
      <c r="A3115" t="s">
        <v>45</v>
      </c>
      <c r="B3115" t="s">
        <v>6244</v>
      </c>
      <c r="C3115" t="s">
        <v>47</v>
      </c>
      <c r="D3115" t="s">
        <v>6335</v>
      </c>
      <c r="E3115" t="s">
        <v>6335</v>
      </c>
      <c r="F3115" t="s">
        <v>49</v>
      </c>
      <c r="G3115" t="s">
        <v>6336</v>
      </c>
      <c r="H3115" t="s">
        <v>6337</v>
      </c>
      <c r="J3115" t="str">
        <f>HYPERLINK("https://www.youtube.com/watch?v=k4Jk2Nl60tE&amp;lc=UgxK0w7mtvMtV6iNNrh4AaABAg","https://www.youtube.com/watch?v=k4Jk2Nl60tE&amp;lc=UgxK0w7mtvMtV6iNNrh4AaABAg")</f>
        <v>https://www.youtube.com/watch?v=k4Jk2Nl60tE&amp;lc=UgxK0w7mtvMtV6iNNrh4AaABAg</v>
      </c>
      <c r="O3115">
        <v>0</v>
      </c>
      <c r="P3115">
        <v>0</v>
      </c>
      <c r="Q3115">
        <v>0</v>
      </c>
      <c r="S3115">
        <v>0</v>
      </c>
      <c r="T3115">
        <v>0</v>
      </c>
      <c r="U3115">
        <v>0</v>
      </c>
      <c r="W3115" t="s">
        <v>52</v>
      </c>
    </row>
    <row r="3116" spans="1:23" x14ac:dyDescent="0.35">
      <c r="A3116" t="s">
        <v>45</v>
      </c>
      <c r="B3116" t="s">
        <v>6244</v>
      </c>
      <c r="C3116" t="s">
        <v>60</v>
      </c>
      <c r="D3116" t="s">
        <v>61</v>
      </c>
      <c r="E3116" t="s">
        <v>61</v>
      </c>
      <c r="F3116" t="s">
        <v>49</v>
      </c>
      <c r="G3116" t="s">
        <v>6338</v>
      </c>
      <c r="H3116" t="s">
        <v>6339</v>
      </c>
      <c r="J3116" t="str">
        <f>HYPERLINK("https://www.facebook.com/634639855377280/posts/777516464422951?comment_id=374369078650559","https://www.facebook.com/634639855377280/posts/777516464422951?comment_id=374369078650559")</f>
        <v>https://www.facebook.com/634639855377280/posts/777516464422951?comment_id=374369078650559</v>
      </c>
      <c r="O3116">
        <v>0</v>
      </c>
      <c r="P3116">
        <v>0</v>
      </c>
      <c r="Q3116">
        <v>0</v>
      </c>
      <c r="S3116">
        <v>0</v>
      </c>
      <c r="T3116">
        <v>0</v>
      </c>
      <c r="U3116">
        <v>0</v>
      </c>
      <c r="W3116" t="s">
        <v>52</v>
      </c>
    </row>
    <row r="3117" spans="1:23" x14ac:dyDescent="0.35">
      <c r="A3117" t="s">
        <v>45</v>
      </c>
      <c r="B3117" t="s">
        <v>6244</v>
      </c>
      <c r="C3117" t="s">
        <v>47</v>
      </c>
      <c r="D3117" t="s">
        <v>6340</v>
      </c>
      <c r="E3117" t="s">
        <v>6340</v>
      </c>
      <c r="F3117" t="s">
        <v>49</v>
      </c>
      <c r="G3117" t="s">
        <v>6341</v>
      </c>
      <c r="H3117" t="s">
        <v>6342</v>
      </c>
      <c r="J3117" t="str">
        <f>HYPERLINK("https://www.youtube.com/watch?v=k4Jk2Nl60tE&amp;lc=UgyzQjIqf-VzF_1YO-t4AaABAg","https://www.youtube.com/watch?v=k4Jk2Nl60tE&amp;lc=UgyzQjIqf-VzF_1YO-t4AaABAg")</f>
        <v>https://www.youtube.com/watch?v=k4Jk2Nl60tE&amp;lc=UgyzQjIqf-VzF_1YO-t4AaABAg</v>
      </c>
      <c r="O3117">
        <v>0</v>
      </c>
      <c r="P3117">
        <v>0</v>
      </c>
      <c r="Q3117">
        <v>0</v>
      </c>
      <c r="S3117">
        <v>0</v>
      </c>
      <c r="T3117">
        <v>0</v>
      </c>
      <c r="U3117">
        <v>0</v>
      </c>
      <c r="W3117" t="s">
        <v>52</v>
      </c>
    </row>
    <row r="3118" spans="1:23" x14ac:dyDescent="0.35">
      <c r="A3118" t="s">
        <v>45</v>
      </c>
      <c r="B3118" t="s">
        <v>6244</v>
      </c>
      <c r="C3118" t="s">
        <v>47</v>
      </c>
      <c r="D3118" t="s">
        <v>6343</v>
      </c>
      <c r="E3118" t="s">
        <v>6343</v>
      </c>
      <c r="F3118" t="s">
        <v>49</v>
      </c>
      <c r="G3118" t="s">
        <v>6344</v>
      </c>
      <c r="H3118" t="s">
        <v>6345</v>
      </c>
      <c r="J3118" t="str">
        <f>HYPERLINK("https://www.youtube.com/watch?v=k4Jk2Nl60tE&amp;lc=UgxBmcEjaNZMhxGi-iR4AaABAg","https://www.youtube.com/watch?v=k4Jk2Nl60tE&amp;lc=UgxBmcEjaNZMhxGi-iR4AaABAg")</f>
        <v>https://www.youtube.com/watch?v=k4Jk2Nl60tE&amp;lc=UgxBmcEjaNZMhxGi-iR4AaABAg</v>
      </c>
      <c r="O3118">
        <v>0</v>
      </c>
      <c r="P3118">
        <v>0</v>
      </c>
      <c r="Q3118">
        <v>0</v>
      </c>
      <c r="S3118">
        <v>0</v>
      </c>
      <c r="T3118">
        <v>0</v>
      </c>
      <c r="U3118">
        <v>0</v>
      </c>
      <c r="W3118" t="s">
        <v>52</v>
      </c>
    </row>
    <row r="3119" spans="1:23" x14ac:dyDescent="0.35">
      <c r="A3119" t="s">
        <v>45</v>
      </c>
      <c r="B3119" t="s">
        <v>6244</v>
      </c>
      <c r="C3119" t="s">
        <v>93</v>
      </c>
      <c r="D3119" t="s">
        <v>6143</v>
      </c>
      <c r="E3119" t="s">
        <v>6144</v>
      </c>
      <c r="F3119" t="s">
        <v>49</v>
      </c>
      <c r="G3119" t="s">
        <v>6346</v>
      </c>
      <c r="H3119" t="s">
        <v>6347</v>
      </c>
      <c r="J3119" t="str">
        <f>HYPERLINK("https://twitter.com/ravipratatpsing/status/1749664857094238687","https://twitter.com/ravipratatpsing/status/1749664857094238687")</f>
        <v>https://twitter.com/ravipratatpsing/status/1749664857094238687</v>
      </c>
      <c r="K3119" t="s">
        <v>67</v>
      </c>
      <c r="O3119">
        <v>0</v>
      </c>
      <c r="P3119">
        <v>0</v>
      </c>
      <c r="Q3119">
        <v>29</v>
      </c>
      <c r="R3119" t="s">
        <v>6147</v>
      </c>
      <c r="S3119">
        <v>0</v>
      </c>
      <c r="T3119">
        <v>0</v>
      </c>
      <c r="U3119">
        <v>0</v>
      </c>
      <c r="W3119" t="s">
        <v>99</v>
      </c>
    </row>
    <row r="3120" spans="1:23" x14ac:dyDescent="0.35">
      <c r="A3120" t="s">
        <v>45</v>
      </c>
      <c r="B3120" t="s">
        <v>6244</v>
      </c>
      <c r="C3120" t="s">
        <v>47</v>
      </c>
      <c r="D3120" t="s">
        <v>6348</v>
      </c>
      <c r="E3120" t="s">
        <v>6348</v>
      </c>
      <c r="F3120" t="s">
        <v>54</v>
      </c>
      <c r="G3120" t="s">
        <v>6349</v>
      </c>
      <c r="H3120" t="s">
        <v>6350</v>
      </c>
      <c r="J3120" t="str">
        <f>HYPERLINK("https://www.youtube.com/watch?v=k4Jk2Nl60tE&amp;lc=Ugzos7Yrp3090PBRRcx4AaABAg","https://www.youtube.com/watch?v=k4Jk2Nl60tE&amp;lc=Ugzos7Yrp3090PBRRcx4AaABAg")</f>
        <v>https://www.youtube.com/watch?v=k4Jk2Nl60tE&amp;lc=Ugzos7Yrp3090PBRRcx4AaABAg</v>
      </c>
      <c r="O3120">
        <v>0</v>
      </c>
      <c r="P3120">
        <v>0</v>
      </c>
      <c r="Q3120">
        <v>0</v>
      </c>
      <c r="S3120">
        <v>0</v>
      </c>
      <c r="T3120">
        <v>0</v>
      </c>
      <c r="U3120">
        <v>0</v>
      </c>
      <c r="W3120" t="s">
        <v>52</v>
      </c>
    </row>
    <row r="3121" spans="1:23" x14ac:dyDescent="0.35">
      <c r="A3121" t="s">
        <v>45</v>
      </c>
      <c r="B3121" t="s">
        <v>6244</v>
      </c>
      <c r="C3121" t="s">
        <v>47</v>
      </c>
      <c r="D3121" t="s">
        <v>6351</v>
      </c>
      <c r="E3121" t="s">
        <v>6351</v>
      </c>
      <c r="F3121" t="s">
        <v>49</v>
      </c>
      <c r="G3121" t="s">
        <v>6352</v>
      </c>
      <c r="H3121" t="s">
        <v>6353</v>
      </c>
      <c r="J3121" t="str">
        <f>HYPERLINK("https://www.youtube.com/watch?v=k4Jk2Nl60tE&amp;lc=UgyMDbVtRNbWcnqJhkZ4AaABAg.9zu2jToryjS9zu3Sv3CM5I","https://www.youtube.com/watch?v=k4Jk2Nl60tE&amp;lc=UgyMDbVtRNbWcnqJhkZ4AaABAg.9zu2jToryjS9zu3Sv3CM5I")</f>
        <v>https://www.youtube.com/watch?v=k4Jk2Nl60tE&amp;lc=UgyMDbVtRNbWcnqJhkZ4AaABAg.9zu2jToryjS9zu3Sv3CM5I</v>
      </c>
      <c r="O3121">
        <v>0</v>
      </c>
      <c r="P3121">
        <v>0</v>
      </c>
      <c r="Q3121">
        <v>0</v>
      </c>
      <c r="S3121">
        <v>0</v>
      </c>
      <c r="T3121">
        <v>0</v>
      </c>
      <c r="U3121">
        <v>0</v>
      </c>
      <c r="W3121" t="s">
        <v>52</v>
      </c>
    </row>
    <row r="3122" spans="1:23" x14ac:dyDescent="0.35">
      <c r="A3122" t="s">
        <v>45</v>
      </c>
      <c r="B3122" t="s">
        <v>6244</v>
      </c>
      <c r="C3122" t="s">
        <v>47</v>
      </c>
      <c r="D3122" t="s">
        <v>6354</v>
      </c>
      <c r="E3122" t="s">
        <v>6354</v>
      </c>
      <c r="F3122" t="s">
        <v>49</v>
      </c>
      <c r="G3122" t="s">
        <v>6355</v>
      </c>
      <c r="H3122" t="s">
        <v>6356</v>
      </c>
      <c r="J3122" t="str">
        <f>HYPERLINK("https://www.youtube.com/watch?v=k4Jk2Nl60tE&amp;lc=UgwTq7QWnXLi5echNZp4AaABAg","https://www.youtube.com/watch?v=k4Jk2Nl60tE&amp;lc=UgwTq7QWnXLi5echNZp4AaABAg")</f>
        <v>https://www.youtube.com/watch?v=k4Jk2Nl60tE&amp;lc=UgwTq7QWnXLi5echNZp4AaABAg</v>
      </c>
      <c r="O3122">
        <v>0</v>
      </c>
      <c r="P3122">
        <v>0</v>
      </c>
      <c r="Q3122">
        <v>0</v>
      </c>
      <c r="S3122">
        <v>0</v>
      </c>
      <c r="T3122">
        <v>0</v>
      </c>
      <c r="U3122">
        <v>0</v>
      </c>
      <c r="W3122" t="s">
        <v>52</v>
      </c>
    </row>
    <row r="3123" spans="1:23" x14ac:dyDescent="0.35">
      <c r="A3123" t="s">
        <v>45</v>
      </c>
      <c r="B3123" t="s">
        <v>6244</v>
      </c>
      <c r="C3123" t="s">
        <v>47</v>
      </c>
      <c r="D3123" t="s">
        <v>6357</v>
      </c>
      <c r="E3123" t="s">
        <v>6357</v>
      </c>
      <c r="F3123" t="s">
        <v>54</v>
      </c>
      <c r="G3123" t="s">
        <v>6358</v>
      </c>
      <c r="H3123" t="s">
        <v>6359</v>
      </c>
      <c r="J3123" t="str">
        <f>HYPERLINK("https://www.youtube.com/watch?v=k4Jk2Nl60tE&amp;lc=UgyyFa9dif55RcKuFrZ4AaABAg","https://www.youtube.com/watch?v=k4Jk2Nl60tE&amp;lc=UgyyFa9dif55RcKuFrZ4AaABAg")</f>
        <v>https://www.youtube.com/watch?v=k4Jk2Nl60tE&amp;lc=UgyyFa9dif55RcKuFrZ4AaABAg</v>
      </c>
      <c r="O3123">
        <v>0</v>
      </c>
      <c r="P3123">
        <v>0</v>
      </c>
      <c r="Q3123">
        <v>0</v>
      </c>
      <c r="S3123">
        <v>0</v>
      </c>
      <c r="T3123">
        <v>0</v>
      </c>
      <c r="U3123">
        <v>0</v>
      </c>
      <c r="W3123" t="s">
        <v>52</v>
      </c>
    </row>
    <row r="3124" spans="1:23" x14ac:dyDescent="0.35">
      <c r="A3124" t="s">
        <v>45</v>
      </c>
      <c r="B3124" t="s">
        <v>6244</v>
      </c>
      <c r="C3124" t="s">
        <v>47</v>
      </c>
      <c r="D3124" t="s">
        <v>6357</v>
      </c>
      <c r="E3124" t="s">
        <v>6357</v>
      </c>
      <c r="F3124" t="s">
        <v>54</v>
      </c>
      <c r="G3124" t="s">
        <v>6360</v>
      </c>
      <c r="H3124" t="s">
        <v>6361</v>
      </c>
      <c r="J3124" t="str">
        <f>HYPERLINK("https://www.youtube.com/watch?v=k4Jk2Nl60tE&amp;lc=UgyMDbVtRNbWcnqJhkZ4AaABAg","https://www.youtube.com/watch?v=k4Jk2Nl60tE&amp;lc=UgyMDbVtRNbWcnqJhkZ4AaABAg")</f>
        <v>https://www.youtube.com/watch?v=k4Jk2Nl60tE&amp;lc=UgyMDbVtRNbWcnqJhkZ4AaABAg</v>
      </c>
      <c r="O3124">
        <v>0</v>
      </c>
      <c r="P3124">
        <v>0</v>
      </c>
      <c r="Q3124">
        <v>0</v>
      </c>
      <c r="S3124">
        <v>0</v>
      </c>
      <c r="T3124">
        <v>0</v>
      </c>
      <c r="U3124">
        <v>0</v>
      </c>
      <c r="W3124" t="s">
        <v>52</v>
      </c>
    </row>
    <row r="3125" spans="1:23" x14ac:dyDescent="0.35">
      <c r="A3125" t="s">
        <v>45</v>
      </c>
      <c r="B3125" t="s">
        <v>6244</v>
      </c>
      <c r="C3125" t="s">
        <v>47</v>
      </c>
      <c r="D3125" t="s">
        <v>6362</v>
      </c>
      <c r="E3125" t="s">
        <v>6362</v>
      </c>
      <c r="F3125" t="s">
        <v>49</v>
      </c>
      <c r="G3125" t="s">
        <v>6363</v>
      </c>
      <c r="H3125" t="s">
        <v>6364</v>
      </c>
      <c r="J3125" t="str">
        <f>HYPERLINK("https://www.youtube.com/watch?v=k4Jk2Nl60tE&amp;lc=UgzutTRdkU0P59PKfSh4AaABAg","https://www.youtube.com/watch?v=k4Jk2Nl60tE&amp;lc=UgzutTRdkU0P59PKfSh4AaABAg")</f>
        <v>https://www.youtube.com/watch?v=k4Jk2Nl60tE&amp;lc=UgzutTRdkU0P59PKfSh4AaABAg</v>
      </c>
      <c r="O3125">
        <v>0</v>
      </c>
      <c r="P3125">
        <v>0</v>
      </c>
      <c r="Q3125">
        <v>0</v>
      </c>
      <c r="S3125">
        <v>0</v>
      </c>
      <c r="T3125">
        <v>0</v>
      </c>
      <c r="U3125">
        <v>0</v>
      </c>
      <c r="W3125" t="s">
        <v>52</v>
      </c>
    </row>
    <row r="3126" spans="1:23" x14ac:dyDescent="0.35">
      <c r="A3126" t="s">
        <v>45</v>
      </c>
      <c r="B3126" t="s">
        <v>6244</v>
      </c>
      <c r="C3126" t="s">
        <v>47</v>
      </c>
      <c r="D3126" t="s">
        <v>6357</v>
      </c>
      <c r="E3126" t="s">
        <v>6357</v>
      </c>
      <c r="F3126" t="s">
        <v>54</v>
      </c>
      <c r="G3126" t="s">
        <v>6365</v>
      </c>
      <c r="H3126" t="s">
        <v>6366</v>
      </c>
      <c r="J3126" t="str">
        <f>HYPERLINK("https://www.youtube.com/watch?v=k4Jk2Nl60tE&amp;lc=UgxaTI15b3R5kjW0vOJ4AaABAg","https://www.youtube.com/watch?v=k4Jk2Nl60tE&amp;lc=UgxaTI15b3R5kjW0vOJ4AaABAg")</f>
        <v>https://www.youtube.com/watch?v=k4Jk2Nl60tE&amp;lc=UgxaTI15b3R5kjW0vOJ4AaABAg</v>
      </c>
      <c r="O3126">
        <v>0</v>
      </c>
      <c r="P3126">
        <v>0</v>
      </c>
      <c r="Q3126">
        <v>0</v>
      </c>
      <c r="S3126">
        <v>0</v>
      </c>
      <c r="T3126">
        <v>0</v>
      </c>
      <c r="U3126">
        <v>0</v>
      </c>
      <c r="W3126" t="s">
        <v>52</v>
      </c>
    </row>
    <row r="3127" spans="1:23" x14ac:dyDescent="0.35">
      <c r="A3127" t="s">
        <v>45</v>
      </c>
      <c r="B3127" t="s">
        <v>6244</v>
      </c>
      <c r="C3127" t="s">
        <v>47</v>
      </c>
      <c r="D3127" t="s">
        <v>6367</v>
      </c>
      <c r="E3127" t="s">
        <v>6367</v>
      </c>
      <c r="F3127" t="s">
        <v>54</v>
      </c>
      <c r="G3127" t="s">
        <v>6368</v>
      </c>
      <c r="H3127" t="s">
        <v>6369</v>
      </c>
      <c r="J3127" t="str">
        <f>HYPERLINK("https://www.youtube.com/watch?v=k4Jk2Nl60tE&amp;lc=UgwLaNa8fMiOgx_0OOp4AaABAg","https://www.youtube.com/watch?v=k4Jk2Nl60tE&amp;lc=UgwLaNa8fMiOgx_0OOp4AaABAg")</f>
        <v>https://www.youtube.com/watch?v=k4Jk2Nl60tE&amp;lc=UgwLaNa8fMiOgx_0OOp4AaABAg</v>
      </c>
      <c r="O3127">
        <v>0</v>
      </c>
      <c r="P3127">
        <v>0</v>
      </c>
      <c r="Q3127">
        <v>0</v>
      </c>
      <c r="S3127">
        <v>0</v>
      </c>
      <c r="T3127">
        <v>0</v>
      </c>
      <c r="U3127">
        <v>0</v>
      </c>
      <c r="W3127" t="s">
        <v>52</v>
      </c>
    </row>
    <row r="3128" spans="1:23" x14ac:dyDescent="0.35">
      <c r="A3128" t="s">
        <v>45</v>
      </c>
      <c r="B3128" t="s">
        <v>6244</v>
      </c>
      <c r="C3128" t="s">
        <v>47</v>
      </c>
      <c r="D3128" t="s">
        <v>6370</v>
      </c>
      <c r="E3128" t="s">
        <v>6370</v>
      </c>
      <c r="F3128" t="s">
        <v>49</v>
      </c>
      <c r="G3128" t="s">
        <v>6371</v>
      </c>
      <c r="H3128" t="s">
        <v>6372</v>
      </c>
      <c r="J3128" t="str">
        <f>HYPERLINK("https://www.youtube.com/watch?v=k4Jk2Nl60tE&amp;lc=UgzApK68k6vR_zpB8PR4AaABAg","https://www.youtube.com/watch?v=k4Jk2Nl60tE&amp;lc=UgzApK68k6vR_zpB8PR4AaABAg")</f>
        <v>https://www.youtube.com/watch?v=k4Jk2Nl60tE&amp;lc=UgzApK68k6vR_zpB8PR4AaABAg</v>
      </c>
      <c r="O3128">
        <v>0</v>
      </c>
      <c r="P3128">
        <v>0</v>
      </c>
      <c r="Q3128">
        <v>0</v>
      </c>
      <c r="S3128">
        <v>0</v>
      </c>
      <c r="T3128">
        <v>0</v>
      </c>
      <c r="U3128">
        <v>0</v>
      </c>
      <c r="W3128" t="s">
        <v>52</v>
      </c>
    </row>
    <row r="3129" spans="1:23" x14ac:dyDescent="0.35">
      <c r="A3129" t="s">
        <v>45</v>
      </c>
      <c r="B3129" t="s">
        <v>6244</v>
      </c>
      <c r="C3129" t="s">
        <v>47</v>
      </c>
      <c r="D3129" t="s">
        <v>4207</v>
      </c>
      <c r="E3129" t="s">
        <v>4207</v>
      </c>
      <c r="F3129" t="s">
        <v>49</v>
      </c>
      <c r="G3129" t="s">
        <v>6373</v>
      </c>
      <c r="H3129" t="s">
        <v>6374</v>
      </c>
      <c r="J3129" t="str">
        <f>HYPERLINK("https://www.youtube.com/watch?v=k4Jk2Nl60tE&amp;lc=UgxJRLVRt4vYvTRaLWF4AaABAg","https://www.youtube.com/watch?v=k4Jk2Nl60tE&amp;lc=UgxJRLVRt4vYvTRaLWF4AaABAg")</f>
        <v>https://www.youtube.com/watch?v=k4Jk2Nl60tE&amp;lc=UgxJRLVRt4vYvTRaLWF4AaABAg</v>
      </c>
      <c r="O3129">
        <v>0</v>
      </c>
      <c r="P3129">
        <v>0</v>
      </c>
      <c r="Q3129">
        <v>0</v>
      </c>
      <c r="S3129">
        <v>0</v>
      </c>
      <c r="T3129">
        <v>0</v>
      </c>
      <c r="U3129">
        <v>0</v>
      </c>
      <c r="W3129" t="s">
        <v>52</v>
      </c>
    </row>
    <row r="3130" spans="1:23" x14ac:dyDescent="0.35">
      <c r="A3130" t="s">
        <v>45</v>
      </c>
      <c r="B3130" t="s">
        <v>6244</v>
      </c>
      <c r="C3130" t="s">
        <v>47</v>
      </c>
      <c r="D3130" t="s">
        <v>6375</v>
      </c>
      <c r="E3130" t="s">
        <v>6375</v>
      </c>
      <c r="F3130" t="s">
        <v>49</v>
      </c>
      <c r="G3130" t="s">
        <v>6376</v>
      </c>
      <c r="H3130" t="s">
        <v>6377</v>
      </c>
      <c r="J3130" t="str">
        <f>HYPERLINK("https://www.youtube.com/watch?v=k4Jk2Nl60tE&amp;lc=Ugz6fEp38wsiZE40_Yd4AaABAg","https://www.youtube.com/watch?v=k4Jk2Nl60tE&amp;lc=Ugz6fEp38wsiZE40_Yd4AaABAg")</f>
        <v>https://www.youtube.com/watch?v=k4Jk2Nl60tE&amp;lc=Ugz6fEp38wsiZE40_Yd4AaABAg</v>
      </c>
      <c r="O3130">
        <v>0</v>
      </c>
      <c r="P3130">
        <v>0</v>
      </c>
      <c r="Q3130">
        <v>0</v>
      </c>
      <c r="S3130">
        <v>0</v>
      </c>
      <c r="T3130">
        <v>0</v>
      </c>
      <c r="U3130">
        <v>0</v>
      </c>
      <c r="W3130" t="s">
        <v>52</v>
      </c>
    </row>
    <row r="3131" spans="1:23" x14ac:dyDescent="0.35">
      <c r="A3131" t="s">
        <v>45</v>
      </c>
      <c r="B3131" t="s">
        <v>6244</v>
      </c>
      <c r="C3131" t="s">
        <v>47</v>
      </c>
      <c r="D3131" t="s">
        <v>6378</v>
      </c>
      <c r="E3131" t="s">
        <v>6378</v>
      </c>
      <c r="F3131" t="s">
        <v>49</v>
      </c>
      <c r="G3131" t="s">
        <v>6379</v>
      </c>
      <c r="H3131" t="s">
        <v>6380</v>
      </c>
      <c r="J3131" t="str">
        <f>HYPERLINK("https://www.youtube.com/watch?v=k4Jk2Nl60tE&amp;lc=UgwCoMCuXhrzpBXhTWp4AaABAg","https://www.youtube.com/watch?v=k4Jk2Nl60tE&amp;lc=UgwCoMCuXhrzpBXhTWp4AaABAg")</f>
        <v>https://www.youtube.com/watch?v=k4Jk2Nl60tE&amp;lc=UgwCoMCuXhrzpBXhTWp4AaABAg</v>
      </c>
      <c r="O3131">
        <v>0</v>
      </c>
      <c r="P3131">
        <v>0</v>
      </c>
      <c r="Q3131">
        <v>0</v>
      </c>
      <c r="S3131">
        <v>0</v>
      </c>
      <c r="T3131">
        <v>0</v>
      </c>
      <c r="U3131">
        <v>0</v>
      </c>
      <c r="W3131" t="s">
        <v>52</v>
      </c>
    </row>
    <row r="3132" spans="1:23" x14ac:dyDescent="0.35">
      <c r="A3132" t="s">
        <v>45</v>
      </c>
      <c r="B3132" t="s">
        <v>6244</v>
      </c>
      <c r="C3132" t="s">
        <v>47</v>
      </c>
      <c r="D3132" t="s">
        <v>2003</v>
      </c>
      <c r="E3132" t="s">
        <v>2003</v>
      </c>
      <c r="F3132" t="s">
        <v>193</v>
      </c>
      <c r="G3132" t="s">
        <v>6381</v>
      </c>
      <c r="H3132" t="s">
        <v>6382</v>
      </c>
      <c r="J3132" t="str">
        <f>HYPERLINK("https://www.youtube.com/watch?v=k4Jk2Nl60tE&amp;lc=Ugz1uqtPocWFFVSG6dN4AaABAg","https://www.youtube.com/watch?v=k4Jk2Nl60tE&amp;lc=Ugz1uqtPocWFFVSG6dN4AaABAg")</f>
        <v>https://www.youtube.com/watch?v=k4Jk2Nl60tE&amp;lc=Ugz1uqtPocWFFVSG6dN4AaABAg</v>
      </c>
      <c r="O3132">
        <v>0</v>
      </c>
      <c r="P3132">
        <v>0</v>
      </c>
      <c r="Q3132">
        <v>0</v>
      </c>
      <c r="S3132">
        <v>0</v>
      </c>
      <c r="T3132">
        <v>0</v>
      </c>
      <c r="U3132">
        <v>0</v>
      </c>
      <c r="W3132" t="s">
        <v>52</v>
      </c>
    </row>
    <row r="3133" spans="1:23" x14ac:dyDescent="0.35">
      <c r="A3133" t="s">
        <v>45</v>
      </c>
      <c r="B3133" t="s">
        <v>6244</v>
      </c>
      <c r="C3133" t="s">
        <v>47</v>
      </c>
      <c r="D3133" t="s">
        <v>6383</v>
      </c>
      <c r="E3133" t="s">
        <v>6383</v>
      </c>
      <c r="F3133" t="s">
        <v>49</v>
      </c>
      <c r="G3133" t="s">
        <v>6384</v>
      </c>
      <c r="H3133" t="s">
        <v>6385</v>
      </c>
      <c r="J3133" t="str">
        <f>HYPERLINK("https://www.youtube.com/watch?v=k4Jk2Nl60tE&amp;lc=Ugx2cimyU5NsVeH7RRd4AaABAg","https://www.youtube.com/watch?v=k4Jk2Nl60tE&amp;lc=Ugx2cimyU5NsVeH7RRd4AaABAg")</f>
        <v>https://www.youtube.com/watch?v=k4Jk2Nl60tE&amp;lc=Ugx2cimyU5NsVeH7RRd4AaABAg</v>
      </c>
      <c r="O3133">
        <v>0</v>
      </c>
      <c r="P3133">
        <v>0</v>
      </c>
      <c r="Q3133">
        <v>0</v>
      </c>
      <c r="S3133">
        <v>0</v>
      </c>
      <c r="T3133">
        <v>0</v>
      </c>
      <c r="U3133">
        <v>0</v>
      </c>
      <c r="W3133" t="s">
        <v>52</v>
      </c>
    </row>
    <row r="3134" spans="1:23" x14ac:dyDescent="0.35">
      <c r="A3134" t="s">
        <v>45</v>
      </c>
      <c r="B3134" t="s">
        <v>6244</v>
      </c>
      <c r="C3134" t="s">
        <v>47</v>
      </c>
      <c r="D3134" t="s">
        <v>6386</v>
      </c>
      <c r="E3134" t="s">
        <v>6386</v>
      </c>
      <c r="F3134" t="s">
        <v>49</v>
      </c>
      <c r="G3134" t="s">
        <v>6387</v>
      </c>
      <c r="H3134" t="s">
        <v>6388</v>
      </c>
      <c r="J3134" t="str">
        <f>HYPERLINK("https://www.youtube.com/watch?v=k4Jk2Nl60tE&amp;lc=UgwHhXVmWTtTeUnsywV4AaABAg","https://www.youtube.com/watch?v=k4Jk2Nl60tE&amp;lc=UgwHhXVmWTtTeUnsywV4AaABAg")</f>
        <v>https://www.youtube.com/watch?v=k4Jk2Nl60tE&amp;lc=UgwHhXVmWTtTeUnsywV4AaABAg</v>
      </c>
      <c r="O3134">
        <v>0</v>
      </c>
      <c r="P3134">
        <v>0</v>
      </c>
      <c r="Q3134">
        <v>0</v>
      </c>
      <c r="S3134">
        <v>0</v>
      </c>
      <c r="T3134">
        <v>0</v>
      </c>
      <c r="U3134">
        <v>0</v>
      </c>
      <c r="W3134" t="s">
        <v>52</v>
      </c>
    </row>
    <row r="3135" spans="1:23" x14ac:dyDescent="0.35">
      <c r="A3135" t="s">
        <v>45</v>
      </c>
      <c r="B3135" t="s">
        <v>6244</v>
      </c>
      <c r="C3135" t="s">
        <v>47</v>
      </c>
      <c r="D3135" t="s">
        <v>6389</v>
      </c>
      <c r="E3135" t="s">
        <v>6389</v>
      </c>
      <c r="F3135" t="s">
        <v>49</v>
      </c>
      <c r="G3135" t="s">
        <v>6390</v>
      </c>
      <c r="H3135" t="s">
        <v>6391</v>
      </c>
      <c r="J3135" t="str">
        <f>HYPERLINK("https://www.youtube.com/watch?v=k4Jk2Nl60tE&amp;lc=Ugw3mqhYOqun4pAZtMd4AaABAg","https://www.youtube.com/watch?v=k4Jk2Nl60tE&amp;lc=Ugw3mqhYOqun4pAZtMd4AaABAg")</f>
        <v>https://www.youtube.com/watch?v=k4Jk2Nl60tE&amp;lc=Ugw3mqhYOqun4pAZtMd4AaABAg</v>
      </c>
      <c r="O3135">
        <v>0</v>
      </c>
      <c r="P3135">
        <v>0</v>
      </c>
      <c r="Q3135">
        <v>0</v>
      </c>
      <c r="S3135">
        <v>0</v>
      </c>
      <c r="T3135">
        <v>0</v>
      </c>
      <c r="U3135">
        <v>0</v>
      </c>
      <c r="W3135" t="s">
        <v>52</v>
      </c>
    </row>
    <row r="3136" spans="1:23" x14ac:dyDescent="0.35">
      <c r="A3136" t="s">
        <v>45</v>
      </c>
      <c r="B3136" t="s">
        <v>6244</v>
      </c>
      <c r="C3136" t="s">
        <v>47</v>
      </c>
      <c r="D3136" t="s">
        <v>6392</v>
      </c>
      <c r="E3136" t="s">
        <v>6392</v>
      </c>
      <c r="F3136" t="s">
        <v>49</v>
      </c>
      <c r="G3136" t="s">
        <v>6393</v>
      </c>
      <c r="H3136" t="s">
        <v>6394</v>
      </c>
      <c r="J3136" t="str">
        <f>HYPERLINK("https://www.youtube.com/watch?v=k4Jk2Nl60tE&amp;lc=UgxtSssyj62-P9cBiwl4AaABAg","https://www.youtube.com/watch?v=k4Jk2Nl60tE&amp;lc=UgxtSssyj62-P9cBiwl4AaABAg")</f>
        <v>https://www.youtube.com/watch?v=k4Jk2Nl60tE&amp;lc=UgxtSssyj62-P9cBiwl4AaABAg</v>
      </c>
      <c r="O3136">
        <v>0</v>
      </c>
      <c r="P3136">
        <v>0</v>
      </c>
      <c r="Q3136">
        <v>0</v>
      </c>
      <c r="S3136">
        <v>0</v>
      </c>
      <c r="T3136">
        <v>0</v>
      </c>
      <c r="U3136">
        <v>0</v>
      </c>
      <c r="W3136" t="s">
        <v>52</v>
      </c>
    </row>
    <row r="3137" spans="1:23" x14ac:dyDescent="0.35">
      <c r="A3137" t="s">
        <v>45</v>
      </c>
      <c r="B3137" t="s">
        <v>6244</v>
      </c>
      <c r="C3137" t="s">
        <v>47</v>
      </c>
      <c r="D3137" t="s">
        <v>6395</v>
      </c>
      <c r="E3137" t="s">
        <v>6395</v>
      </c>
      <c r="F3137" t="s">
        <v>49</v>
      </c>
      <c r="G3137" t="s">
        <v>6396</v>
      </c>
      <c r="H3137" t="s">
        <v>6397</v>
      </c>
      <c r="J3137" t="str">
        <f>HYPERLINK("https://www.youtube.com/watch?v=k4Jk2Nl60tE&amp;lc=UgxmXMftGmUdarhSoMh4AaABAg","https://www.youtube.com/watch?v=k4Jk2Nl60tE&amp;lc=UgxmXMftGmUdarhSoMh4AaABAg")</f>
        <v>https://www.youtube.com/watch?v=k4Jk2Nl60tE&amp;lc=UgxmXMftGmUdarhSoMh4AaABAg</v>
      </c>
      <c r="O3137">
        <v>0</v>
      </c>
      <c r="P3137">
        <v>0</v>
      </c>
      <c r="Q3137">
        <v>0</v>
      </c>
      <c r="S3137">
        <v>0</v>
      </c>
      <c r="T3137">
        <v>0</v>
      </c>
      <c r="U3137">
        <v>0</v>
      </c>
      <c r="W3137" t="s">
        <v>52</v>
      </c>
    </row>
    <row r="3138" spans="1:23" x14ac:dyDescent="0.35">
      <c r="A3138" t="s">
        <v>45</v>
      </c>
      <c r="B3138" t="s">
        <v>6244</v>
      </c>
      <c r="C3138" t="s">
        <v>47</v>
      </c>
      <c r="D3138" t="s">
        <v>6398</v>
      </c>
      <c r="E3138" t="s">
        <v>6398</v>
      </c>
      <c r="F3138" t="s">
        <v>49</v>
      </c>
      <c r="G3138" t="s">
        <v>6399</v>
      </c>
      <c r="H3138" t="s">
        <v>6400</v>
      </c>
      <c r="J3138" t="str">
        <f>HYPERLINK("https://www.youtube.com/watch?v=k4Jk2Nl60tE&amp;lc=UgzXMWxUC24MvXe-TEB4AaABAg","https://www.youtube.com/watch?v=k4Jk2Nl60tE&amp;lc=UgzXMWxUC24MvXe-TEB4AaABAg")</f>
        <v>https://www.youtube.com/watch?v=k4Jk2Nl60tE&amp;lc=UgzXMWxUC24MvXe-TEB4AaABAg</v>
      </c>
      <c r="O3138">
        <v>0</v>
      </c>
      <c r="P3138">
        <v>0</v>
      </c>
      <c r="Q3138">
        <v>0</v>
      </c>
      <c r="S3138">
        <v>0</v>
      </c>
      <c r="T3138">
        <v>0</v>
      </c>
      <c r="U3138">
        <v>0</v>
      </c>
      <c r="W3138" t="s">
        <v>52</v>
      </c>
    </row>
    <row r="3139" spans="1:23" x14ac:dyDescent="0.35">
      <c r="A3139" t="s">
        <v>45</v>
      </c>
      <c r="B3139" t="s">
        <v>6244</v>
      </c>
      <c r="C3139" t="s">
        <v>47</v>
      </c>
      <c r="D3139" t="s">
        <v>6401</v>
      </c>
      <c r="E3139" t="s">
        <v>6401</v>
      </c>
      <c r="F3139" t="s">
        <v>54</v>
      </c>
      <c r="G3139" t="s">
        <v>6402</v>
      </c>
      <c r="H3139" t="s">
        <v>6403</v>
      </c>
      <c r="J3139" t="str">
        <f>HYPERLINK("https://www.youtube.com/watch?v=k4Jk2Nl60tE&amp;lc=Ugx74XhaqlqZQpREvqF4AaABAg","https://www.youtube.com/watch?v=k4Jk2Nl60tE&amp;lc=Ugx74XhaqlqZQpREvqF4AaABAg")</f>
        <v>https://www.youtube.com/watch?v=k4Jk2Nl60tE&amp;lc=Ugx74XhaqlqZQpREvqF4AaABAg</v>
      </c>
      <c r="O3139">
        <v>0</v>
      </c>
      <c r="P3139">
        <v>0</v>
      </c>
      <c r="Q3139">
        <v>0</v>
      </c>
      <c r="S3139">
        <v>0</v>
      </c>
      <c r="T3139">
        <v>0</v>
      </c>
      <c r="U3139">
        <v>0</v>
      </c>
      <c r="W3139" t="s">
        <v>52</v>
      </c>
    </row>
    <row r="3140" spans="1:23" x14ac:dyDescent="0.35">
      <c r="A3140" t="s">
        <v>45</v>
      </c>
      <c r="B3140" t="s">
        <v>6244</v>
      </c>
      <c r="C3140" t="s">
        <v>47</v>
      </c>
      <c r="D3140" t="s">
        <v>6401</v>
      </c>
      <c r="E3140" t="s">
        <v>6401</v>
      </c>
      <c r="F3140" t="s">
        <v>54</v>
      </c>
      <c r="G3140" t="s">
        <v>847</v>
      </c>
      <c r="H3140" t="s">
        <v>6404</v>
      </c>
      <c r="J3140" t="str">
        <f>HYPERLINK("https://www.youtube.com/watch?v=k4Jk2Nl60tE&amp;lc=UgyEWXUHp6aqtQ_HGGZ4AaABAg","https://www.youtube.com/watch?v=k4Jk2Nl60tE&amp;lc=UgyEWXUHp6aqtQ_HGGZ4AaABAg")</f>
        <v>https://www.youtube.com/watch?v=k4Jk2Nl60tE&amp;lc=UgyEWXUHp6aqtQ_HGGZ4AaABAg</v>
      </c>
      <c r="O3140">
        <v>0</v>
      </c>
      <c r="P3140">
        <v>0</v>
      </c>
      <c r="Q3140">
        <v>0</v>
      </c>
      <c r="S3140">
        <v>0</v>
      </c>
      <c r="T3140">
        <v>0</v>
      </c>
      <c r="U3140">
        <v>0</v>
      </c>
      <c r="W3140" t="s">
        <v>52</v>
      </c>
    </row>
    <row r="3141" spans="1:23" x14ac:dyDescent="0.35">
      <c r="A3141" t="s">
        <v>45</v>
      </c>
      <c r="B3141" t="s">
        <v>6244</v>
      </c>
      <c r="C3141" t="s">
        <v>47</v>
      </c>
      <c r="D3141" t="s">
        <v>6405</v>
      </c>
      <c r="E3141" t="s">
        <v>6405</v>
      </c>
      <c r="F3141" t="s">
        <v>54</v>
      </c>
      <c r="G3141" t="s">
        <v>2712</v>
      </c>
      <c r="H3141" t="s">
        <v>6406</v>
      </c>
      <c r="J3141" t="str">
        <f>HYPERLINK("https://www.youtube.com/watch?v=k4Jk2Nl60tE&amp;lc=UgyPPjk9ng0UkStlIQp4AaABAg","https://www.youtube.com/watch?v=k4Jk2Nl60tE&amp;lc=UgyPPjk9ng0UkStlIQp4AaABAg")</f>
        <v>https://www.youtube.com/watch?v=k4Jk2Nl60tE&amp;lc=UgyPPjk9ng0UkStlIQp4AaABAg</v>
      </c>
      <c r="O3141">
        <v>0</v>
      </c>
      <c r="P3141">
        <v>0</v>
      </c>
      <c r="Q3141">
        <v>0</v>
      </c>
      <c r="S3141">
        <v>0</v>
      </c>
      <c r="T3141">
        <v>0</v>
      </c>
      <c r="U3141">
        <v>0</v>
      </c>
      <c r="W3141" t="s">
        <v>52</v>
      </c>
    </row>
    <row r="3142" spans="1:23" x14ac:dyDescent="0.35">
      <c r="A3142" t="s">
        <v>45</v>
      </c>
      <c r="B3142" t="s">
        <v>6244</v>
      </c>
      <c r="C3142" t="s">
        <v>47</v>
      </c>
      <c r="D3142" t="s">
        <v>45</v>
      </c>
      <c r="E3142" t="s">
        <v>45</v>
      </c>
      <c r="F3142" t="s">
        <v>49</v>
      </c>
      <c r="G3142" t="s">
        <v>6407</v>
      </c>
      <c r="H3142" t="s">
        <v>6408</v>
      </c>
      <c r="J3142" t="str">
        <f>HYPERLINK("https://www.youtube.com/watch?v=k4Jk2Nl60tE","https://www.youtube.com/watch?v=k4Jk2Nl60tE")</f>
        <v>https://www.youtube.com/watch?v=k4Jk2Nl60tE</v>
      </c>
      <c r="O3142">
        <v>0</v>
      </c>
      <c r="P3142">
        <v>0</v>
      </c>
      <c r="Q3142">
        <v>0</v>
      </c>
      <c r="S3142">
        <v>0</v>
      </c>
      <c r="T3142">
        <v>0</v>
      </c>
      <c r="U3142">
        <v>0</v>
      </c>
      <c r="W3142" t="s">
        <v>346</v>
      </c>
    </row>
    <row r="3143" spans="1:23" x14ac:dyDescent="0.35">
      <c r="A3143" t="s">
        <v>45</v>
      </c>
      <c r="B3143" t="s">
        <v>6244</v>
      </c>
      <c r="C3143" t="s">
        <v>93</v>
      </c>
      <c r="D3143" t="s">
        <v>6409</v>
      </c>
      <c r="E3143" t="s">
        <v>6410</v>
      </c>
      <c r="F3143" t="s">
        <v>54</v>
      </c>
      <c r="G3143" t="s">
        <v>6411</v>
      </c>
      <c r="H3143" t="s">
        <v>6412</v>
      </c>
      <c r="J3143" t="str">
        <f>HYPERLINK("https://twitter.com/ApurbaD41697729/status/1749646743229350311","https://twitter.com/ApurbaD41697729/status/1749646743229350311")</f>
        <v>https://twitter.com/ApurbaD41697729/status/1749646743229350311</v>
      </c>
      <c r="K3143" t="s">
        <v>67</v>
      </c>
      <c r="O3143">
        <v>0</v>
      </c>
      <c r="P3143">
        <v>0</v>
      </c>
      <c r="Q3143">
        <v>0</v>
      </c>
      <c r="S3143">
        <v>0</v>
      </c>
      <c r="T3143">
        <v>0</v>
      </c>
      <c r="U3143">
        <v>0</v>
      </c>
      <c r="W3143" t="s">
        <v>99</v>
      </c>
    </row>
    <row r="3144" spans="1:23" x14ac:dyDescent="0.35">
      <c r="A3144" t="s">
        <v>45</v>
      </c>
      <c r="B3144" t="s">
        <v>6244</v>
      </c>
      <c r="C3144" t="s">
        <v>60</v>
      </c>
      <c r="D3144" t="s">
        <v>61</v>
      </c>
      <c r="E3144" t="s">
        <v>61</v>
      </c>
      <c r="F3144" t="s">
        <v>49</v>
      </c>
      <c r="G3144" t="s">
        <v>6413</v>
      </c>
      <c r="H3144" t="s">
        <v>6414</v>
      </c>
      <c r="J3144" t="str">
        <f>HYPERLINK("https://www.facebook.com/634639855377280/posts/774412801399984?comment_id=911112700238451","https://www.facebook.com/634639855377280/posts/774412801399984?comment_id=911112700238451")</f>
        <v>https://www.facebook.com/634639855377280/posts/774412801399984?comment_id=911112700238451</v>
      </c>
      <c r="O3144">
        <v>0</v>
      </c>
      <c r="P3144">
        <v>0</v>
      </c>
      <c r="Q3144">
        <v>0</v>
      </c>
      <c r="S3144">
        <v>0</v>
      </c>
      <c r="T3144">
        <v>0</v>
      </c>
      <c r="U3144">
        <v>0</v>
      </c>
      <c r="W3144" t="s">
        <v>52</v>
      </c>
    </row>
    <row r="3145" spans="1:23" x14ac:dyDescent="0.35">
      <c r="A3145" t="s">
        <v>45</v>
      </c>
      <c r="B3145" t="s">
        <v>6244</v>
      </c>
      <c r="C3145" t="s">
        <v>47</v>
      </c>
      <c r="D3145" t="s">
        <v>6415</v>
      </c>
      <c r="E3145" t="s">
        <v>6415</v>
      </c>
      <c r="F3145" t="s">
        <v>49</v>
      </c>
      <c r="G3145" t="s">
        <v>6416</v>
      </c>
      <c r="H3145" t="s">
        <v>6417</v>
      </c>
      <c r="J3145" t="str">
        <f>HYPERLINK("https://www.youtube.com/watch?v=5NLC0uA7yZk&amp;lc=UgyG1-_8TxYEN080uoF4AaABAg","https://www.youtube.com/watch?v=5NLC0uA7yZk&amp;lc=UgyG1-_8TxYEN080uoF4AaABAg")</f>
        <v>https://www.youtube.com/watch?v=5NLC0uA7yZk&amp;lc=UgyG1-_8TxYEN080uoF4AaABAg</v>
      </c>
      <c r="O3145">
        <v>0</v>
      </c>
      <c r="P3145">
        <v>0</v>
      </c>
      <c r="Q3145">
        <v>0</v>
      </c>
      <c r="S3145">
        <v>0</v>
      </c>
      <c r="T3145">
        <v>0</v>
      </c>
      <c r="U3145">
        <v>0</v>
      </c>
      <c r="W3145" t="s">
        <v>52</v>
      </c>
    </row>
    <row r="3146" spans="1:23" x14ac:dyDescent="0.35">
      <c r="A3146" t="s">
        <v>45</v>
      </c>
      <c r="B3146" t="s">
        <v>6244</v>
      </c>
      <c r="C3146" t="s">
        <v>47</v>
      </c>
      <c r="D3146" t="s">
        <v>6418</v>
      </c>
      <c r="E3146" t="s">
        <v>6418</v>
      </c>
      <c r="F3146" t="s">
        <v>49</v>
      </c>
      <c r="G3146" t="s">
        <v>6419</v>
      </c>
      <c r="H3146" t="s">
        <v>6420</v>
      </c>
      <c r="J3146" t="str">
        <f>HYPERLINK("https://www.youtube.com/watch?v=HNs5n3C7b4Q","https://www.youtube.com/watch?v=HNs5n3C7b4Q")</f>
        <v>https://www.youtube.com/watch?v=HNs5n3C7b4Q</v>
      </c>
      <c r="O3146">
        <v>0</v>
      </c>
      <c r="P3146">
        <v>0</v>
      </c>
      <c r="Q3146">
        <v>0</v>
      </c>
      <c r="S3146">
        <v>0</v>
      </c>
      <c r="T3146">
        <v>0</v>
      </c>
      <c r="U3146">
        <v>0</v>
      </c>
      <c r="W3146" t="s">
        <v>346</v>
      </c>
    </row>
    <row r="3147" spans="1:23" x14ac:dyDescent="0.35">
      <c r="A3147" t="s">
        <v>45</v>
      </c>
      <c r="B3147" t="s">
        <v>6244</v>
      </c>
      <c r="C3147" t="s">
        <v>60</v>
      </c>
      <c r="D3147" t="s">
        <v>64</v>
      </c>
      <c r="E3147" t="s">
        <v>64</v>
      </c>
      <c r="F3147" t="s">
        <v>49</v>
      </c>
      <c r="G3147" t="s">
        <v>6421</v>
      </c>
      <c r="H3147" t="s">
        <v>6422</v>
      </c>
      <c r="J3147" t="str">
        <f>HYPERLINK("https://www.facebook.com/634639855377280/posts/777516464422951","https://www.facebook.com/634639855377280/posts/777516464422951")</f>
        <v>https://www.facebook.com/634639855377280/posts/777516464422951</v>
      </c>
      <c r="O3147">
        <v>0</v>
      </c>
      <c r="P3147">
        <v>0</v>
      </c>
      <c r="Q3147">
        <v>0</v>
      </c>
      <c r="S3147">
        <v>4</v>
      </c>
      <c r="T3147">
        <v>44</v>
      </c>
      <c r="U3147">
        <v>2</v>
      </c>
      <c r="W3147" t="s">
        <v>346</v>
      </c>
    </row>
    <row r="3148" spans="1:23" x14ac:dyDescent="0.35">
      <c r="A3148" t="s">
        <v>45</v>
      </c>
      <c r="B3148" t="s">
        <v>6244</v>
      </c>
      <c r="C3148" t="s">
        <v>60</v>
      </c>
      <c r="D3148" t="s">
        <v>61</v>
      </c>
      <c r="E3148" t="s">
        <v>61</v>
      </c>
      <c r="F3148" t="s">
        <v>54</v>
      </c>
      <c r="G3148" t="s">
        <v>6423</v>
      </c>
      <c r="H3148" t="s">
        <v>6424</v>
      </c>
      <c r="J3148" t="str">
        <f>HYPERLINK("https://www.facebook.com/634639855377280/posts/776286744545923?comment_id=295724550160285","https://www.facebook.com/634639855377280/posts/776286744545923?comment_id=295724550160285")</f>
        <v>https://www.facebook.com/634639855377280/posts/776286744545923?comment_id=295724550160285</v>
      </c>
      <c r="O3148">
        <v>0</v>
      </c>
      <c r="P3148">
        <v>0</v>
      </c>
      <c r="Q3148">
        <v>0</v>
      </c>
      <c r="S3148">
        <v>0</v>
      </c>
      <c r="T3148">
        <v>0</v>
      </c>
      <c r="U3148">
        <v>0</v>
      </c>
      <c r="W3148" t="s">
        <v>52</v>
      </c>
    </row>
    <row r="3149" spans="1:23" x14ac:dyDescent="0.35">
      <c r="A3149" t="s">
        <v>45</v>
      </c>
      <c r="B3149" t="s">
        <v>6425</v>
      </c>
      <c r="C3149" t="s">
        <v>93</v>
      </c>
      <c r="D3149" t="s">
        <v>5777</v>
      </c>
      <c r="E3149" t="s">
        <v>5778</v>
      </c>
      <c r="F3149" t="s">
        <v>49</v>
      </c>
      <c r="G3149" t="s">
        <v>6426</v>
      </c>
      <c r="H3149" t="s">
        <v>6427</v>
      </c>
      <c r="J3149" t="str">
        <f>HYPERLINK("https://twitter.com/JatinTripathiii/status/1749478463705346063","https://twitter.com/JatinTripathiii/status/1749478463705346063")</f>
        <v>https://twitter.com/JatinTripathiii/status/1749478463705346063</v>
      </c>
      <c r="K3149" t="s">
        <v>67</v>
      </c>
      <c r="O3149">
        <v>0</v>
      </c>
      <c r="P3149">
        <v>0</v>
      </c>
      <c r="Q3149">
        <v>8</v>
      </c>
      <c r="R3149" t="s">
        <v>5781</v>
      </c>
      <c r="S3149">
        <v>0</v>
      </c>
      <c r="T3149">
        <v>0</v>
      </c>
      <c r="U3149">
        <v>0</v>
      </c>
      <c r="W3149" t="s">
        <v>99</v>
      </c>
    </row>
    <row r="3150" spans="1:23" x14ac:dyDescent="0.35">
      <c r="A3150" t="s">
        <v>45</v>
      </c>
      <c r="B3150" t="s">
        <v>6425</v>
      </c>
      <c r="C3150" t="s">
        <v>47</v>
      </c>
      <c r="D3150" t="s">
        <v>6428</v>
      </c>
      <c r="E3150" t="s">
        <v>6428</v>
      </c>
      <c r="F3150" t="s">
        <v>193</v>
      </c>
      <c r="G3150" t="s">
        <v>6429</v>
      </c>
      <c r="H3150" t="s">
        <v>6430</v>
      </c>
      <c r="J3150" t="str">
        <f>HYPERLINK("https://www.youtube.com/watch?v=lxxujo5rpCA","https://www.youtube.com/watch?v=lxxujo5rpCA")</f>
        <v>https://www.youtube.com/watch?v=lxxujo5rpCA</v>
      </c>
      <c r="O3150">
        <v>0</v>
      </c>
      <c r="P3150">
        <v>0</v>
      </c>
      <c r="Q3150">
        <v>0</v>
      </c>
      <c r="S3150">
        <v>0</v>
      </c>
      <c r="T3150">
        <v>0</v>
      </c>
      <c r="U3150">
        <v>0</v>
      </c>
      <c r="W3150" t="s">
        <v>346</v>
      </c>
    </row>
    <row r="3151" spans="1:23" x14ac:dyDescent="0.35">
      <c r="A3151" t="s">
        <v>45</v>
      </c>
      <c r="B3151" t="s">
        <v>6425</v>
      </c>
      <c r="C3151" t="s">
        <v>93</v>
      </c>
      <c r="D3151" t="s">
        <v>94</v>
      </c>
      <c r="E3151" t="s">
        <v>45</v>
      </c>
      <c r="F3151" t="s">
        <v>49</v>
      </c>
      <c r="G3151" t="s">
        <v>6431</v>
      </c>
      <c r="H3151" t="s">
        <v>6432</v>
      </c>
      <c r="J3151" t="str">
        <f>HYPERLINK("https://twitter.com/SpiceMoneyIndia/status/1749414174290055185","https://twitter.com/SpiceMoneyIndia/status/1749414174290055185")</f>
        <v>https://twitter.com/SpiceMoneyIndia/status/1749414174290055185</v>
      </c>
      <c r="K3151" t="s">
        <v>67</v>
      </c>
      <c r="O3151">
        <v>0</v>
      </c>
      <c r="P3151">
        <v>0</v>
      </c>
      <c r="Q3151">
        <v>6001</v>
      </c>
      <c r="R3151" t="s">
        <v>97</v>
      </c>
      <c r="S3151">
        <v>0</v>
      </c>
      <c r="T3151">
        <v>0</v>
      </c>
      <c r="U3151">
        <v>0</v>
      </c>
      <c r="V3151" t="s">
        <v>98</v>
      </c>
      <c r="W3151" t="s">
        <v>99</v>
      </c>
    </row>
    <row r="3152" spans="1:23" x14ac:dyDescent="0.35">
      <c r="A3152" t="s">
        <v>45</v>
      </c>
      <c r="B3152" t="s">
        <v>6425</v>
      </c>
      <c r="C3152" t="s">
        <v>47</v>
      </c>
      <c r="D3152" t="s">
        <v>45</v>
      </c>
      <c r="E3152" t="s">
        <v>45</v>
      </c>
      <c r="F3152" t="s">
        <v>49</v>
      </c>
      <c r="G3152" t="s">
        <v>6407</v>
      </c>
      <c r="H3152" t="s">
        <v>6433</v>
      </c>
      <c r="J3152" t="str">
        <f>HYPERLINK("https://www.youtube.com/watch?v=k4Jk2Nl60tE","https://www.youtube.com/watch?v=k4Jk2Nl60tE")</f>
        <v>https://www.youtube.com/watch?v=k4Jk2Nl60tE</v>
      </c>
      <c r="O3152">
        <v>0</v>
      </c>
      <c r="P3152">
        <v>0</v>
      </c>
      <c r="Q3152">
        <v>0</v>
      </c>
      <c r="S3152">
        <v>0</v>
      </c>
      <c r="T3152">
        <v>0</v>
      </c>
      <c r="U3152">
        <v>0</v>
      </c>
      <c r="W3152" t="s">
        <v>346</v>
      </c>
    </row>
    <row r="3153" spans="1:23" x14ac:dyDescent="0.35">
      <c r="A3153" t="s">
        <v>45</v>
      </c>
      <c r="B3153" t="s">
        <v>6425</v>
      </c>
      <c r="C3153" t="s">
        <v>93</v>
      </c>
      <c r="D3153" t="s">
        <v>94</v>
      </c>
      <c r="E3153" t="s">
        <v>45</v>
      </c>
      <c r="F3153" t="s">
        <v>49</v>
      </c>
      <c r="G3153" t="s">
        <v>6434</v>
      </c>
      <c r="H3153" t="s">
        <v>6435</v>
      </c>
      <c r="J3153" t="str">
        <f>HYPERLINK("https://twitter.com/SpiceMoneyIndia/status/1749406694776459365","https://twitter.com/SpiceMoneyIndia/status/1749406694776459365")</f>
        <v>https://twitter.com/SpiceMoneyIndia/status/1749406694776459365</v>
      </c>
      <c r="K3153" t="s">
        <v>67</v>
      </c>
      <c r="O3153">
        <v>0</v>
      </c>
      <c r="P3153">
        <v>0</v>
      </c>
      <c r="Q3153">
        <v>6001</v>
      </c>
      <c r="R3153" t="s">
        <v>97</v>
      </c>
      <c r="S3153">
        <v>0</v>
      </c>
      <c r="T3153">
        <v>0</v>
      </c>
      <c r="U3153">
        <v>0</v>
      </c>
      <c r="V3153" t="s">
        <v>98</v>
      </c>
      <c r="W3153" t="s">
        <v>99</v>
      </c>
    </row>
    <row r="3154" spans="1:23" x14ac:dyDescent="0.35">
      <c r="A3154" t="s">
        <v>45</v>
      </c>
      <c r="B3154" t="s">
        <v>6425</v>
      </c>
      <c r="C3154" t="s">
        <v>47</v>
      </c>
      <c r="D3154" t="s">
        <v>68</v>
      </c>
      <c r="E3154" t="s">
        <v>68</v>
      </c>
      <c r="F3154" t="s">
        <v>49</v>
      </c>
      <c r="G3154" t="s">
        <v>69</v>
      </c>
      <c r="H3154" t="s">
        <v>6436</v>
      </c>
      <c r="J3154" t="str">
        <f>HYPERLINK("https://www.youtube.com/watch?v=wJJ455CgzKg&amp;lc=UgwDCtnuHqc7ha40Cs14AaABAg.9zrvbvPmues9zsCEQmJ4YB","https://www.youtube.com/watch?v=wJJ455CgzKg&amp;lc=UgwDCtnuHqc7ha40Cs14AaABAg.9zrvbvPmues9zsCEQmJ4YB")</f>
        <v>https://www.youtube.com/watch?v=wJJ455CgzKg&amp;lc=UgwDCtnuHqc7ha40Cs14AaABAg.9zrvbvPmues9zsCEQmJ4YB</v>
      </c>
      <c r="O3154">
        <v>0</v>
      </c>
      <c r="P3154">
        <v>0</v>
      </c>
      <c r="Q3154">
        <v>0</v>
      </c>
      <c r="S3154">
        <v>0</v>
      </c>
      <c r="T3154">
        <v>0</v>
      </c>
      <c r="U3154">
        <v>0</v>
      </c>
      <c r="W3154" t="s">
        <v>52</v>
      </c>
    </row>
    <row r="3155" spans="1:23" x14ac:dyDescent="0.35">
      <c r="A3155" t="s">
        <v>45</v>
      </c>
      <c r="B3155" t="s">
        <v>6425</v>
      </c>
      <c r="C3155" t="s">
        <v>47</v>
      </c>
      <c r="D3155" t="s">
        <v>68</v>
      </c>
      <c r="E3155" t="s">
        <v>68</v>
      </c>
      <c r="F3155" t="s">
        <v>49</v>
      </c>
      <c r="G3155" t="s">
        <v>1595</v>
      </c>
      <c r="H3155" t="s">
        <v>6437</v>
      </c>
      <c r="J3155" t="str">
        <f>HYPERLINK("https://www.youtube.com/watch?v=z58WzdIZIO8&amp;lc=Ugx9AGW2cZsaghNC9Rd4AaABAg.9zs7l-IZI_Q9zsC4BV2hd9","https://www.youtube.com/watch?v=z58WzdIZIO8&amp;lc=Ugx9AGW2cZsaghNC9Rd4AaABAg.9zs7l-IZI_Q9zsC4BV2hd9")</f>
        <v>https://www.youtube.com/watch?v=z58WzdIZIO8&amp;lc=Ugx9AGW2cZsaghNC9Rd4AaABAg.9zs7l-IZI_Q9zsC4BV2hd9</v>
      </c>
      <c r="O3155">
        <v>0</v>
      </c>
      <c r="P3155">
        <v>0</v>
      </c>
      <c r="Q3155">
        <v>0</v>
      </c>
      <c r="S3155">
        <v>0</v>
      </c>
      <c r="T3155">
        <v>0</v>
      </c>
      <c r="U3155">
        <v>0</v>
      </c>
      <c r="W3155" t="s">
        <v>52</v>
      </c>
    </row>
    <row r="3156" spans="1:23" x14ac:dyDescent="0.35">
      <c r="A3156" t="s">
        <v>45</v>
      </c>
      <c r="B3156" t="s">
        <v>6425</v>
      </c>
      <c r="C3156" t="s">
        <v>47</v>
      </c>
      <c r="D3156" t="s">
        <v>6438</v>
      </c>
      <c r="E3156" t="s">
        <v>6438</v>
      </c>
      <c r="F3156" t="s">
        <v>193</v>
      </c>
      <c r="G3156" t="s">
        <v>6439</v>
      </c>
      <c r="H3156" t="s">
        <v>6440</v>
      </c>
      <c r="J3156" t="str">
        <f>HYPERLINK("https://www.youtube.com/watch?v=--SsTSqIa-4&amp;lc=Ugy-sE2nDlxjGuUjQf94AaABAg.9znI4yuSn_M9zsAEptIFuc","https://www.youtube.com/watch?v=--SsTSqIa-4&amp;lc=Ugy-sE2nDlxjGuUjQf94AaABAg.9znI4yuSn_M9zsAEptIFuc")</f>
        <v>https://www.youtube.com/watch?v=--SsTSqIa-4&amp;lc=Ugy-sE2nDlxjGuUjQf94AaABAg.9znI4yuSn_M9zsAEptIFuc</v>
      </c>
      <c r="O3156">
        <v>0</v>
      </c>
      <c r="P3156">
        <v>0</v>
      </c>
      <c r="Q3156">
        <v>0</v>
      </c>
      <c r="S3156">
        <v>0</v>
      </c>
      <c r="T3156">
        <v>0</v>
      </c>
      <c r="U3156">
        <v>0</v>
      </c>
      <c r="W3156" t="s">
        <v>52</v>
      </c>
    </row>
    <row r="3157" spans="1:23" x14ac:dyDescent="0.35">
      <c r="A3157" t="s">
        <v>45</v>
      </c>
      <c r="B3157" t="s">
        <v>6425</v>
      </c>
      <c r="C3157" t="s">
        <v>60</v>
      </c>
      <c r="D3157" t="s">
        <v>64</v>
      </c>
      <c r="E3157" t="s">
        <v>64</v>
      </c>
      <c r="F3157" t="s">
        <v>49</v>
      </c>
      <c r="G3157" t="s">
        <v>6441</v>
      </c>
      <c r="H3157" t="s">
        <v>6442</v>
      </c>
      <c r="J3157" t="str">
        <f>HYPERLINK("https://www.facebook.com/634639855377280/posts/774881771353087?comment_id=1356599798328357&amp;reply_comment_id=1023385788729747","https://www.facebook.com/634639855377280/posts/774881771353087?comment_id=1356599798328357&amp;reply_comment_id=1023385788729747")</f>
        <v>https://www.facebook.com/634639855377280/posts/774881771353087?comment_id=1356599798328357&amp;reply_comment_id=1023385788729747</v>
      </c>
      <c r="K3157" t="s">
        <v>67</v>
      </c>
      <c r="O3157">
        <v>0</v>
      </c>
      <c r="P3157">
        <v>0</v>
      </c>
      <c r="Q3157">
        <v>0</v>
      </c>
      <c r="S3157">
        <v>0</v>
      </c>
      <c r="T3157">
        <v>0</v>
      </c>
      <c r="U3157">
        <v>0</v>
      </c>
      <c r="W3157" t="s">
        <v>52</v>
      </c>
    </row>
    <row r="3158" spans="1:23" x14ac:dyDescent="0.35">
      <c r="A3158" t="s">
        <v>45</v>
      </c>
      <c r="B3158" t="s">
        <v>6425</v>
      </c>
      <c r="C3158" t="s">
        <v>60</v>
      </c>
      <c r="D3158" t="s">
        <v>64</v>
      </c>
      <c r="E3158" t="s">
        <v>64</v>
      </c>
      <c r="F3158" t="s">
        <v>49</v>
      </c>
      <c r="G3158" t="s">
        <v>6443</v>
      </c>
      <c r="H3158" t="s">
        <v>6444</v>
      </c>
      <c r="J3158" t="str">
        <f>HYPERLINK("https://www.facebook.com/634639855377280/posts/774483894726208?comment_id=772463498243763&amp;reply_comment_id=262275943568908","https://www.facebook.com/634639855377280/posts/774483894726208?comment_id=772463498243763&amp;reply_comment_id=262275943568908")</f>
        <v>https://www.facebook.com/634639855377280/posts/774483894726208?comment_id=772463498243763&amp;reply_comment_id=262275943568908</v>
      </c>
      <c r="K3158" t="s">
        <v>67</v>
      </c>
      <c r="O3158">
        <v>0</v>
      </c>
      <c r="P3158">
        <v>0</v>
      </c>
      <c r="Q3158">
        <v>0</v>
      </c>
      <c r="S3158">
        <v>0</v>
      </c>
      <c r="T3158">
        <v>0</v>
      </c>
      <c r="U3158">
        <v>0</v>
      </c>
      <c r="W3158" t="s">
        <v>52</v>
      </c>
    </row>
    <row r="3159" spans="1:23" x14ac:dyDescent="0.35">
      <c r="A3159" t="s">
        <v>45</v>
      </c>
      <c r="B3159" t="s">
        <v>6425</v>
      </c>
      <c r="C3159" t="s">
        <v>60</v>
      </c>
      <c r="D3159" t="s">
        <v>64</v>
      </c>
      <c r="E3159" t="s">
        <v>64</v>
      </c>
      <c r="F3159" t="s">
        <v>49</v>
      </c>
      <c r="G3159" t="s">
        <v>6445</v>
      </c>
      <c r="H3159" t="s">
        <v>6446</v>
      </c>
      <c r="J3159" t="str">
        <f>HYPERLINK("https://www.facebook.com/634639855377280/posts/774412801399984?comment_id=1083199186440179&amp;reply_comment_id=366190669380372","https://www.facebook.com/634639855377280/posts/774412801399984?comment_id=1083199186440179&amp;reply_comment_id=366190669380372")</f>
        <v>https://www.facebook.com/634639855377280/posts/774412801399984?comment_id=1083199186440179&amp;reply_comment_id=366190669380372</v>
      </c>
      <c r="K3159" t="s">
        <v>67</v>
      </c>
      <c r="O3159">
        <v>0</v>
      </c>
      <c r="P3159">
        <v>0</v>
      </c>
      <c r="Q3159">
        <v>0</v>
      </c>
      <c r="S3159">
        <v>0</v>
      </c>
      <c r="T3159">
        <v>0</v>
      </c>
      <c r="U3159">
        <v>0</v>
      </c>
      <c r="W3159" t="s">
        <v>52</v>
      </c>
    </row>
    <row r="3160" spans="1:23" x14ac:dyDescent="0.35">
      <c r="A3160" t="s">
        <v>45</v>
      </c>
      <c r="B3160" t="s">
        <v>6425</v>
      </c>
      <c r="C3160" t="s">
        <v>60</v>
      </c>
      <c r="D3160" t="s">
        <v>64</v>
      </c>
      <c r="E3160" t="s">
        <v>64</v>
      </c>
      <c r="F3160" t="s">
        <v>49</v>
      </c>
      <c r="G3160" t="s">
        <v>4043</v>
      </c>
      <c r="H3160" t="s">
        <v>6447</v>
      </c>
      <c r="J3160" t="str">
        <f>HYPERLINK("https://www.facebook.com/634639855377280/posts/774483894726208?comment_id=755786529771052&amp;reply_comment_id=1621026708634865","https://www.facebook.com/634639855377280/posts/774483894726208?comment_id=755786529771052&amp;reply_comment_id=1621026708634865")</f>
        <v>https://www.facebook.com/634639855377280/posts/774483894726208?comment_id=755786529771052&amp;reply_comment_id=1621026708634865</v>
      </c>
      <c r="K3160" t="s">
        <v>67</v>
      </c>
      <c r="O3160">
        <v>0</v>
      </c>
      <c r="P3160">
        <v>0</v>
      </c>
      <c r="Q3160">
        <v>0</v>
      </c>
      <c r="S3160">
        <v>0</v>
      </c>
      <c r="T3160">
        <v>0</v>
      </c>
      <c r="U3160">
        <v>0</v>
      </c>
      <c r="W3160" t="s">
        <v>52</v>
      </c>
    </row>
    <row r="3161" spans="1:23" x14ac:dyDescent="0.35">
      <c r="A3161" t="s">
        <v>45</v>
      </c>
      <c r="B3161" t="s">
        <v>6425</v>
      </c>
      <c r="C3161" t="s">
        <v>47</v>
      </c>
      <c r="D3161" t="s">
        <v>6448</v>
      </c>
      <c r="E3161" t="s">
        <v>6448</v>
      </c>
      <c r="F3161" t="s">
        <v>49</v>
      </c>
      <c r="G3161" t="s">
        <v>6449</v>
      </c>
      <c r="H3161" t="s">
        <v>6450</v>
      </c>
      <c r="J3161" t="str">
        <f>HYPERLINK("https://www.youtube.com/watch?v=z58WzdIZIO8&amp;lc=Ugx9AGW2cZsaghNC9Rd4AaABAg","https://www.youtube.com/watch?v=z58WzdIZIO8&amp;lc=Ugx9AGW2cZsaghNC9Rd4AaABAg")</f>
        <v>https://www.youtube.com/watch?v=z58WzdIZIO8&amp;lc=Ugx9AGW2cZsaghNC9Rd4AaABAg</v>
      </c>
      <c r="O3161">
        <v>0</v>
      </c>
      <c r="P3161">
        <v>0</v>
      </c>
      <c r="Q3161">
        <v>0</v>
      </c>
      <c r="S3161">
        <v>0</v>
      </c>
      <c r="T3161">
        <v>0</v>
      </c>
      <c r="U3161">
        <v>0</v>
      </c>
      <c r="W3161" t="s">
        <v>52</v>
      </c>
    </row>
    <row r="3162" spans="1:23" x14ac:dyDescent="0.35">
      <c r="A3162" t="s">
        <v>45</v>
      </c>
      <c r="B3162" t="s">
        <v>6425</v>
      </c>
      <c r="C3162" t="s">
        <v>60</v>
      </c>
      <c r="D3162" t="s">
        <v>64</v>
      </c>
      <c r="E3162" t="s">
        <v>64</v>
      </c>
      <c r="F3162" t="s">
        <v>49</v>
      </c>
      <c r="G3162" t="s">
        <v>6443</v>
      </c>
      <c r="H3162" t="s">
        <v>6451</v>
      </c>
      <c r="J3162" t="str">
        <f>HYPERLINK("https://www.facebook.com/634639855377280/posts/776275584547039?comment_id=387786113935715&amp;reply_comment_id=714723900429538","https://www.facebook.com/634639855377280/posts/776275584547039?comment_id=387786113935715&amp;reply_comment_id=714723900429538")</f>
        <v>https://www.facebook.com/634639855377280/posts/776275584547039?comment_id=387786113935715&amp;reply_comment_id=714723900429538</v>
      </c>
      <c r="K3162" t="s">
        <v>67</v>
      </c>
      <c r="O3162">
        <v>0</v>
      </c>
      <c r="P3162">
        <v>0</v>
      </c>
      <c r="Q3162">
        <v>0</v>
      </c>
      <c r="S3162">
        <v>0</v>
      </c>
      <c r="T3162">
        <v>0</v>
      </c>
      <c r="U3162">
        <v>0</v>
      </c>
      <c r="W3162" t="s">
        <v>52</v>
      </c>
    </row>
    <row r="3163" spans="1:23" x14ac:dyDescent="0.35">
      <c r="A3163" t="s">
        <v>45</v>
      </c>
      <c r="B3163" t="s">
        <v>6425</v>
      </c>
      <c r="C3163" t="s">
        <v>47</v>
      </c>
      <c r="D3163" t="s">
        <v>6448</v>
      </c>
      <c r="E3163" t="s">
        <v>6448</v>
      </c>
      <c r="F3163" t="s">
        <v>54</v>
      </c>
      <c r="G3163" t="s">
        <v>6452</v>
      </c>
      <c r="H3163" t="s">
        <v>6453</v>
      </c>
      <c r="J3163" t="str">
        <f>HYPERLINK("https://www.youtube.com/watch?v=L48LASyoHuE&amp;lc=UgxbEv4KYBC2-s1hy7R4AaABAg","https://www.youtube.com/watch?v=L48LASyoHuE&amp;lc=UgxbEv4KYBC2-s1hy7R4AaABAg")</f>
        <v>https://www.youtube.com/watch?v=L48LASyoHuE&amp;lc=UgxbEv4KYBC2-s1hy7R4AaABAg</v>
      </c>
      <c r="O3163">
        <v>0</v>
      </c>
      <c r="P3163">
        <v>0</v>
      </c>
      <c r="Q3163">
        <v>0</v>
      </c>
      <c r="S3163">
        <v>0</v>
      </c>
      <c r="T3163">
        <v>0</v>
      </c>
      <c r="U3163">
        <v>0</v>
      </c>
      <c r="W3163" t="s">
        <v>52</v>
      </c>
    </row>
    <row r="3164" spans="1:23" x14ac:dyDescent="0.35">
      <c r="A3164" t="s">
        <v>45</v>
      </c>
      <c r="B3164" t="s">
        <v>6425</v>
      </c>
      <c r="C3164" t="s">
        <v>47</v>
      </c>
      <c r="D3164" t="s">
        <v>6448</v>
      </c>
      <c r="E3164" t="s">
        <v>6448</v>
      </c>
      <c r="F3164" t="s">
        <v>54</v>
      </c>
      <c r="G3164" t="s">
        <v>6454</v>
      </c>
      <c r="H3164" t="s">
        <v>6455</v>
      </c>
      <c r="J3164" t="str">
        <f>HYPERLINK("https://www.youtube.com/watch?v=L48LASyoHuE&amp;lc=Ugw7QA9RwKCwyt8RDoZ4AaABAg","https://www.youtube.com/watch?v=L48LASyoHuE&amp;lc=Ugw7QA9RwKCwyt8RDoZ4AaABAg")</f>
        <v>https://www.youtube.com/watch?v=L48LASyoHuE&amp;lc=Ugw7QA9RwKCwyt8RDoZ4AaABAg</v>
      </c>
      <c r="O3164">
        <v>0</v>
      </c>
      <c r="P3164">
        <v>0</v>
      </c>
      <c r="Q3164">
        <v>0</v>
      </c>
      <c r="S3164">
        <v>0</v>
      </c>
      <c r="T3164">
        <v>0</v>
      </c>
      <c r="U3164">
        <v>0</v>
      </c>
      <c r="W3164" t="s">
        <v>52</v>
      </c>
    </row>
    <row r="3165" spans="1:23" x14ac:dyDescent="0.35">
      <c r="A3165" t="s">
        <v>45</v>
      </c>
      <c r="B3165" t="s">
        <v>6425</v>
      </c>
      <c r="C3165" t="s">
        <v>60</v>
      </c>
      <c r="D3165" t="s">
        <v>64</v>
      </c>
      <c r="E3165" t="s">
        <v>64</v>
      </c>
      <c r="F3165" t="s">
        <v>49</v>
      </c>
      <c r="G3165" t="s">
        <v>6456</v>
      </c>
      <c r="H3165" t="s">
        <v>6457</v>
      </c>
      <c r="J3165" t="str">
        <f>HYPERLINK("https://www.facebook.com/634639855377280/posts/774483894726208?comment_id=188664647637912&amp;reply_comment_id=337871709073014","https://www.facebook.com/634639855377280/posts/774483894726208?comment_id=188664647637912&amp;reply_comment_id=337871709073014")</f>
        <v>https://www.facebook.com/634639855377280/posts/774483894726208?comment_id=188664647637912&amp;reply_comment_id=337871709073014</v>
      </c>
      <c r="K3165" t="s">
        <v>67</v>
      </c>
      <c r="O3165">
        <v>0</v>
      </c>
      <c r="P3165">
        <v>0</v>
      </c>
      <c r="Q3165">
        <v>0</v>
      </c>
      <c r="S3165">
        <v>0</v>
      </c>
      <c r="T3165">
        <v>0</v>
      </c>
      <c r="U3165">
        <v>0</v>
      </c>
      <c r="W3165" t="s">
        <v>52</v>
      </c>
    </row>
    <row r="3166" spans="1:23" x14ac:dyDescent="0.35">
      <c r="A3166" t="s">
        <v>45</v>
      </c>
      <c r="B3166" t="s">
        <v>6425</v>
      </c>
      <c r="C3166" t="s">
        <v>47</v>
      </c>
      <c r="D3166" t="s">
        <v>6448</v>
      </c>
      <c r="E3166" t="s">
        <v>6448</v>
      </c>
      <c r="F3166" t="s">
        <v>49</v>
      </c>
      <c r="G3166" t="s">
        <v>6458</v>
      </c>
      <c r="H3166" t="s">
        <v>6459</v>
      </c>
      <c r="J3166" t="str">
        <f>HYPERLINK("https://www.youtube.com/watch?v=L48LASyoHuE&amp;lc=UgzlVeInB6D87rR9pRJ4AaABAg","https://www.youtube.com/watch?v=L48LASyoHuE&amp;lc=UgzlVeInB6D87rR9pRJ4AaABAg")</f>
        <v>https://www.youtube.com/watch?v=L48LASyoHuE&amp;lc=UgzlVeInB6D87rR9pRJ4AaABAg</v>
      </c>
      <c r="O3166">
        <v>0</v>
      </c>
      <c r="P3166">
        <v>0</v>
      </c>
      <c r="Q3166">
        <v>0</v>
      </c>
      <c r="S3166">
        <v>0</v>
      </c>
      <c r="T3166">
        <v>0</v>
      </c>
      <c r="U3166">
        <v>0</v>
      </c>
      <c r="W3166" t="s">
        <v>52</v>
      </c>
    </row>
    <row r="3167" spans="1:23" x14ac:dyDescent="0.35">
      <c r="A3167" t="s">
        <v>45</v>
      </c>
      <c r="B3167" t="s">
        <v>6425</v>
      </c>
      <c r="C3167" t="s">
        <v>93</v>
      </c>
      <c r="D3167" t="s">
        <v>94</v>
      </c>
      <c r="E3167" t="s">
        <v>45</v>
      </c>
      <c r="F3167" t="s">
        <v>49</v>
      </c>
      <c r="G3167" t="s">
        <v>6460</v>
      </c>
      <c r="H3167" t="s">
        <v>6461</v>
      </c>
      <c r="J3167" t="str">
        <f>HYPERLINK("https://twitter.com/SpiceMoneyIndia/status/1749382031778124018","https://twitter.com/SpiceMoneyIndia/status/1749382031778124018")</f>
        <v>https://twitter.com/SpiceMoneyIndia/status/1749382031778124018</v>
      </c>
      <c r="K3167" t="s">
        <v>67</v>
      </c>
      <c r="O3167">
        <v>0</v>
      </c>
      <c r="P3167">
        <v>0</v>
      </c>
      <c r="Q3167">
        <v>6002</v>
      </c>
      <c r="R3167" t="s">
        <v>97</v>
      </c>
      <c r="S3167">
        <v>0</v>
      </c>
      <c r="T3167">
        <v>0</v>
      </c>
      <c r="U3167">
        <v>0</v>
      </c>
      <c r="V3167" t="s">
        <v>98</v>
      </c>
      <c r="W3167" t="s">
        <v>99</v>
      </c>
    </row>
    <row r="3168" spans="1:23" x14ac:dyDescent="0.35">
      <c r="A3168" t="s">
        <v>45</v>
      </c>
      <c r="B3168" t="s">
        <v>6425</v>
      </c>
      <c r="C3168" t="s">
        <v>60</v>
      </c>
      <c r="D3168" t="s">
        <v>61</v>
      </c>
      <c r="E3168" t="s">
        <v>61</v>
      </c>
      <c r="F3168" t="s">
        <v>54</v>
      </c>
      <c r="G3168" t="s">
        <v>6462</v>
      </c>
      <c r="H3168" t="s">
        <v>6463</v>
      </c>
      <c r="J3168" t="str">
        <f>HYPERLINK("https://www.facebook.com/634639855377280/posts/777009237807007?comment_id=743817444332346","https://www.facebook.com/634639855377280/posts/777009237807007?comment_id=743817444332346")</f>
        <v>https://www.facebook.com/634639855377280/posts/777009237807007?comment_id=743817444332346</v>
      </c>
      <c r="O3168">
        <v>0</v>
      </c>
      <c r="P3168">
        <v>0</v>
      </c>
      <c r="Q3168">
        <v>0</v>
      </c>
      <c r="S3168">
        <v>0</v>
      </c>
      <c r="T3168">
        <v>0</v>
      </c>
      <c r="U3168">
        <v>0</v>
      </c>
      <c r="W3168" t="s">
        <v>52</v>
      </c>
    </row>
    <row r="3169" spans="1:23" x14ac:dyDescent="0.35">
      <c r="A3169" t="s">
        <v>45</v>
      </c>
      <c r="B3169" t="s">
        <v>6425</v>
      </c>
      <c r="C3169" t="s">
        <v>60</v>
      </c>
      <c r="D3169" t="s">
        <v>61</v>
      </c>
      <c r="E3169" t="s">
        <v>61</v>
      </c>
      <c r="F3169" t="s">
        <v>54</v>
      </c>
      <c r="G3169" t="s">
        <v>6464</v>
      </c>
      <c r="H3169" t="s">
        <v>6465</v>
      </c>
      <c r="J3169" t="str">
        <f>HYPERLINK("https://www.facebook.com/634639855377280/posts/776916321149632?comment_id=1124500065412143","https://www.facebook.com/634639855377280/posts/776916321149632?comment_id=1124500065412143")</f>
        <v>https://www.facebook.com/634639855377280/posts/776916321149632?comment_id=1124500065412143</v>
      </c>
      <c r="O3169">
        <v>0</v>
      </c>
      <c r="P3169">
        <v>0</v>
      </c>
      <c r="Q3169">
        <v>0</v>
      </c>
      <c r="S3169">
        <v>0</v>
      </c>
      <c r="T3169">
        <v>0</v>
      </c>
      <c r="U3169">
        <v>0</v>
      </c>
      <c r="W3169" t="s">
        <v>52</v>
      </c>
    </row>
    <row r="3170" spans="1:23" x14ac:dyDescent="0.35">
      <c r="A3170" t="s">
        <v>45</v>
      </c>
      <c r="B3170" t="s">
        <v>6425</v>
      </c>
      <c r="C3170" t="s">
        <v>47</v>
      </c>
      <c r="D3170" t="s">
        <v>6466</v>
      </c>
      <c r="E3170" t="s">
        <v>6466</v>
      </c>
      <c r="F3170" t="s">
        <v>49</v>
      </c>
      <c r="G3170" t="s">
        <v>6467</v>
      </c>
      <c r="H3170" t="s">
        <v>6468</v>
      </c>
      <c r="J3170" t="str">
        <f>HYPERLINK("https://www.youtube.com/watch?v=wJJ455CgzKg&amp;lc=UgwDCtnuHqc7ha40Cs14AaABAg","https://www.youtube.com/watch?v=wJJ455CgzKg&amp;lc=UgwDCtnuHqc7ha40Cs14AaABAg")</f>
        <v>https://www.youtube.com/watch?v=wJJ455CgzKg&amp;lc=UgwDCtnuHqc7ha40Cs14AaABAg</v>
      </c>
      <c r="O3170">
        <v>0</v>
      </c>
      <c r="P3170">
        <v>0</v>
      </c>
      <c r="Q3170">
        <v>0</v>
      </c>
      <c r="S3170">
        <v>0</v>
      </c>
      <c r="T3170">
        <v>0</v>
      </c>
      <c r="U3170">
        <v>0</v>
      </c>
      <c r="W3170" t="s">
        <v>52</v>
      </c>
    </row>
    <row r="3171" spans="1:23" x14ac:dyDescent="0.35">
      <c r="A3171" t="s">
        <v>45</v>
      </c>
      <c r="B3171" t="s">
        <v>6425</v>
      </c>
      <c r="C3171" t="s">
        <v>47</v>
      </c>
      <c r="D3171" t="s">
        <v>68</v>
      </c>
      <c r="E3171" t="s">
        <v>68</v>
      </c>
      <c r="F3171" t="s">
        <v>49</v>
      </c>
      <c r="G3171" t="s">
        <v>6469</v>
      </c>
      <c r="H3171" t="s">
        <v>6470</v>
      </c>
      <c r="J3171" t="str">
        <f>HYPERLINK("https://www.youtube.com/watch?v=nw5NSk5mPF8&amp;lc=UgzbKgmj4f3e5bZ3lTt4AaABAg.9zeMoK3msvb9zrqrJRR9yA","https://www.youtube.com/watch?v=nw5NSk5mPF8&amp;lc=UgzbKgmj4f3e5bZ3lTt4AaABAg.9zeMoK3msvb9zrqrJRR9yA")</f>
        <v>https://www.youtube.com/watch?v=nw5NSk5mPF8&amp;lc=UgzbKgmj4f3e5bZ3lTt4AaABAg.9zeMoK3msvb9zrqrJRR9yA</v>
      </c>
      <c r="O3171">
        <v>0</v>
      </c>
      <c r="P3171">
        <v>0</v>
      </c>
      <c r="Q3171">
        <v>0</v>
      </c>
      <c r="S3171">
        <v>0</v>
      </c>
      <c r="T3171">
        <v>0</v>
      </c>
      <c r="U3171">
        <v>0</v>
      </c>
      <c r="W3171" t="s">
        <v>52</v>
      </c>
    </row>
    <row r="3172" spans="1:23" x14ac:dyDescent="0.35">
      <c r="A3172" t="s">
        <v>45</v>
      </c>
      <c r="B3172" t="s">
        <v>6425</v>
      </c>
      <c r="C3172" t="s">
        <v>60</v>
      </c>
      <c r="D3172" t="s">
        <v>61</v>
      </c>
      <c r="E3172" t="s">
        <v>61</v>
      </c>
      <c r="F3172" t="s">
        <v>49</v>
      </c>
      <c r="G3172" t="s">
        <v>6471</v>
      </c>
      <c r="H3172" t="s">
        <v>6472</v>
      </c>
      <c r="J3172" t="str">
        <f>HYPERLINK("https://www.facebook.com/634639855377280/posts/774412801399984?comment_id=1578816242862609","https://www.facebook.com/634639855377280/posts/774412801399984?comment_id=1578816242862609")</f>
        <v>https://www.facebook.com/634639855377280/posts/774412801399984?comment_id=1578816242862609</v>
      </c>
      <c r="O3172">
        <v>0</v>
      </c>
      <c r="P3172">
        <v>0</v>
      </c>
      <c r="Q3172">
        <v>0</v>
      </c>
      <c r="S3172">
        <v>0</v>
      </c>
      <c r="T3172">
        <v>0</v>
      </c>
      <c r="U3172">
        <v>0</v>
      </c>
      <c r="W3172" t="s">
        <v>52</v>
      </c>
    </row>
    <row r="3173" spans="1:23" x14ac:dyDescent="0.35">
      <c r="A3173" t="s">
        <v>45</v>
      </c>
      <c r="B3173" t="s">
        <v>6425</v>
      </c>
      <c r="C3173" t="s">
        <v>60</v>
      </c>
      <c r="D3173" t="s">
        <v>61</v>
      </c>
      <c r="E3173" t="s">
        <v>61</v>
      </c>
      <c r="F3173" t="s">
        <v>49</v>
      </c>
      <c r="G3173" t="s">
        <v>6473</v>
      </c>
      <c r="H3173" t="s">
        <v>6474</v>
      </c>
      <c r="J3173" t="str">
        <f>HYPERLINK("https://www.facebook.com/634639855377280/posts/777009237807007?comment_id=7031472850269791","https://www.facebook.com/634639855377280/posts/777009237807007?comment_id=7031472850269791")</f>
        <v>https://www.facebook.com/634639855377280/posts/777009237807007?comment_id=7031472850269791</v>
      </c>
      <c r="O3173">
        <v>0</v>
      </c>
      <c r="P3173">
        <v>0</v>
      </c>
      <c r="Q3173">
        <v>0</v>
      </c>
      <c r="S3173">
        <v>0</v>
      </c>
      <c r="T3173">
        <v>0</v>
      </c>
      <c r="U3173">
        <v>0</v>
      </c>
      <c r="W3173" t="s">
        <v>52</v>
      </c>
    </row>
    <row r="3174" spans="1:23" x14ac:dyDescent="0.35">
      <c r="A3174" t="s">
        <v>45</v>
      </c>
      <c r="B3174" t="s">
        <v>6425</v>
      </c>
      <c r="C3174" t="s">
        <v>93</v>
      </c>
      <c r="D3174" t="s">
        <v>94</v>
      </c>
      <c r="E3174" t="s">
        <v>45</v>
      </c>
      <c r="F3174" t="s">
        <v>49</v>
      </c>
      <c r="G3174" t="s">
        <v>6475</v>
      </c>
      <c r="H3174" t="s">
        <v>6476</v>
      </c>
      <c r="J3174" t="str">
        <f>HYPERLINK("https://twitter.com/SpiceMoneyIndia/status/1749341524955906416","https://twitter.com/SpiceMoneyIndia/status/1749341524955906416")</f>
        <v>https://twitter.com/SpiceMoneyIndia/status/1749341524955906416</v>
      </c>
      <c r="K3174" t="s">
        <v>67</v>
      </c>
      <c r="O3174">
        <v>0</v>
      </c>
      <c r="P3174">
        <v>0</v>
      </c>
      <c r="Q3174">
        <v>6002</v>
      </c>
      <c r="R3174" t="s">
        <v>97</v>
      </c>
      <c r="S3174">
        <v>0</v>
      </c>
      <c r="T3174">
        <v>0</v>
      </c>
      <c r="U3174">
        <v>0</v>
      </c>
      <c r="V3174" t="s">
        <v>98</v>
      </c>
      <c r="W3174" t="s">
        <v>99</v>
      </c>
    </row>
    <row r="3175" spans="1:23" x14ac:dyDescent="0.35">
      <c r="A3175" t="s">
        <v>45</v>
      </c>
      <c r="B3175" t="s">
        <v>6425</v>
      </c>
      <c r="C3175" t="s">
        <v>60</v>
      </c>
      <c r="D3175" t="s">
        <v>61</v>
      </c>
      <c r="E3175" t="s">
        <v>61</v>
      </c>
      <c r="F3175" t="s">
        <v>49</v>
      </c>
      <c r="G3175" t="s">
        <v>6477</v>
      </c>
      <c r="H3175" t="s">
        <v>6478</v>
      </c>
      <c r="J3175" t="str">
        <f>HYPERLINK("https://www.facebook.com/634639855377280/posts/776916321149632?comment_id=1063541178197674","https://www.facebook.com/634639855377280/posts/776916321149632?comment_id=1063541178197674")</f>
        <v>https://www.facebook.com/634639855377280/posts/776916321149632?comment_id=1063541178197674</v>
      </c>
      <c r="O3175">
        <v>0</v>
      </c>
      <c r="P3175">
        <v>0</v>
      </c>
      <c r="Q3175">
        <v>0</v>
      </c>
      <c r="S3175">
        <v>0</v>
      </c>
      <c r="T3175">
        <v>0</v>
      </c>
      <c r="U3175">
        <v>0</v>
      </c>
      <c r="W3175" t="s">
        <v>52</v>
      </c>
    </row>
    <row r="3176" spans="1:23" x14ac:dyDescent="0.35">
      <c r="A3176" t="s">
        <v>45</v>
      </c>
      <c r="B3176" t="s">
        <v>6425</v>
      </c>
      <c r="C3176" t="s">
        <v>60</v>
      </c>
      <c r="D3176" t="s">
        <v>64</v>
      </c>
      <c r="E3176" t="s">
        <v>64</v>
      </c>
      <c r="F3176" t="s">
        <v>49</v>
      </c>
      <c r="G3176" t="s">
        <v>6479</v>
      </c>
      <c r="H3176" t="s">
        <v>6480</v>
      </c>
      <c r="J3176" t="str">
        <f>HYPERLINK("https://www.facebook.com/634639855377280/posts/777009237807007","https://www.facebook.com/634639855377280/posts/777009237807007")</f>
        <v>https://www.facebook.com/634639855377280/posts/777009237807007</v>
      </c>
      <c r="O3176">
        <v>0</v>
      </c>
      <c r="P3176">
        <v>0</v>
      </c>
      <c r="Q3176">
        <v>0</v>
      </c>
      <c r="S3176">
        <v>4</v>
      </c>
      <c r="T3176">
        <v>21</v>
      </c>
      <c r="U3176">
        <v>2</v>
      </c>
      <c r="W3176" t="s">
        <v>346</v>
      </c>
    </row>
    <row r="3177" spans="1:23" x14ac:dyDescent="0.35">
      <c r="A3177" t="s">
        <v>45</v>
      </c>
      <c r="B3177" t="s">
        <v>6425</v>
      </c>
      <c r="C3177" t="s">
        <v>60</v>
      </c>
      <c r="D3177" t="s">
        <v>61</v>
      </c>
      <c r="E3177" t="s">
        <v>61</v>
      </c>
      <c r="F3177" t="s">
        <v>54</v>
      </c>
      <c r="G3177" t="s">
        <v>6481</v>
      </c>
      <c r="H3177" t="s">
        <v>6482</v>
      </c>
      <c r="J3177" t="str">
        <f>HYPERLINK("https://www.facebook.com/634639855377280/posts/776916321149632?comment_id=424887686540839","https://www.facebook.com/634639855377280/posts/776916321149632?comment_id=424887686540839")</f>
        <v>https://www.facebook.com/634639855377280/posts/776916321149632?comment_id=424887686540839</v>
      </c>
      <c r="O3177">
        <v>0</v>
      </c>
      <c r="P3177">
        <v>0</v>
      </c>
      <c r="Q3177">
        <v>0</v>
      </c>
      <c r="S3177">
        <v>0</v>
      </c>
      <c r="T3177">
        <v>0</v>
      </c>
      <c r="U3177">
        <v>0</v>
      </c>
      <c r="W3177" t="s">
        <v>52</v>
      </c>
    </row>
    <row r="3178" spans="1:23" x14ac:dyDescent="0.35">
      <c r="A3178" t="s">
        <v>45</v>
      </c>
      <c r="B3178" t="s">
        <v>6425</v>
      </c>
      <c r="C3178" t="s">
        <v>60</v>
      </c>
      <c r="D3178" t="s">
        <v>61</v>
      </c>
      <c r="E3178" t="s">
        <v>61</v>
      </c>
      <c r="F3178" t="s">
        <v>49</v>
      </c>
      <c r="G3178" t="s">
        <v>6483</v>
      </c>
      <c r="H3178" t="s">
        <v>6484</v>
      </c>
      <c r="J3178" t="str">
        <f>HYPERLINK("https://www.facebook.com/634639855377280/posts/776916321149632?comment_id=909979167185936","https://www.facebook.com/634639855377280/posts/776916321149632?comment_id=909979167185936")</f>
        <v>https://www.facebook.com/634639855377280/posts/776916321149632?comment_id=909979167185936</v>
      </c>
      <c r="O3178">
        <v>0</v>
      </c>
      <c r="P3178">
        <v>0</v>
      </c>
      <c r="Q3178">
        <v>0</v>
      </c>
      <c r="S3178">
        <v>0</v>
      </c>
      <c r="T3178">
        <v>0</v>
      </c>
      <c r="U3178">
        <v>0</v>
      </c>
      <c r="W3178" t="s">
        <v>52</v>
      </c>
    </row>
    <row r="3179" spans="1:23" x14ac:dyDescent="0.35">
      <c r="A3179" t="s">
        <v>45</v>
      </c>
      <c r="B3179" t="s">
        <v>6425</v>
      </c>
      <c r="C3179" t="s">
        <v>60</v>
      </c>
      <c r="D3179" t="s">
        <v>61</v>
      </c>
      <c r="E3179" t="s">
        <v>61</v>
      </c>
      <c r="F3179" t="s">
        <v>49</v>
      </c>
      <c r="G3179" t="s">
        <v>6485</v>
      </c>
      <c r="H3179" t="s">
        <v>6486</v>
      </c>
      <c r="J3179" t="str">
        <f>HYPERLINK("https://www.facebook.com/634639855377280/posts/776916321149632?comment_id=243663065442641","https://www.facebook.com/634639855377280/posts/776916321149632?comment_id=243663065442641")</f>
        <v>https://www.facebook.com/634639855377280/posts/776916321149632?comment_id=243663065442641</v>
      </c>
      <c r="O3179">
        <v>0</v>
      </c>
      <c r="P3179">
        <v>0</v>
      </c>
      <c r="Q3179">
        <v>0</v>
      </c>
      <c r="S3179">
        <v>0</v>
      </c>
      <c r="T3179">
        <v>0</v>
      </c>
      <c r="U3179">
        <v>0</v>
      </c>
      <c r="W3179" t="s">
        <v>52</v>
      </c>
    </row>
    <row r="3180" spans="1:23" x14ac:dyDescent="0.35">
      <c r="A3180" t="s">
        <v>45</v>
      </c>
      <c r="B3180" t="s">
        <v>6425</v>
      </c>
      <c r="C3180" t="s">
        <v>93</v>
      </c>
      <c r="D3180" t="s">
        <v>6487</v>
      </c>
      <c r="E3180" t="s">
        <v>6488</v>
      </c>
      <c r="F3180" t="s">
        <v>49</v>
      </c>
      <c r="G3180" t="s">
        <v>6489</v>
      </c>
      <c r="H3180" t="s">
        <v>6490</v>
      </c>
      <c r="J3180" t="str">
        <f>HYPERLINK("https://twitter.com/jalam_inda_07/status/1749323519387660762","https://twitter.com/jalam_inda_07/status/1749323519387660762")</f>
        <v>https://twitter.com/jalam_inda_07/status/1749323519387660762</v>
      </c>
      <c r="K3180" t="s">
        <v>67</v>
      </c>
      <c r="O3180">
        <v>0</v>
      </c>
      <c r="P3180">
        <v>0</v>
      </c>
      <c r="Q3180">
        <v>3</v>
      </c>
      <c r="S3180">
        <v>0</v>
      </c>
      <c r="T3180">
        <v>0</v>
      </c>
      <c r="U3180">
        <v>0</v>
      </c>
      <c r="W3180" t="s">
        <v>99</v>
      </c>
    </row>
    <row r="3181" spans="1:23" x14ac:dyDescent="0.35">
      <c r="A3181" t="s">
        <v>45</v>
      </c>
      <c r="B3181" t="s">
        <v>6425</v>
      </c>
      <c r="C3181" t="s">
        <v>60</v>
      </c>
      <c r="D3181" t="s">
        <v>61</v>
      </c>
      <c r="E3181" t="s">
        <v>61</v>
      </c>
      <c r="F3181" t="s">
        <v>49</v>
      </c>
      <c r="G3181" t="s">
        <v>6491</v>
      </c>
      <c r="H3181" t="s">
        <v>6492</v>
      </c>
      <c r="J3181" t="str">
        <f>HYPERLINK("https://www.facebook.com/634639855377280/posts/776916321149632?comment_id=888500196095554","https://www.facebook.com/634639855377280/posts/776916321149632?comment_id=888500196095554")</f>
        <v>https://www.facebook.com/634639855377280/posts/776916321149632?comment_id=888500196095554</v>
      </c>
      <c r="O3181">
        <v>0</v>
      </c>
      <c r="P3181">
        <v>0</v>
      </c>
      <c r="Q3181">
        <v>0</v>
      </c>
      <c r="S3181">
        <v>0</v>
      </c>
      <c r="T3181">
        <v>0</v>
      </c>
      <c r="U3181">
        <v>0</v>
      </c>
      <c r="W3181" t="s">
        <v>52</v>
      </c>
    </row>
    <row r="3182" spans="1:23" x14ac:dyDescent="0.35">
      <c r="A3182" t="s">
        <v>45</v>
      </c>
      <c r="B3182" t="s">
        <v>6425</v>
      </c>
      <c r="C3182" t="s">
        <v>93</v>
      </c>
      <c r="D3182" t="s">
        <v>569</v>
      </c>
      <c r="E3182" t="s">
        <v>570</v>
      </c>
      <c r="F3182" t="s">
        <v>49</v>
      </c>
      <c r="G3182" t="s">
        <v>6493</v>
      </c>
      <c r="H3182" t="s">
        <v>6494</v>
      </c>
      <c r="J3182" t="str">
        <f>HYPERLINK("https://twitter.com/excelhinditips/status/1749309714679418910","https://twitter.com/excelhinditips/status/1749309714679418910")</f>
        <v>https://twitter.com/excelhinditips/status/1749309714679418910</v>
      </c>
      <c r="O3182">
        <v>0</v>
      </c>
      <c r="P3182">
        <v>0</v>
      </c>
      <c r="Q3182">
        <v>15</v>
      </c>
      <c r="R3182" t="s">
        <v>573</v>
      </c>
      <c r="S3182">
        <v>0</v>
      </c>
      <c r="T3182">
        <v>0</v>
      </c>
      <c r="U3182">
        <v>0</v>
      </c>
      <c r="W3182" t="s">
        <v>99</v>
      </c>
    </row>
    <row r="3183" spans="1:23" x14ac:dyDescent="0.35">
      <c r="A3183" t="s">
        <v>45</v>
      </c>
      <c r="B3183" t="s">
        <v>6425</v>
      </c>
      <c r="C3183" t="s">
        <v>60</v>
      </c>
      <c r="D3183" t="s">
        <v>61</v>
      </c>
      <c r="E3183" t="s">
        <v>61</v>
      </c>
      <c r="F3183" t="s">
        <v>49</v>
      </c>
      <c r="G3183" t="s">
        <v>6495</v>
      </c>
      <c r="H3183" t="s">
        <v>6496</v>
      </c>
      <c r="J3183" t="str">
        <f>HYPERLINK("https://www.facebook.com/634639855377280/posts/776916321149632?comment_id=1017555516011484","https://www.facebook.com/634639855377280/posts/776916321149632?comment_id=1017555516011484")</f>
        <v>https://www.facebook.com/634639855377280/posts/776916321149632?comment_id=1017555516011484</v>
      </c>
      <c r="O3183">
        <v>0</v>
      </c>
      <c r="P3183">
        <v>0</v>
      </c>
      <c r="Q3183">
        <v>0</v>
      </c>
      <c r="S3183">
        <v>0</v>
      </c>
      <c r="T3183">
        <v>0</v>
      </c>
      <c r="U3183">
        <v>0</v>
      </c>
      <c r="W3183" t="s">
        <v>52</v>
      </c>
    </row>
    <row r="3184" spans="1:23" x14ac:dyDescent="0.35">
      <c r="A3184" t="s">
        <v>45</v>
      </c>
      <c r="B3184" t="s">
        <v>6425</v>
      </c>
      <c r="C3184" t="s">
        <v>60</v>
      </c>
      <c r="D3184" t="s">
        <v>61</v>
      </c>
      <c r="E3184" t="s">
        <v>61</v>
      </c>
      <c r="F3184" t="s">
        <v>49</v>
      </c>
      <c r="G3184" t="s">
        <v>6497</v>
      </c>
      <c r="H3184" t="s">
        <v>6498</v>
      </c>
      <c r="J3184" t="str">
        <f>HYPERLINK("https://www.facebook.com/634639855377280/posts/776916321149632?comment_id=288241744261973","https://www.facebook.com/634639855377280/posts/776916321149632?comment_id=288241744261973")</f>
        <v>https://www.facebook.com/634639855377280/posts/776916321149632?comment_id=288241744261973</v>
      </c>
      <c r="O3184">
        <v>0</v>
      </c>
      <c r="P3184">
        <v>0</v>
      </c>
      <c r="Q3184">
        <v>0</v>
      </c>
      <c r="S3184">
        <v>0</v>
      </c>
      <c r="T3184">
        <v>0</v>
      </c>
      <c r="U3184">
        <v>0</v>
      </c>
      <c r="W3184" t="s">
        <v>52</v>
      </c>
    </row>
    <row r="3185" spans="1:23" x14ac:dyDescent="0.35">
      <c r="A3185" t="s">
        <v>45</v>
      </c>
      <c r="B3185" t="s">
        <v>6425</v>
      </c>
      <c r="C3185" t="s">
        <v>60</v>
      </c>
      <c r="D3185" t="s">
        <v>61</v>
      </c>
      <c r="E3185" t="s">
        <v>61</v>
      </c>
      <c r="F3185" t="s">
        <v>49</v>
      </c>
      <c r="G3185" t="s">
        <v>6499</v>
      </c>
      <c r="H3185" t="s">
        <v>6500</v>
      </c>
      <c r="J3185" t="str">
        <f>HYPERLINK("https://www.facebook.com/634639855377280/posts/776916321149632?comment_id=754085553302632","https://www.facebook.com/634639855377280/posts/776916321149632?comment_id=754085553302632")</f>
        <v>https://www.facebook.com/634639855377280/posts/776916321149632?comment_id=754085553302632</v>
      </c>
      <c r="O3185">
        <v>0</v>
      </c>
      <c r="P3185">
        <v>0</v>
      </c>
      <c r="Q3185">
        <v>0</v>
      </c>
      <c r="S3185">
        <v>0</v>
      </c>
      <c r="T3185">
        <v>0</v>
      </c>
      <c r="U3185">
        <v>0</v>
      </c>
      <c r="W3185" t="s">
        <v>52</v>
      </c>
    </row>
    <row r="3186" spans="1:23" x14ac:dyDescent="0.35">
      <c r="A3186" t="s">
        <v>45</v>
      </c>
      <c r="B3186" t="s">
        <v>6425</v>
      </c>
      <c r="C3186" t="s">
        <v>60</v>
      </c>
      <c r="D3186" t="s">
        <v>61</v>
      </c>
      <c r="E3186" t="s">
        <v>61</v>
      </c>
      <c r="F3186" t="s">
        <v>49</v>
      </c>
      <c r="G3186" t="s">
        <v>6501</v>
      </c>
      <c r="H3186" t="s">
        <v>6502</v>
      </c>
      <c r="J3186" t="str">
        <f>HYPERLINK("https://www.facebook.com/634639855377280/posts/776916321149632?comment_id=917267512856161","https://www.facebook.com/634639855377280/posts/776916321149632?comment_id=917267512856161")</f>
        <v>https://www.facebook.com/634639855377280/posts/776916321149632?comment_id=917267512856161</v>
      </c>
      <c r="O3186">
        <v>0</v>
      </c>
      <c r="P3186">
        <v>0</v>
      </c>
      <c r="Q3186">
        <v>0</v>
      </c>
      <c r="S3186">
        <v>0</v>
      </c>
      <c r="T3186">
        <v>0</v>
      </c>
      <c r="U3186">
        <v>0</v>
      </c>
      <c r="W3186" t="s">
        <v>52</v>
      </c>
    </row>
    <row r="3187" spans="1:23" x14ac:dyDescent="0.35">
      <c r="A3187" t="s">
        <v>45</v>
      </c>
      <c r="B3187" t="s">
        <v>6425</v>
      </c>
      <c r="C3187" t="s">
        <v>93</v>
      </c>
      <c r="D3187" t="s">
        <v>6503</v>
      </c>
      <c r="E3187" t="s">
        <v>6504</v>
      </c>
      <c r="F3187" t="s">
        <v>49</v>
      </c>
      <c r="G3187" t="s">
        <v>6505</v>
      </c>
      <c r="H3187" t="s">
        <v>6506</v>
      </c>
      <c r="J3187" t="str">
        <f>HYPERLINK("https://twitter.com/Juannft00588056/status/1749302845952663958","https://twitter.com/Juannft00588056/status/1749302845952663958")</f>
        <v>https://twitter.com/Juannft00588056/status/1749302845952663958</v>
      </c>
      <c r="O3187">
        <v>0</v>
      </c>
      <c r="P3187">
        <v>0</v>
      </c>
      <c r="Q3187">
        <v>0</v>
      </c>
      <c r="R3187" t="s">
        <v>6507</v>
      </c>
      <c r="S3187">
        <v>0</v>
      </c>
      <c r="T3187">
        <v>0</v>
      </c>
      <c r="U3187">
        <v>0</v>
      </c>
      <c r="W3187" t="s">
        <v>99</v>
      </c>
    </row>
    <row r="3188" spans="1:23" x14ac:dyDescent="0.35">
      <c r="A3188" t="s">
        <v>45</v>
      </c>
      <c r="B3188" t="s">
        <v>6425</v>
      </c>
      <c r="C3188" t="s">
        <v>60</v>
      </c>
      <c r="D3188" t="s">
        <v>61</v>
      </c>
      <c r="E3188" t="s">
        <v>61</v>
      </c>
      <c r="F3188" t="s">
        <v>49</v>
      </c>
      <c r="G3188" t="s">
        <v>6508</v>
      </c>
      <c r="H3188" t="s">
        <v>6509</v>
      </c>
      <c r="J3188" t="str">
        <f>HYPERLINK("https://www.facebook.com/634639855377280/posts/776916321149632?comment_id=1129007814936168","https://www.facebook.com/634639855377280/posts/776916321149632?comment_id=1129007814936168")</f>
        <v>https://www.facebook.com/634639855377280/posts/776916321149632?comment_id=1129007814936168</v>
      </c>
      <c r="O3188">
        <v>0</v>
      </c>
      <c r="P3188">
        <v>0</v>
      </c>
      <c r="Q3188">
        <v>0</v>
      </c>
      <c r="S3188">
        <v>0</v>
      </c>
      <c r="T3188">
        <v>0</v>
      </c>
      <c r="U3188">
        <v>0</v>
      </c>
      <c r="W3188" t="s">
        <v>52</v>
      </c>
    </row>
    <row r="3189" spans="1:23" x14ac:dyDescent="0.35">
      <c r="A3189" t="s">
        <v>45</v>
      </c>
      <c r="B3189" t="s">
        <v>6425</v>
      </c>
      <c r="C3189" t="s">
        <v>93</v>
      </c>
      <c r="D3189" t="s">
        <v>6510</v>
      </c>
      <c r="E3189" t="s">
        <v>6511</v>
      </c>
      <c r="F3189" t="s">
        <v>49</v>
      </c>
      <c r="G3189" t="s">
        <v>6512</v>
      </c>
      <c r="H3189" t="s">
        <v>6513</v>
      </c>
      <c r="J3189" t="str">
        <f>HYPERLINK("https://twitter.com/cbmalalsqy/status/1749296817269768444","https://twitter.com/cbmalalsqy/status/1749296817269768444")</f>
        <v>https://twitter.com/cbmalalsqy/status/1749296817269768444</v>
      </c>
      <c r="O3189">
        <v>0</v>
      </c>
      <c r="P3189">
        <v>0</v>
      </c>
      <c r="Q3189">
        <v>0</v>
      </c>
      <c r="R3189" t="s">
        <v>6514</v>
      </c>
      <c r="S3189">
        <v>0</v>
      </c>
      <c r="T3189">
        <v>0</v>
      </c>
      <c r="U3189">
        <v>0</v>
      </c>
      <c r="W3189" t="s">
        <v>99</v>
      </c>
    </row>
    <row r="3190" spans="1:23" x14ac:dyDescent="0.35">
      <c r="A3190" t="s">
        <v>45</v>
      </c>
      <c r="B3190" t="s">
        <v>6425</v>
      </c>
      <c r="C3190" t="s">
        <v>93</v>
      </c>
      <c r="D3190" t="s">
        <v>94</v>
      </c>
      <c r="E3190" t="s">
        <v>45</v>
      </c>
      <c r="F3190" t="s">
        <v>49</v>
      </c>
      <c r="G3190" t="s">
        <v>6515</v>
      </c>
      <c r="H3190" t="s">
        <v>6516</v>
      </c>
      <c r="J3190" t="str">
        <f>HYPERLINK("https://twitter.com/SpiceMoneyIndia/status/1749296803282026811","https://twitter.com/SpiceMoneyIndia/status/1749296803282026811")</f>
        <v>https://twitter.com/SpiceMoneyIndia/status/1749296803282026811</v>
      </c>
      <c r="K3190" t="s">
        <v>67</v>
      </c>
      <c r="O3190">
        <v>0</v>
      </c>
      <c r="P3190">
        <v>0</v>
      </c>
      <c r="Q3190">
        <v>6001</v>
      </c>
      <c r="R3190" t="s">
        <v>97</v>
      </c>
      <c r="S3190">
        <v>0</v>
      </c>
      <c r="T3190">
        <v>0</v>
      </c>
      <c r="U3190">
        <v>0</v>
      </c>
      <c r="V3190" t="s">
        <v>98</v>
      </c>
      <c r="W3190" t="s">
        <v>99</v>
      </c>
    </row>
    <row r="3191" spans="1:23" x14ac:dyDescent="0.35">
      <c r="A3191" t="s">
        <v>45</v>
      </c>
      <c r="B3191" t="s">
        <v>6425</v>
      </c>
      <c r="C3191" t="s">
        <v>60</v>
      </c>
      <c r="D3191" t="s">
        <v>64</v>
      </c>
      <c r="E3191" t="s">
        <v>64</v>
      </c>
      <c r="F3191" t="s">
        <v>49</v>
      </c>
      <c r="G3191" t="s">
        <v>83</v>
      </c>
      <c r="H3191" t="s">
        <v>6517</v>
      </c>
      <c r="J3191" t="str">
        <f>HYPERLINK("https://www.facebook.com/634639855377280/posts/776916321149632?comment_id=391283706920721&amp;reply_comment_id=1371464923495551","https://www.facebook.com/634639855377280/posts/776916321149632?comment_id=391283706920721&amp;reply_comment_id=1371464923495551")</f>
        <v>https://www.facebook.com/634639855377280/posts/776916321149632?comment_id=391283706920721&amp;reply_comment_id=1371464923495551</v>
      </c>
      <c r="K3191" t="s">
        <v>67</v>
      </c>
      <c r="O3191">
        <v>0</v>
      </c>
      <c r="P3191">
        <v>0</v>
      </c>
      <c r="Q3191">
        <v>0</v>
      </c>
      <c r="S3191">
        <v>0</v>
      </c>
      <c r="T3191">
        <v>0</v>
      </c>
      <c r="U3191">
        <v>0</v>
      </c>
      <c r="W3191" t="s">
        <v>52</v>
      </c>
    </row>
    <row r="3192" spans="1:23" x14ac:dyDescent="0.35">
      <c r="A3192" t="s">
        <v>45</v>
      </c>
      <c r="B3192" t="s">
        <v>6425</v>
      </c>
      <c r="C3192" t="s">
        <v>60</v>
      </c>
      <c r="D3192" t="s">
        <v>64</v>
      </c>
      <c r="E3192" t="s">
        <v>64</v>
      </c>
      <c r="F3192" t="s">
        <v>49</v>
      </c>
      <c r="G3192" t="s">
        <v>100</v>
      </c>
      <c r="H3192" t="s">
        <v>6518</v>
      </c>
      <c r="J3192" t="str">
        <f>HYPERLINK("https://www.facebook.com/634639855377280/posts/774483894726208?comment_id=344185701784631&amp;reply_comment_id=354562594187546","https://www.facebook.com/634639855377280/posts/774483894726208?comment_id=344185701784631&amp;reply_comment_id=354562594187546")</f>
        <v>https://www.facebook.com/634639855377280/posts/774483894726208?comment_id=344185701784631&amp;reply_comment_id=354562594187546</v>
      </c>
      <c r="K3192" t="s">
        <v>67</v>
      </c>
      <c r="O3192">
        <v>0</v>
      </c>
      <c r="P3192">
        <v>0</v>
      </c>
      <c r="Q3192">
        <v>0</v>
      </c>
      <c r="S3192">
        <v>0</v>
      </c>
      <c r="T3192">
        <v>0</v>
      </c>
      <c r="U3192">
        <v>0</v>
      </c>
      <c r="W3192" t="s">
        <v>52</v>
      </c>
    </row>
    <row r="3193" spans="1:23" x14ac:dyDescent="0.35">
      <c r="A3193" t="s">
        <v>45</v>
      </c>
      <c r="B3193" t="s">
        <v>6425</v>
      </c>
      <c r="C3193" t="s">
        <v>47</v>
      </c>
      <c r="D3193" t="s">
        <v>68</v>
      </c>
      <c r="E3193" t="s">
        <v>68</v>
      </c>
      <c r="F3193" t="s">
        <v>49</v>
      </c>
      <c r="G3193" t="s">
        <v>102</v>
      </c>
      <c r="H3193" t="s">
        <v>6519</v>
      </c>
      <c r="J3193" t="str">
        <f>HYPERLINK("https://www.youtube.com/watch?v=otifGXuH01E&amp;lc=UgzNxMfV515uvGzHY7p4AaABAg.9zrJoJzJB4f9zrTIZkmHJs","https://www.youtube.com/watch?v=otifGXuH01E&amp;lc=UgzNxMfV515uvGzHY7p4AaABAg.9zrJoJzJB4f9zrTIZkmHJs")</f>
        <v>https://www.youtube.com/watch?v=otifGXuH01E&amp;lc=UgzNxMfV515uvGzHY7p4AaABAg.9zrJoJzJB4f9zrTIZkmHJs</v>
      </c>
      <c r="O3193">
        <v>0</v>
      </c>
      <c r="P3193">
        <v>0</v>
      </c>
      <c r="Q3193">
        <v>0</v>
      </c>
      <c r="S3193">
        <v>0</v>
      </c>
      <c r="T3193">
        <v>0</v>
      </c>
      <c r="U3193">
        <v>0</v>
      </c>
      <c r="W3193" t="s">
        <v>52</v>
      </c>
    </row>
    <row r="3194" spans="1:23" x14ac:dyDescent="0.35">
      <c r="A3194" t="s">
        <v>45</v>
      </c>
      <c r="B3194" t="s">
        <v>6425</v>
      </c>
      <c r="C3194" t="s">
        <v>60</v>
      </c>
      <c r="D3194" t="s">
        <v>61</v>
      </c>
      <c r="E3194" t="s">
        <v>61</v>
      </c>
      <c r="F3194" t="s">
        <v>49</v>
      </c>
      <c r="G3194" t="s">
        <v>6520</v>
      </c>
      <c r="H3194" t="s">
        <v>6521</v>
      </c>
      <c r="J3194" t="str">
        <f>HYPERLINK("https://www.facebook.com/634639855377280/posts/776916321149632?comment_id=395187646257829","https://www.facebook.com/634639855377280/posts/776916321149632?comment_id=395187646257829")</f>
        <v>https://www.facebook.com/634639855377280/posts/776916321149632?comment_id=395187646257829</v>
      </c>
      <c r="O3194">
        <v>0</v>
      </c>
      <c r="P3194">
        <v>0</v>
      </c>
      <c r="Q3194">
        <v>0</v>
      </c>
      <c r="S3194">
        <v>0</v>
      </c>
      <c r="T3194">
        <v>0</v>
      </c>
      <c r="U3194">
        <v>0</v>
      </c>
      <c r="W3194" t="s">
        <v>52</v>
      </c>
    </row>
    <row r="3195" spans="1:23" x14ac:dyDescent="0.35">
      <c r="A3195" t="s">
        <v>45</v>
      </c>
      <c r="B3195" t="s">
        <v>6425</v>
      </c>
      <c r="C3195" t="s">
        <v>60</v>
      </c>
      <c r="D3195" t="s">
        <v>61</v>
      </c>
      <c r="E3195" t="s">
        <v>61</v>
      </c>
      <c r="F3195" t="s">
        <v>49</v>
      </c>
      <c r="G3195" t="s">
        <v>6522</v>
      </c>
      <c r="H3195" t="s">
        <v>6523</v>
      </c>
      <c r="J3195" t="str">
        <f>HYPERLINK("https://www.facebook.com/634639855377280/posts/776916321149632?comment_id=713510807232039","https://www.facebook.com/634639855377280/posts/776916321149632?comment_id=713510807232039")</f>
        <v>https://www.facebook.com/634639855377280/posts/776916321149632?comment_id=713510807232039</v>
      </c>
      <c r="O3195">
        <v>0</v>
      </c>
      <c r="P3195">
        <v>0</v>
      </c>
      <c r="Q3195">
        <v>0</v>
      </c>
      <c r="S3195">
        <v>0</v>
      </c>
      <c r="T3195">
        <v>0</v>
      </c>
      <c r="U3195">
        <v>0</v>
      </c>
      <c r="W3195" t="s">
        <v>52</v>
      </c>
    </row>
    <row r="3196" spans="1:23" x14ac:dyDescent="0.35">
      <c r="A3196" t="s">
        <v>45</v>
      </c>
      <c r="B3196" t="s">
        <v>6425</v>
      </c>
      <c r="C3196" t="s">
        <v>60</v>
      </c>
      <c r="D3196" t="s">
        <v>61</v>
      </c>
      <c r="E3196" t="s">
        <v>61</v>
      </c>
      <c r="F3196" t="s">
        <v>49</v>
      </c>
      <c r="G3196" t="s">
        <v>6524</v>
      </c>
      <c r="H3196" t="s">
        <v>6525</v>
      </c>
      <c r="J3196" t="str">
        <f>HYPERLINK("https://www.facebook.com/634639855377280/posts/774483894726208?comment_id=344185701784631&amp;reply_comment_id=1608614569908955","https://www.facebook.com/634639855377280/posts/774483894726208?comment_id=344185701784631&amp;reply_comment_id=1608614569908955")</f>
        <v>https://www.facebook.com/634639855377280/posts/774483894726208?comment_id=344185701784631&amp;reply_comment_id=1608614569908955</v>
      </c>
      <c r="O3196">
        <v>0</v>
      </c>
      <c r="P3196">
        <v>0</v>
      </c>
      <c r="Q3196">
        <v>0</v>
      </c>
      <c r="S3196">
        <v>0</v>
      </c>
      <c r="T3196">
        <v>0</v>
      </c>
      <c r="U3196">
        <v>0</v>
      </c>
      <c r="W3196" t="s">
        <v>52</v>
      </c>
    </row>
    <row r="3197" spans="1:23" x14ac:dyDescent="0.35">
      <c r="A3197" t="s">
        <v>45</v>
      </c>
      <c r="B3197" t="s">
        <v>6425</v>
      </c>
      <c r="C3197" t="s">
        <v>60</v>
      </c>
      <c r="D3197" t="s">
        <v>61</v>
      </c>
      <c r="E3197" t="s">
        <v>61</v>
      </c>
      <c r="F3197" t="s">
        <v>49</v>
      </c>
      <c r="G3197" t="s">
        <v>6526</v>
      </c>
      <c r="H3197" t="s">
        <v>6527</v>
      </c>
      <c r="J3197" t="str">
        <f>HYPERLINK("https://www.facebook.com/634639855377280/posts/776916321149632?comment_id=203750372758808","https://www.facebook.com/634639855377280/posts/776916321149632?comment_id=203750372758808")</f>
        <v>https://www.facebook.com/634639855377280/posts/776916321149632?comment_id=203750372758808</v>
      </c>
      <c r="O3197">
        <v>0</v>
      </c>
      <c r="P3197">
        <v>0</v>
      </c>
      <c r="Q3197">
        <v>0</v>
      </c>
      <c r="S3197">
        <v>0</v>
      </c>
      <c r="T3197">
        <v>0</v>
      </c>
      <c r="U3197">
        <v>0</v>
      </c>
      <c r="W3197" t="s">
        <v>52</v>
      </c>
    </row>
    <row r="3198" spans="1:23" x14ac:dyDescent="0.35">
      <c r="A3198" t="s">
        <v>45</v>
      </c>
      <c r="B3198" t="s">
        <v>6425</v>
      </c>
      <c r="C3198" t="s">
        <v>60</v>
      </c>
      <c r="D3198" t="s">
        <v>61</v>
      </c>
      <c r="E3198" t="s">
        <v>61</v>
      </c>
      <c r="F3198" t="s">
        <v>49</v>
      </c>
      <c r="G3198" t="s">
        <v>6528</v>
      </c>
      <c r="H3198" t="s">
        <v>6529</v>
      </c>
      <c r="J3198" t="str">
        <f>HYPERLINK("https://www.facebook.com/634639855377280/posts/776916321149632?comment_id=391283706920721&amp;reply_comment_id=3221705568138960","https://www.facebook.com/634639855377280/posts/776916321149632?comment_id=391283706920721&amp;reply_comment_id=3221705568138960")</f>
        <v>https://www.facebook.com/634639855377280/posts/776916321149632?comment_id=391283706920721&amp;reply_comment_id=3221705568138960</v>
      </c>
      <c r="O3198">
        <v>0</v>
      </c>
      <c r="P3198">
        <v>0</v>
      </c>
      <c r="Q3198">
        <v>0</v>
      </c>
      <c r="S3198">
        <v>0</v>
      </c>
      <c r="T3198">
        <v>0</v>
      </c>
      <c r="U3198">
        <v>0</v>
      </c>
      <c r="W3198" t="s">
        <v>52</v>
      </c>
    </row>
    <row r="3199" spans="1:23" x14ac:dyDescent="0.35">
      <c r="A3199" t="s">
        <v>45</v>
      </c>
      <c r="B3199" t="s">
        <v>6425</v>
      </c>
      <c r="C3199" t="s">
        <v>93</v>
      </c>
      <c r="D3199" t="s">
        <v>94</v>
      </c>
      <c r="E3199" t="s">
        <v>45</v>
      </c>
      <c r="F3199" t="s">
        <v>49</v>
      </c>
      <c r="G3199" t="s">
        <v>6530</v>
      </c>
      <c r="H3199" t="s">
        <v>6531</v>
      </c>
      <c r="J3199" t="str">
        <f>HYPERLINK("https://twitter.com/SpiceMoneyIndia/status/1749285277640671614","https://twitter.com/SpiceMoneyIndia/status/1749285277640671614")</f>
        <v>https://twitter.com/SpiceMoneyIndia/status/1749285277640671614</v>
      </c>
      <c r="K3199" t="s">
        <v>67</v>
      </c>
      <c r="O3199">
        <v>0</v>
      </c>
      <c r="P3199">
        <v>0</v>
      </c>
      <c r="Q3199">
        <v>6000</v>
      </c>
      <c r="R3199" t="s">
        <v>97</v>
      </c>
      <c r="S3199">
        <v>0</v>
      </c>
      <c r="T3199">
        <v>0</v>
      </c>
      <c r="U3199">
        <v>0</v>
      </c>
      <c r="V3199" t="s">
        <v>98</v>
      </c>
      <c r="W3199" t="s">
        <v>99</v>
      </c>
    </row>
    <row r="3200" spans="1:23" x14ac:dyDescent="0.35">
      <c r="A3200" t="s">
        <v>45</v>
      </c>
      <c r="B3200" t="s">
        <v>6425</v>
      </c>
      <c r="C3200" t="s">
        <v>60</v>
      </c>
      <c r="D3200" t="s">
        <v>61</v>
      </c>
      <c r="E3200" t="s">
        <v>61</v>
      </c>
      <c r="F3200" t="s">
        <v>49</v>
      </c>
      <c r="G3200" t="s">
        <v>6532</v>
      </c>
      <c r="H3200" t="s">
        <v>6533</v>
      </c>
      <c r="J3200" t="str">
        <f>HYPERLINK("https://www.facebook.com/634639855377280/posts/776916321149632?comment_id=1500535754149627","https://www.facebook.com/634639855377280/posts/776916321149632?comment_id=1500535754149627")</f>
        <v>https://www.facebook.com/634639855377280/posts/776916321149632?comment_id=1500535754149627</v>
      </c>
      <c r="O3200">
        <v>0</v>
      </c>
      <c r="P3200">
        <v>0</v>
      </c>
      <c r="Q3200">
        <v>0</v>
      </c>
      <c r="S3200">
        <v>0</v>
      </c>
      <c r="T3200">
        <v>0</v>
      </c>
      <c r="U3200">
        <v>0</v>
      </c>
      <c r="W3200" t="s">
        <v>52</v>
      </c>
    </row>
    <row r="3201" spans="1:23" x14ac:dyDescent="0.35">
      <c r="A3201" t="s">
        <v>45</v>
      </c>
      <c r="B3201" t="s">
        <v>6425</v>
      </c>
      <c r="C3201" t="s">
        <v>60</v>
      </c>
      <c r="D3201" t="s">
        <v>64</v>
      </c>
      <c r="E3201" t="s">
        <v>64</v>
      </c>
      <c r="F3201" t="s">
        <v>49</v>
      </c>
      <c r="G3201" t="s">
        <v>1276</v>
      </c>
      <c r="H3201" t="s">
        <v>6534</v>
      </c>
      <c r="J3201" t="str">
        <f>HYPERLINK("https://www.facebook.com/634639855377280/posts/774483894726208?comment_id=1120902925607250&amp;reply_comment_id=730053875729956","https://www.facebook.com/634639855377280/posts/774483894726208?comment_id=1120902925607250&amp;reply_comment_id=730053875729956")</f>
        <v>https://www.facebook.com/634639855377280/posts/774483894726208?comment_id=1120902925607250&amp;reply_comment_id=730053875729956</v>
      </c>
      <c r="K3201" t="s">
        <v>67</v>
      </c>
      <c r="O3201">
        <v>0</v>
      </c>
      <c r="P3201">
        <v>0</v>
      </c>
      <c r="Q3201">
        <v>0</v>
      </c>
      <c r="S3201">
        <v>0</v>
      </c>
      <c r="T3201">
        <v>0</v>
      </c>
      <c r="U3201">
        <v>0</v>
      </c>
      <c r="W3201" t="s">
        <v>52</v>
      </c>
    </row>
    <row r="3202" spans="1:23" x14ac:dyDescent="0.35">
      <c r="A3202" t="s">
        <v>45</v>
      </c>
      <c r="B3202" t="s">
        <v>6425</v>
      </c>
      <c r="C3202" t="s">
        <v>60</v>
      </c>
      <c r="D3202" t="s">
        <v>64</v>
      </c>
      <c r="E3202" t="s">
        <v>64</v>
      </c>
      <c r="F3202" t="s">
        <v>49</v>
      </c>
      <c r="G3202" t="s">
        <v>100</v>
      </c>
      <c r="H3202" t="s">
        <v>6535</v>
      </c>
      <c r="J3202" t="str">
        <f>HYPERLINK("https://www.facebook.com/634639855377280/posts/774881771353087?comment_id=392794099925189&amp;reply_comment_id=933063788430850","https://www.facebook.com/634639855377280/posts/774881771353087?comment_id=392794099925189&amp;reply_comment_id=933063788430850")</f>
        <v>https://www.facebook.com/634639855377280/posts/774881771353087?comment_id=392794099925189&amp;reply_comment_id=933063788430850</v>
      </c>
      <c r="K3202" t="s">
        <v>67</v>
      </c>
      <c r="O3202">
        <v>0</v>
      </c>
      <c r="P3202">
        <v>0</v>
      </c>
      <c r="Q3202">
        <v>0</v>
      </c>
      <c r="S3202">
        <v>0</v>
      </c>
      <c r="T3202">
        <v>0</v>
      </c>
      <c r="U3202">
        <v>0</v>
      </c>
      <c r="W3202" t="s">
        <v>52</v>
      </c>
    </row>
    <row r="3203" spans="1:23" x14ac:dyDescent="0.35">
      <c r="A3203" t="s">
        <v>45</v>
      </c>
      <c r="B3203" t="s">
        <v>6425</v>
      </c>
      <c r="C3203" t="s">
        <v>60</v>
      </c>
      <c r="D3203" t="s">
        <v>64</v>
      </c>
      <c r="E3203" t="s">
        <v>64</v>
      </c>
      <c r="F3203" t="s">
        <v>49</v>
      </c>
      <c r="G3203" t="s">
        <v>83</v>
      </c>
      <c r="H3203" t="s">
        <v>6536</v>
      </c>
      <c r="J3203" t="str">
        <f>HYPERLINK("https://www.facebook.com/634639855377280/posts/776275584547039?comment_id=1843074876121794&amp;reply_comment_id=941202850950496","https://www.facebook.com/634639855377280/posts/776275584547039?comment_id=1843074876121794&amp;reply_comment_id=941202850950496")</f>
        <v>https://www.facebook.com/634639855377280/posts/776275584547039?comment_id=1843074876121794&amp;reply_comment_id=941202850950496</v>
      </c>
      <c r="K3203" t="s">
        <v>67</v>
      </c>
      <c r="O3203">
        <v>0</v>
      </c>
      <c r="P3203">
        <v>0</v>
      </c>
      <c r="Q3203">
        <v>0</v>
      </c>
      <c r="S3203">
        <v>0</v>
      </c>
      <c r="T3203">
        <v>0</v>
      </c>
      <c r="U3203">
        <v>0</v>
      </c>
      <c r="W3203" t="s">
        <v>52</v>
      </c>
    </row>
    <row r="3204" spans="1:23" x14ac:dyDescent="0.35">
      <c r="A3204" t="s">
        <v>45</v>
      </c>
      <c r="B3204" t="s">
        <v>6425</v>
      </c>
      <c r="C3204" t="s">
        <v>60</v>
      </c>
      <c r="D3204" t="s">
        <v>61</v>
      </c>
      <c r="E3204" t="s">
        <v>61</v>
      </c>
      <c r="F3204" t="s">
        <v>193</v>
      </c>
      <c r="G3204" t="s">
        <v>6537</v>
      </c>
      <c r="H3204" t="s">
        <v>6538</v>
      </c>
      <c r="J3204" t="str">
        <f>HYPERLINK("https://www.facebook.com/634639855377280/posts/776916321149632?comment_id=391283706920721&amp;reply_comment_id=1695281120995066","https://www.facebook.com/634639855377280/posts/776916321149632?comment_id=391283706920721&amp;reply_comment_id=1695281120995066")</f>
        <v>https://www.facebook.com/634639855377280/posts/776916321149632?comment_id=391283706920721&amp;reply_comment_id=1695281120995066</v>
      </c>
      <c r="O3204">
        <v>0</v>
      </c>
      <c r="P3204">
        <v>0</v>
      </c>
      <c r="Q3204">
        <v>0</v>
      </c>
      <c r="S3204">
        <v>0</v>
      </c>
      <c r="T3204">
        <v>0</v>
      </c>
      <c r="U3204">
        <v>0</v>
      </c>
      <c r="W3204" t="s">
        <v>52</v>
      </c>
    </row>
    <row r="3205" spans="1:23" x14ac:dyDescent="0.35">
      <c r="A3205" t="s">
        <v>45</v>
      </c>
      <c r="B3205" t="s">
        <v>6425</v>
      </c>
      <c r="C3205" t="s">
        <v>60</v>
      </c>
      <c r="D3205" t="s">
        <v>61</v>
      </c>
      <c r="E3205" t="s">
        <v>61</v>
      </c>
      <c r="F3205" t="s">
        <v>49</v>
      </c>
      <c r="G3205" t="s">
        <v>6539</v>
      </c>
      <c r="H3205" t="s">
        <v>6540</v>
      </c>
      <c r="J3205" t="str">
        <f>HYPERLINK("https://www.facebook.com/634639855377280/posts/776916321149632?comment_id=393192063263494","https://www.facebook.com/634639855377280/posts/776916321149632?comment_id=393192063263494")</f>
        <v>https://www.facebook.com/634639855377280/posts/776916321149632?comment_id=393192063263494</v>
      </c>
      <c r="O3205">
        <v>0</v>
      </c>
      <c r="P3205">
        <v>0</v>
      </c>
      <c r="Q3205">
        <v>0</v>
      </c>
      <c r="S3205">
        <v>0</v>
      </c>
      <c r="T3205">
        <v>0</v>
      </c>
      <c r="U3205">
        <v>0</v>
      </c>
      <c r="W3205" t="s">
        <v>52</v>
      </c>
    </row>
    <row r="3206" spans="1:23" x14ac:dyDescent="0.35">
      <c r="A3206" t="s">
        <v>45</v>
      </c>
      <c r="B3206" t="s">
        <v>6425</v>
      </c>
      <c r="C3206" t="s">
        <v>60</v>
      </c>
      <c r="D3206" t="s">
        <v>61</v>
      </c>
      <c r="E3206" t="s">
        <v>61</v>
      </c>
      <c r="F3206" t="s">
        <v>49</v>
      </c>
      <c r="G3206" t="s">
        <v>6541</v>
      </c>
      <c r="H3206" t="s">
        <v>6542</v>
      </c>
      <c r="J3206" t="str">
        <f>HYPERLINK("https://www.facebook.com/634639855377280/posts/776916321149632?comment_id=391283706920721&amp;reply_comment_id=1029197151494929","https://www.facebook.com/634639855377280/posts/776916321149632?comment_id=391283706920721&amp;reply_comment_id=1029197151494929")</f>
        <v>https://www.facebook.com/634639855377280/posts/776916321149632?comment_id=391283706920721&amp;reply_comment_id=1029197151494929</v>
      </c>
      <c r="O3206">
        <v>0</v>
      </c>
      <c r="P3206">
        <v>0</v>
      </c>
      <c r="Q3206">
        <v>0</v>
      </c>
      <c r="S3206">
        <v>0</v>
      </c>
      <c r="T3206">
        <v>0</v>
      </c>
      <c r="U3206">
        <v>0</v>
      </c>
      <c r="W3206" t="s">
        <v>52</v>
      </c>
    </row>
    <row r="3207" spans="1:23" x14ac:dyDescent="0.35">
      <c r="A3207" t="s">
        <v>45</v>
      </c>
      <c r="B3207" t="s">
        <v>6425</v>
      </c>
      <c r="C3207" t="s">
        <v>60</v>
      </c>
      <c r="D3207" t="s">
        <v>61</v>
      </c>
      <c r="E3207" t="s">
        <v>61</v>
      </c>
      <c r="F3207" t="s">
        <v>49</v>
      </c>
      <c r="G3207" t="s">
        <v>6543</v>
      </c>
      <c r="H3207" t="s">
        <v>6544</v>
      </c>
      <c r="J3207" t="str">
        <f>HYPERLINK("https://www.facebook.com/634639855377280/posts/776916321149632?comment_id=394654216282990","https://www.facebook.com/634639855377280/posts/776916321149632?comment_id=394654216282990")</f>
        <v>https://www.facebook.com/634639855377280/posts/776916321149632?comment_id=394654216282990</v>
      </c>
      <c r="O3207">
        <v>0</v>
      </c>
      <c r="P3207">
        <v>0</v>
      </c>
      <c r="Q3207">
        <v>0</v>
      </c>
      <c r="S3207">
        <v>0</v>
      </c>
      <c r="T3207">
        <v>0</v>
      </c>
      <c r="U3207">
        <v>0</v>
      </c>
      <c r="W3207" t="s">
        <v>52</v>
      </c>
    </row>
    <row r="3208" spans="1:23" x14ac:dyDescent="0.35">
      <c r="A3208" t="s">
        <v>45</v>
      </c>
      <c r="B3208" t="s">
        <v>6425</v>
      </c>
      <c r="C3208" t="s">
        <v>60</v>
      </c>
      <c r="D3208" t="s">
        <v>64</v>
      </c>
      <c r="E3208" t="s">
        <v>64</v>
      </c>
      <c r="F3208" t="s">
        <v>49</v>
      </c>
      <c r="G3208" t="s">
        <v>83</v>
      </c>
      <c r="H3208" t="s">
        <v>6545</v>
      </c>
      <c r="J3208" t="str">
        <f>HYPERLINK("https://www.facebook.com/634639855377280/posts/774483894726208?comment_id=344185701784631&amp;reply_comment_id=1403866626888283","https://www.facebook.com/634639855377280/posts/774483894726208?comment_id=344185701784631&amp;reply_comment_id=1403866626888283")</f>
        <v>https://www.facebook.com/634639855377280/posts/774483894726208?comment_id=344185701784631&amp;reply_comment_id=1403866626888283</v>
      </c>
      <c r="K3208" t="s">
        <v>67</v>
      </c>
      <c r="O3208">
        <v>0</v>
      </c>
      <c r="P3208">
        <v>0</v>
      </c>
      <c r="Q3208">
        <v>0</v>
      </c>
      <c r="S3208">
        <v>0</v>
      </c>
      <c r="T3208">
        <v>0</v>
      </c>
      <c r="U3208">
        <v>0</v>
      </c>
      <c r="W3208" t="s">
        <v>52</v>
      </c>
    </row>
    <row r="3209" spans="1:23" x14ac:dyDescent="0.35">
      <c r="A3209" t="s">
        <v>45</v>
      </c>
      <c r="B3209" t="s">
        <v>6425</v>
      </c>
      <c r="C3209" t="s">
        <v>93</v>
      </c>
      <c r="D3209" t="s">
        <v>94</v>
      </c>
      <c r="E3209" t="s">
        <v>45</v>
      </c>
      <c r="F3209" t="s">
        <v>49</v>
      </c>
      <c r="G3209" t="s">
        <v>4187</v>
      </c>
      <c r="H3209" t="s">
        <v>6546</v>
      </c>
      <c r="J3209" t="str">
        <f>HYPERLINK("https://twitter.com/SpiceMoneyIndia/status/1749282268227539279","https://twitter.com/SpiceMoneyIndia/status/1749282268227539279")</f>
        <v>https://twitter.com/SpiceMoneyIndia/status/1749282268227539279</v>
      </c>
      <c r="K3209" t="s">
        <v>67</v>
      </c>
      <c r="O3209">
        <v>0</v>
      </c>
      <c r="P3209">
        <v>0</v>
      </c>
      <c r="Q3209">
        <v>6000</v>
      </c>
      <c r="R3209" t="s">
        <v>97</v>
      </c>
      <c r="S3209">
        <v>0</v>
      </c>
      <c r="T3209">
        <v>0</v>
      </c>
      <c r="U3209">
        <v>0</v>
      </c>
      <c r="V3209" t="s">
        <v>98</v>
      </c>
      <c r="W3209" t="s">
        <v>99</v>
      </c>
    </row>
    <row r="3210" spans="1:23" x14ac:dyDescent="0.35">
      <c r="A3210" t="s">
        <v>45</v>
      </c>
      <c r="B3210" t="s">
        <v>6425</v>
      </c>
      <c r="C3210" t="s">
        <v>60</v>
      </c>
      <c r="D3210" t="s">
        <v>61</v>
      </c>
      <c r="E3210" t="s">
        <v>61</v>
      </c>
      <c r="F3210" t="s">
        <v>49</v>
      </c>
      <c r="G3210" t="s">
        <v>6547</v>
      </c>
      <c r="H3210" t="s">
        <v>6548</v>
      </c>
      <c r="J3210" t="str">
        <f>HYPERLINK("https://www.facebook.com/634639855377280/posts/776916321149632?comment_id=391283706920721&amp;reply_comment_id=1378902236064240","https://www.facebook.com/634639855377280/posts/776916321149632?comment_id=391283706920721&amp;reply_comment_id=1378902236064240")</f>
        <v>https://www.facebook.com/634639855377280/posts/776916321149632?comment_id=391283706920721&amp;reply_comment_id=1378902236064240</v>
      </c>
      <c r="O3210">
        <v>0</v>
      </c>
      <c r="P3210">
        <v>0</v>
      </c>
      <c r="Q3210">
        <v>0</v>
      </c>
      <c r="S3210">
        <v>0</v>
      </c>
      <c r="T3210">
        <v>0</v>
      </c>
      <c r="U3210">
        <v>0</v>
      </c>
      <c r="W3210" t="s">
        <v>52</v>
      </c>
    </row>
    <row r="3211" spans="1:23" x14ac:dyDescent="0.35">
      <c r="A3211" t="s">
        <v>45</v>
      </c>
      <c r="B3211" t="s">
        <v>6425</v>
      </c>
      <c r="C3211" t="s">
        <v>60</v>
      </c>
      <c r="D3211" t="s">
        <v>64</v>
      </c>
      <c r="E3211" t="s">
        <v>64</v>
      </c>
      <c r="F3211" t="s">
        <v>49</v>
      </c>
      <c r="G3211" t="s">
        <v>83</v>
      </c>
      <c r="H3211" t="s">
        <v>6549</v>
      </c>
      <c r="J3211" t="str">
        <f>HYPERLINK("https://www.facebook.com/634639855377280/posts/774412801399984?comment_id=898169238979310&amp;reply_comment_id=901736418327397","https://www.facebook.com/634639855377280/posts/774412801399984?comment_id=898169238979310&amp;reply_comment_id=901736418327397")</f>
        <v>https://www.facebook.com/634639855377280/posts/774412801399984?comment_id=898169238979310&amp;reply_comment_id=901736418327397</v>
      </c>
      <c r="K3211" t="s">
        <v>67</v>
      </c>
      <c r="O3211">
        <v>0</v>
      </c>
      <c r="P3211">
        <v>0</v>
      </c>
      <c r="Q3211">
        <v>0</v>
      </c>
      <c r="S3211">
        <v>0</v>
      </c>
      <c r="T3211">
        <v>0</v>
      </c>
      <c r="U3211">
        <v>0</v>
      </c>
      <c r="W3211" t="s">
        <v>52</v>
      </c>
    </row>
    <row r="3212" spans="1:23" x14ac:dyDescent="0.35">
      <c r="A3212" t="s">
        <v>45</v>
      </c>
      <c r="B3212" t="s">
        <v>6425</v>
      </c>
      <c r="C3212" t="s">
        <v>60</v>
      </c>
      <c r="D3212" t="s">
        <v>64</v>
      </c>
      <c r="E3212" t="s">
        <v>64</v>
      </c>
      <c r="F3212" t="s">
        <v>49</v>
      </c>
      <c r="G3212" t="s">
        <v>83</v>
      </c>
      <c r="H3212" t="s">
        <v>6550</v>
      </c>
      <c r="J3212" t="str">
        <f>HYPERLINK("https://www.facebook.com/634639855377280/posts/776916321149632?comment_id=391283706920721&amp;reply_comment_id=7614979798515125","https://www.facebook.com/634639855377280/posts/776916321149632?comment_id=391283706920721&amp;reply_comment_id=7614979798515125")</f>
        <v>https://www.facebook.com/634639855377280/posts/776916321149632?comment_id=391283706920721&amp;reply_comment_id=7614979798515125</v>
      </c>
      <c r="K3212" t="s">
        <v>67</v>
      </c>
      <c r="O3212">
        <v>0</v>
      </c>
      <c r="P3212">
        <v>0</v>
      </c>
      <c r="Q3212">
        <v>0</v>
      </c>
      <c r="S3212">
        <v>0</v>
      </c>
      <c r="T3212">
        <v>0</v>
      </c>
      <c r="U3212">
        <v>0</v>
      </c>
      <c r="W3212" t="s">
        <v>52</v>
      </c>
    </row>
    <row r="3213" spans="1:23" x14ac:dyDescent="0.35">
      <c r="A3213" t="s">
        <v>45</v>
      </c>
      <c r="B3213" t="s">
        <v>6425</v>
      </c>
      <c r="C3213" t="s">
        <v>60</v>
      </c>
      <c r="D3213" t="s">
        <v>61</v>
      </c>
      <c r="E3213" t="s">
        <v>61</v>
      </c>
      <c r="F3213" t="s">
        <v>49</v>
      </c>
      <c r="G3213" t="s">
        <v>6551</v>
      </c>
      <c r="H3213" t="s">
        <v>6552</v>
      </c>
      <c r="J3213" t="str">
        <f>HYPERLINK("https://www.facebook.com/634639855377280/posts/776916321149632?comment_id=968698224970001","https://www.facebook.com/634639855377280/posts/776916321149632?comment_id=968698224970001")</f>
        <v>https://www.facebook.com/634639855377280/posts/776916321149632?comment_id=968698224970001</v>
      </c>
      <c r="O3213">
        <v>0</v>
      </c>
      <c r="P3213">
        <v>0</v>
      </c>
      <c r="Q3213">
        <v>0</v>
      </c>
      <c r="S3213">
        <v>0</v>
      </c>
      <c r="T3213">
        <v>0</v>
      </c>
      <c r="U3213">
        <v>0</v>
      </c>
      <c r="W3213" t="s">
        <v>52</v>
      </c>
    </row>
    <row r="3214" spans="1:23" x14ac:dyDescent="0.35">
      <c r="A3214" t="s">
        <v>45</v>
      </c>
      <c r="B3214" t="s">
        <v>6425</v>
      </c>
      <c r="C3214" t="s">
        <v>60</v>
      </c>
      <c r="D3214" t="s">
        <v>61</v>
      </c>
      <c r="E3214" t="s">
        <v>61</v>
      </c>
      <c r="F3214" t="s">
        <v>49</v>
      </c>
      <c r="G3214" t="s">
        <v>6553</v>
      </c>
      <c r="H3214" t="s">
        <v>6554</v>
      </c>
      <c r="J3214" t="str">
        <f>HYPERLINK("https://www.facebook.com/634639855377280/posts/776916321149632?comment_id=391283706920721","https://www.facebook.com/634639855377280/posts/776916321149632?comment_id=391283706920721")</f>
        <v>https://www.facebook.com/634639855377280/posts/776916321149632?comment_id=391283706920721</v>
      </c>
      <c r="O3214">
        <v>0</v>
      </c>
      <c r="P3214">
        <v>0</v>
      </c>
      <c r="Q3214">
        <v>0</v>
      </c>
      <c r="S3214">
        <v>0</v>
      </c>
      <c r="T3214">
        <v>0</v>
      </c>
      <c r="U3214">
        <v>0</v>
      </c>
      <c r="W3214" t="s">
        <v>52</v>
      </c>
    </row>
    <row r="3215" spans="1:23" x14ac:dyDescent="0.35">
      <c r="A3215" t="s">
        <v>45</v>
      </c>
      <c r="B3215" t="s">
        <v>6425</v>
      </c>
      <c r="C3215" t="s">
        <v>60</v>
      </c>
      <c r="D3215" t="s">
        <v>64</v>
      </c>
      <c r="E3215" t="s">
        <v>64</v>
      </c>
      <c r="F3215" t="s">
        <v>49</v>
      </c>
      <c r="G3215" t="s">
        <v>1595</v>
      </c>
      <c r="H3215" t="s">
        <v>6555</v>
      </c>
      <c r="J3215" t="str">
        <f>HYPERLINK("https://www.facebook.com/634639855377280/posts/776275584547039?comment_id=291557926872774&amp;reply_comment_id=3427429860881981","https://www.facebook.com/634639855377280/posts/776275584547039?comment_id=291557926872774&amp;reply_comment_id=3427429860881981")</f>
        <v>https://www.facebook.com/634639855377280/posts/776275584547039?comment_id=291557926872774&amp;reply_comment_id=3427429860881981</v>
      </c>
      <c r="K3215" t="s">
        <v>67</v>
      </c>
      <c r="O3215">
        <v>0</v>
      </c>
      <c r="P3215">
        <v>0</v>
      </c>
      <c r="Q3215">
        <v>0</v>
      </c>
      <c r="S3215">
        <v>0</v>
      </c>
      <c r="T3215">
        <v>0</v>
      </c>
      <c r="U3215">
        <v>0</v>
      </c>
      <c r="W3215" t="s">
        <v>52</v>
      </c>
    </row>
    <row r="3216" spans="1:23" x14ac:dyDescent="0.35">
      <c r="A3216" t="s">
        <v>45</v>
      </c>
      <c r="B3216" t="s">
        <v>6425</v>
      </c>
      <c r="C3216" t="s">
        <v>60</v>
      </c>
      <c r="D3216" t="s">
        <v>64</v>
      </c>
      <c r="E3216" t="s">
        <v>64</v>
      </c>
      <c r="F3216" t="s">
        <v>49</v>
      </c>
      <c r="G3216" t="s">
        <v>6556</v>
      </c>
      <c r="H3216" t="s">
        <v>6557</v>
      </c>
      <c r="J3216" t="str">
        <f>HYPERLINK("https://www.facebook.com/634639855377280/posts/776916321149632","https://www.facebook.com/634639855377280/posts/776916321149632")</f>
        <v>https://www.facebook.com/634639855377280/posts/776916321149632</v>
      </c>
      <c r="O3216">
        <v>0</v>
      </c>
      <c r="P3216">
        <v>0</v>
      </c>
      <c r="Q3216">
        <v>0</v>
      </c>
      <c r="S3216">
        <v>36</v>
      </c>
      <c r="T3216">
        <v>259</v>
      </c>
      <c r="U3216">
        <v>20</v>
      </c>
      <c r="W3216" t="s">
        <v>346</v>
      </c>
    </row>
    <row r="3217" spans="1:23" x14ac:dyDescent="0.35">
      <c r="A3217" t="s">
        <v>45</v>
      </c>
      <c r="B3217" t="s">
        <v>6425</v>
      </c>
      <c r="C3217" t="s">
        <v>60</v>
      </c>
      <c r="D3217" t="s">
        <v>64</v>
      </c>
      <c r="E3217" t="s">
        <v>64</v>
      </c>
      <c r="F3217" t="s">
        <v>49</v>
      </c>
      <c r="G3217" t="s">
        <v>83</v>
      </c>
      <c r="H3217" t="s">
        <v>6558</v>
      </c>
      <c r="J3217" t="str">
        <f>HYPERLINK("https://www.facebook.com/634639855377280/posts/776275584547039?comment_id=298120216576065&amp;reply_comment_id=592192439752035","https://www.facebook.com/634639855377280/posts/776275584547039?comment_id=298120216576065&amp;reply_comment_id=592192439752035")</f>
        <v>https://www.facebook.com/634639855377280/posts/776275584547039?comment_id=298120216576065&amp;reply_comment_id=592192439752035</v>
      </c>
      <c r="K3217" t="s">
        <v>67</v>
      </c>
      <c r="O3217">
        <v>0</v>
      </c>
      <c r="P3217">
        <v>0</v>
      </c>
      <c r="Q3217">
        <v>0</v>
      </c>
      <c r="S3217">
        <v>0</v>
      </c>
      <c r="T3217">
        <v>0</v>
      </c>
      <c r="U3217">
        <v>0</v>
      </c>
      <c r="W3217" t="s">
        <v>52</v>
      </c>
    </row>
    <row r="3218" spans="1:23" x14ac:dyDescent="0.35">
      <c r="A3218" t="s">
        <v>45</v>
      </c>
      <c r="B3218" t="s">
        <v>6425</v>
      </c>
      <c r="C3218" t="s">
        <v>47</v>
      </c>
      <c r="D3218" t="s">
        <v>846</v>
      </c>
      <c r="E3218" t="s">
        <v>846</v>
      </c>
      <c r="F3218" t="s">
        <v>54</v>
      </c>
      <c r="G3218" t="s">
        <v>6559</v>
      </c>
      <c r="H3218" t="s">
        <v>6560</v>
      </c>
      <c r="J3218" t="str">
        <f>HYPERLINK("https://www.youtube.com/watch?v=otifGXuH01E&amp;lc=UgzNxMfV515uvGzHY7p4AaABAg","https://www.youtube.com/watch?v=otifGXuH01E&amp;lc=UgzNxMfV515uvGzHY7p4AaABAg")</f>
        <v>https://www.youtube.com/watch?v=otifGXuH01E&amp;lc=UgzNxMfV515uvGzHY7p4AaABAg</v>
      </c>
      <c r="O3218">
        <v>0</v>
      </c>
      <c r="P3218">
        <v>0</v>
      </c>
      <c r="Q3218">
        <v>0</v>
      </c>
      <c r="S3218">
        <v>0</v>
      </c>
      <c r="T3218">
        <v>0</v>
      </c>
      <c r="U3218">
        <v>0</v>
      </c>
      <c r="W3218" t="s">
        <v>52</v>
      </c>
    </row>
    <row r="3219" spans="1:23" x14ac:dyDescent="0.35">
      <c r="A3219" t="s">
        <v>45</v>
      </c>
      <c r="B3219" t="s">
        <v>6425</v>
      </c>
      <c r="C3219" t="s">
        <v>60</v>
      </c>
      <c r="D3219" t="s">
        <v>61</v>
      </c>
      <c r="E3219" t="s">
        <v>61</v>
      </c>
      <c r="F3219" t="s">
        <v>49</v>
      </c>
      <c r="G3219" t="s">
        <v>6561</v>
      </c>
      <c r="H3219" t="s">
        <v>6562</v>
      </c>
      <c r="J3219" t="str">
        <f>HYPERLINK("https://www.facebook.com/634639855377280/posts/774412801399984?comment_id=898169238979310","https://www.facebook.com/634639855377280/posts/774412801399984?comment_id=898169238979310")</f>
        <v>https://www.facebook.com/634639855377280/posts/774412801399984?comment_id=898169238979310</v>
      </c>
      <c r="O3219">
        <v>0</v>
      </c>
      <c r="P3219">
        <v>0</v>
      </c>
      <c r="Q3219">
        <v>0</v>
      </c>
      <c r="S3219">
        <v>0</v>
      </c>
      <c r="T3219">
        <v>0</v>
      </c>
      <c r="U3219">
        <v>0</v>
      </c>
      <c r="W3219" t="s">
        <v>52</v>
      </c>
    </row>
    <row r="3220" spans="1:23" x14ac:dyDescent="0.35">
      <c r="A3220" t="s">
        <v>45</v>
      </c>
      <c r="B3220" t="s">
        <v>6425</v>
      </c>
      <c r="C3220" t="s">
        <v>60</v>
      </c>
      <c r="D3220" t="s">
        <v>61</v>
      </c>
      <c r="E3220" t="s">
        <v>61</v>
      </c>
      <c r="F3220" t="s">
        <v>49</v>
      </c>
      <c r="G3220" t="s">
        <v>6563</v>
      </c>
      <c r="H3220" t="s">
        <v>6564</v>
      </c>
      <c r="J3220" t="str">
        <f>HYPERLINK("https://www.facebook.com/634639855377280/posts/774881771353087?comment_id=392794099925189&amp;reply_comment_id=3570738296575628","https://www.facebook.com/634639855377280/posts/774881771353087?comment_id=392794099925189&amp;reply_comment_id=3570738296575628")</f>
        <v>https://www.facebook.com/634639855377280/posts/774881771353087?comment_id=392794099925189&amp;reply_comment_id=3570738296575628</v>
      </c>
      <c r="O3220">
        <v>0</v>
      </c>
      <c r="P3220">
        <v>0</v>
      </c>
      <c r="Q3220">
        <v>0</v>
      </c>
      <c r="S3220">
        <v>0</v>
      </c>
      <c r="T3220">
        <v>0</v>
      </c>
      <c r="U3220">
        <v>0</v>
      </c>
      <c r="W3220" t="s">
        <v>52</v>
      </c>
    </row>
    <row r="3221" spans="1:23" x14ac:dyDescent="0.35">
      <c r="A3221" t="s">
        <v>45</v>
      </c>
      <c r="B3221" t="s">
        <v>6425</v>
      </c>
      <c r="C3221" t="s">
        <v>60</v>
      </c>
      <c r="D3221" t="s">
        <v>61</v>
      </c>
      <c r="E3221" t="s">
        <v>61</v>
      </c>
      <c r="F3221" t="s">
        <v>49</v>
      </c>
      <c r="G3221" t="s">
        <v>6565</v>
      </c>
      <c r="H3221" t="s">
        <v>6566</v>
      </c>
      <c r="J3221" t="str">
        <f>HYPERLINK("https://www.facebook.com/634639855377280/posts/774483894726208?comment_id=344185701784631","https://www.facebook.com/634639855377280/posts/774483894726208?comment_id=344185701784631")</f>
        <v>https://www.facebook.com/634639855377280/posts/774483894726208?comment_id=344185701784631</v>
      </c>
      <c r="O3221">
        <v>0</v>
      </c>
      <c r="P3221">
        <v>0</v>
      </c>
      <c r="Q3221">
        <v>0</v>
      </c>
      <c r="S3221">
        <v>0</v>
      </c>
      <c r="T3221">
        <v>0</v>
      </c>
      <c r="U3221">
        <v>0</v>
      </c>
      <c r="W3221" t="s">
        <v>52</v>
      </c>
    </row>
    <row r="3222" spans="1:23" x14ac:dyDescent="0.35">
      <c r="A3222" t="s">
        <v>45</v>
      </c>
      <c r="B3222" t="s">
        <v>6567</v>
      </c>
      <c r="C3222" t="s">
        <v>60</v>
      </c>
      <c r="D3222" t="s">
        <v>61</v>
      </c>
      <c r="E3222" t="s">
        <v>61</v>
      </c>
      <c r="F3222" t="s">
        <v>54</v>
      </c>
      <c r="G3222" t="s">
        <v>6568</v>
      </c>
      <c r="H3222" t="s">
        <v>6569</v>
      </c>
      <c r="J3222" t="str">
        <f>HYPERLINK("https://www.facebook.com/634639855377280/posts/774483894726208?comment_id=359346540369663","https://www.facebook.com/634639855377280/posts/774483894726208?comment_id=359346540369663")</f>
        <v>https://www.facebook.com/634639855377280/posts/774483894726208?comment_id=359346540369663</v>
      </c>
      <c r="O3222">
        <v>0</v>
      </c>
      <c r="P3222">
        <v>0</v>
      </c>
      <c r="Q3222">
        <v>0</v>
      </c>
      <c r="S3222">
        <v>0</v>
      </c>
      <c r="T3222">
        <v>0</v>
      </c>
      <c r="U3222">
        <v>0</v>
      </c>
      <c r="W3222" t="s">
        <v>52</v>
      </c>
    </row>
    <row r="3223" spans="1:23" x14ac:dyDescent="0.35">
      <c r="A3223" t="s">
        <v>45</v>
      </c>
      <c r="B3223" t="s">
        <v>6567</v>
      </c>
      <c r="C3223" t="s">
        <v>93</v>
      </c>
      <c r="D3223" t="s">
        <v>3262</v>
      </c>
      <c r="E3223" t="s">
        <v>3263</v>
      </c>
      <c r="F3223" t="s">
        <v>49</v>
      </c>
      <c r="G3223" t="s">
        <v>6570</v>
      </c>
      <c r="H3223" t="s">
        <v>6571</v>
      </c>
      <c r="J3223" t="str">
        <f>HYPERLINK("https://twitter.com/ShoaibAkhtertsk/status/1749128625893617869","https://twitter.com/ShoaibAkhtertsk/status/1749128625893617869")</f>
        <v>https://twitter.com/ShoaibAkhtertsk/status/1749128625893617869</v>
      </c>
      <c r="K3223" t="s">
        <v>67</v>
      </c>
      <c r="O3223">
        <v>0</v>
      </c>
      <c r="P3223">
        <v>0</v>
      </c>
      <c r="Q3223">
        <v>50</v>
      </c>
      <c r="R3223" t="s">
        <v>3266</v>
      </c>
      <c r="S3223">
        <v>0</v>
      </c>
      <c r="T3223">
        <v>0</v>
      </c>
      <c r="U3223">
        <v>0</v>
      </c>
      <c r="W3223" t="s">
        <v>99</v>
      </c>
    </row>
    <row r="3224" spans="1:23" x14ac:dyDescent="0.35">
      <c r="A3224" t="s">
        <v>45</v>
      </c>
      <c r="B3224" t="s">
        <v>6567</v>
      </c>
      <c r="C3224" t="s">
        <v>60</v>
      </c>
      <c r="D3224" t="s">
        <v>61</v>
      </c>
      <c r="E3224" t="s">
        <v>61</v>
      </c>
      <c r="F3224" t="s">
        <v>49</v>
      </c>
      <c r="G3224" t="s">
        <v>6572</v>
      </c>
      <c r="H3224" t="s">
        <v>6573</v>
      </c>
      <c r="J3224" t="str">
        <f>HYPERLINK("https://www.facebook.com/634639855377280/posts/774483894726208?comment_id=765656995467234","https://www.facebook.com/634639855377280/posts/774483894726208?comment_id=765656995467234")</f>
        <v>https://www.facebook.com/634639855377280/posts/774483894726208?comment_id=765656995467234</v>
      </c>
      <c r="O3224">
        <v>0</v>
      </c>
      <c r="P3224">
        <v>0</v>
      </c>
      <c r="Q3224">
        <v>0</v>
      </c>
      <c r="S3224">
        <v>0</v>
      </c>
      <c r="T3224">
        <v>0</v>
      </c>
      <c r="U3224">
        <v>0</v>
      </c>
      <c r="W3224" t="s">
        <v>52</v>
      </c>
    </row>
    <row r="3225" spans="1:23" x14ac:dyDescent="0.35">
      <c r="A3225" t="s">
        <v>45</v>
      </c>
      <c r="B3225" t="s">
        <v>6567</v>
      </c>
      <c r="C3225" t="s">
        <v>60</v>
      </c>
      <c r="D3225" t="s">
        <v>61</v>
      </c>
      <c r="E3225" t="s">
        <v>61</v>
      </c>
      <c r="F3225" t="s">
        <v>49</v>
      </c>
      <c r="G3225" t="s">
        <v>6574</v>
      </c>
      <c r="H3225" t="s">
        <v>6575</v>
      </c>
      <c r="J3225" t="str">
        <f>HYPERLINK("https://www.facebook.com/634639855377280/posts/776275584547039?comment_id=1843074876121794","https://www.facebook.com/634639855377280/posts/776275584547039?comment_id=1843074876121794")</f>
        <v>https://www.facebook.com/634639855377280/posts/776275584547039?comment_id=1843074876121794</v>
      </c>
      <c r="O3225">
        <v>0</v>
      </c>
      <c r="P3225">
        <v>0</v>
      </c>
      <c r="Q3225">
        <v>0</v>
      </c>
      <c r="S3225">
        <v>0</v>
      </c>
      <c r="T3225">
        <v>0</v>
      </c>
      <c r="U3225">
        <v>0</v>
      </c>
      <c r="W3225" t="s">
        <v>52</v>
      </c>
    </row>
    <row r="3226" spans="1:23" x14ac:dyDescent="0.35">
      <c r="A3226" t="s">
        <v>45</v>
      </c>
      <c r="B3226" t="s">
        <v>6567</v>
      </c>
      <c r="C3226" t="s">
        <v>60</v>
      </c>
      <c r="D3226" t="s">
        <v>61</v>
      </c>
      <c r="E3226" t="s">
        <v>61</v>
      </c>
      <c r="F3226" t="s">
        <v>54</v>
      </c>
      <c r="G3226" t="s">
        <v>6576</v>
      </c>
      <c r="H3226" t="s">
        <v>6577</v>
      </c>
      <c r="J3226" t="str">
        <f>HYPERLINK("https://www.facebook.com/634639855377280/posts/774881771353087?comment_id=768488725331735","https://www.facebook.com/634639855377280/posts/774881771353087?comment_id=768488725331735")</f>
        <v>https://www.facebook.com/634639855377280/posts/774881771353087?comment_id=768488725331735</v>
      </c>
      <c r="O3226">
        <v>0</v>
      </c>
      <c r="P3226">
        <v>0</v>
      </c>
      <c r="Q3226">
        <v>0</v>
      </c>
      <c r="S3226">
        <v>0</v>
      </c>
      <c r="T3226">
        <v>0</v>
      </c>
      <c r="U3226">
        <v>0</v>
      </c>
      <c r="W3226" t="s">
        <v>52</v>
      </c>
    </row>
    <row r="3227" spans="1:23" x14ac:dyDescent="0.35">
      <c r="A3227" t="s">
        <v>45</v>
      </c>
      <c r="B3227" t="s">
        <v>6567</v>
      </c>
      <c r="C3227" t="s">
        <v>60</v>
      </c>
      <c r="D3227" t="s">
        <v>61</v>
      </c>
      <c r="E3227" t="s">
        <v>61</v>
      </c>
      <c r="F3227" t="s">
        <v>49</v>
      </c>
      <c r="G3227" t="s">
        <v>6578</v>
      </c>
      <c r="H3227" t="s">
        <v>6579</v>
      </c>
      <c r="J3227" t="str">
        <f>HYPERLINK("https://www.facebook.com/634639855377280/posts/776275584547039?comment_id=291557926872774","https://www.facebook.com/634639855377280/posts/776275584547039?comment_id=291557926872774")</f>
        <v>https://www.facebook.com/634639855377280/posts/776275584547039?comment_id=291557926872774</v>
      </c>
      <c r="O3227">
        <v>0</v>
      </c>
      <c r="P3227">
        <v>0</v>
      </c>
      <c r="Q3227">
        <v>0</v>
      </c>
      <c r="S3227">
        <v>0</v>
      </c>
      <c r="T3227">
        <v>0</v>
      </c>
      <c r="U3227">
        <v>0</v>
      </c>
      <c r="W3227" t="s">
        <v>52</v>
      </c>
    </row>
    <row r="3228" spans="1:23" x14ac:dyDescent="0.35">
      <c r="A3228" t="s">
        <v>45</v>
      </c>
      <c r="B3228" t="s">
        <v>6567</v>
      </c>
      <c r="C3228" t="s">
        <v>60</v>
      </c>
      <c r="D3228" t="s">
        <v>61</v>
      </c>
      <c r="E3228" t="s">
        <v>61</v>
      </c>
      <c r="F3228" t="s">
        <v>49</v>
      </c>
      <c r="G3228" t="s">
        <v>6580</v>
      </c>
      <c r="H3228" t="s">
        <v>6581</v>
      </c>
      <c r="J3228" t="str">
        <f>HYPERLINK("https://www.facebook.com/634639855377280/posts/776275584547039?comment_id=298120216576065&amp;reply_comment_id=1038316360594292","https://www.facebook.com/634639855377280/posts/776275584547039?comment_id=298120216576065&amp;reply_comment_id=1038316360594292")</f>
        <v>https://www.facebook.com/634639855377280/posts/776275584547039?comment_id=298120216576065&amp;reply_comment_id=1038316360594292</v>
      </c>
      <c r="O3228">
        <v>0</v>
      </c>
      <c r="P3228">
        <v>0</v>
      </c>
      <c r="Q3228">
        <v>0</v>
      </c>
      <c r="S3228">
        <v>0</v>
      </c>
      <c r="T3228">
        <v>0</v>
      </c>
      <c r="U3228">
        <v>0</v>
      </c>
      <c r="W3228" t="s">
        <v>52</v>
      </c>
    </row>
    <row r="3229" spans="1:23" x14ac:dyDescent="0.35">
      <c r="A3229" t="s">
        <v>45</v>
      </c>
      <c r="B3229" t="s">
        <v>6567</v>
      </c>
      <c r="C3229" t="s">
        <v>60</v>
      </c>
      <c r="D3229" t="s">
        <v>61</v>
      </c>
      <c r="E3229" t="s">
        <v>61</v>
      </c>
      <c r="F3229" t="s">
        <v>54</v>
      </c>
      <c r="G3229" t="s">
        <v>6582</v>
      </c>
      <c r="H3229" t="s">
        <v>6583</v>
      </c>
      <c r="J3229" t="str">
        <f>HYPERLINK("https://www.facebook.com/634639855377280/posts/774483894726208?comment_id=1120902925607250","https://www.facebook.com/634639855377280/posts/774483894726208?comment_id=1120902925607250")</f>
        <v>https://www.facebook.com/634639855377280/posts/774483894726208?comment_id=1120902925607250</v>
      </c>
      <c r="O3229">
        <v>0</v>
      </c>
      <c r="P3229">
        <v>0</v>
      </c>
      <c r="Q3229">
        <v>0</v>
      </c>
      <c r="S3229">
        <v>0</v>
      </c>
      <c r="T3229">
        <v>0</v>
      </c>
      <c r="U3229">
        <v>0</v>
      </c>
      <c r="W3229" t="s">
        <v>52</v>
      </c>
    </row>
    <row r="3230" spans="1:23" x14ac:dyDescent="0.35">
      <c r="A3230" t="s">
        <v>45</v>
      </c>
      <c r="B3230" t="s">
        <v>6567</v>
      </c>
      <c r="C3230" t="s">
        <v>60</v>
      </c>
      <c r="D3230" t="s">
        <v>64</v>
      </c>
      <c r="E3230" t="s">
        <v>64</v>
      </c>
      <c r="F3230" t="s">
        <v>49</v>
      </c>
      <c r="G3230" t="s">
        <v>6584</v>
      </c>
      <c r="H3230" t="s">
        <v>6585</v>
      </c>
      <c r="J3230" t="str">
        <f>HYPERLINK("https://www.facebook.com/634639855377280/posts/774483894726208?comment_id=1187522168885482&amp;reply_comment_id=1182100036087426","https://www.facebook.com/634639855377280/posts/774483894726208?comment_id=1187522168885482&amp;reply_comment_id=1182100036087426")</f>
        <v>https://www.facebook.com/634639855377280/posts/774483894726208?comment_id=1187522168885482&amp;reply_comment_id=1182100036087426</v>
      </c>
      <c r="K3230" t="s">
        <v>67</v>
      </c>
      <c r="O3230">
        <v>0</v>
      </c>
      <c r="P3230">
        <v>0</v>
      </c>
      <c r="Q3230">
        <v>0</v>
      </c>
      <c r="S3230">
        <v>0</v>
      </c>
      <c r="T3230">
        <v>0</v>
      </c>
      <c r="U3230">
        <v>0</v>
      </c>
      <c r="W3230" t="s">
        <v>52</v>
      </c>
    </row>
    <row r="3231" spans="1:23" x14ac:dyDescent="0.35">
      <c r="A3231" t="s">
        <v>45</v>
      </c>
      <c r="B3231" t="s">
        <v>6567</v>
      </c>
      <c r="C3231" t="s">
        <v>60</v>
      </c>
      <c r="D3231" t="s">
        <v>64</v>
      </c>
      <c r="E3231" t="s">
        <v>64</v>
      </c>
      <c r="F3231" t="s">
        <v>49</v>
      </c>
      <c r="G3231" t="s">
        <v>280</v>
      </c>
      <c r="H3231" t="s">
        <v>6586</v>
      </c>
      <c r="J3231" t="str">
        <f>HYPERLINK("https://www.facebook.com/634639855377280/posts/774483894726208?comment_id=272502715618295&amp;reply_comment_id=279880244807115","https://www.facebook.com/634639855377280/posts/774483894726208?comment_id=272502715618295&amp;reply_comment_id=279880244807115")</f>
        <v>https://www.facebook.com/634639855377280/posts/774483894726208?comment_id=272502715618295&amp;reply_comment_id=279880244807115</v>
      </c>
      <c r="K3231" t="s">
        <v>67</v>
      </c>
      <c r="O3231">
        <v>0</v>
      </c>
      <c r="P3231">
        <v>0</v>
      </c>
      <c r="Q3231">
        <v>0</v>
      </c>
      <c r="S3231">
        <v>0</v>
      </c>
      <c r="T3231">
        <v>0</v>
      </c>
      <c r="U3231">
        <v>0</v>
      </c>
      <c r="W3231" t="s">
        <v>52</v>
      </c>
    </row>
    <row r="3232" spans="1:23" x14ac:dyDescent="0.35">
      <c r="A3232" t="s">
        <v>45</v>
      </c>
      <c r="B3232" t="s">
        <v>6567</v>
      </c>
      <c r="C3232" t="s">
        <v>60</v>
      </c>
      <c r="D3232" t="s">
        <v>64</v>
      </c>
      <c r="E3232" t="s">
        <v>64</v>
      </c>
      <c r="F3232" t="s">
        <v>49</v>
      </c>
      <c r="G3232" t="s">
        <v>162</v>
      </c>
      <c r="H3232" t="s">
        <v>6587</v>
      </c>
      <c r="J3232" t="str">
        <f>HYPERLINK("https://www.facebook.com/634639855377280/posts/774483894726208?comment_id=1504337170144290&amp;reply_comment_id=317076887393929","https://www.facebook.com/634639855377280/posts/774483894726208?comment_id=1504337170144290&amp;reply_comment_id=317076887393929")</f>
        <v>https://www.facebook.com/634639855377280/posts/774483894726208?comment_id=1504337170144290&amp;reply_comment_id=317076887393929</v>
      </c>
      <c r="K3232" t="s">
        <v>67</v>
      </c>
      <c r="O3232">
        <v>0</v>
      </c>
      <c r="P3232">
        <v>0</v>
      </c>
      <c r="Q3232">
        <v>0</v>
      </c>
      <c r="S3232">
        <v>0</v>
      </c>
      <c r="T3232">
        <v>0</v>
      </c>
      <c r="U3232">
        <v>0</v>
      </c>
      <c r="W3232" t="s">
        <v>52</v>
      </c>
    </row>
    <row r="3233" spans="1:23" x14ac:dyDescent="0.35">
      <c r="A3233" t="s">
        <v>45</v>
      </c>
      <c r="B3233" t="s">
        <v>6567</v>
      </c>
      <c r="C3233" t="s">
        <v>60</v>
      </c>
      <c r="D3233" t="s">
        <v>64</v>
      </c>
      <c r="E3233" t="s">
        <v>64</v>
      </c>
      <c r="F3233" t="s">
        <v>49</v>
      </c>
      <c r="G3233" t="s">
        <v>162</v>
      </c>
      <c r="H3233" t="s">
        <v>6588</v>
      </c>
      <c r="J3233" t="str">
        <f>HYPERLINK("https://www.facebook.com/634639855377280/posts/776275584547039?comment_id=713189637459210&amp;reply_comment_id=3750003561902221","https://www.facebook.com/634639855377280/posts/776275584547039?comment_id=713189637459210&amp;reply_comment_id=3750003561902221")</f>
        <v>https://www.facebook.com/634639855377280/posts/776275584547039?comment_id=713189637459210&amp;reply_comment_id=3750003561902221</v>
      </c>
      <c r="K3233" t="s">
        <v>67</v>
      </c>
      <c r="O3233">
        <v>0</v>
      </c>
      <c r="P3233">
        <v>0</v>
      </c>
      <c r="Q3233">
        <v>0</v>
      </c>
      <c r="S3233">
        <v>0</v>
      </c>
      <c r="T3233">
        <v>0</v>
      </c>
      <c r="U3233">
        <v>0</v>
      </c>
      <c r="W3233" t="s">
        <v>52</v>
      </c>
    </row>
    <row r="3234" spans="1:23" x14ac:dyDescent="0.35">
      <c r="A3234" t="s">
        <v>45</v>
      </c>
      <c r="B3234" t="s">
        <v>6567</v>
      </c>
      <c r="C3234" t="s">
        <v>60</v>
      </c>
      <c r="D3234" t="s">
        <v>61</v>
      </c>
      <c r="E3234" t="s">
        <v>61</v>
      </c>
      <c r="F3234" t="s">
        <v>49</v>
      </c>
      <c r="G3234" t="s">
        <v>64</v>
      </c>
      <c r="H3234" t="s">
        <v>6589</v>
      </c>
      <c r="J3234" t="str">
        <f>HYPERLINK("https://www.facebook.com/634639855377280/posts/774483894726208?comment_id=272502715618295&amp;reply_comment_id=389775336797117","https://www.facebook.com/634639855377280/posts/774483894726208?comment_id=272502715618295&amp;reply_comment_id=389775336797117")</f>
        <v>https://www.facebook.com/634639855377280/posts/774483894726208?comment_id=272502715618295&amp;reply_comment_id=389775336797117</v>
      </c>
      <c r="O3234">
        <v>0</v>
      </c>
      <c r="P3234">
        <v>0</v>
      </c>
      <c r="Q3234">
        <v>0</v>
      </c>
      <c r="S3234">
        <v>0</v>
      </c>
      <c r="T3234">
        <v>0</v>
      </c>
      <c r="U3234">
        <v>0</v>
      </c>
      <c r="W3234" t="s">
        <v>52</v>
      </c>
    </row>
    <row r="3235" spans="1:23" x14ac:dyDescent="0.35">
      <c r="A3235" t="s">
        <v>45</v>
      </c>
      <c r="B3235" t="s">
        <v>6567</v>
      </c>
      <c r="C3235" t="s">
        <v>60</v>
      </c>
      <c r="D3235" t="s">
        <v>64</v>
      </c>
      <c r="E3235" t="s">
        <v>64</v>
      </c>
      <c r="F3235" t="s">
        <v>49</v>
      </c>
      <c r="G3235" t="s">
        <v>2766</v>
      </c>
      <c r="H3235" t="s">
        <v>6590</v>
      </c>
      <c r="J3235" t="str">
        <f>HYPERLINK("https://www.facebook.com/634639855377280/posts/774483894726208?comment_id=272502715618295&amp;reply_comment_id=357005067132114","https://www.facebook.com/634639855377280/posts/774483894726208?comment_id=272502715618295&amp;reply_comment_id=357005067132114")</f>
        <v>https://www.facebook.com/634639855377280/posts/774483894726208?comment_id=272502715618295&amp;reply_comment_id=357005067132114</v>
      </c>
      <c r="K3235" t="s">
        <v>67</v>
      </c>
      <c r="O3235">
        <v>0</v>
      </c>
      <c r="P3235">
        <v>0</v>
      </c>
      <c r="Q3235">
        <v>0</v>
      </c>
      <c r="S3235">
        <v>0</v>
      </c>
      <c r="T3235">
        <v>0</v>
      </c>
      <c r="U3235">
        <v>0</v>
      </c>
      <c r="W3235" t="s">
        <v>52</v>
      </c>
    </row>
    <row r="3236" spans="1:23" x14ac:dyDescent="0.35">
      <c r="A3236" t="s">
        <v>45</v>
      </c>
      <c r="B3236" t="s">
        <v>6567</v>
      </c>
      <c r="C3236" t="s">
        <v>60</v>
      </c>
      <c r="D3236" t="s">
        <v>64</v>
      </c>
      <c r="E3236" t="s">
        <v>64</v>
      </c>
      <c r="F3236" t="s">
        <v>49</v>
      </c>
      <c r="G3236" t="s">
        <v>83</v>
      </c>
      <c r="H3236" t="s">
        <v>6591</v>
      </c>
      <c r="J3236" t="str">
        <f>HYPERLINK("https://www.facebook.com/634639855377280/posts/774881771353087?comment_id=911902377127167&amp;reply_comment_id=281408757977403","https://www.facebook.com/634639855377280/posts/774881771353087?comment_id=911902377127167&amp;reply_comment_id=281408757977403")</f>
        <v>https://www.facebook.com/634639855377280/posts/774881771353087?comment_id=911902377127167&amp;reply_comment_id=281408757977403</v>
      </c>
      <c r="K3236" t="s">
        <v>67</v>
      </c>
      <c r="O3236">
        <v>0</v>
      </c>
      <c r="P3236">
        <v>0</v>
      </c>
      <c r="Q3236">
        <v>0</v>
      </c>
      <c r="S3236">
        <v>0</v>
      </c>
      <c r="T3236">
        <v>0</v>
      </c>
      <c r="U3236">
        <v>0</v>
      </c>
      <c r="W3236" t="s">
        <v>52</v>
      </c>
    </row>
    <row r="3237" spans="1:23" x14ac:dyDescent="0.35">
      <c r="A3237" t="s">
        <v>45</v>
      </c>
      <c r="B3237" t="s">
        <v>6567</v>
      </c>
      <c r="C3237" t="s">
        <v>60</v>
      </c>
      <c r="D3237" t="s">
        <v>61</v>
      </c>
      <c r="E3237" t="s">
        <v>61</v>
      </c>
      <c r="F3237" t="s">
        <v>49</v>
      </c>
      <c r="G3237" t="s">
        <v>6592</v>
      </c>
      <c r="H3237" t="s">
        <v>6593</v>
      </c>
      <c r="J3237" t="str">
        <f>HYPERLINK("https://www.facebook.com/634639855377280/posts/774412801399984?comment_id=366536942789512&amp;reply_comment_id=349861661165563","https://www.facebook.com/634639855377280/posts/774412801399984?comment_id=366536942789512&amp;reply_comment_id=349861661165563")</f>
        <v>https://www.facebook.com/634639855377280/posts/774412801399984?comment_id=366536942789512&amp;reply_comment_id=349861661165563</v>
      </c>
      <c r="O3237">
        <v>0</v>
      </c>
      <c r="P3237">
        <v>0</v>
      </c>
      <c r="Q3237">
        <v>0</v>
      </c>
      <c r="S3237">
        <v>0</v>
      </c>
      <c r="T3237">
        <v>0</v>
      </c>
      <c r="U3237">
        <v>0</v>
      </c>
      <c r="W3237" t="s">
        <v>52</v>
      </c>
    </row>
    <row r="3238" spans="1:23" x14ac:dyDescent="0.35">
      <c r="A3238" t="s">
        <v>45</v>
      </c>
      <c r="B3238" t="s">
        <v>6567</v>
      </c>
      <c r="C3238" t="s">
        <v>60</v>
      </c>
      <c r="D3238" t="s">
        <v>61</v>
      </c>
      <c r="E3238" t="s">
        <v>61</v>
      </c>
      <c r="F3238" t="s">
        <v>49</v>
      </c>
      <c r="G3238" t="s">
        <v>6594</v>
      </c>
      <c r="H3238" t="s">
        <v>6595</v>
      </c>
      <c r="J3238" t="str">
        <f>HYPERLINK("https://www.facebook.com/634639855377280/posts/774483894726208?comment_id=1187522168885482&amp;reply_comment_id=347045924762279","https://www.facebook.com/634639855377280/posts/774483894726208?comment_id=1187522168885482&amp;reply_comment_id=347045924762279")</f>
        <v>https://www.facebook.com/634639855377280/posts/774483894726208?comment_id=1187522168885482&amp;reply_comment_id=347045924762279</v>
      </c>
      <c r="O3238">
        <v>0</v>
      </c>
      <c r="P3238">
        <v>0</v>
      </c>
      <c r="Q3238">
        <v>0</v>
      </c>
      <c r="S3238">
        <v>0</v>
      </c>
      <c r="T3238">
        <v>0</v>
      </c>
      <c r="U3238">
        <v>0</v>
      </c>
      <c r="W3238" t="s">
        <v>52</v>
      </c>
    </row>
    <row r="3239" spans="1:23" x14ac:dyDescent="0.35">
      <c r="A3239" t="s">
        <v>45</v>
      </c>
      <c r="B3239" t="s">
        <v>6567</v>
      </c>
      <c r="C3239" t="s">
        <v>60</v>
      </c>
      <c r="D3239" t="s">
        <v>61</v>
      </c>
      <c r="E3239" t="s">
        <v>61</v>
      </c>
      <c r="F3239" t="s">
        <v>193</v>
      </c>
      <c r="G3239" t="s">
        <v>6596</v>
      </c>
      <c r="H3239" t="s">
        <v>6597</v>
      </c>
      <c r="J3239" t="str">
        <f>HYPERLINK("https://www.facebook.com/634639855377280/posts/774412801399984?comment_id=366536942789512&amp;reply_comment_id=1454258561795997","https://www.facebook.com/634639855377280/posts/774412801399984?comment_id=366536942789512&amp;reply_comment_id=1454258561795997")</f>
        <v>https://www.facebook.com/634639855377280/posts/774412801399984?comment_id=366536942789512&amp;reply_comment_id=1454258561795997</v>
      </c>
      <c r="O3239">
        <v>0</v>
      </c>
      <c r="P3239">
        <v>0</v>
      </c>
      <c r="Q3239">
        <v>0</v>
      </c>
      <c r="S3239">
        <v>0</v>
      </c>
      <c r="T3239">
        <v>0</v>
      </c>
      <c r="U3239">
        <v>0</v>
      </c>
      <c r="W3239" t="s">
        <v>52</v>
      </c>
    </row>
    <row r="3240" spans="1:23" x14ac:dyDescent="0.35">
      <c r="A3240" t="s">
        <v>45</v>
      </c>
      <c r="B3240" t="s">
        <v>6567</v>
      </c>
      <c r="C3240" t="s">
        <v>60</v>
      </c>
      <c r="D3240" t="s">
        <v>64</v>
      </c>
      <c r="E3240" t="s">
        <v>64</v>
      </c>
      <c r="F3240" t="s">
        <v>49</v>
      </c>
      <c r="G3240" t="s">
        <v>83</v>
      </c>
      <c r="H3240" t="s">
        <v>6598</v>
      </c>
      <c r="J3240" t="str">
        <f>HYPERLINK("https://www.facebook.com/634639855377280/posts/774881771353087?comment_id=392794099925189&amp;reply_comment_id=7270297066355135","https://www.facebook.com/634639855377280/posts/774881771353087?comment_id=392794099925189&amp;reply_comment_id=7270297066355135")</f>
        <v>https://www.facebook.com/634639855377280/posts/774881771353087?comment_id=392794099925189&amp;reply_comment_id=7270297066355135</v>
      </c>
      <c r="K3240" t="s">
        <v>67</v>
      </c>
      <c r="O3240">
        <v>0</v>
      </c>
      <c r="P3240">
        <v>0</v>
      </c>
      <c r="Q3240">
        <v>0</v>
      </c>
      <c r="S3240">
        <v>0</v>
      </c>
      <c r="T3240">
        <v>0</v>
      </c>
      <c r="U3240">
        <v>0</v>
      </c>
      <c r="W3240" t="s">
        <v>52</v>
      </c>
    </row>
    <row r="3241" spans="1:23" x14ac:dyDescent="0.35">
      <c r="A3241" t="s">
        <v>45</v>
      </c>
      <c r="B3241" t="s">
        <v>6567</v>
      </c>
      <c r="C3241" t="s">
        <v>60</v>
      </c>
      <c r="D3241" t="s">
        <v>64</v>
      </c>
      <c r="E3241" t="s">
        <v>64</v>
      </c>
      <c r="F3241" t="s">
        <v>49</v>
      </c>
      <c r="G3241" t="s">
        <v>3357</v>
      </c>
      <c r="H3241" t="s">
        <v>6599</v>
      </c>
      <c r="J3241" t="str">
        <f>HYPERLINK("https://www.facebook.com/634639855377280/posts/774483894726208?comment_id=1779740915821190&amp;reply_comment_id=697905378833822","https://www.facebook.com/634639855377280/posts/774483894726208?comment_id=1779740915821190&amp;reply_comment_id=697905378833822")</f>
        <v>https://www.facebook.com/634639855377280/posts/774483894726208?comment_id=1779740915821190&amp;reply_comment_id=697905378833822</v>
      </c>
      <c r="K3241" t="s">
        <v>67</v>
      </c>
      <c r="O3241">
        <v>0</v>
      </c>
      <c r="P3241">
        <v>0</v>
      </c>
      <c r="Q3241">
        <v>0</v>
      </c>
      <c r="S3241">
        <v>0</v>
      </c>
      <c r="T3241">
        <v>0</v>
      </c>
      <c r="U3241">
        <v>0</v>
      </c>
      <c r="W3241" t="s">
        <v>52</v>
      </c>
    </row>
    <row r="3242" spans="1:23" x14ac:dyDescent="0.35">
      <c r="A3242" t="s">
        <v>45</v>
      </c>
      <c r="B3242" t="s">
        <v>6567</v>
      </c>
      <c r="C3242" t="s">
        <v>60</v>
      </c>
      <c r="D3242" t="s">
        <v>64</v>
      </c>
      <c r="E3242" t="s">
        <v>64</v>
      </c>
      <c r="F3242" t="s">
        <v>49</v>
      </c>
      <c r="G3242" t="s">
        <v>83</v>
      </c>
      <c r="H3242" t="s">
        <v>6600</v>
      </c>
      <c r="J3242" t="str">
        <f>HYPERLINK("https://www.facebook.com/634639855377280/posts/774881771353087?comment_id=1343323306387399&amp;reply_comment_id=1719207618555509","https://www.facebook.com/634639855377280/posts/774881771353087?comment_id=1343323306387399&amp;reply_comment_id=1719207618555509")</f>
        <v>https://www.facebook.com/634639855377280/posts/774881771353087?comment_id=1343323306387399&amp;reply_comment_id=1719207618555509</v>
      </c>
      <c r="K3242" t="s">
        <v>67</v>
      </c>
      <c r="O3242">
        <v>0</v>
      </c>
      <c r="P3242">
        <v>0</v>
      </c>
      <c r="Q3242">
        <v>0</v>
      </c>
      <c r="S3242">
        <v>0</v>
      </c>
      <c r="T3242">
        <v>0</v>
      </c>
      <c r="U3242">
        <v>0</v>
      </c>
      <c r="W3242" t="s">
        <v>52</v>
      </c>
    </row>
    <row r="3243" spans="1:23" x14ac:dyDescent="0.35">
      <c r="A3243" t="s">
        <v>45</v>
      </c>
      <c r="B3243" t="s">
        <v>6567</v>
      </c>
      <c r="C3243" t="s">
        <v>60</v>
      </c>
      <c r="D3243" t="s">
        <v>64</v>
      </c>
      <c r="E3243" t="s">
        <v>64</v>
      </c>
      <c r="F3243" t="s">
        <v>49</v>
      </c>
      <c r="G3243" t="s">
        <v>6601</v>
      </c>
      <c r="H3243" t="s">
        <v>6602</v>
      </c>
      <c r="J3243" t="str">
        <f>HYPERLINK("https://www.facebook.com/634639855377280/posts/776275584547039?comment_id=321549946884416&amp;reply_comment_id=351439131033172","https://www.facebook.com/634639855377280/posts/776275584547039?comment_id=321549946884416&amp;reply_comment_id=351439131033172")</f>
        <v>https://www.facebook.com/634639855377280/posts/776275584547039?comment_id=321549946884416&amp;reply_comment_id=351439131033172</v>
      </c>
      <c r="K3243" t="s">
        <v>67</v>
      </c>
      <c r="O3243">
        <v>0</v>
      </c>
      <c r="P3243">
        <v>0</v>
      </c>
      <c r="Q3243">
        <v>0</v>
      </c>
      <c r="S3243">
        <v>0</v>
      </c>
      <c r="T3243">
        <v>0</v>
      </c>
      <c r="U3243">
        <v>0</v>
      </c>
      <c r="W3243" t="s">
        <v>52</v>
      </c>
    </row>
    <row r="3244" spans="1:23" x14ac:dyDescent="0.35">
      <c r="A3244" t="s">
        <v>45</v>
      </c>
      <c r="B3244" t="s">
        <v>6567</v>
      </c>
      <c r="C3244" t="s">
        <v>60</v>
      </c>
      <c r="D3244" t="s">
        <v>64</v>
      </c>
      <c r="E3244" t="s">
        <v>64</v>
      </c>
      <c r="F3244" t="s">
        <v>49</v>
      </c>
      <c r="G3244" t="s">
        <v>100</v>
      </c>
      <c r="H3244" t="s">
        <v>6603</v>
      </c>
      <c r="J3244" t="str">
        <f>HYPERLINK("https://www.facebook.com/634639855377280/posts/774881771353087?comment_id=1356599798328357&amp;reply_comment_id=348520314701391","https://www.facebook.com/634639855377280/posts/774881771353087?comment_id=1356599798328357&amp;reply_comment_id=348520314701391")</f>
        <v>https://www.facebook.com/634639855377280/posts/774881771353087?comment_id=1356599798328357&amp;reply_comment_id=348520314701391</v>
      </c>
      <c r="K3244" t="s">
        <v>67</v>
      </c>
      <c r="O3244">
        <v>0</v>
      </c>
      <c r="P3244">
        <v>0</v>
      </c>
      <c r="Q3244">
        <v>0</v>
      </c>
      <c r="S3244">
        <v>0</v>
      </c>
      <c r="T3244">
        <v>0</v>
      </c>
      <c r="U3244">
        <v>0</v>
      </c>
      <c r="W3244" t="s">
        <v>52</v>
      </c>
    </row>
    <row r="3245" spans="1:23" x14ac:dyDescent="0.35">
      <c r="A3245" t="s">
        <v>45</v>
      </c>
      <c r="B3245" t="s">
        <v>6567</v>
      </c>
      <c r="C3245" t="s">
        <v>60</v>
      </c>
      <c r="D3245" t="s">
        <v>64</v>
      </c>
      <c r="E3245" t="s">
        <v>64</v>
      </c>
      <c r="F3245" t="s">
        <v>49</v>
      </c>
      <c r="G3245" t="s">
        <v>280</v>
      </c>
      <c r="H3245" t="s">
        <v>6604</v>
      </c>
      <c r="J3245" t="str">
        <f>HYPERLINK("https://www.facebook.com/634639855377280/posts/776275584547039?comment_id=298120216576065&amp;reply_comment_id=3357928377832412","https://www.facebook.com/634639855377280/posts/776275584547039?comment_id=298120216576065&amp;reply_comment_id=3357928377832412")</f>
        <v>https://www.facebook.com/634639855377280/posts/776275584547039?comment_id=298120216576065&amp;reply_comment_id=3357928377832412</v>
      </c>
      <c r="K3245" t="s">
        <v>67</v>
      </c>
      <c r="O3245">
        <v>0</v>
      </c>
      <c r="P3245">
        <v>0</v>
      </c>
      <c r="Q3245">
        <v>0</v>
      </c>
      <c r="S3245">
        <v>0</v>
      </c>
      <c r="T3245">
        <v>0</v>
      </c>
      <c r="U3245">
        <v>0</v>
      </c>
      <c r="W3245" t="s">
        <v>52</v>
      </c>
    </row>
    <row r="3246" spans="1:23" x14ac:dyDescent="0.35">
      <c r="A3246" t="s">
        <v>45</v>
      </c>
      <c r="B3246" t="s">
        <v>6567</v>
      </c>
      <c r="C3246" t="s">
        <v>60</v>
      </c>
      <c r="D3246" t="s">
        <v>64</v>
      </c>
      <c r="E3246" t="s">
        <v>64</v>
      </c>
      <c r="F3246" t="s">
        <v>49</v>
      </c>
      <c r="G3246" t="s">
        <v>266</v>
      </c>
      <c r="H3246" t="s">
        <v>6605</v>
      </c>
      <c r="J3246" t="str">
        <f>HYPERLINK("https://www.facebook.com/634639855377280/posts/774483894726208?comment_id=1187522168885482&amp;reply_comment_id=1067895971121089","https://www.facebook.com/634639855377280/posts/774483894726208?comment_id=1187522168885482&amp;reply_comment_id=1067895971121089")</f>
        <v>https://www.facebook.com/634639855377280/posts/774483894726208?comment_id=1187522168885482&amp;reply_comment_id=1067895971121089</v>
      </c>
      <c r="K3246" t="s">
        <v>67</v>
      </c>
      <c r="O3246">
        <v>0</v>
      </c>
      <c r="P3246">
        <v>0</v>
      </c>
      <c r="Q3246">
        <v>0</v>
      </c>
      <c r="S3246">
        <v>0</v>
      </c>
      <c r="T3246">
        <v>0</v>
      </c>
      <c r="U3246">
        <v>0</v>
      </c>
      <c r="W3246" t="s">
        <v>52</v>
      </c>
    </row>
    <row r="3247" spans="1:23" x14ac:dyDescent="0.35">
      <c r="A3247" t="s">
        <v>45</v>
      </c>
      <c r="B3247" t="s">
        <v>6567</v>
      </c>
      <c r="C3247" t="s">
        <v>60</v>
      </c>
      <c r="D3247" t="s">
        <v>61</v>
      </c>
      <c r="E3247" t="s">
        <v>61</v>
      </c>
      <c r="F3247" t="s">
        <v>54</v>
      </c>
      <c r="G3247" t="s">
        <v>6606</v>
      </c>
      <c r="H3247" t="s">
        <v>6607</v>
      </c>
      <c r="J3247" t="str">
        <f>HYPERLINK("https://www.facebook.com/634639855377280/posts/774483894726208?comment_id=1779740915821190","https://www.facebook.com/634639855377280/posts/774483894726208?comment_id=1779740915821190")</f>
        <v>https://www.facebook.com/634639855377280/posts/774483894726208?comment_id=1779740915821190</v>
      </c>
      <c r="O3247">
        <v>0</v>
      </c>
      <c r="P3247">
        <v>0</v>
      </c>
      <c r="Q3247">
        <v>0</v>
      </c>
      <c r="S3247">
        <v>0</v>
      </c>
      <c r="T3247">
        <v>0</v>
      </c>
      <c r="U3247">
        <v>0</v>
      </c>
      <c r="W3247" t="s">
        <v>52</v>
      </c>
    </row>
    <row r="3248" spans="1:23" x14ac:dyDescent="0.35">
      <c r="A3248" t="s">
        <v>45</v>
      </c>
      <c r="B3248" t="s">
        <v>6567</v>
      </c>
      <c r="C3248" t="s">
        <v>60</v>
      </c>
      <c r="D3248" t="s">
        <v>61</v>
      </c>
      <c r="E3248" t="s">
        <v>61</v>
      </c>
      <c r="F3248" t="s">
        <v>49</v>
      </c>
      <c r="G3248" t="s">
        <v>6608</v>
      </c>
      <c r="H3248" t="s">
        <v>6609</v>
      </c>
      <c r="J3248" t="str">
        <f>HYPERLINK("https://www.facebook.com/634639855377280/posts/774483894726208?comment_id=1161975711875358&amp;reply_comment_id=1079754183336206","https://www.facebook.com/634639855377280/posts/774483894726208?comment_id=1161975711875358&amp;reply_comment_id=1079754183336206")</f>
        <v>https://www.facebook.com/634639855377280/posts/774483894726208?comment_id=1161975711875358&amp;reply_comment_id=1079754183336206</v>
      </c>
      <c r="O3248">
        <v>0</v>
      </c>
      <c r="P3248">
        <v>0</v>
      </c>
      <c r="Q3248">
        <v>0</v>
      </c>
      <c r="S3248">
        <v>0</v>
      </c>
      <c r="T3248">
        <v>0</v>
      </c>
      <c r="U3248">
        <v>0</v>
      </c>
      <c r="W3248" t="s">
        <v>52</v>
      </c>
    </row>
    <row r="3249" spans="1:42" x14ac:dyDescent="0.35">
      <c r="A3249" t="s">
        <v>45</v>
      </c>
      <c r="B3249" t="s">
        <v>6567</v>
      </c>
      <c r="C3249" t="s">
        <v>60</v>
      </c>
      <c r="D3249" t="s">
        <v>64</v>
      </c>
      <c r="E3249" t="s">
        <v>64</v>
      </c>
      <c r="F3249" t="s">
        <v>49</v>
      </c>
      <c r="G3249" t="s">
        <v>100</v>
      </c>
      <c r="H3249" t="s">
        <v>6610</v>
      </c>
      <c r="J3249" t="str">
        <f>HYPERLINK("https://www.facebook.com/634639855377280/posts/774483894726208?comment_id=772463498243763&amp;reply_comment_id=1375399429782500","https://www.facebook.com/634639855377280/posts/774483894726208?comment_id=772463498243763&amp;reply_comment_id=1375399429782500")</f>
        <v>https://www.facebook.com/634639855377280/posts/774483894726208?comment_id=772463498243763&amp;reply_comment_id=1375399429782500</v>
      </c>
      <c r="K3249" t="s">
        <v>67</v>
      </c>
      <c r="O3249">
        <v>0</v>
      </c>
      <c r="P3249">
        <v>0</v>
      </c>
      <c r="Q3249">
        <v>0</v>
      </c>
      <c r="S3249">
        <v>0</v>
      </c>
      <c r="T3249">
        <v>0</v>
      </c>
      <c r="U3249">
        <v>0</v>
      </c>
      <c r="W3249" t="s">
        <v>52</v>
      </c>
    </row>
    <row r="3250" spans="1:42" x14ac:dyDescent="0.35">
      <c r="A3250" t="s">
        <v>45</v>
      </c>
      <c r="B3250" t="s">
        <v>6567</v>
      </c>
      <c r="C3250" t="s">
        <v>60</v>
      </c>
      <c r="D3250" t="s">
        <v>64</v>
      </c>
      <c r="E3250" t="s">
        <v>64</v>
      </c>
      <c r="F3250" t="s">
        <v>49</v>
      </c>
      <c r="G3250" t="s">
        <v>83</v>
      </c>
      <c r="H3250" t="s">
        <v>6611</v>
      </c>
      <c r="J3250" t="str">
        <f>HYPERLINK("https://www.facebook.com/634639855377280/posts/774881771353087?comment_id=400301056005200&amp;reply_comment_id=691660419702502","https://www.facebook.com/634639855377280/posts/774881771353087?comment_id=400301056005200&amp;reply_comment_id=691660419702502")</f>
        <v>https://www.facebook.com/634639855377280/posts/774881771353087?comment_id=400301056005200&amp;reply_comment_id=691660419702502</v>
      </c>
      <c r="K3250" t="s">
        <v>67</v>
      </c>
      <c r="O3250">
        <v>0</v>
      </c>
      <c r="P3250">
        <v>0</v>
      </c>
      <c r="Q3250">
        <v>0</v>
      </c>
      <c r="S3250">
        <v>0</v>
      </c>
      <c r="T3250">
        <v>0</v>
      </c>
      <c r="U3250">
        <v>0</v>
      </c>
      <c r="W3250" t="s">
        <v>52</v>
      </c>
    </row>
    <row r="3251" spans="1:42" x14ac:dyDescent="0.35">
      <c r="A3251" t="s">
        <v>45</v>
      </c>
      <c r="B3251" t="s">
        <v>6567</v>
      </c>
      <c r="C3251" t="s">
        <v>60</v>
      </c>
      <c r="D3251" t="s">
        <v>64</v>
      </c>
      <c r="E3251" t="s">
        <v>64</v>
      </c>
      <c r="F3251" t="s">
        <v>49</v>
      </c>
      <c r="G3251" t="s">
        <v>100</v>
      </c>
      <c r="H3251" t="s">
        <v>6612</v>
      </c>
      <c r="J3251" t="str">
        <f>HYPERLINK("https://www.facebook.com/634639855377280/posts/776275584547039?comment_id=680976984109887&amp;reply_comment_id=1532908890823665","https://www.facebook.com/634639855377280/posts/776275584547039?comment_id=680976984109887&amp;reply_comment_id=1532908890823665")</f>
        <v>https://www.facebook.com/634639855377280/posts/776275584547039?comment_id=680976984109887&amp;reply_comment_id=1532908890823665</v>
      </c>
      <c r="K3251" t="s">
        <v>67</v>
      </c>
      <c r="O3251">
        <v>0</v>
      </c>
      <c r="P3251">
        <v>0</v>
      </c>
      <c r="Q3251">
        <v>0</v>
      </c>
      <c r="S3251">
        <v>0</v>
      </c>
      <c r="T3251">
        <v>0</v>
      </c>
      <c r="U3251">
        <v>0</v>
      </c>
      <c r="W3251" t="s">
        <v>52</v>
      </c>
    </row>
    <row r="3252" spans="1:42" x14ac:dyDescent="0.35">
      <c r="A3252" t="s">
        <v>45</v>
      </c>
      <c r="B3252" t="s">
        <v>6567</v>
      </c>
      <c r="C3252" t="s">
        <v>93</v>
      </c>
      <c r="D3252" t="s">
        <v>94</v>
      </c>
      <c r="E3252" t="s">
        <v>45</v>
      </c>
      <c r="F3252" t="s">
        <v>49</v>
      </c>
      <c r="G3252" t="s">
        <v>6613</v>
      </c>
      <c r="H3252" t="s">
        <v>6614</v>
      </c>
      <c r="J3252" t="str">
        <f>HYPERLINK("https://twitter.com/SpiceMoneyIndia/status/1749051340901237007","https://twitter.com/SpiceMoneyIndia/status/1749051340901237007")</f>
        <v>https://twitter.com/SpiceMoneyIndia/status/1749051340901237007</v>
      </c>
      <c r="K3252" t="s">
        <v>67</v>
      </c>
      <c r="O3252">
        <v>0</v>
      </c>
      <c r="P3252">
        <v>0</v>
      </c>
      <c r="Q3252">
        <v>6003</v>
      </c>
      <c r="R3252" t="s">
        <v>97</v>
      </c>
      <c r="S3252">
        <v>0</v>
      </c>
      <c r="T3252">
        <v>0</v>
      </c>
      <c r="U3252">
        <v>0</v>
      </c>
      <c r="V3252" t="s">
        <v>98</v>
      </c>
      <c r="W3252" t="s">
        <v>99</v>
      </c>
    </row>
    <row r="3253" spans="1:42" x14ac:dyDescent="0.35">
      <c r="A3253" t="s">
        <v>45</v>
      </c>
      <c r="B3253" t="s">
        <v>6567</v>
      </c>
      <c r="C3253" t="s">
        <v>60</v>
      </c>
      <c r="D3253" t="s">
        <v>61</v>
      </c>
      <c r="E3253" t="s">
        <v>61</v>
      </c>
      <c r="F3253" t="s">
        <v>49</v>
      </c>
      <c r="G3253" t="s">
        <v>6615</v>
      </c>
      <c r="H3253" t="s">
        <v>6616</v>
      </c>
      <c r="J3253" t="str">
        <f>HYPERLINK("https://www.facebook.com/634639855377280/posts/774881771353087?comment_id=392794099925189","https://www.facebook.com/634639855377280/posts/774881771353087?comment_id=392794099925189")</f>
        <v>https://www.facebook.com/634639855377280/posts/774881771353087?comment_id=392794099925189</v>
      </c>
      <c r="O3253">
        <v>0</v>
      </c>
      <c r="P3253">
        <v>0</v>
      </c>
      <c r="Q3253">
        <v>0</v>
      </c>
      <c r="S3253">
        <v>0</v>
      </c>
      <c r="T3253">
        <v>0</v>
      </c>
      <c r="U3253">
        <v>0</v>
      </c>
      <c r="W3253" t="s">
        <v>52</v>
      </c>
    </row>
    <row r="3254" spans="1:42" x14ac:dyDescent="0.35">
      <c r="A3254" t="s">
        <v>45</v>
      </c>
      <c r="B3254" t="s">
        <v>6567</v>
      </c>
      <c r="C3254" t="s">
        <v>60</v>
      </c>
      <c r="D3254" t="s">
        <v>64</v>
      </c>
      <c r="E3254" t="s">
        <v>64</v>
      </c>
      <c r="F3254" t="s">
        <v>49</v>
      </c>
      <c r="G3254" t="s">
        <v>380</v>
      </c>
      <c r="H3254" t="s">
        <v>6617</v>
      </c>
      <c r="J3254" t="str">
        <f>HYPERLINK("https://www.facebook.com/634639855377280/posts/774483894726208?comment_id=1161975711875358&amp;reply_comment_id=927881348677547","https://www.facebook.com/634639855377280/posts/774483894726208?comment_id=1161975711875358&amp;reply_comment_id=927881348677547")</f>
        <v>https://www.facebook.com/634639855377280/posts/774483894726208?comment_id=1161975711875358&amp;reply_comment_id=927881348677547</v>
      </c>
      <c r="K3254" t="s">
        <v>67</v>
      </c>
      <c r="O3254">
        <v>0</v>
      </c>
      <c r="P3254">
        <v>0</v>
      </c>
      <c r="Q3254">
        <v>0</v>
      </c>
      <c r="S3254">
        <v>0</v>
      </c>
      <c r="T3254">
        <v>0</v>
      </c>
      <c r="U3254">
        <v>0</v>
      </c>
      <c r="W3254" t="s">
        <v>52</v>
      </c>
    </row>
    <row r="3255" spans="1:42" x14ac:dyDescent="0.35">
      <c r="A3255" t="s">
        <v>45</v>
      </c>
      <c r="B3255" t="s">
        <v>6567</v>
      </c>
      <c r="C3255" t="s">
        <v>93</v>
      </c>
      <c r="D3255" t="s">
        <v>94</v>
      </c>
      <c r="E3255" t="s">
        <v>45</v>
      </c>
      <c r="F3255" t="s">
        <v>49</v>
      </c>
      <c r="G3255" t="s">
        <v>6618</v>
      </c>
      <c r="H3255" t="s">
        <v>6619</v>
      </c>
      <c r="J3255" t="str">
        <f>HYPERLINK("https://twitter.com/SpiceMoneyIndia/status/1749050553835860285","https://twitter.com/SpiceMoneyIndia/status/1749050553835860285")</f>
        <v>https://twitter.com/SpiceMoneyIndia/status/1749050553835860285</v>
      </c>
      <c r="K3255" t="s">
        <v>67</v>
      </c>
      <c r="O3255">
        <v>0</v>
      </c>
      <c r="P3255">
        <v>0</v>
      </c>
      <c r="Q3255">
        <v>6003</v>
      </c>
      <c r="R3255" t="s">
        <v>97</v>
      </c>
      <c r="S3255">
        <v>0</v>
      </c>
      <c r="T3255">
        <v>0</v>
      </c>
      <c r="U3255">
        <v>0</v>
      </c>
      <c r="V3255" t="s">
        <v>98</v>
      </c>
      <c r="W3255" t="s">
        <v>99</v>
      </c>
    </row>
    <row r="3256" spans="1:42" x14ac:dyDescent="0.35">
      <c r="A3256" t="s">
        <v>45</v>
      </c>
      <c r="B3256" t="s">
        <v>6567</v>
      </c>
      <c r="C3256" t="s">
        <v>60</v>
      </c>
      <c r="D3256" t="s">
        <v>64</v>
      </c>
      <c r="E3256" t="s">
        <v>64</v>
      </c>
      <c r="F3256" t="s">
        <v>49</v>
      </c>
      <c r="G3256" t="s">
        <v>100</v>
      </c>
      <c r="H3256" t="s">
        <v>6620</v>
      </c>
      <c r="J3256" t="str">
        <f>HYPERLINK("https://www.facebook.com/634639855377280/posts/774412801399984?comment_id=1083199186440179&amp;reply_comment_id=1414300306138799","https://www.facebook.com/634639855377280/posts/774412801399984?comment_id=1083199186440179&amp;reply_comment_id=1414300306138799")</f>
        <v>https://www.facebook.com/634639855377280/posts/774412801399984?comment_id=1083199186440179&amp;reply_comment_id=1414300306138799</v>
      </c>
      <c r="K3256" t="s">
        <v>67</v>
      </c>
      <c r="O3256">
        <v>0</v>
      </c>
      <c r="P3256">
        <v>0</v>
      </c>
      <c r="Q3256">
        <v>0</v>
      </c>
      <c r="S3256">
        <v>0</v>
      </c>
      <c r="T3256">
        <v>0</v>
      </c>
      <c r="U3256">
        <v>0</v>
      </c>
      <c r="W3256" t="s">
        <v>52</v>
      </c>
    </row>
    <row r="3257" spans="1:42" x14ac:dyDescent="0.35">
      <c r="A3257" t="s">
        <v>45</v>
      </c>
      <c r="B3257" t="s">
        <v>6567</v>
      </c>
      <c r="C3257" t="s">
        <v>93</v>
      </c>
      <c r="D3257" t="s">
        <v>94</v>
      </c>
      <c r="E3257" t="s">
        <v>45</v>
      </c>
      <c r="F3257" t="s">
        <v>49</v>
      </c>
      <c r="G3257" t="s">
        <v>6621</v>
      </c>
      <c r="H3257" t="s">
        <v>6622</v>
      </c>
      <c r="J3257" t="str">
        <f>HYPERLINK("https://twitter.com/SpiceMoneyIndia/status/1749049792116695452","https://twitter.com/SpiceMoneyIndia/status/1749049792116695452")</f>
        <v>https://twitter.com/SpiceMoneyIndia/status/1749049792116695452</v>
      </c>
      <c r="K3257" t="s">
        <v>67</v>
      </c>
      <c r="O3257">
        <v>0</v>
      </c>
      <c r="P3257">
        <v>0</v>
      </c>
      <c r="Q3257">
        <v>6003</v>
      </c>
      <c r="R3257" t="s">
        <v>97</v>
      </c>
      <c r="S3257">
        <v>0</v>
      </c>
      <c r="T3257">
        <v>0</v>
      </c>
      <c r="U3257">
        <v>0</v>
      </c>
      <c r="V3257" t="s">
        <v>98</v>
      </c>
      <c r="W3257" t="s">
        <v>99</v>
      </c>
    </row>
    <row r="3258" spans="1:42" x14ac:dyDescent="0.35">
      <c r="A3258" t="s">
        <v>45</v>
      </c>
      <c r="B3258" t="s">
        <v>6567</v>
      </c>
      <c r="C3258" t="s">
        <v>93</v>
      </c>
      <c r="D3258" t="s">
        <v>6623</v>
      </c>
      <c r="E3258" t="s">
        <v>6624</v>
      </c>
      <c r="F3258" t="s">
        <v>49</v>
      </c>
      <c r="G3258" t="s">
        <v>6625</v>
      </c>
      <c r="H3258" t="s">
        <v>6626</v>
      </c>
      <c r="J3258" t="str">
        <f>HYPERLINK("https://twitter.com/ViksahY/status/1749049415497863633","https://twitter.com/ViksahY/status/1749049415497863633")</f>
        <v>https://twitter.com/ViksahY/status/1749049415497863633</v>
      </c>
      <c r="K3258" t="s">
        <v>67</v>
      </c>
      <c r="O3258">
        <v>0</v>
      </c>
      <c r="P3258">
        <v>0</v>
      </c>
      <c r="Q3258">
        <v>182</v>
      </c>
      <c r="R3258" t="s">
        <v>6627</v>
      </c>
      <c r="S3258">
        <v>0</v>
      </c>
      <c r="T3258">
        <v>0</v>
      </c>
      <c r="U3258">
        <v>0</v>
      </c>
      <c r="W3258" t="s">
        <v>99</v>
      </c>
    </row>
    <row r="3259" spans="1:42" x14ac:dyDescent="0.35">
      <c r="A3259" t="s">
        <v>45</v>
      </c>
      <c r="B3259" t="s">
        <v>6567</v>
      </c>
      <c r="C3259" t="s">
        <v>47</v>
      </c>
      <c r="D3259" t="s">
        <v>68</v>
      </c>
      <c r="E3259" t="s">
        <v>68</v>
      </c>
      <c r="F3259" t="s">
        <v>49</v>
      </c>
      <c r="G3259" t="s">
        <v>102</v>
      </c>
      <c r="H3259" t="s">
        <v>6628</v>
      </c>
      <c r="J3259" t="str">
        <f>HYPERLINK("https://www.youtube.com/watch?v=z58WzdIZIO8&amp;lc=UgxIaJ8SFRVfb3IRq8p4AaABAg.9zpKJuPVMA19zpiFKUYWf0","https://www.youtube.com/watch?v=z58WzdIZIO8&amp;lc=UgxIaJ8SFRVfb3IRq8p4AaABAg.9zpKJuPVMA19zpiFKUYWf0")</f>
        <v>https://www.youtube.com/watch?v=z58WzdIZIO8&amp;lc=UgxIaJ8SFRVfb3IRq8p4AaABAg.9zpKJuPVMA19zpiFKUYWf0</v>
      </c>
      <c r="O3259">
        <v>0</v>
      </c>
      <c r="P3259">
        <v>0</v>
      </c>
      <c r="Q3259">
        <v>0</v>
      </c>
      <c r="S3259">
        <v>0</v>
      </c>
      <c r="T3259">
        <v>0</v>
      </c>
      <c r="U3259">
        <v>0</v>
      </c>
      <c r="W3259" t="s">
        <v>52</v>
      </c>
    </row>
    <row r="3260" spans="1:42" x14ac:dyDescent="0.35">
      <c r="A3260" t="s">
        <v>45</v>
      </c>
      <c r="B3260" t="s">
        <v>6567</v>
      </c>
      <c r="C3260" t="s">
        <v>93</v>
      </c>
      <c r="D3260" t="s">
        <v>94</v>
      </c>
      <c r="E3260" t="s">
        <v>45</v>
      </c>
      <c r="F3260" t="s">
        <v>49</v>
      </c>
      <c r="G3260" t="s">
        <v>6629</v>
      </c>
      <c r="H3260" t="s">
        <v>6630</v>
      </c>
      <c r="J3260" t="str">
        <f>HYPERLINK("https://twitter.com/SpiceMoneyIndia/status/1749048211019370761","https://twitter.com/SpiceMoneyIndia/status/1749048211019370761")</f>
        <v>https://twitter.com/SpiceMoneyIndia/status/1749048211019370761</v>
      </c>
      <c r="K3260" t="s">
        <v>67</v>
      </c>
      <c r="O3260">
        <v>0</v>
      </c>
      <c r="P3260">
        <v>0</v>
      </c>
      <c r="Q3260">
        <v>6003</v>
      </c>
      <c r="R3260" t="s">
        <v>97</v>
      </c>
      <c r="S3260">
        <v>0</v>
      </c>
      <c r="T3260">
        <v>0</v>
      </c>
      <c r="U3260">
        <v>0</v>
      </c>
      <c r="V3260" t="s">
        <v>98</v>
      </c>
      <c r="W3260" t="s">
        <v>99</v>
      </c>
    </row>
    <row r="3261" spans="1:42" x14ac:dyDescent="0.35">
      <c r="A3261" t="s">
        <v>45</v>
      </c>
      <c r="B3261" t="s">
        <v>6567</v>
      </c>
      <c r="C3261" t="s">
        <v>93</v>
      </c>
      <c r="D3261" t="s">
        <v>94</v>
      </c>
      <c r="E3261" t="s">
        <v>45</v>
      </c>
      <c r="F3261" t="s">
        <v>49</v>
      </c>
      <c r="G3261" t="s">
        <v>6631</v>
      </c>
      <c r="H3261" t="s">
        <v>6632</v>
      </c>
      <c r="J3261" t="str">
        <f>HYPERLINK("https://twitter.com/SpiceMoneyIndia/status/1749046635097698680","https://twitter.com/SpiceMoneyIndia/status/1749046635097698680")</f>
        <v>https://twitter.com/SpiceMoneyIndia/status/1749046635097698680</v>
      </c>
      <c r="K3261" t="s">
        <v>67</v>
      </c>
      <c r="O3261">
        <v>0</v>
      </c>
      <c r="P3261">
        <v>0</v>
      </c>
      <c r="Q3261">
        <v>6003</v>
      </c>
      <c r="R3261" t="s">
        <v>97</v>
      </c>
      <c r="S3261">
        <v>0</v>
      </c>
      <c r="T3261">
        <v>0</v>
      </c>
      <c r="U3261">
        <v>0</v>
      </c>
      <c r="V3261" t="s">
        <v>98</v>
      </c>
      <c r="W3261" t="s">
        <v>99</v>
      </c>
    </row>
    <row r="3262" spans="1:42" x14ac:dyDescent="0.35">
      <c r="A3262" t="s">
        <v>45</v>
      </c>
      <c r="B3262" t="s">
        <v>6567</v>
      </c>
      <c r="C3262" t="s">
        <v>60</v>
      </c>
      <c r="D3262" t="s">
        <v>64</v>
      </c>
      <c r="E3262" t="s">
        <v>64</v>
      </c>
      <c r="F3262" t="s">
        <v>49</v>
      </c>
      <c r="G3262" t="s">
        <v>6633</v>
      </c>
      <c r="H3262" t="s">
        <v>6634</v>
      </c>
      <c r="J3262" t="str">
        <f>HYPERLINK("https://www.facebook.com/634639855377280/posts/774483894726208?comment_id=368275185949981&amp;reply_comment_id=3728941360658861","https://www.facebook.com/634639855377280/posts/774483894726208?comment_id=368275185949981&amp;reply_comment_id=3728941360658861")</f>
        <v>https://www.facebook.com/634639855377280/posts/774483894726208?comment_id=368275185949981&amp;reply_comment_id=3728941360658861</v>
      </c>
      <c r="K3262" t="s">
        <v>67</v>
      </c>
      <c r="O3262">
        <v>0</v>
      </c>
      <c r="P3262">
        <v>0</v>
      </c>
      <c r="Q3262">
        <v>0</v>
      </c>
      <c r="S3262">
        <v>0</v>
      </c>
      <c r="T3262">
        <v>0</v>
      </c>
      <c r="U3262">
        <v>0</v>
      </c>
      <c r="W3262" t="s">
        <v>52</v>
      </c>
    </row>
    <row r="3263" spans="1:42" x14ac:dyDescent="0.35">
      <c r="A3263" t="s">
        <v>45</v>
      </c>
      <c r="B3263" t="s">
        <v>6567</v>
      </c>
      <c r="C3263" t="s">
        <v>60</v>
      </c>
      <c r="D3263" t="s">
        <v>64</v>
      </c>
      <c r="E3263" t="s">
        <v>64</v>
      </c>
      <c r="F3263" t="s">
        <v>49</v>
      </c>
      <c r="G3263" t="s">
        <v>6635</v>
      </c>
      <c r="H3263" t="s">
        <v>6636</v>
      </c>
      <c r="J3263" t="str">
        <f>HYPERLINK("https://www.facebook.com/634639855377280/posts/774950251346239?comment_id=219651007895564&amp;reply_comment_id=738817624845348","https://www.facebook.com/634639855377280/posts/774950251346239?comment_id=219651007895564&amp;reply_comment_id=738817624845348")</f>
        <v>https://www.facebook.com/634639855377280/posts/774950251346239?comment_id=219651007895564&amp;reply_comment_id=738817624845348</v>
      </c>
      <c r="K3263" t="s">
        <v>67</v>
      </c>
      <c r="O3263">
        <v>0</v>
      </c>
      <c r="P3263">
        <v>0</v>
      </c>
      <c r="Q3263">
        <v>0</v>
      </c>
      <c r="S3263">
        <v>0</v>
      </c>
      <c r="T3263">
        <v>0</v>
      </c>
      <c r="U3263">
        <v>0</v>
      </c>
      <c r="W3263" t="s">
        <v>52</v>
      </c>
    </row>
    <row r="3264" spans="1:42" x14ac:dyDescent="0.35">
      <c r="A3264" t="s">
        <v>45</v>
      </c>
      <c r="B3264" t="s">
        <v>6567</v>
      </c>
      <c r="C3264" t="s">
        <v>47</v>
      </c>
      <c r="D3264" t="s">
        <v>6637</v>
      </c>
      <c r="E3264" t="s">
        <v>6637</v>
      </c>
      <c r="F3264" t="s">
        <v>49</v>
      </c>
      <c r="G3264" t="s">
        <v>6638</v>
      </c>
      <c r="H3264" t="s">
        <v>6639</v>
      </c>
      <c r="J3264" t="str">
        <f>HYPERLINK("https://www.youtube.com/watch?v=muKq7KB6KHg","https://www.youtube.com/watch?v=muKq7KB6KHg")</f>
        <v>https://www.youtube.com/watch?v=muKq7KB6KHg</v>
      </c>
      <c r="O3264">
        <v>0</v>
      </c>
      <c r="P3264">
        <v>0</v>
      </c>
      <c r="Q3264">
        <v>0</v>
      </c>
      <c r="S3264">
        <v>0</v>
      </c>
      <c r="T3264">
        <v>0</v>
      </c>
      <c r="U3264">
        <v>0</v>
      </c>
      <c r="W3264" t="s">
        <v>346</v>
      </c>
      <c r="AP3264" t="s">
        <v>6640</v>
      </c>
    </row>
    <row r="3265" spans="1:23" x14ac:dyDescent="0.35">
      <c r="A3265" t="s">
        <v>45</v>
      </c>
      <c r="B3265" t="s">
        <v>6567</v>
      </c>
      <c r="C3265" t="s">
        <v>60</v>
      </c>
      <c r="D3265" t="s">
        <v>61</v>
      </c>
      <c r="E3265" t="s">
        <v>61</v>
      </c>
      <c r="F3265" t="s">
        <v>49</v>
      </c>
      <c r="G3265" t="s">
        <v>6641</v>
      </c>
      <c r="H3265" t="s">
        <v>6642</v>
      </c>
      <c r="J3265" t="str">
        <f>HYPERLINK("https://www.facebook.com/634639855377280/posts/774412801399984?comment_id=1083199186440179&amp;reply_comment_id=956560335879645","https://www.facebook.com/634639855377280/posts/774412801399984?comment_id=1083199186440179&amp;reply_comment_id=956560335879645")</f>
        <v>https://www.facebook.com/634639855377280/posts/774412801399984?comment_id=1083199186440179&amp;reply_comment_id=956560335879645</v>
      </c>
      <c r="O3265">
        <v>0</v>
      </c>
      <c r="P3265">
        <v>0</v>
      </c>
      <c r="Q3265">
        <v>0</v>
      </c>
      <c r="S3265">
        <v>0</v>
      </c>
      <c r="T3265">
        <v>0</v>
      </c>
      <c r="U3265">
        <v>0</v>
      </c>
      <c r="W3265" t="s">
        <v>52</v>
      </c>
    </row>
    <row r="3266" spans="1:23" x14ac:dyDescent="0.35">
      <c r="A3266" t="s">
        <v>45</v>
      </c>
      <c r="B3266" t="s">
        <v>6567</v>
      </c>
      <c r="C3266" t="s">
        <v>60</v>
      </c>
      <c r="D3266" t="s">
        <v>64</v>
      </c>
      <c r="E3266" t="s">
        <v>64</v>
      </c>
      <c r="F3266" t="s">
        <v>49</v>
      </c>
      <c r="G3266" t="s">
        <v>4043</v>
      </c>
      <c r="H3266" t="s">
        <v>6643</v>
      </c>
      <c r="J3266" t="str">
        <f>HYPERLINK("https://www.facebook.com/634639855377280/posts/774881771353087?comment_id=1088160562614977&amp;reply_comment_id=899869631869888","https://www.facebook.com/634639855377280/posts/774881771353087?comment_id=1088160562614977&amp;reply_comment_id=899869631869888")</f>
        <v>https://www.facebook.com/634639855377280/posts/774881771353087?comment_id=1088160562614977&amp;reply_comment_id=899869631869888</v>
      </c>
      <c r="K3266" t="s">
        <v>67</v>
      </c>
      <c r="O3266">
        <v>0</v>
      </c>
      <c r="P3266">
        <v>0</v>
      </c>
      <c r="Q3266">
        <v>0</v>
      </c>
      <c r="S3266">
        <v>0</v>
      </c>
      <c r="T3266">
        <v>0</v>
      </c>
      <c r="U3266">
        <v>0</v>
      </c>
      <c r="W3266" t="s">
        <v>52</v>
      </c>
    </row>
    <row r="3267" spans="1:23" x14ac:dyDescent="0.35">
      <c r="A3267" t="s">
        <v>45</v>
      </c>
      <c r="B3267" t="s">
        <v>6567</v>
      </c>
      <c r="C3267" t="s">
        <v>93</v>
      </c>
      <c r="D3267" t="s">
        <v>5777</v>
      </c>
      <c r="E3267" t="s">
        <v>5778</v>
      </c>
      <c r="F3267" t="s">
        <v>49</v>
      </c>
      <c r="G3267" t="s">
        <v>6644</v>
      </c>
      <c r="H3267" t="s">
        <v>6645</v>
      </c>
      <c r="J3267" t="str">
        <f>HYPERLINK("https://twitter.com/JatinTripathiii/status/1749038597112811676","https://twitter.com/JatinTripathiii/status/1749038597112811676")</f>
        <v>https://twitter.com/JatinTripathiii/status/1749038597112811676</v>
      </c>
      <c r="K3267" t="s">
        <v>67</v>
      </c>
      <c r="O3267">
        <v>0</v>
      </c>
      <c r="P3267">
        <v>0</v>
      </c>
      <c r="Q3267">
        <v>8</v>
      </c>
      <c r="R3267" t="s">
        <v>5781</v>
      </c>
      <c r="S3267">
        <v>0</v>
      </c>
      <c r="T3267">
        <v>0</v>
      </c>
      <c r="U3267">
        <v>0</v>
      </c>
      <c r="W3267" t="s">
        <v>99</v>
      </c>
    </row>
    <row r="3268" spans="1:23" x14ac:dyDescent="0.35">
      <c r="A3268" t="s">
        <v>45</v>
      </c>
      <c r="B3268" t="s">
        <v>6567</v>
      </c>
      <c r="C3268" t="s">
        <v>60</v>
      </c>
      <c r="D3268" t="s">
        <v>61</v>
      </c>
      <c r="E3268" t="s">
        <v>61</v>
      </c>
      <c r="F3268" t="s">
        <v>54</v>
      </c>
      <c r="G3268" t="s">
        <v>6646</v>
      </c>
      <c r="H3268" t="s">
        <v>6647</v>
      </c>
      <c r="J3268" t="str">
        <f>HYPERLINK("https://www.facebook.com/634639855377280/posts/774483894726208?comment_id=1161975711875358","https://www.facebook.com/634639855377280/posts/774483894726208?comment_id=1161975711875358")</f>
        <v>https://www.facebook.com/634639855377280/posts/774483894726208?comment_id=1161975711875358</v>
      </c>
      <c r="O3268">
        <v>0</v>
      </c>
      <c r="P3268">
        <v>0</v>
      </c>
      <c r="Q3268">
        <v>0</v>
      </c>
      <c r="S3268">
        <v>0</v>
      </c>
      <c r="T3268">
        <v>0</v>
      </c>
      <c r="U3268">
        <v>0</v>
      </c>
      <c r="W3268" t="s">
        <v>52</v>
      </c>
    </row>
    <row r="3269" spans="1:23" x14ac:dyDescent="0.35">
      <c r="A3269" t="s">
        <v>45</v>
      </c>
      <c r="B3269" t="s">
        <v>6567</v>
      </c>
      <c r="C3269" t="s">
        <v>60</v>
      </c>
      <c r="D3269" t="s">
        <v>64</v>
      </c>
      <c r="E3269" t="s">
        <v>64</v>
      </c>
      <c r="F3269" t="s">
        <v>49</v>
      </c>
      <c r="G3269" t="s">
        <v>6648</v>
      </c>
      <c r="H3269" t="s">
        <v>6649</v>
      </c>
      <c r="J3269" t="str">
        <f>HYPERLINK("https://www.facebook.com/634639855377280/posts/774483894726208?comment_id=364252649656581&amp;reply_comment_id=363263882999716","https://www.facebook.com/634639855377280/posts/774483894726208?comment_id=364252649656581&amp;reply_comment_id=363263882999716")</f>
        <v>https://www.facebook.com/634639855377280/posts/774483894726208?comment_id=364252649656581&amp;reply_comment_id=363263882999716</v>
      </c>
      <c r="K3269" t="s">
        <v>67</v>
      </c>
      <c r="O3269">
        <v>0</v>
      </c>
      <c r="P3269">
        <v>0</v>
      </c>
      <c r="Q3269">
        <v>0</v>
      </c>
      <c r="S3269">
        <v>0</v>
      </c>
      <c r="T3269">
        <v>0</v>
      </c>
      <c r="U3269">
        <v>0</v>
      </c>
      <c r="W3269" t="s">
        <v>52</v>
      </c>
    </row>
    <row r="3270" spans="1:23" x14ac:dyDescent="0.35">
      <c r="A3270" t="s">
        <v>45</v>
      </c>
      <c r="B3270" t="s">
        <v>6567</v>
      </c>
      <c r="C3270" t="s">
        <v>93</v>
      </c>
      <c r="D3270" t="s">
        <v>94</v>
      </c>
      <c r="E3270" t="s">
        <v>45</v>
      </c>
      <c r="F3270" t="s">
        <v>49</v>
      </c>
      <c r="G3270" t="s">
        <v>6650</v>
      </c>
      <c r="H3270" t="s">
        <v>6651</v>
      </c>
      <c r="J3270" t="str">
        <f>HYPERLINK("https://twitter.com/SpiceMoneyIndia/status/1749035315564527879","https://twitter.com/SpiceMoneyIndia/status/1749035315564527879")</f>
        <v>https://twitter.com/SpiceMoneyIndia/status/1749035315564527879</v>
      </c>
      <c r="K3270" t="s">
        <v>67</v>
      </c>
      <c r="O3270">
        <v>0</v>
      </c>
      <c r="P3270">
        <v>0</v>
      </c>
      <c r="Q3270">
        <v>6003</v>
      </c>
      <c r="R3270" t="s">
        <v>97</v>
      </c>
      <c r="S3270">
        <v>0</v>
      </c>
      <c r="T3270">
        <v>0</v>
      </c>
      <c r="U3270">
        <v>0</v>
      </c>
      <c r="V3270" t="s">
        <v>98</v>
      </c>
      <c r="W3270" t="s">
        <v>99</v>
      </c>
    </row>
    <row r="3271" spans="1:23" x14ac:dyDescent="0.35">
      <c r="A3271" t="s">
        <v>45</v>
      </c>
      <c r="B3271" t="s">
        <v>6567</v>
      </c>
      <c r="C3271" t="s">
        <v>60</v>
      </c>
      <c r="D3271" t="s">
        <v>61</v>
      </c>
      <c r="E3271" t="s">
        <v>61</v>
      </c>
      <c r="F3271" t="s">
        <v>49</v>
      </c>
      <c r="G3271" t="s">
        <v>6652</v>
      </c>
      <c r="H3271" t="s">
        <v>6653</v>
      </c>
      <c r="J3271" t="str">
        <f>HYPERLINK("https://www.facebook.com/634639855377280/posts/774881771353087?comment_id=1356599798328357&amp;reply_comment_id=1142663407110421","https://www.facebook.com/634639855377280/posts/774881771353087?comment_id=1356599798328357&amp;reply_comment_id=1142663407110421")</f>
        <v>https://www.facebook.com/634639855377280/posts/774881771353087?comment_id=1356599798328357&amp;reply_comment_id=1142663407110421</v>
      </c>
      <c r="O3271">
        <v>0</v>
      </c>
      <c r="P3271">
        <v>0</v>
      </c>
      <c r="Q3271">
        <v>0</v>
      </c>
      <c r="S3271">
        <v>0</v>
      </c>
      <c r="T3271">
        <v>0</v>
      </c>
      <c r="U3271">
        <v>0</v>
      </c>
      <c r="W3271" t="s">
        <v>52</v>
      </c>
    </row>
    <row r="3272" spans="1:23" x14ac:dyDescent="0.35">
      <c r="A3272" t="s">
        <v>45</v>
      </c>
      <c r="B3272" t="s">
        <v>6567</v>
      </c>
      <c r="C3272" t="s">
        <v>60</v>
      </c>
      <c r="D3272" t="s">
        <v>61</v>
      </c>
      <c r="E3272" t="s">
        <v>61</v>
      </c>
      <c r="F3272" t="s">
        <v>49</v>
      </c>
      <c r="G3272" t="s">
        <v>6654</v>
      </c>
      <c r="H3272" t="s">
        <v>6655</v>
      </c>
      <c r="J3272" t="str">
        <f>HYPERLINK("https://www.facebook.com/634639855377280/posts/776275584547039?comment_id=680976984109887","https://www.facebook.com/634639855377280/posts/776275584547039?comment_id=680976984109887")</f>
        <v>https://www.facebook.com/634639855377280/posts/776275584547039?comment_id=680976984109887</v>
      </c>
      <c r="O3272">
        <v>0</v>
      </c>
      <c r="P3272">
        <v>0</v>
      </c>
      <c r="Q3272">
        <v>0</v>
      </c>
      <c r="S3272">
        <v>0</v>
      </c>
      <c r="T3272">
        <v>0</v>
      </c>
      <c r="U3272">
        <v>0</v>
      </c>
      <c r="W3272" t="s">
        <v>52</v>
      </c>
    </row>
    <row r="3273" spans="1:23" x14ac:dyDescent="0.35">
      <c r="A3273" t="s">
        <v>45</v>
      </c>
      <c r="B3273" t="s">
        <v>6567</v>
      </c>
      <c r="C3273" t="s">
        <v>60</v>
      </c>
      <c r="D3273" t="s">
        <v>61</v>
      </c>
      <c r="E3273" t="s">
        <v>61</v>
      </c>
      <c r="F3273" t="s">
        <v>49</v>
      </c>
      <c r="G3273" t="s">
        <v>6656</v>
      </c>
      <c r="H3273" t="s">
        <v>6657</v>
      </c>
      <c r="J3273" t="str">
        <f>HYPERLINK("https://www.facebook.com/634639855377280/posts/774483894726208?comment_id=1458914078026036","https://www.facebook.com/634639855377280/posts/774483894726208?comment_id=1458914078026036")</f>
        <v>https://www.facebook.com/634639855377280/posts/774483894726208?comment_id=1458914078026036</v>
      </c>
      <c r="O3273">
        <v>0</v>
      </c>
      <c r="P3273">
        <v>0</v>
      </c>
      <c r="Q3273">
        <v>0</v>
      </c>
      <c r="S3273">
        <v>0</v>
      </c>
      <c r="T3273">
        <v>0</v>
      </c>
      <c r="U3273">
        <v>0</v>
      </c>
      <c r="W3273" t="s">
        <v>52</v>
      </c>
    </row>
    <row r="3274" spans="1:23" x14ac:dyDescent="0.35">
      <c r="A3274" t="s">
        <v>45</v>
      </c>
      <c r="B3274" t="s">
        <v>6567</v>
      </c>
      <c r="C3274" t="s">
        <v>60</v>
      </c>
      <c r="D3274" t="s">
        <v>61</v>
      </c>
      <c r="E3274" t="s">
        <v>61</v>
      </c>
      <c r="F3274" t="s">
        <v>49</v>
      </c>
      <c r="G3274" t="s">
        <v>6658</v>
      </c>
      <c r="H3274" t="s">
        <v>6659</v>
      </c>
      <c r="J3274" t="str">
        <f>HYPERLINK("https://www.facebook.com/634639855377280/posts/774881771353087?comment_id=400301056005200","https://www.facebook.com/634639855377280/posts/774881771353087?comment_id=400301056005200")</f>
        <v>https://www.facebook.com/634639855377280/posts/774881771353087?comment_id=400301056005200</v>
      </c>
      <c r="O3274">
        <v>0</v>
      </c>
      <c r="P3274">
        <v>0</v>
      </c>
      <c r="Q3274">
        <v>0</v>
      </c>
      <c r="S3274">
        <v>0</v>
      </c>
      <c r="T3274">
        <v>0</v>
      </c>
      <c r="U3274">
        <v>0</v>
      </c>
      <c r="W3274" t="s">
        <v>52</v>
      </c>
    </row>
    <row r="3275" spans="1:23" x14ac:dyDescent="0.35">
      <c r="A3275" t="s">
        <v>45</v>
      </c>
      <c r="B3275" t="s">
        <v>6567</v>
      </c>
      <c r="C3275" t="s">
        <v>60</v>
      </c>
      <c r="D3275" t="s">
        <v>64</v>
      </c>
      <c r="E3275" t="s">
        <v>64</v>
      </c>
      <c r="F3275" t="s">
        <v>49</v>
      </c>
      <c r="G3275" t="s">
        <v>125</v>
      </c>
      <c r="H3275" t="s">
        <v>6660</v>
      </c>
      <c r="J3275" t="str">
        <f>HYPERLINK("https://www.facebook.com/634639855377280/posts/774881771353087?comment_id=1356599798328357&amp;reply_comment_id=410387428646854","https://www.facebook.com/634639855377280/posts/774881771353087?comment_id=1356599798328357&amp;reply_comment_id=410387428646854")</f>
        <v>https://www.facebook.com/634639855377280/posts/774881771353087?comment_id=1356599798328357&amp;reply_comment_id=410387428646854</v>
      </c>
      <c r="K3275" t="s">
        <v>67</v>
      </c>
      <c r="O3275">
        <v>0</v>
      </c>
      <c r="P3275">
        <v>0</v>
      </c>
      <c r="Q3275">
        <v>0</v>
      </c>
      <c r="S3275">
        <v>0</v>
      </c>
      <c r="T3275">
        <v>0</v>
      </c>
      <c r="U3275">
        <v>0</v>
      </c>
      <c r="W3275" t="s">
        <v>52</v>
      </c>
    </row>
    <row r="3276" spans="1:23" x14ac:dyDescent="0.35">
      <c r="A3276" t="s">
        <v>45</v>
      </c>
      <c r="B3276" t="s">
        <v>6567</v>
      </c>
      <c r="C3276" t="s">
        <v>60</v>
      </c>
      <c r="D3276" t="s">
        <v>64</v>
      </c>
      <c r="E3276" t="s">
        <v>64</v>
      </c>
      <c r="F3276" t="s">
        <v>49</v>
      </c>
      <c r="G3276" t="s">
        <v>4043</v>
      </c>
      <c r="H3276" t="s">
        <v>6661</v>
      </c>
      <c r="J3276" t="str">
        <f>HYPERLINK("https://www.facebook.com/634639855377280/posts/774483894726208?comment_id=1381887022533797&amp;reply_comment_id=263427319951788","https://www.facebook.com/634639855377280/posts/774483894726208?comment_id=1381887022533797&amp;reply_comment_id=263427319951788")</f>
        <v>https://www.facebook.com/634639855377280/posts/774483894726208?comment_id=1381887022533797&amp;reply_comment_id=263427319951788</v>
      </c>
      <c r="K3276" t="s">
        <v>67</v>
      </c>
      <c r="O3276">
        <v>0</v>
      </c>
      <c r="P3276">
        <v>0</v>
      </c>
      <c r="Q3276">
        <v>0</v>
      </c>
      <c r="S3276">
        <v>0</v>
      </c>
      <c r="T3276">
        <v>0</v>
      </c>
      <c r="U3276">
        <v>0</v>
      </c>
      <c r="W3276" t="s">
        <v>52</v>
      </c>
    </row>
    <row r="3277" spans="1:23" x14ac:dyDescent="0.35">
      <c r="A3277" t="s">
        <v>45</v>
      </c>
      <c r="B3277" t="s">
        <v>6567</v>
      </c>
      <c r="C3277" t="s">
        <v>60</v>
      </c>
      <c r="D3277" t="s">
        <v>61</v>
      </c>
      <c r="E3277" t="s">
        <v>61</v>
      </c>
      <c r="F3277" t="s">
        <v>193</v>
      </c>
      <c r="G3277" t="s">
        <v>6662</v>
      </c>
      <c r="H3277" t="s">
        <v>6663</v>
      </c>
      <c r="J3277" t="str">
        <f>HYPERLINK("https://www.facebook.com/634639855377280/posts/774483894726208?comment_id=772463498243763&amp;reply_comment_id=767061395236002","https://www.facebook.com/634639855377280/posts/774483894726208?comment_id=772463498243763&amp;reply_comment_id=767061395236002")</f>
        <v>https://www.facebook.com/634639855377280/posts/774483894726208?comment_id=772463498243763&amp;reply_comment_id=767061395236002</v>
      </c>
      <c r="O3277">
        <v>0</v>
      </c>
      <c r="P3277">
        <v>0</v>
      </c>
      <c r="Q3277">
        <v>0</v>
      </c>
      <c r="S3277">
        <v>0</v>
      </c>
      <c r="T3277">
        <v>0</v>
      </c>
      <c r="U3277">
        <v>0</v>
      </c>
      <c r="W3277" t="s">
        <v>52</v>
      </c>
    </row>
    <row r="3278" spans="1:23" x14ac:dyDescent="0.35">
      <c r="A3278" t="s">
        <v>45</v>
      </c>
      <c r="B3278" t="s">
        <v>6567</v>
      </c>
      <c r="C3278" t="s">
        <v>60</v>
      </c>
      <c r="D3278" t="s">
        <v>64</v>
      </c>
      <c r="E3278" t="s">
        <v>64</v>
      </c>
      <c r="F3278" t="s">
        <v>49</v>
      </c>
      <c r="G3278" t="s">
        <v>6664</v>
      </c>
      <c r="H3278" t="s">
        <v>6665</v>
      </c>
      <c r="J3278" t="str">
        <f>HYPERLINK("https://www.facebook.com/634639855377280/posts/774483894726208?comment_id=1091835072007916&amp;reply_comment_id=1290409941634372","https://www.facebook.com/634639855377280/posts/774483894726208?comment_id=1091835072007916&amp;reply_comment_id=1290409941634372")</f>
        <v>https://www.facebook.com/634639855377280/posts/774483894726208?comment_id=1091835072007916&amp;reply_comment_id=1290409941634372</v>
      </c>
      <c r="K3278" t="s">
        <v>67</v>
      </c>
      <c r="O3278">
        <v>0</v>
      </c>
      <c r="P3278">
        <v>0</v>
      </c>
      <c r="Q3278">
        <v>0</v>
      </c>
      <c r="S3278">
        <v>0</v>
      </c>
      <c r="T3278">
        <v>0</v>
      </c>
      <c r="U3278">
        <v>0</v>
      </c>
      <c r="W3278" t="s">
        <v>52</v>
      </c>
    </row>
    <row r="3279" spans="1:23" x14ac:dyDescent="0.35">
      <c r="A3279" t="s">
        <v>45</v>
      </c>
      <c r="B3279" t="s">
        <v>6567</v>
      </c>
      <c r="C3279" t="s">
        <v>60</v>
      </c>
      <c r="D3279" t="s">
        <v>61</v>
      </c>
      <c r="E3279" t="s">
        <v>61</v>
      </c>
      <c r="F3279" t="s">
        <v>49</v>
      </c>
      <c r="G3279" t="s">
        <v>6666</v>
      </c>
      <c r="H3279" t="s">
        <v>6667</v>
      </c>
      <c r="J3279" t="str">
        <f>HYPERLINK("https://www.facebook.com/634639855377280/posts/773764291464835?comment_id=406117425171192&amp;reply_comment_id=882009070383719","https://www.facebook.com/634639855377280/posts/773764291464835?comment_id=406117425171192&amp;reply_comment_id=882009070383719")</f>
        <v>https://www.facebook.com/634639855377280/posts/773764291464835?comment_id=406117425171192&amp;reply_comment_id=882009070383719</v>
      </c>
      <c r="O3279">
        <v>0</v>
      </c>
      <c r="P3279">
        <v>0</v>
      </c>
      <c r="Q3279">
        <v>0</v>
      </c>
      <c r="S3279">
        <v>0</v>
      </c>
      <c r="T3279">
        <v>0</v>
      </c>
      <c r="U3279">
        <v>0</v>
      </c>
      <c r="W3279" t="s">
        <v>52</v>
      </c>
    </row>
    <row r="3280" spans="1:23" x14ac:dyDescent="0.35">
      <c r="A3280" t="s">
        <v>45</v>
      </c>
      <c r="B3280" t="s">
        <v>6567</v>
      </c>
      <c r="C3280" t="s">
        <v>60</v>
      </c>
      <c r="D3280" t="s">
        <v>61</v>
      </c>
      <c r="E3280" t="s">
        <v>61</v>
      </c>
      <c r="F3280" t="s">
        <v>49</v>
      </c>
      <c r="G3280" t="s">
        <v>6668</v>
      </c>
      <c r="H3280" t="s">
        <v>6669</v>
      </c>
      <c r="J3280" t="str">
        <f>HYPERLINK("https://www.facebook.com/634639855377280/posts/773764291464835?comment_id=406117425171192&amp;reply_comment_id=907967491051292","https://www.facebook.com/634639855377280/posts/773764291464835?comment_id=406117425171192&amp;reply_comment_id=907967491051292")</f>
        <v>https://www.facebook.com/634639855377280/posts/773764291464835?comment_id=406117425171192&amp;reply_comment_id=907967491051292</v>
      </c>
      <c r="O3280">
        <v>0</v>
      </c>
      <c r="P3280">
        <v>0</v>
      </c>
      <c r="Q3280">
        <v>0</v>
      </c>
      <c r="S3280">
        <v>0</v>
      </c>
      <c r="T3280">
        <v>0</v>
      </c>
      <c r="U3280">
        <v>0</v>
      </c>
      <c r="W3280" t="s">
        <v>52</v>
      </c>
    </row>
    <row r="3281" spans="1:23" x14ac:dyDescent="0.35">
      <c r="A3281" t="s">
        <v>45</v>
      </c>
      <c r="B3281" t="s">
        <v>6567</v>
      </c>
      <c r="C3281" t="s">
        <v>60</v>
      </c>
      <c r="D3281" t="s">
        <v>64</v>
      </c>
      <c r="E3281" t="s">
        <v>64</v>
      </c>
      <c r="F3281" t="s">
        <v>49</v>
      </c>
      <c r="G3281" t="s">
        <v>6670</v>
      </c>
      <c r="H3281" t="s">
        <v>6671</v>
      </c>
      <c r="J3281" t="str">
        <f>HYPERLINK("https://www.facebook.com/634639855377280/posts/773764291464835?comment_id=406117425171192&amp;reply_comment_id=908186697406995","https://www.facebook.com/634639855377280/posts/773764291464835?comment_id=406117425171192&amp;reply_comment_id=908186697406995")</f>
        <v>https://www.facebook.com/634639855377280/posts/773764291464835?comment_id=406117425171192&amp;reply_comment_id=908186697406995</v>
      </c>
      <c r="K3281" t="s">
        <v>67</v>
      </c>
      <c r="O3281">
        <v>0</v>
      </c>
      <c r="P3281">
        <v>0</v>
      </c>
      <c r="Q3281">
        <v>0</v>
      </c>
      <c r="S3281">
        <v>0</v>
      </c>
      <c r="T3281">
        <v>0</v>
      </c>
      <c r="U3281">
        <v>0</v>
      </c>
      <c r="W3281" t="s">
        <v>52</v>
      </c>
    </row>
    <row r="3282" spans="1:23" x14ac:dyDescent="0.35">
      <c r="A3282" t="s">
        <v>45</v>
      </c>
      <c r="B3282" t="s">
        <v>6567</v>
      </c>
      <c r="C3282" t="s">
        <v>60</v>
      </c>
      <c r="D3282" t="s">
        <v>64</v>
      </c>
      <c r="E3282" t="s">
        <v>64</v>
      </c>
      <c r="F3282" t="s">
        <v>49</v>
      </c>
      <c r="G3282" t="s">
        <v>6672</v>
      </c>
      <c r="H3282" t="s">
        <v>6673</v>
      </c>
      <c r="J3282" t="str">
        <f>HYPERLINK("https://www.facebook.com/634639855377280/posts/774412801399984?comment_id=366536942789512&amp;reply_comment_id=2096181817392420","https://www.facebook.com/634639855377280/posts/774412801399984?comment_id=366536942789512&amp;reply_comment_id=2096181817392420")</f>
        <v>https://www.facebook.com/634639855377280/posts/774412801399984?comment_id=366536942789512&amp;reply_comment_id=2096181817392420</v>
      </c>
      <c r="K3282" t="s">
        <v>67</v>
      </c>
      <c r="O3282">
        <v>0</v>
      </c>
      <c r="P3282">
        <v>0</v>
      </c>
      <c r="Q3282">
        <v>0</v>
      </c>
      <c r="S3282">
        <v>0</v>
      </c>
      <c r="T3282">
        <v>0</v>
      </c>
      <c r="U3282">
        <v>0</v>
      </c>
      <c r="W3282" t="s">
        <v>52</v>
      </c>
    </row>
    <row r="3283" spans="1:23" x14ac:dyDescent="0.35">
      <c r="A3283" t="s">
        <v>45</v>
      </c>
      <c r="B3283" t="s">
        <v>6567</v>
      </c>
      <c r="C3283" t="s">
        <v>60</v>
      </c>
      <c r="D3283" t="s">
        <v>61</v>
      </c>
      <c r="E3283" t="s">
        <v>61</v>
      </c>
      <c r="F3283" t="s">
        <v>49</v>
      </c>
      <c r="G3283" t="s">
        <v>6674</v>
      </c>
      <c r="H3283" t="s">
        <v>6675</v>
      </c>
      <c r="J3283" t="str">
        <f>HYPERLINK("https://www.facebook.com/634639855377280/posts/774483894726208?comment_id=1187522168885482","https://www.facebook.com/634639855377280/posts/774483894726208?comment_id=1187522168885482")</f>
        <v>https://www.facebook.com/634639855377280/posts/774483894726208?comment_id=1187522168885482</v>
      </c>
      <c r="O3283">
        <v>0</v>
      </c>
      <c r="P3283">
        <v>0</v>
      </c>
      <c r="Q3283">
        <v>0</v>
      </c>
      <c r="S3283">
        <v>0</v>
      </c>
      <c r="T3283">
        <v>0</v>
      </c>
      <c r="U3283">
        <v>0</v>
      </c>
      <c r="W3283" t="s">
        <v>52</v>
      </c>
    </row>
    <row r="3284" spans="1:23" x14ac:dyDescent="0.35">
      <c r="A3284" t="s">
        <v>45</v>
      </c>
      <c r="B3284" t="s">
        <v>6567</v>
      </c>
      <c r="C3284" t="s">
        <v>60</v>
      </c>
      <c r="D3284" t="s">
        <v>64</v>
      </c>
      <c r="E3284" t="s">
        <v>64</v>
      </c>
      <c r="F3284" t="s">
        <v>49</v>
      </c>
      <c r="G3284" t="s">
        <v>6676</v>
      </c>
      <c r="H3284" t="s">
        <v>6677</v>
      </c>
      <c r="J3284" t="str">
        <f>HYPERLINK("https://www.facebook.com/634639855377280/posts/775671547940776?comment_id=414788607644544&amp;reply_comment_id=366329512803870","https://www.facebook.com/634639855377280/posts/775671547940776?comment_id=414788607644544&amp;reply_comment_id=366329512803870")</f>
        <v>https://www.facebook.com/634639855377280/posts/775671547940776?comment_id=414788607644544&amp;reply_comment_id=366329512803870</v>
      </c>
      <c r="K3284" t="s">
        <v>67</v>
      </c>
      <c r="O3284">
        <v>0</v>
      </c>
      <c r="P3284">
        <v>0</v>
      </c>
      <c r="Q3284">
        <v>0</v>
      </c>
      <c r="S3284">
        <v>0</v>
      </c>
      <c r="T3284">
        <v>0</v>
      </c>
      <c r="U3284">
        <v>0</v>
      </c>
      <c r="W3284" t="s">
        <v>52</v>
      </c>
    </row>
    <row r="3285" spans="1:23" x14ac:dyDescent="0.35">
      <c r="A3285" t="s">
        <v>45</v>
      </c>
      <c r="B3285" t="s">
        <v>6567</v>
      </c>
      <c r="C3285" t="s">
        <v>60</v>
      </c>
      <c r="D3285" t="s">
        <v>64</v>
      </c>
      <c r="E3285" t="s">
        <v>64</v>
      </c>
      <c r="F3285" t="s">
        <v>49</v>
      </c>
      <c r="G3285" t="s">
        <v>4043</v>
      </c>
      <c r="H3285" t="s">
        <v>6678</v>
      </c>
      <c r="J3285" t="str">
        <f>HYPERLINK("https://www.facebook.com/634639855377280/posts/774483894726208?comment_id=772463498243763&amp;reply_comment_id=1015225343320423","https://www.facebook.com/634639855377280/posts/774483894726208?comment_id=772463498243763&amp;reply_comment_id=1015225343320423")</f>
        <v>https://www.facebook.com/634639855377280/posts/774483894726208?comment_id=772463498243763&amp;reply_comment_id=1015225343320423</v>
      </c>
      <c r="K3285" t="s">
        <v>67</v>
      </c>
      <c r="O3285">
        <v>0</v>
      </c>
      <c r="P3285">
        <v>0</v>
      </c>
      <c r="Q3285">
        <v>0</v>
      </c>
      <c r="S3285">
        <v>0</v>
      </c>
      <c r="T3285">
        <v>0</v>
      </c>
      <c r="U3285">
        <v>0</v>
      </c>
      <c r="W3285" t="s">
        <v>52</v>
      </c>
    </row>
    <row r="3286" spans="1:23" x14ac:dyDescent="0.35">
      <c r="A3286" t="s">
        <v>45</v>
      </c>
      <c r="B3286" t="s">
        <v>6567</v>
      </c>
      <c r="C3286" t="s">
        <v>60</v>
      </c>
      <c r="D3286" t="s">
        <v>64</v>
      </c>
      <c r="E3286" t="s">
        <v>64</v>
      </c>
      <c r="F3286" t="s">
        <v>49</v>
      </c>
      <c r="G3286" t="s">
        <v>4043</v>
      </c>
      <c r="H3286" t="s">
        <v>6679</v>
      </c>
      <c r="J3286" t="str">
        <f>HYPERLINK("https://www.facebook.com/634639855377280/posts/774412801399984?comment_id=1083199186440179&amp;reply_comment_id=730901319104003","https://www.facebook.com/634639855377280/posts/774412801399984?comment_id=1083199186440179&amp;reply_comment_id=730901319104003")</f>
        <v>https://www.facebook.com/634639855377280/posts/774412801399984?comment_id=1083199186440179&amp;reply_comment_id=730901319104003</v>
      </c>
      <c r="K3286" t="s">
        <v>67</v>
      </c>
      <c r="O3286">
        <v>0</v>
      </c>
      <c r="P3286">
        <v>0</v>
      </c>
      <c r="Q3286">
        <v>0</v>
      </c>
      <c r="S3286">
        <v>0</v>
      </c>
      <c r="T3286">
        <v>0</v>
      </c>
      <c r="U3286">
        <v>0</v>
      </c>
      <c r="W3286" t="s">
        <v>52</v>
      </c>
    </row>
    <row r="3287" spans="1:23" x14ac:dyDescent="0.35">
      <c r="A3287" t="s">
        <v>45</v>
      </c>
      <c r="B3287" t="s">
        <v>6567</v>
      </c>
      <c r="C3287" t="s">
        <v>60</v>
      </c>
      <c r="D3287" t="s">
        <v>61</v>
      </c>
      <c r="E3287" t="s">
        <v>61</v>
      </c>
      <c r="F3287" t="s">
        <v>49</v>
      </c>
      <c r="G3287" t="s">
        <v>6680</v>
      </c>
      <c r="H3287" t="s">
        <v>6681</v>
      </c>
      <c r="J3287" t="str">
        <f>HYPERLINK("https://www.facebook.com/634639855377280/posts/776275584547039?comment_id=298120216576065","https://www.facebook.com/634639855377280/posts/776275584547039?comment_id=298120216576065")</f>
        <v>https://www.facebook.com/634639855377280/posts/776275584547039?comment_id=298120216576065</v>
      </c>
      <c r="O3287">
        <v>0</v>
      </c>
      <c r="P3287">
        <v>0</v>
      </c>
      <c r="Q3287">
        <v>0</v>
      </c>
      <c r="S3287">
        <v>0</v>
      </c>
      <c r="T3287">
        <v>0</v>
      </c>
      <c r="U3287">
        <v>0</v>
      </c>
      <c r="W3287" t="s">
        <v>52</v>
      </c>
    </row>
    <row r="3288" spans="1:23" x14ac:dyDescent="0.35">
      <c r="A3288" t="s">
        <v>45</v>
      </c>
      <c r="B3288" t="s">
        <v>6567</v>
      </c>
      <c r="C3288" t="s">
        <v>60</v>
      </c>
      <c r="D3288" t="s">
        <v>61</v>
      </c>
      <c r="E3288" t="s">
        <v>61</v>
      </c>
      <c r="F3288" t="s">
        <v>54</v>
      </c>
      <c r="G3288" t="s">
        <v>6682</v>
      </c>
      <c r="H3288" t="s">
        <v>6683</v>
      </c>
      <c r="J3288" t="str">
        <f>HYPERLINK("https://www.facebook.com/634639855377280/posts/776275584547039?comment_id=1114309163070762","https://www.facebook.com/634639855377280/posts/776275584547039?comment_id=1114309163070762")</f>
        <v>https://www.facebook.com/634639855377280/posts/776275584547039?comment_id=1114309163070762</v>
      </c>
      <c r="O3288">
        <v>0</v>
      </c>
      <c r="P3288">
        <v>0</v>
      </c>
      <c r="Q3288">
        <v>0</v>
      </c>
      <c r="S3288">
        <v>0</v>
      </c>
      <c r="T3288">
        <v>0</v>
      </c>
      <c r="U3288">
        <v>0</v>
      </c>
      <c r="W3288" t="s">
        <v>52</v>
      </c>
    </row>
    <row r="3289" spans="1:23" x14ac:dyDescent="0.35">
      <c r="A3289" t="s">
        <v>45</v>
      </c>
      <c r="B3289" t="s">
        <v>6567</v>
      </c>
      <c r="C3289" t="s">
        <v>60</v>
      </c>
      <c r="D3289" t="s">
        <v>64</v>
      </c>
      <c r="E3289" t="s">
        <v>64</v>
      </c>
      <c r="F3289" t="s">
        <v>49</v>
      </c>
      <c r="G3289" t="s">
        <v>4043</v>
      </c>
      <c r="H3289" t="s">
        <v>6684</v>
      </c>
      <c r="J3289" t="str">
        <f>HYPERLINK("https://www.facebook.com/634639855377280/posts/774412801399984?comment_id=400093505875002&amp;reply_comment_id=2100989303603027","https://www.facebook.com/634639855377280/posts/774412801399984?comment_id=400093505875002&amp;reply_comment_id=2100989303603027")</f>
        <v>https://www.facebook.com/634639855377280/posts/774412801399984?comment_id=400093505875002&amp;reply_comment_id=2100989303603027</v>
      </c>
      <c r="K3289" t="s">
        <v>67</v>
      </c>
      <c r="O3289">
        <v>0</v>
      </c>
      <c r="P3289">
        <v>0</v>
      </c>
      <c r="Q3289">
        <v>0</v>
      </c>
      <c r="S3289">
        <v>0</v>
      </c>
      <c r="T3289">
        <v>0</v>
      </c>
      <c r="U3289">
        <v>0</v>
      </c>
      <c r="W3289" t="s">
        <v>52</v>
      </c>
    </row>
    <row r="3290" spans="1:23" x14ac:dyDescent="0.35">
      <c r="A3290" t="s">
        <v>45</v>
      </c>
      <c r="B3290" t="s">
        <v>6567</v>
      </c>
      <c r="C3290" t="s">
        <v>60</v>
      </c>
      <c r="D3290" t="s">
        <v>61</v>
      </c>
      <c r="E3290" t="s">
        <v>61</v>
      </c>
      <c r="F3290" t="s">
        <v>49</v>
      </c>
      <c r="G3290" t="s">
        <v>6658</v>
      </c>
      <c r="H3290" t="s">
        <v>6685</v>
      </c>
      <c r="J3290" t="str">
        <f>HYPERLINK("https://www.facebook.com/634639855377280/posts/774483894726208?comment_id=1365953820980879","https://www.facebook.com/634639855377280/posts/774483894726208?comment_id=1365953820980879")</f>
        <v>https://www.facebook.com/634639855377280/posts/774483894726208?comment_id=1365953820980879</v>
      </c>
      <c r="O3290">
        <v>0</v>
      </c>
      <c r="P3290">
        <v>0</v>
      </c>
      <c r="Q3290">
        <v>0</v>
      </c>
      <c r="S3290">
        <v>0</v>
      </c>
      <c r="T3290">
        <v>0</v>
      </c>
      <c r="U3290">
        <v>0</v>
      </c>
      <c r="W3290" t="s">
        <v>52</v>
      </c>
    </row>
    <row r="3291" spans="1:23" x14ac:dyDescent="0.35">
      <c r="A3291" t="s">
        <v>45</v>
      </c>
      <c r="B3291" t="s">
        <v>6567</v>
      </c>
      <c r="C3291" t="s">
        <v>60</v>
      </c>
      <c r="D3291" t="s">
        <v>61</v>
      </c>
      <c r="E3291" t="s">
        <v>61</v>
      </c>
      <c r="F3291" t="s">
        <v>49</v>
      </c>
      <c r="G3291" t="s">
        <v>6686</v>
      </c>
      <c r="H3291" t="s">
        <v>6687</v>
      </c>
      <c r="J3291" t="str">
        <f>HYPERLINK("https://www.facebook.com/634639855377280/posts/776275584547039?comment_id=321549946884416","https://www.facebook.com/634639855377280/posts/776275584547039?comment_id=321549946884416")</f>
        <v>https://www.facebook.com/634639855377280/posts/776275584547039?comment_id=321549946884416</v>
      </c>
      <c r="O3291">
        <v>0</v>
      </c>
      <c r="P3291">
        <v>0</v>
      </c>
      <c r="Q3291">
        <v>0</v>
      </c>
      <c r="S3291">
        <v>0</v>
      </c>
      <c r="T3291">
        <v>0</v>
      </c>
      <c r="U3291">
        <v>0</v>
      </c>
      <c r="W3291" t="s">
        <v>52</v>
      </c>
    </row>
    <row r="3292" spans="1:23" x14ac:dyDescent="0.35">
      <c r="A3292" t="s">
        <v>45</v>
      </c>
      <c r="B3292" t="s">
        <v>6567</v>
      </c>
      <c r="C3292" t="s">
        <v>60</v>
      </c>
      <c r="D3292" t="s">
        <v>64</v>
      </c>
      <c r="E3292" t="s">
        <v>64</v>
      </c>
      <c r="F3292" t="s">
        <v>49</v>
      </c>
      <c r="G3292" t="s">
        <v>4043</v>
      </c>
      <c r="H3292" t="s">
        <v>6688</v>
      </c>
      <c r="J3292" t="str">
        <f>HYPERLINK("https://www.facebook.com/634639855377280/posts/774483894726208?comment_id=3245700509067009&amp;reply_comment_id=275922371906950","https://www.facebook.com/634639855377280/posts/774483894726208?comment_id=3245700509067009&amp;reply_comment_id=275922371906950")</f>
        <v>https://www.facebook.com/634639855377280/posts/774483894726208?comment_id=3245700509067009&amp;reply_comment_id=275922371906950</v>
      </c>
      <c r="K3292" t="s">
        <v>67</v>
      </c>
      <c r="O3292">
        <v>0</v>
      </c>
      <c r="P3292">
        <v>0</v>
      </c>
      <c r="Q3292">
        <v>0</v>
      </c>
      <c r="S3292">
        <v>0</v>
      </c>
      <c r="T3292">
        <v>0</v>
      </c>
      <c r="U3292">
        <v>0</v>
      </c>
      <c r="W3292" t="s">
        <v>52</v>
      </c>
    </row>
    <row r="3293" spans="1:23" x14ac:dyDescent="0.35">
      <c r="A3293" t="s">
        <v>45</v>
      </c>
      <c r="B3293" t="s">
        <v>6567</v>
      </c>
      <c r="C3293" t="s">
        <v>60</v>
      </c>
      <c r="D3293" t="s">
        <v>64</v>
      </c>
      <c r="E3293" t="s">
        <v>64</v>
      </c>
      <c r="F3293" t="s">
        <v>49</v>
      </c>
      <c r="G3293" t="s">
        <v>4043</v>
      </c>
      <c r="H3293" t="s">
        <v>6689</v>
      </c>
      <c r="J3293" t="str">
        <f>HYPERLINK("https://www.facebook.com/634639855377280/posts/774483894726208?comment_id=342888618696992&amp;reply_comment_id=291556220581571","https://www.facebook.com/634639855377280/posts/774483894726208?comment_id=342888618696992&amp;reply_comment_id=291556220581571")</f>
        <v>https://www.facebook.com/634639855377280/posts/774483894726208?comment_id=342888618696992&amp;reply_comment_id=291556220581571</v>
      </c>
      <c r="K3293" t="s">
        <v>67</v>
      </c>
      <c r="O3293">
        <v>0</v>
      </c>
      <c r="P3293">
        <v>0</v>
      </c>
      <c r="Q3293">
        <v>0</v>
      </c>
      <c r="S3293">
        <v>0</v>
      </c>
      <c r="T3293">
        <v>0</v>
      </c>
      <c r="U3293">
        <v>0</v>
      </c>
      <c r="W3293" t="s">
        <v>52</v>
      </c>
    </row>
    <row r="3294" spans="1:23" x14ac:dyDescent="0.35">
      <c r="A3294" t="s">
        <v>45</v>
      </c>
      <c r="B3294" t="s">
        <v>6567</v>
      </c>
      <c r="C3294" t="s">
        <v>47</v>
      </c>
      <c r="D3294" t="s">
        <v>68</v>
      </c>
      <c r="E3294" t="s">
        <v>68</v>
      </c>
      <c r="F3294" t="s">
        <v>49</v>
      </c>
      <c r="G3294" t="s">
        <v>69</v>
      </c>
      <c r="H3294" t="s">
        <v>6690</v>
      </c>
      <c r="J3294" t="str">
        <f>HYPERLINK("https://www.youtube.com/watch?v=L48LASyoHuE&amp;lc=UgwjClIU7C1CXU8UJ4N4AaABAg.9zjdJfmObmm9zpQTwO8rhQ","https://www.youtube.com/watch?v=L48LASyoHuE&amp;lc=UgwjClIU7C1CXU8UJ4N4AaABAg.9zjdJfmObmm9zpQTwO8rhQ")</f>
        <v>https://www.youtube.com/watch?v=L48LASyoHuE&amp;lc=UgwjClIU7C1CXU8UJ4N4AaABAg.9zjdJfmObmm9zpQTwO8rhQ</v>
      </c>
      <c r="O3294">
        <v>0</v>
      </c>
      <c r="P3294">
        <v>0</v>
      </c>
      <c r="Q3294">
        <v>0</v>
      </c>
      <c r="S3294">
        <v>0</v>
      </c>
      <c r="T3294">
        <v>0</v>
      </c>
      <c r="U3294">
        <v>0</v>
      </c>
      <c r="W3294" t="s">
        <v>52</v>
      </c>
    </row>
    <row r="3295" spans="1:23" x14ac:dyDescent="0.35">
      <c r="A3295" t="s">
        <v>45</v>
      </c>
      <c r="B3295" t="s">
        <v>6567</v>
      </c>
      <c r="C3295" t="s">
        <v>93</v>
      </c>
      <c r="D3295" t="s">
        <v>6623</v>
      </c>
      <c r="E3295" t="s">
        <v>6624</v>
      </c>
      <c r="F3295" t="s">
        <v>49</v>
      </c>
      <c r="G3295" t="s">
        <v>6691</v>
      </c>
      <c r="H3295" t="s">
        <v>6692</v>
      </c>
      <c r="J3295" t="str">
        <f>HYPERLINK("https://twitter.com/ViksahY/status/1749000040474198425","https://twitter.com/ViksahY/status/1749000040474198425")</f>
        <v>https://twitter.com/ViksahY/status/1749000040474198425</v>
      </c>
      <c r="K3295" t="s">
        <v>67</v>
      </c>
      <c r="O3295">
        <v>0</v>
      </c>
      <c r="P3295">
        <v>0</v>
      </c>
      <c r="Q3295">
        <v>182</v>
      </c>
      <c r="R3295" t="s">
        <v>6627</v>
      </c>
      <c r="S3295">
        <v>0</v>
      </c>
      <c r="T3295">
        <v>0</v>
      </c>
      <c r="U3295">
        <v>0</v>
      </c>
      <c r="W3295" t="s">
        <v>99</v>
      </c>
    </row>
    <row r="3296" spans="1:23" x14ac:dyDescent="0.35">
      <c r="A3296" t="s">
        <v>45</v>
      </c>
      <c r="B3296" t="s">
        <v>6567</v>
      </c>
      <c r="C3296" t="s">
        <v>60</v>
      </c>
      <c r="D3296" t="s">
        <v>64</v>
      </c>
      <c r="E3296" t="s">
        <v>64</v>
      </c>
      <c r="F3296" t="s">
        <v>49</v>
      </c>
      <c r="G3296" t="s">
        <v>6693</v>
      </c>
      <c r="H3296" t="s">
        <v>6694</v>
      </c>
      <c r="J3296" t="str">
        <f>HYPERLINK("https://www.facebook.com/634639855377280/posts/774412801399984?comment_id=749745416651850&amp;reply_comment_id=7311093225639081","https://www.facebook.com/634639855377280/posts/774412801399984?comment_id=749745416651850&amp;reply_comment_id=7311093225639081")</f>
        <v>https://www.facebook.com/634639855377280/posts/774412801399984?comment_id=749745416651850&amp;reply_comment_id=7311093225639081</v>
      </c>
      <c r="K3296" t="s">
        <v>67</v>
      </c>
      <c r="O3296">
        <v>0</v>
      </c>
      <c r="P3296">
        <v>0</v>
      </c>
      <c r="Q3296">
        <v>0</v>
      </c>
      <c r="S3296">
        <v>0</v>
      </c>
      <c r="T3296">
        <v>0</v>
      </c>
      <c r="U3296">
        <v>0</v>
      </c>
      <c r="W3296" t="s">
        <v>52</v>
      </c>
    </row>
    <row r="3297" spans="1:23" x14ac:dyDescent="0.35">
      <c r="A3297" t="s">
        <v>45</v>
      </c>
      <c r="B3297" t="s">
        <v>6567</v>
      </c>
      <c r="C3297" t="s">
        <v>93</v>
      </c>
      <c r="D3297" t="s">
        <v>3262</v>
      </c>
      <c r="E3297" t="s">
        <v>3263</v>
      </c>
      <c r="F3297" t="s">
        <v>49</v>
      </c>
      <c r="G3297" t="s">
        <v>6695</v>
      </c>
      <c r="H3297" t="s">
        <v>6696</v>
      </c>
      <c r="J3297" t="str">
        <f>HYPERLINK("https://twitter.com/ShoaibAkhtertsk/status/1748994608812663115","https://twitter.com/ShoaibAkhtertsk/status/1748994608812663115")</f>
        <v>https://twitter.com/ShoaibAkhtertsk/status/1748994608812663115</v>
      </c>
      <c r="K3297" t="s">
        <v>67</v>
      </c>
      <c r="O3297">
        <v>0</v>
      </c>
      <c r="P3297">
        <v>0</v>
      </c>
      <c r="Q3297">
        <v>50</v>
      </c>
      <c r="R3297" t="s">
        <v>3266</v>
      </c>
      <c r="S3297">
        <v>0</v>
      </c>
      <c r="T3297">
        <v>0</v>
      </c>
      <c r="U3297">
        <v>0</v>
      </c>
      <c r="W3297" t="s">
        <v>99</v>
      </c>
    </row>
    <row r="3298" spans="1:23" x14ac:dyDescent="0.35">
      <c r="A3298" t="s">
        <v>45</v>
      </c>
      <c r="B3298" t="s">
        <v>6567</v>
      </c>
      <c r="C3298" t="s">
        <v>47</v>
      </c>
      <c r="D3298" t="s">
        <v>6697</v>
      </c>
      <c r="E3298" t="s">
        <v>6697</v>
      </c>
      <c r="F3298" t="s">
        <v>49</v>
      </c>
      <c r="G3298" t="s">
        <v>6698</v>
      </c>
      <c r="H3298" t="s">
        <v>6699</v>
      </c>
      <c r="J3298" t="str">
        <f>HYPERLINK("https://www.youtube.com/watch?v=z58WzdIZIO8&amp;lc=UgxIaJ8SFRVfb3IRq8p4AaABAg","https://www.youtube.com/watch?v=z58WzdIZIO8&amp;lc=UgxIaJ8SFRVfb3IRq8p4AaABAg")</f>
        <v>https://www.youtube.com/watch?v=z58WzdIZIO8&amp;lc=UgxIaJ8SFRVfb3IRq8p4AaABAg</v>
      </c>
      <c r="O3298">
        <v>0</v>
      </c>
      <c r="P3298">
        <v>0</v>
      </c>
      <c r="Q3298">
        <v>0</v>
      </c>
      <c r="S3298">
        <v>0</v>
      </c>
      <c r="T3298">
        <v>0</v>
      </c>
      <c r="U3298">
        <v>0</v>
      </c>
      <c r="W3298" t="s">
        <v>52</v>
      </c>
    </row>
    <row r="3299" spans="1:23" x14ac:dyDescent="0.35">
      <c r="A3299" t="s">
        <v>45</v>
      </c>
      <c r="B3299" t="s">
        <v>6567</v>
      </c>
      <c r="C3299" t="s">
        <v>60</v>
      </c>
      <c r="D3299" t="s">
        <v>64</v>
      </c>
      <c r="E3299" t="s">
        <v>64</v>
      </c>
      <c r="F3299" t="s">
        <v>49</v>
      </c>
      <c r="G3299" t="s">
        <v>6700</v>
      </c>
      <c r="H3299" t="s">
        <v>6701</v>
      </c>
      <c r="J3299" t="str">
        <f>HYPERLINK("https://www.facebook.com/634639855377280/posts/774950251346239?comment_id=1495004641072389&amp;reply_comment_id=1059535248616823","https://www.facebook.com/634639855377280/posts/774950251346239?comment_id=1495004641072389&amp;reply_comment_id=1059535248616823")</f>
        <v>https://www.facebook.com/634639855377280/posts/774950251346239?comment_id=1495004641072389&amp;reply_comment_id=1059535248616823</v>
      </c>
      <c r="K3299" t="s">
        <v>67</v>
      </c>
      <c r="O3299">
        <v>0</v>
      </c>
      <c r="P3299">
        <v>0</v>
      </c>
      <c r="Q3299">
        <v>0</v>
      </c>
      <c r="S3299">
        <v>0</v>
      </c>
      <c r="T3299">
        <v>0</v>
      </c>
      <c r="U3299">
        <v>0</v>
      </c>
      <c r="W3299" t="s">
        <v>52</v>
      </c>
    </row>
    <row r="3300" spans="1:23" x14ac:dyDescent="0.35">
      <c r="A3300" t="s">
        <v>45</v>
      </c>
      <c r="B3300" t="s">
        <v>6567</v>
      </c>
      <c r="C3300" t="s">
        <v>93</v>
      </c>
      <c r="D3300" t="s">
        <v>94</v>
      </c>
      <c r="E3300" t="s">
        <v>45</v>
      </c>
      <c r="F3300" t="s">
        <v>49</v>
      </c>
      <c r="G3300" t="s">
        <v>6702</v>
      </c>
      <c r="H3300" t="s">
        <v>6703</v>
      </c>
      <c r="J3300" t="str">
        <f>HYPERLINK("https://twitter.com/SpiceMoneyIndia/status/1748990394979832035","https://twitter.com/SpiceMoneyIndia/status/1748990394979832035")</f>
        <v>https://twitter.com/SpiceMoneyIndia/status/1748990394979832035</v>
      </c>
      <c r="K3300" t="s">
        <v>67</v>
      </c>
      <c r="O3300">
        <v>0</v>
      </c>
      <c r="P3300">
        <v>0</v>
      </c>
      <c r="Q3300">
        <v>6002</v>
      </c>
      <c r="R3300" t="s">
        <v>97</v>
      </c>
      <c r="S3300">
        <v>0</v>
      </c>
      <c r="T3300">
        <v>0</v>
      </c>
      <c r="U3300">
        <v>0</v>
      </c>
      <c r="V3300" t="s">
        <v>98</v>
      </c>
      <c r="W3300" t="s">
        <v>99</v>
      </c>
    </row>
    <row r="3301" spans="1:23" x14ac:dyDescent="0.35">
      <c r="A3301" t="s">
        <v>45</v>
      </c>
      <c r="B3301" t="s">
        <v>6567</v>
      </c>
      <c r="C3301" t="s">
        <v>93</v>
      </c>
      <c r="D3301" t="s">
        <v>94</v>
      </c>
      <c r="E3301" t="s">
        <v>45</v>
      </c>
      <c r="F3301" t="s">
        <v>49</v>
      </c>
      <c r="G3301" t="s">
        <v>6704</v>
      </c>
      <c r="H3301" t="s">
        <v>6703</v>
      </c>
      <c r="J3301" t="str">
        <f>HYPERLINK("https://twitter.com/SpiceMoneyIndia/status/1748990394375762361","https://twitter.com/SpiceMoneyIndia/status/1748990394375762361")</f>
        <v>https://twitter.com/SpiceMoneyIndia/status/1748990394375762361</v>
      </c>
      <c r="K3301" t="s">
        <v>67</v>
      </c>
      <c r="O3301">
        <v>0</v>
      </c>
      <c r="P3301">
        <v>0</v>
      </c>
      <c r="Q3301">
        <v>6002</v>
      </c>
      <c r="R3301" t="s">
        <v>97</v>
      </c>
      <c r="S3301">
        <v>0</v>
      </c>
      <c r="T3301">
        <v>0</v>
      </c>
      <c r="U3301">
        <v>0</v>
      </c>
      <c r="V3301" t="s">
        <v>98</v>
      </c>
      <c r="W3301" t="s">
        <v>99</v>
      </c>
    </row>
    <row r="3302" spans="1:23" x14ac:dyDescent="0.35">
      <c r="A3302" t="s">
        <v>45</v>
      </c>
      <c r="B3302" t="s">
        <v>6567</v>
      </c>
      <c r="C3302" t="s">
        <v>93</v>
      </c>
      <c r="D3302" t="s">
        <v>3262</v>
      </c>
      <c r="E3302" t="s">
        <v>3263</v>
      </c>
      <c r="F3302" t="s">
        <v>49</v>
      </c>
      <c r="G3302" t="s">
        <v>6705</v>
      </c>
      <c r="H3302" t="s">
        <v>6706</v>
      </c>
      <c r="J3302" t="str">
        <f>HYPERLINK("https://twitter.com/ShoaibAkhtertsk/status/1748983110417695157","https://twitter.com/ShoaibAkhtertsk/status/1748983110417695157")</f>
        <v>https://twitter.com/ShoaibAkhtertsk/status/1748983110417695157</v>
      </c>
      <c r="K3302" t="s">
        <v>67</v>
      </c>
      <c r="O3302">
        <v>0</v>
      </c>
      <c r="P3302">
        <v>0</v>
      </c>
      <c r="Q3302">
        <v>50</v>
      </c>
      <c r="R3302" t="s">
        <v>3266</v>
      </c>
      <c r="S3302">
        <v>0</v>
      </c>
      <c r="T3302">
        <v>0</v>
      </c>
      <c r="U3302">
        <v>0</v>
      </c>
      <c r="W3302" t="s">
        <v>99</v>
      </c>
    </row>
    <row r="3303" spans="1:23" x14ac:dyDescent="0.35">
      <c r="A3303" t="s">
        <v>45</v>
      </c>
      <c r="B3303" t="s">
        <v>6567</v>
      </c>
      <c r="C3303" t="s">
        <v>60</v>
      </c>
      <c r="D3303" t="s">
        <v>64</v>
      </c>
      <c r="E3303" t="s">
        <v>64</v>
      </c>
      <c r="F3303" t="s">
        <v>49</v>
      </c>
      <c r="G3303" t="s">
        <v>6707</v>
      </c>
      <c r="H3303" t="s">
        <v>6708</v>
      </c>
      <c r="J3303" t="str">
        <f>HYPERLINK("https://www.facebook.com/634639855377280/posts/773392231502041?comment_id=907290637548988&amp;reply_comment_id=367127392618973","https://www.facebook.com/634639855377280/posts/773392231502041?comment_id=907290637548988&amp;reply_comment_id=367127392618973")</f>
        <v>https://www.facebook.com/634639855377280/posts/773392231502041?comment_id=907290637548988&amp;reply_comment_id=367127392618973</v>
      </c>
      <c r="K3303" t="s">
        <v>67</v>
      </c>
      <c r="O3303">
        <v>0</v>
      </c>
      <c r="P3303">
        <v>0</v>
      </c>
      <c r="Q3303">
        <v>0</v>
      </c>
      <c r="S3303">
        <v>0</v>
      </c>
      <c r="T3303">
        <v>0</v>
      </c>
      <c r="U3303">
        <v>0</v>
      </c>
      <c r="W3303" t="s">
        <v>52</v>
      </c>
    </row>
    <row r="3304" spans="1:23" x14ac:dyDescent="0.35">
      <c r="A3304" t="s">
        <v>45</v>
      </c>
      <c r="B3304" t="s">
        <v>6567</v>
      </c>
      <c r="C3304" t="s">
        <v>60</v>
      </c>
      <c r="D3304" t="s">
        <v>61</v>
      </c>
      <c r="E3304" t="s">
        <v>61</v>
      </c>
      <c r="F3304" t="s">
        <v>193</v>
      </c>
      <c r="G3304" t="s">
        <v>6709</v>
      </c>
      <c r="H3304" t="s">
        <v>6710</v>
      </c>
      <c r="J3304" t="str">
        <f>HYPERLINK("https://www.facebook.com/634639855377280/posts/774881771353087?comment_id=1343323306387399","https://www.facebook.com/634639855377280/posts/774881771353087?comment_id=1343323306387399")</f>
        <v>https://www.facebook.com/634639855377280/posts/774881771353087?comment_id=1343323306387399</v>
      </c>
      <c r="O3304">
        <v>0</v>
      </c>
      <c r="P3304">
        <v>0</v>
      </c>
      <c r="Q3304">
        <v>0</v>
      </c>
      <c r="S3304">
        <v>0</v>
      </c>
      <c r="T3304">
        <v>0</v>
      </c>
      <c r="U3304">
        <v>0</v>
      </c>
      <c r="W3304" t="s">
        <v>52</v>
      </c>
    </row>
    <row r="3305" spans="1:23" x14ac:dyDescent="0.35">
      <c r="A3305" t="s">
        <v>45</v>
      </c>
      <c r="B3305" t="s">
        <v>6567</v>
      </c>
      <c r="C3305" t="s">
        <v>93</v>
      </c>
      <c r="D3305" t="s">
        <v>94</v>
      </c>
      <c r="E3305" t="s">
        <v>45</v>
      </c>
      <c r="F3305" t="s">
        <v>49</v>
      </c>
      <c r="G3305" t="s">
        <v>6711</v>
      </c>
      <c r="H3305" t="s">
        <v>6712</v>
      </c>
      <c r="J3305" t="str">
        <f>HYPERLINK("https://twitter.com/SpiceMoneyIndia/status/1748977457506427180","https://twitter.com/SpiceMoneyIndia/status/1748977457506427180")</f>
        <v>https://twitter.com/SpiceMoneyIndia/status/1748977457506427180</v>
      </c>
      <c r="K3305" t="s">
        <v>67</v>
      </c>
      <c r="O3305">
        <v>0</v>
      </c>
      <c r="P3305">
        <v>0</v>
      </c>
      <c r="Q3305">
        <v>6002</v>
      </c>
      <c r="R3305" t="s">
        <v>97</v>
      </c>
      <c r="S3305">
        <v>0</v>
      </c>
      <c r="T3305">
        <v>0</v>
      </c>
      <c r="U3305">
        <v>0</v>
      </c>
      <c r="V3305" t="s">
        <v>98</v>
      </c>
      <c r="W3305" t="s">
        <v>99</v>
      </c>
    </row>
    <row r="3306" spans="1:23" x14ac:dyDescent="0.35">
      <c r="A3306" t="s">
        <v>45</v>
      </c>
      <c r="B3306" t="s">
        <v>6567</v>
      </c>
      <c r="C3306" t="s">
        <v>60</v>
      </c>
      <c r="D3306" t="s">
        <v>61</v>
      </c>
      <c r="E3306" t="s">
        <v>61</v>
      </c>
      <c r="F3306" t="s">
        <v>49</v>
      </c>
      <c r="G3306" t="s">
        <v>6713</v>
      </c>
      <c r="H3306" t="s">
        <v>6714</v>
      </c>
      <c r="J3306" t="str">
        <f>HYPERLINK("https://www.facebook.com/634639855377280/posts/774483894726208?comment_id=3245700509067009&amp;reply_comment_id=857845562784004","https://www.facebook.com/634639855377280/posts/774483894726208?comment_id=3245700509067009&amp;reply_comment_id=857845562784004")</f>
        <v>https://www.facebook.com/634639855377280/posts/774483894726208?comment_id=3245700509067009&amp;reply_comment_id=857845562784004</v>
      </c>
      <c r="O3306">
        <v>0</v>
      </c>
      <c r="P3306">
        <v>0</v>
      </c>
      <c r="Q3306">
        <v>0</v>
      </c>
      <c r="S3306">
        <v>0</v>
      </c>
      <c r="T3306">
        <v>0</v>
      </c>
      <c r="U3306">
        <v>0</v>
      </c>
      <c r="W3306" t="s">
        <v>52</v>
      </c>
    </row>
    <row r="3307" spans="1:23" x14ac:dyDescent="0.35">
      <c r="A3307" t="s">
        <v>45</v>
      </c>
      <c r="B3307" t="s">
        <v>6567</v>
      </c>
      <c r="C3307" t="s">
        <v>60</v>
      </c>
      <c r="D3307" t="s">
        <v>61</v>
      </c>
      <c r="E3307" t="s">
        <v>61</v>
      </c>
      <c r="F3307" t="s">
        <v>193</v>
      </c>
      <c r="G3307" t="s">
        <v>6715</v>
      </c>
      <c r="H3307" t="s">
        <v>6716</v>
      </c>
      <c r="J3307" t="str">
        <f>HYPERLINK("https://www.facebook.com/634639855377280/posts/774881771353087?comment_id=911902377127167","https://www.facebook.com/634639855377280/posts/774881771353087?comment_id=911902377127167")</f>
        <v>https://www.facebook.com/634639855377280/posts/774881771353087?comment_id=911902377127167</v>
      </c>
      <c r="O3307">
        <v>0</v>
      </c>
      <c r="P3307">
        <v>0</v>
      </c>
      <c r="Q3307">
        <v>0</v>
      </c>
      <c r="S3307">
        <v>0</v>
      </c>
      <c r="T3307">
        <v>0</v>
      </c>
      <c r="U3307">
        <v>0</v>
      </c>
      <c r="W3307" t="s">
        <v>52</v>
      </c>
    </row>
    <row r="3308" spans="1:23" x14ac:dyDescent="0.35">
      <c r="A3308" t="s">
        <v>45</v>
      </c>
      <c r="B3308" t="s">
        <v>6567</v>
      </c>
      <c r="C3308" t="s">
        <v>60</v>
      </c>
      <c r="D3308" t="s">
        <v>64</v>
      </c>
      <c r="E3308" t="s">
        <v>64</v>
      </c>
      <c r="F3308" t="s">
        <v>49</v>
      </c>
      <c r="G3308" t="s">
        <v>164</v>
      </c>
      <c r="H3308" t="s">
        <v>6717</v>
      </c>
      <c r="J3308" t="str">
        <f>HYPERLINK("https://www.facebook.com/634639855377280/posts/774483894726208?comment_id=188664647637912&amp;reply_comment_id=691368259532887","https://www.facebook.com/634639855377280/posts/774483894726208?comment_id=188664647637912&amp;reply_comment_id=691368259532887")</f>
        <v>https://www.facebook.com/634639855377280/posts/774483894726208?comment_id=188664647637912&amp;reply_comment_id=691368259532887</v>
      </c>
      <c r="K3308" t="s">
        <v>67</v>
      </c>
      <c r="O3308">
        <v>0</v>
      </c>
      <c r="P3308">
        <v>0</v>
      </c>
      <c r="Q3308">
        <v>0</v>
      </c>
      <c r="S3308">
        <v>0</v>
      </c>
      <c r="T3308">
        <v>0</v>
      </c>
      <c r="U3308">
        <v>0</v>
      </c>
      <c r="W3308" t="s">
        <v>52</v>
      </c>
    </row>
    <row r="3309" spans="1:23" x14ac:dyDescent="0.35">
      <c r="A3309" t="s">
        <v>45</v>
      </c>
      <c r="B3309" t="s">
        <v>6567</v>
      </c>
      <c r="C3309" t="s">
        <v>60</v>
      </c>
      <c r="D3309" t="s">
        <v>61</v>
      </c>
      <c r="E3309" t="s">
        <v>61</v>
      </c>
      <c r="F3309" t="s">
        <v>49</v>
      </c>
      <c r="G3309" t="s">
        <v>6718</v>
      </c>
      <c r="H3309" t="s">
        <v>6719</v>
      </c>
      <c r="J3309" t="str">
        <f>HYPERLINK("https://www.facebook.com/634639855377280/posts/773764291464835?comment_id=1742769372902638","https://www.facebook.com/634639855377280/posts/773764291464835?comment_id=1742769372902638")</f>
        <v>https://www.facebook.com/634639855377280/posts/773764291464835?comment_id=1742769372902638</v>
      </c>
      <c r="O3309">
        <v>0</v>
      </c>
      <c r="P3309">
        <v>0</v>
      </c>
      <c r="Q3309">
        <v>0</v>
      </c>
      <c r="S3309">
        <v>0</v>
      </c>
      <c r="T3309">
        <v>0</v>
      </c>
      <c r="U3309">
        <v>0</v>
      </c>
      <c r="W3309" t="s">
        <v>52</v>
      </c>
    </row>
    <row r="3310" spans="1:23" x14ac:dyDescent="0.35">
      <c r="A3310" t="s">
        <v>45</v>
      </c>
      <c r="B3310" t="s">
        <v>6567</v>
      </c>
      <c r="C3310" t="s">
        <v>60</v>
      </c>
      <c r="D3310" t="s">
        <v>61</v>
      </c>
      <c r="E3310" t="s">
        <v>61</v>
      </c>
      <c r="F3310" t="s">
        <v>193</v>
      </c>
      <c r="G3310" t="s">
        <v>6720</v>
      </c>
      <c r="H3310" t="s">
        <v>6721</v>
      </c>
      <c r="J3310" t="str">
        <f>HYPERLINK("https://www.facebook.com/634639855377280/posts/774412801399984?comment_id=1166804837614777","https://www.facebook.com/634639855377280/posts/774412801399984?comment_id=1166804837614777")</f>
        <v>https://www.facebook.com/634639855377280/posts/774412801399984?comment_id=1166804837614777</v>
      </c>
      <c r="O3310">
        <v>0</v>
      </c>
      <c r="P3310">
        <v>0</v>
      </c>
      <c r="Q3310">
        <v>0</v>
      </c>
      <c r="S3310">
        <v>0</v>
      </c>
      <c r="T3310">
        <v>0</v>
      </c>
      <c r="U3310">
        <v>0</v>
      </c>
      <c r="W3310" t="s">
        <v>52</v>
      </c>
    </row>
    <row r="3311" spans="1:23" x14ac:dyDescent="0.35">
      <c r="A3311" t="s">
        <v>45</v>
      </c>
      <c r="B3311" t="s">
        <v>6567</v>
      </c>
      <c r="C3311" t="s">
        <v>93</v>
      </c>
      <c r="D3311" t="s">
        <v>1319</v>
      </c>
      <c r="E3311" t="s">
        <v>1320</v>
      </c>
      <c r="F3311" t="s">
        <v>49</v>
      </c>
      <c r="G3311" t="s">
        <v>6722</v>
      </c>
      <c r="H3311" t="s">
        <v>6723</v>
      </c>
      <c r="J3311" t="str">
        <f>HYPERLINK("https://twitter.com/ashukm/status/1748958017595510850","https://twitter.com/ashukm/status/1748958017595510850")</f>
        <v>https://twitter.com/ashukm/status/1748958017595510850</v>
      </c>
      <c r="K3311" t="s">
        <v>67</v>
      </c>
      <c r="O3311">
        <v>0</v>
      </c>
      <c r="P3311">
        <v>0</v>
      </c>
      <c r="Q3311">
        <v>173</v>
      </c>
      <c r="S3311">
        <v>0</v>
      </c>
      <c r="T3311">
        <v>0</v>
      </c>
      <c r="U3311">
        <v>0</v>
      </c>
      <c r="W3311" t="s">
        <v>99</v>
      </c>
    </row>
    <row r="3312" spans="1:23" x14ac:dyDescent="0.35">
      <c r="A3312" t="s">
        <v>45</v>
      </c>
      <c r="B3312" t="s">
        <v>6567</v>
      </c>
      <c r="C3312" t="s">
        <v>60</v>
      </c>
      <c r="D3312" t="s">
        <v>61</v>
      </c>
      <c r="E3312" t="s">
        <v>61</v>
      </c>
      <c r="F3312" t="s">
        <v>49</v>
      </c>
      <c r="G3312" t="s">
        <v>6724</v>
      </c>
      <c r="H3312" t="s">
        <v>6725</v>
      </c>
      <c r="J3312" t="str">
        <f>HYPERLINK("https://www.facebook.com/634639855377280/posts/774483894726208?comment_id=272502715618295","https://www.facebook.com/634639855377280/posts/774483894726208?comment_id=272502715618295")</f>
        <v>https://www.facebook.com/634639855377280/posts/774483894726208?comment_id=272502715618295</v>
      </c>
      <c r="O3312">
        <v>0</v>
      </c>
      <c r="P3312">
        <v>0</v>
      </c>
      <c r="Q3312">
        <v>0</v>
      </c>
      <c r="S3312">
        <v>0</v>
      </c>
      <c r="T3312">
        <v>0</v>
      </c>
      <c r="U3312">
        <v>0</v>
      </c>
      <c r="W3312" t="s">
        <v>52</v>
      </c>
    </row>
    <row r="3313" spans="1:23" x14ac:dyDescent="0.35">
      <c r="A3313" t="s">
        <v>45</v>
      </c>
      <c r="B3313" t="s">
        <v>6567</v>
      </c>
      <c r="C3313" t="s">
        <v>60</v>
      </c>
      <c r="D3313" t="s">
        <v>64</v>
      </c>
      <c r="E3313" t="s">
        <v>64</v>
      </c>
      <c r="F3313" t="s">
        <v>49</v>
      </c>
      <c r="G3313" t="s">
        <v>100</v>
      </c>
      <c r="H3313" t="s">
        <v>6726</v>
      </c>
      <c r="J3313" t="str">
        <f>HYPERLINK("https://www.facebook.com/634639855377280/posts/774483894726208?comment_id=368275185949981&amp;reply_comment_id=2118682685144451","https://www.facebook.com/634639855377280/posts/774483894726208?comment_id=368275185949981&amp;reply_comment_id=2118682685144451")</f>
        <v>https://www.facebook.com/634639855377280/posts/774483894726208?comment_id=368275185949981&amp;reply_comment_id=2118682685144451</v>
      </c>
      <c r="K3313" t="s">
        <v>67</v>
      </c>
      <c r="O3313">
        <v>0</v>
      </c>
      <c r="P3313">
        <v>0</v>
      </c>
      <c r="Q3313">
        <v>0</v>
      </c>
      <c r="S3313">
        <v>0</v>
      </c>
      <c r="T3313">
        <v>0</v>
      </c>
      <c r="U3313">
        <v>0</v>
      </c>
      <c r="W3313" t="s">
        <v>52</v>
      </c>
    </row>
    <row r="3314" spans="1:23" x14ac:dyDescent="0.35">
      <c r="A3314" t="s">
        <v>45</v>
      </c>
      <c r="B3314" t="s">
        <v>6567</v>
      </c>
      <c r="C3314" t="s">
        <v>60</v>
      </c>
      <c r="D3314" t="s">
        <v>61</v>
      </c>
      <c r="E3314" t="s">
        <v>61</v>
      </c>
      <c r="F3314" t="s">
        <v>49</v>
      </c>
      <c r="G3314" t="s">
        <v>6727</v>
      </c>
      <c r="H3314" t="s">
        <v>6728</v>
      </c>
      <c r="J3314" t="str">
        <f>HYPERLINK("https://www.facebook.com/634639855377280/posts/776275584547039?comment_id=817108026850584","https://www.facebook.com/634639855377280/posts/776275584547039?comment_id=817108026850584")</f>
        <v>https://www.facebook.com/634639855377280/posts/776275584547039?comment_id=817108026850584</v>
      </c>
      <c r="O3314">
        <v>0</v>
      </c>
      <c r="P3314">
        <v>0</v>
      </c>
      <c r="Q3314">
        <v>0</v>
      </c>
      <c r="S3314">
        <v>0</v>
      </c>
      <c r="T3314">
        <v>0</v>
      </c>
      <c r="U3314">
        <v>0</v>
      </c>
      <c r="W3314" t="s">
        <v>52</v>
      </c>
    </row>
    <row r="3315" spans="1:23" x14ac:dyDescent="0.35">
      <c r="A3315" t="s">
        <v>45</v>
      </c>
      <c r="B3315" t="s">
        <v>6567</v>
      </c>
      <c r="C3315" t="s">
        <v>60</v>
      </c>
      <c r="D3315" t="s">
        <v>61</v>
      </c>
      <c r="E3315" t="s">
        <v>61</v>
      </c>
      <c r="F3315" t="s">
        <v>49</v>
      </c>
      <c r="G3315" t="s">
        <v>6729</v>
      </c>
      <c r="H3315" t="s">
        <v>6730</v>
      </c>
      <c r="J3315" t="str">
        <f>HYPERLINK("https://www.facebook.com/634639855377280/posts/774483894726208?comment_id=188664647637912&amp;reply_comment_id=722050879897731","https://www.facebook.com/634639855377280/posts/774483894726208?comment_id=188664647637912&amp;reply_comment_id=722050879897731")</f>
        <v>https://www.facebook.com/634639855377280/posts/774483894726208?comment_id=188664647637912&amp;reply_comment_id=722050879897731</v>
      </c>
      <c r="O3315">
        <v>0</v>
      </c>
      <c r="P3315">
        <v>0</v>
      </c>
      <c r="Q3315">
        <v>0</v>
      </c>
      <c r="S3315">
        <v>0</v>
      </c>
      <c r="T3315">
        <v>0</v>
      </c>
      <c r="U3315">
        <v>0</v>
      </c>
      <c r="W3315" t="s">
        <v>52</v>
      </c>
    </row>
    <row r="3316" spans="1:23" x14ac:dyDescent="0.35">
      <c r="A3316" t="s">
        <v>45</v>
      </c>
      <c r="B3316" t="s">
        <v>6567</v>
      </c>
      <c r="C3316" t="s">
        <v>60</v>
      </c>
      <c r="D3316" t="s">
        <v>61</v>
      </c>
      <c r="E3316" t="s">
        <v>61</v>
      </c>
      <c r="F3316" t="s">
        <v>193</v>
      </c>
      <c r="G3316" t="s">
        <v>6731</v>
      </c>
      <c r="H3316" t="s">
        <v>6732</v>
      </c>
      <c r="J3316" t="str">
        <f>HYPERLINK("https://www.facebook.com/634639855377280/posts/776275584547039?comment_id=387786113935715","https://www.facebook.com/634639855377280/posts/776275584547039?comment_id=387786113935715")</f>
        <v>https://www.facebook.com/634639855377280/posts/776275584547039?comment_id=387786113935715</v>
      </c>
      <c r="O3316">
        <v>0</v>
      </c>
      <c r="P3316">
        <v>0</v>
      </c>
      <c r="Q3316">
        <v>0</v>
      </c>
      <c r="S3316">
        <v>0</v>
      </c>
      <c r="T3316">
        <v>0</v>
      </c>
      <c r="U3316">
        <v>0</v>
      </c>
      <c r="W3316" t="s">
        <v>52</v>
      </c>
    </row>
    <row r="3317" spans="1:23" x14ac:dyDescent="0.35">
      <c r="A3317" t="s">
        <v>45</v>
      </c>
      <c r="B3317" t="s">
        <v>6567</v>
      </c>
      <c r="C3317" t="s">
        <v>60</v>
      </c>
      <c r="D3317" t="s">
        <v>61</v>
      </c>
      <c r="E3317" t="s">
        <v>61</v>
      </c>
      <c r="F3317" t="s">
        <v>193</v>
      </c>
      <c r="G3317" t="s">
        <v>6733</v>
      </c>
      <c r="H3317" t="s">
        <v>6734</v>
      </c>
      <c r="J3317" t="str">
        <f>HYPERLINK("https://www.facebook.com/634639855377280/posts/776286744545923?comment_id=1805068003261660","https://www.facebook.com/634639855377280/posts/776286744545923?comment_id=1805068003261660")</f>
        <v>https://www.facebook.com/634639855377280/posts/776286744545923?comment_id=1805068003261660</v>
      </c>
      <c r="O3317">
        <v>0</v>
      </c>
      <c r="P3317">
        <v>0</v>
      </c>
      <c r="Q3317">
        <v>0</v>
      </c>
      <c r="S3317">
        <v>0</v>
      </c>
      <c r="T3317">
        <v>0</v>
      </c>
      <c r="U3317">
        <v>0</v>
      </c>
      <c r="W3317" t="s">
        <v>52</v>
      </c>
    </row>
    <row r="3318" spans="1:23" x14ac:dyDescent="0.35">
      <c r="A3318" t="s">
        <v>45</v>
      </c>
      <c r="B3318" t="s">
        <v>6567</v>
      </c>
      <c r="C3318" t="s">
        <v>60</v>
      </c>
      <c r="D3318" t="s">
        <v>61</v>
      </c>
      <c r="E3318" t="s">
        <v>61</v>
      </c>
      <c r="F3318" t="s">
        <v>49</v>
      </c>
      <c r="G3318" t="s">
        <v>6735</v>
      </c>
      <c r="H3318" t="s">
        <v>6736</v>
      </c>
      <c r="J3318" t="str">
        <f>HYPERLINK("https://www.facebook.com/634639855377280/posts/776275584547039?comment_id=713189637459210","https://www.facebook.com/634639855377280/posts/776275584547039?comment_id=713189637459210")</f>
        <v>https://www.facebook.com/634639855377280/posts/776275584547039?comment_id=713189637459210</v>
      </c>
      <c r="O3318">
        <v>0</v>
      </c>
      <c r="P3318">
        <v>0</v>
      </c>
      <c r="Q3318">
        <v>0</v>
      </c>
      <c r="S3318">
        <v>0</v>
      </c>
      <c r="T3318">
        <v>0</v>
      </c>
      <c r="U3318">
        <v>0</v>
      </c>
      <c r="W3318" t="s">
        <v>52</v>
      </c>
    </row>
    <row r="3319" spans="1:23" x14ac:dyDescent="0.35">
      <c r="A3319" t="s">
        <v>45</v>
      </c>
      <c r="B3319" t="s">
        <v>6567</v>
      </c>
      <c r="C3319" t="s">
        <v>93</v>
      </c>
      <c r="D3319" t="s">
        <v>94</v>
      </c>
      <c r="E3319" t="s">
        <v>45</v>
      </c>
      <c r="F3319" t="s">
        <v>49</v>
      </c>
      <c r="G3319" t="s">
        <v>6737</v>
      </c>
      <c r="H3319" t="s">
        <v>6738</v>
      </c>
      <c r="J3319" t="str">
        <f>HYPERLINK("https://twitter.com/SpiceMoneyIndia/status/1748934055964389570","https://twitter.com/SpiceMoneyIndia/status/1748934055964389570")</f>
        <v>https://twitter.com/SpiceMoneyIndia/status/1748934055964389570</v>
      </c>
      <c r="K3319" t="s">
        <v>67</v>
      </c>
      <c r="O3319">
        <v>0</v>
      </c>
      <c r="P3319">
        <v>0</v>
      </c>
      <c r="Q3319">
        <v>6005</v>
      </c>
      <c r="R3319" t="s">
        <v>97</v>
      </c>
      <c r="S3319">
        <v>0</v>
      </c>
      <c r="T3319">
        <v>0</v>
      </c>
      <c r="U3319">
        <v>0</v>
      </c>
      <c r="V3319" t="s">
        <v>98</v>
      </c>
      <c r="W3319" t="s">
        <v>99</v>
      </c>
    </row>
    <row r="3320" spans="1:23" x14ac:dyDescent="0.35">
      <c r="A3320" t="s">
        <v>45</v>
      </c>
      <c r="B3320" t="s">
        <v>6567</v>
      </c>
      <c r="C3320" t="s">
        <v>47</v>
      </c>
      <c r="D3320" t="s">
        <v>6739</v>
      </c>
      <c r="E3320" t="s">
        <v>6739</v>
      </c>
      <c r="F3320" t="s">
        <v>54</v>
      </c>
      <c r="G3320" t="s">
        <v>847</v>
      </c>
      <c r="H3320" t="s">
        <v>6740</v>
      </c>
      <c r="J3320" t="str">
        <f>HYPERLINK("https://www.youtube.com/watch?v=L7PeKVwMvu8&amp;lc=UgwclA2-scH0gyw5UVx4AaABAg","https://www.youtube.com/watch?v=L7PeKVwMvu8&amp;lc=UgwclA2-scH0gyw5UVx4AaABAg")</f>
        <v>https://www.youtube.com/watch?v=L7PeKVwMvu8&amp;lc=UgwclA2-scH0gyw5UVx4AaABAg</v>
      </c>
      <c r="O3320">
        <v>0</v>
      </c>
      <c r="P3320">
        <v>0</v>
      </c>
      <c r="Q3320">
        <v>0</v>
      </c>
      <c r="S3320">
        <v>0</v>
      </c>
      <c r="T3320">
        <v>0</v>
      </c>
      <c r="U3320">
        <v>0</v>
      </c>
      <c r="W3320" t="s">
        <v>52</v>
      </c>
    </row>
    <row r="3321" spans="1:23" x14ac:dyDescent="0.35">
      <c r="A3321" t="s">
        <v>45</v>
      </c>
      <c r="B3321" t="s">
        <v>6567</v>
      </c>
      <c r="C3321" t="s">
        <v>60</v>
      </c>
      <c r="D3321" t="s">
        <v>64</v>
      </c>
      <c r="E3321" t="s">
        <v>64</v>
      </c>
      <c r="F3321" t="s">
        <v>49</v>
      </c>
      <c r="G3321" t="s">
        <v>100</v>
      </c>
      <c r="H3321" t="s">
        <v>6741</v>
      </c>
      <c r="J3321" t="str">
        <f>HYPERLINK("https://www.facebook.com/634639855377280/posts/774950251346239?comment_id=219651007895564&amp;reply_comment_id=784119960222960","https://www.facebook.com/634639855377280/posts/774950251346239?comment_id=219651007895564&amp;reply_comment_id=784119960222960")</f>
        <v>https://www.facebook.com/634639855377280/posts/774950251346239?comment_id=219651007895564&amp;reply_comment_id=784119960222960</v>
      </c>
      <c r="K3321" t="s">
        <v>67</v>
      </c>
      <c r="O3321">
        <v>0</v>
      </c>
      <c r="P3321">
        <v>0</v>
      </c>
      <c r="Q3321">
        <v>0</v>
      </c>
      <c r="S3321">
        <v>0</v>
      </c>
      <c r="T3321">
        <v>0</v>
      </c>
      <c r="U3321">
        <v>0</v>
      </c>
      <c r="W3321" t="s">
        <v>52</v>
      </c>
    </row>
    <row r="3322" spans="1:23" x14ac:dyDescent="0.35">
      <c r="A3322" t="s">
        <v>45</v>
      </c>
      <c r="B3322" t="s">
        <v>6567</v>
      </c>
      <c r="C3322" t="s">
        <v>60</v>
      </c>
      <c r="D3322" t="s">
        <v>64</v>
      </c>
      <c r="E3322" t="s">
        <v>64</v>
      </c>
      <c r="F3322" t="s">
        <v>49</v>
      </c>
      <c r="G3322" t="s">
        <v>380</v>
      </c>
      <c r="H3322" t="s">
        <v>6742</v>
      </c>
      <c r="J3322" t="str">
        <f>HYPERLINK("https://www.facebook.com/634639855377280/posts/774483894726208?comment_id=188664647637912&amp;reply_comment_id=336681302538216","https://www.facebook.com/634639855377280/posts/774483894726208?comment_id=188664647637912&amp;reply_comment_id=336681302538216")</f>
        <v>https://www.facebook.com/634639855377280/posts/774483894726208?comment_id=188664647637912&amp;reply_comment_id=336681302538216</v>
      </c>
      <c r="K3322" t="s">
        <v>67</v>
      </c>
      <c r="O3322">
        <v>0</v>
      </c>
      <c r="P3322">
        <v>0</v>
      </c>
      <c r="Q3322">
        <v>0</v>
      </c>
      <c r="S3322">
        <v>0</v>
      </c>
      <c r="T3322">
        <v>0</v>
      </c>
      <c r="U3322">
        <v>0</v>
      </c>
      <c r="W3322" t="s">
        <v>52</v>
      </c>
    </row>
    <row r="3323" spans="1:23" x14ac:dyDescent="0.35">
      <c r="A3323" t="s">
        <v>45</v>
      </c>
      <c r="B3323" t="s">
        <v>6567</v>
      </c>
      <c r="C3323" t="s">
        <v>93</v>
      </c>
      <c r="D3323" t="s">
        <v>94</v>
      </c>
      <c r="E3323" t="s">
        <v>45</v>
      </c>
      <c r="F3323" t="s">
        <v>49</v>
      </c>
      <c r="G3323" t="s">
        <v>6743</v>
      </c>
      <c r="H3323" t="s">
        <v>6744</v>
      </c>
      <c r="J3323" t="str">
        <f>HYPERLINK("https://twitter.com/SpiceMoneyIndia/status/1748932140002415045","https://twitter.com/SpiceMoneyIndia/status/1748932140002415045")</f>
        <v>https://twitter.com/SpiceMoneyIndia/status/1748932140002415045</v>
      </c>
      <c r="K3323" t="s">
        <v>67</v>
      </c>
      <c r="O3323">
        <v>0</v>
      </c>
      <c r="P3323">
        <v>0</v>
      </c>
      <c r="Q3323">
        <v>6005</v>
      </c>
      <c r="R3323" t="s">
        <v>97</v>
      </c>
      <c r="S3323">
        <v>0</v>
      </c>
      <c r="T3323">
        <v>0</v>
      </c>
      <c r="U3323">
        <v>0</v>
      </c>
      <c r="V3323" t="s">
        <v>98</v>
      </c>
      <c r="W3323" t="s">
        <v>99</v>
      </c>
    </row>
    <row r="3324" spans="1:23" x14ac:dyDescent="0.35">
      <c r="A3324" t="s">
        <v>45</v>
      </c>
      <c r="B3324" t="s">
        <v>6567</v>
      </c>
      <c r="C3324" t="s">
        <v>60</v>
      </c>
      <c r="D3324" t="s">
        <v>64</v>
      </c>
      <c r="E3324" t="s">
        <v>64</v>
      </c>
      <c r="F3324" t="s">
        <v>49</v>
      </c>
      <c r="G3324" t="s">
        <v>6745</v>
      </c>
      <c r="H3324" t="s">
        <v>6746</v>
      </c>
      <c r="J3324" t="str">
        <f>HYPERLINK("https://www.facebook.com/634639855377280/posts/776286744545923","https://www.facebook.com/634639855377280/posts/776286744545923")</f>
        <v>https://www.facebook.com/634639855377280/posts/776286744545923</v>
      </c>
      <c r="O3324">
        <v>0</v>
      </c>
      <c r="P3324">
        <v>0</v>
      </c>
      <c r="Q3324">
        <v>0</v>
      </c>
      <c r="S3324">
        <v>3</v>
      </c>
      <c r="T3324">
        <v>35</v>
      </c>
      <c r="U3324">
        <v>5</v>
      </c>
      <c r="W3324" t="s">
        <v>346</v>
      </c>
    </row>
    <row r="3325" spans="1:23" x14ac:dyDescent="0.35">
      <c r="A3325" t="s">
        <v>45</v>
      </c>
      <c r="B3325" t="s">
        <v>6567</v>
      </c>
      <c r="C3325" t="s">
        <v>60</v>
      </c>
      <c r="D3325" t="s">
        <v>61</v>
      </c>
      <c r="E3325" t="s">
        <v>61</v>
      </c>
      <c r="F3325" t="s">
        <v>49</v>
      </c>
      <c r="G3325" t="s">
        <v>64</v>
      </c>
      <c r="H3325" t="s">
        <v>6747</v>
      </c>
      <c r="J3325" t="str">
        <f>HYPERLINK("https://www.facebook.com/634639855377280/posts/774483894726208?comment_id=755786529771052&amp;reply_comment_id=2074464272935468","https://www.facebook.com/634639855377280/posts/774483894726208?comment_id=755786529771052&amp;reply_comment_id=2074464272935468")</f>
        <v>https://www.facebook.com/634639855377280/posts/774483894726208?comment_id=755786529771052&amp;reply_comment_id=2074464272935468</v>
      </c>
      <c r="O3325">
        <v>0</v>
      </c>
      <c r="P3325">
        <v>0</v>
      </c>
      <c r="Q3325">
        <v>0</v>
      </c>
      <c r="S3325">
        <v>0</v>
      </c>
      <c r="T3325">
        <v>0</v>
      </c>
      <c r="U3325">
        <v>0</v>
      </c>
      <c r="W3325" t="s">
        <v>52</v>
      </c>
    </row>
    <row r="3326" spans="1:23" x14ac:dyDescent="0.35">
      <c r="A3326" t="s">
        <v>45</v>
      </c>
      <c r="B3326" t="s">
        <v>6567</v>
      </c>
      <c r="C3326" t="s">
        <v>93</v>
      </c>
      <c r="D3326" t="s">
        <v>94</v>
      </c>
      <c r="E3326" t="s">
        <v>45</v>
      </c>
      <c r="F3326" t="s">
        <v>49</v>
      </c>
      <c r="G3326" t="s">
        <v>6748</v>
      </c>
      <c r="H3326" t="s">
        <v>6749</v>
      </c>
      <c r="J3326" t="str">
        <f>HYPERLINK("https://twitter.com/SpiceMoneyIndia/status/1748925317077766531","https://twitter.com/SpiceMoneyIndia/status/1748925317077766531")</f>
        <v>https://twitter.com/SpiceMoneyIndia/status/1748925317077766531</v>
      </c>
      <c r="K3326" t="s">
        <v>67</v>
      </c>
      <c r="O3326">
        <v>0</v>
      </c>
      <c r="P3326">
        <v>0</v>
      </c>
      <c r="Q3326">
        <v>6005</v>
      </c>
      <c r="R3326" t="s">
        <v>97</v>
      </c>
      <c r="S3326">
        <v>0</v>
      </c>
      <c r="T3326">
        <v>0</v>
      </c>
      <c r="U3326">
        <v>0</v>
      </c>
      <c r="V3326" t="s">
        <v>98</v>
      </c>
      <c r="W3326" t="s">
        <v>99</v>
      </c>
    </row>
    <row r="3327" spans="1:23" x14ac:dyDescent="0.35">
      <c r="A3327" t="s">
        <v>45</v>
      </c>
      <c r="B3327" t="s">
        <v>6567</v>
      </c>
      <c r="C3327" t="s">
        <v>60</v>
      </c>
      <c r="D3327" t="s">
        <v>64</v>
      </c>
      <c r="E3327" t="s">
        <v>64</v>
      </c>
      <c r="F3327" t="s">
        <v>49</v>
      </c>
      <c r="G3327" t="s">
        <v>6750</v>
      </c>
      <c r="H3327" t="s">
        <v>6751</v>
      </c>
      <c r="J3327" t="str">
        <f>HYPERLINK("https://www.facebook.com/634639855377280/posts/776275584547039","https://www.facebook.com/634639855377280/posts/776275584547039")</f>
        <v>https://www.facebook.com/634639855377280/posts/776275584547039</v>
      </c>
      <c r="O3327">
        <v>0</v>
      </c>
      <c r="P3327">
        <v>0</v>
      </c>
      <c r="Q3327">
        <v>0</v>
      </c>
      <c r="S3327">
        <v>11</v>
      </c>
      <c r="T3327">
        <v>58</v>
      </c>
      <c r="U3327">
        <v>5</v>
      </c>
      <c r="W3327" t="s">
        <v>346</v>
      </c>
    </row>
    <row r="3328" spans="1:23" x14ac:dyDescent="0.35">
      <c r="A3328" t="s">
        <v>45</v>
      </c>
      <c r="B3328" t="s">
        <v>6567</v>
      </c>
      <c r="C3328" t="s">
        <v>93</v>
      </c>
      <c r="D3328" t="s">
        <v>3262</v>
      </c>
      <c r="E3328" t="s">
        <v>3263</v>
      </c>
      <c r="F3328" t="s">
        <v>49</v>
      </c>
      <c r="G3328" t="s">
        <v>6752</v>
      </c>
      <c r="H3328" t="s">
        <v>6753</v>
      </c>
      <c r="J3328" t="str">
        <f>HYPERLINK("https://twitter.com/ShoaibAkhtertsk/status/1748918816510492856","https://twitter.com/ShoaibAkhtertsk/status/1748918816510492856")</f>
        <v>https://twitter.com/ShoaibAkhtertsk/status/1748918816510492856</v>
      </c>
      <c r="K3328" t="s">
        <v>67</v>
      </c>
      <c r="O3328">
        <v>0</v>
      </c>
      <c r="P3328">
        <v>0</v>
      </c>
      <c r="Q3328">
        <v>50</v>
      </c>
      <c r="R3328" t="s">
        <v>3266</v>
      </c>
      <c r="S3328">
        <v>0</v>
      </c>
      <c r="T3328">
        <v>0</v>
      </c>
      <c r="U3328">
        <v>0</v>
      </c>
      <c r="W3328" t="s">
        <v>99</v>
      </c>
    </row>
    <row r="3329" spans="1:23" x14ac:dyDescent="0.35">
      <c r="A3329" t="s">
        <v>45</v>
      </c>
      <c r="B3329" t="s">
        <v>6567</v>
      </c>
      <c r="C3329" t="s">
        <v>93</v>
      </c>
      <c r="D3329" t="s">
        <v>3262</v>
      </c>
      <c r="E3329" t="s">
        <v>3263</v>
      </c>
      <c r="F3329" t="s">
        <v>49</v>
      </c>
      <c r="G3329" t="s">
        <v>6754</v>
      </c>
      <c r="H3329" t="s">
        <v>6755</v>
      </c>
      <c r="J3329" t="str">
        <f>HYPERLINK("https://twitter.com/ShoaibAkhtertsk/status/1748918544639648226","https://twitter.com/ShoaibAkhtertsk/status/1748918544639648226")</f>
        <v>https://twitter.com/ShoaibAkhtertsk/status/1748918544639648226</v>
      </c>
      <c r="K3329" t="s">
        <v>67</v>
      </c>
      <c r="O3329">
        <v>0</v>
      </c>
      <c r="P3329">
        <v>0</v>
      </c>
      <c r="Q3329">
        <v>50</v>
      </c>
      <c r="R3329" t="s">
        <v>3266</v>
      </c>
      <c r="S3329">
        <v>0</v>
      </c>
      <c r="T3329">
        <v>0</v>
      </c>
      <c r="U3329">
        <v>0</v>
      </c>
      <c r="W3329" t="s">
        <v>99</v>
      </c>
    </row>
    <row r="3330" spans="1:23" x14ac:dyDescent="0.35">
      <c r="A3330" t="s">
        <v>45</v>
      </c>
      <c r="B3330" t="s">
        <v>6567</v>
      </c>
      <c r="C3330" t="s">
        <v>60</v>
      </c>
      <c r="D3330" t="s">
        <v>64</v>
      </c>
      <c r="E3330" t="s">
        <v>64</v>
      </c>
      <c r="F3330" t="s">
        <v>49</v>
      </c>
      <c r="G3330" t="s">
        <v>380</v>
      </c>
      <c r="H3330" t="s">
        <v>6756</v>
      </c>
      <c r="J3330" t="str">
        <f>HYPERLINK("https://www.facebook.com/634639855377280/posts/774881771353087?comment_id=1061549851761846&amp;reply_comment_id=7065789836841547","https://www.facebook.com/634639855377280/posts/774881771353087?comment_id=1061549851761846&amp;reply_comment_id=7065789836841547")</f>
        <v>https://www.facebook.com/634639855377280/posts/774881771353087?comment_id=1061549851761846&amp;reply_comment_id=7065789836841547</v>
      </c>
      <c r="K3330" t="s">
        <v>67</v>
      </c>
      <c r="O3330">
        <v>0</v>
      </c>
      <c r="P3330">
        <v>0</v>
      </c>
      <c r="Q3330">
        <v>0</v>
      </c>
      <c r="S3330">
        <v>0</v>
      </c>
      <c r="T3330">
        <v>0</v>
      </c>
      <c r="U3330">
        <v>0</v>
      </c>
      <c r="W3330" t="s">
        <v>52</v>
      </c>
    </row>
    <row r="3331" spans="1:23" x14ac:dyDescent="0.35">
      <c r="A3331" t="s">
        <v>45</v>
      </c>
      <c r="B3331" t="s">
        <v>6567</v>
      </c>
      <c r="C3331" t="s">
        <v>60</v>
      </c>
      <c r="D3331" t="s">
        <v>64</v>
      </c>
      <c r="E3331" t="s">
        <v>64</v>
      </c>
      <c r="F3331" t="s">
        <v>49</v>
      </c>
      <c r="G3331" t="s">
        <v>164</v>
      </c>
      <c r="H3331" t="s">
        <v>6757</v>
      </c>
      <c r="J3331" t="str">
        <f>HYPERLINK("https://www.facebook.com/634639855377280/posts/774881771353087?comment_id=1088160562614977&amp;reply_comment_id=202844516183190","https://www.facebook.com/634639855377280/posts/774881771353087?comment_id=1088160562614977&amp;reply_comment_id=202844516183190")</f>
        <v>https://www.facebook.com/634639855377280/posts/774881771353087?comment_id=1088160562614977&amp;reply_comment_id=202844516183190</v>
      </c>
      <c r="K3331" t="s">
        <v>67</v>
      </c>
      <c r="O3331">
        <v>0</v>
      </c>
      <c r="P3331">
        <v>0</v>
      </c>
      <c r="Q3331">
        <v>0</v>
      </c>
      <c r="S3331">
        <v>0</v>
      </c>
      <c r="T3331">
        <v>0</v>
      </c>
      <c r="U3331">
        <v>0</v>
      </c>
      <c r="W3331" t="s">
        <v>52</v>
      </c>
    </row>
    <row r="3332" spans="1:23" x14ac:dyDescent="0.35">
      <c r="A3332" t="s">
        <v>45</v>
      </c>
      <c r="B3332" t="s">
        <v>6567</v>
      </c>
      <c r="C3332" t="s">
        <v>60</v>
      </c>
      <c r="D3332" t="s">
        <v>64</v>
      </c>
      <c r="E3332" t="s">
        <v>64</v>
      </c>
      <c r="F3332" t="s">
        <v>49</v>
      </c>
      <c r="G3332" t="s">
        <v>83</v>
      </c>
      <c r="H3332" t="s">
        <v>6758</v>
      </c>
      <c r="J3332" t="str">
        <f>HYPERLINK("https://www.facebook.com/634639855377280/posts/774412801399984?comment_id=702432438699579&amp;reply_comment_id=1330078964350818","https://www.facebook.com/634639855377280/posts/774412801399984?comment_id=702432438699579&amp;reply_comment_id=1330078964350818")</f>
        <v>https://www.facebook.com/634639855377280/posts/774412801399984?comment_id=702432438699579&amp;reply_comment_id=1330078964350818</v>
      </c>
      <c r="K3332" t="s">
        <v>67</v>
      </c>
      <c r="O3332">
        <v>0</v>
      </c>
      <c r="P3332">
        <v>0</v>
      </c>
      <c r="Q3332">
        <v>0</v>
      </c>
      <c r="S3332">
        <v>0</v>
      </c>
      <c r="T3332">
        <v>0</v>
      </c>
      <c r="U3332">
        <v>0</v>
      </c>
      <c r="W3332" t="s">
        <v>52</v>
      </c>
    </row>
    <row r="3333" spans="1:23" x14ac:dyDescent="0.35">
      <c r="A3333" t="s">
        <v>45</v>
      </c>
      <c r="B3333" t="s">
        <v>6567</v>
      </c>
      <c r="C3333" t="s">
        <v>47</v>
      </c>
      <c r="D3333" t="s">
        <v>6418</v>
      </c>
      <c r="E3333" t="s">
        <v>6418</v>
      </c>
      <c r="F3333" t="s">
        <v>193</v>
      </c>
      <c r="G3333" t="s">
        <v>6759</v>
      </c>
      <c r="H3333" t="s">
        <v>6760</v>
      </c>
      <c r="J3333" t="str">
        <f>HYPERLINK("https://www.youtube.com/watch?v=qblpY40HK_E","https://www.youtube.com/watch?v=qblpY40HK_E")</f>
        <v>https://www.youtube.com/watch?v=qblpY40HK_E</v>
      </c>
      <c r="O3333">
        <v>0</v>
      </c>
      <c r="P3333">
        <v>0</v>
      </c>
      <c r="Q3333">
        <v>0</v>
      </c>
      <c r="S3333">
        <v>0</v>
      </c>
      <c r="T3333">
        <v>0</v>
      </c>
      <c r="U3333">
        <v>0</v>
      </c>
      <c r="W3333" t="s">
        <v>346</v>
      </c>
    </row>
    <row r="3334" spans="1:23" x14ac:dyDescent="0.35">
      <c r="A3334" t="s">
        <v>45</v>
      </c>
      <c r="B3334" t="s">
        <v>6567</v>
      </c>
      <c r="C3334" t="s">
        <v>60</v>
      </c>
      <c r="D3334" t="s">
        <v>64</v>
      </c>
      <c r="E3334" t="s">
        <v>64</v>
      </c>
      <c r="F3334" t="s">
        <v>49</v>
      </c>
      <c r="G3334" t="s">
        <v>1595</v>
      </c>
      <c r="H3334" t="s">
        <v>6761</v>
      </c>
      <c r="J3334" t="str">
        <f>HYPERLINK("https://www.facebook.com/634639855377280/posts/774881771353087?comment_id=906651114441838&amp;reply_comment_id=6739935032782071","https://www.facebook.com/634639855377280/posts/774881771353087?comment_id=906651114441838&amp;reply_comment_id=6739935032782071")</f>
        <v>https://www.facebook.com/634639855377280/posts/774881771353087?comment_id=906651114441838&amp;reply_comment_id=6739935032782071</v>
      </c>
      <c r="K3334" t="s">
        <v>67</v>
      </c>
      <c r="O3334">
        <v>0</v>
      </c>
      <c r="P3334">
        <v>0</v>
      </c>
      <c r="Q3334">
        <v>0</v>
      </c>
      <c r="S3334">
        <v>0</v>
      </c>
      <c r="T3334">
        <v>0</v>
      </c>
      <c r="U3334">
        <v>0</v>
      </c>
      <c r="W3334" t="s">
        <v>52</v>
      </c>
    </row>
    <row r="3335" spans="1:23" x14ac:dyDescent="0.35">
      <c r="A3335" t="s">
        <v>45</v>
      </c>
      <c r="B3335" t="s">
        <v>6567</v>
      </c>
      <c r="C3335" t="s">
        <v>60</v>
      </c>
      <c r="D3335" t="s">
        <v>64</v>
      </c>
      <c r="E3335" t="s">
        <v>64</v>
      </c>
      <c r="F3335" t="s">
        <v>49</v>
      </c>
      <c r="G3335" t="s">
        <v>270</v>
      </c>
      <c r="H3335" t="s">
        <v>6762</v>
      </c>
      <c r="J3335" t="str">
        <f>HYPERLINK("https://www.facebook.com/634639855377280/posts/775671547940776?comment_id=1095588458546718&amp;reply_comment_id=886594706342158","https://www.facebook.com/634639855377280/posts/775671547940776?comment_id=1095588458546718&amp;reply_comment_id=886594706342158")</f>
        <v>https://www.facebook.com/634639855377280/posts/775671547940776?comment_id=1095588458546718&amp;reply_comment_id=886594706342158</v>
      </c>
      <c r="K3335" t="s">
        <v>67</v>
      </c>
      <c r="O3335">
        <v>0</v>
      </c>
      <c r="P3335">
        <v>0</v>
      </c>
      <c r="Q3335">
        <v>0</v>
      </c>
      <c r="S3335">
        <v>0</v>
      </c>
      <c r="T3335">
        <v>0</v>
      </c>
      <c r="U3335">
        <v>0</v>
      </c>
      <c r="W3335" t="s">
        <v>52</v>
      </c>
    </row>
    <row r="3336" spans="1:23" x14ac:dyDescent="0.35">
      <c r="A3336" t="s">
        <v>45</v>
      </c>
      <c r="B3336" t="s">
        <v>6567</v>
      </c>
      <c r="C3336" t="s">
        <v>60</v>
      </c>
      <c r="D3336" t="s">
        <v>61</v>
      </c>
      <c r="E3336" t="s">
        <v>61</v>
      </c>
      <c r="F3336" t="s">
        <v>49</v>
      </c>
      <c r="G3336" t="s">
        <v>6763</v>
      </c>
      <c r="H3336" t="s">
        <v>6764</v>
      </c>
      <c r="J3336" t="str">
        <f>HYPERLINK("https://www.facebook.com/634639855377280/posts/774412801399984?comment_id=1307662363185574","https://www.facebook.com/634639855377280/posts/774412801399984?comment_id=1307662363185574")</f>
        <v>https://www.facebook.com/634639855377280/posts/774412801399984?comment_id=1307662363185574</v>
      </c>
      <c r="O3336">
        <v>0</v>
      </c>
      <c r="P3336">
        <v>0</v>
      </c>
      <c r="Q3336">
        <v>0</v>
      </c>
      <c r="S3336">
        <v>0</v>
      </c>
      <c r="T3336">
        <v>0</v>
      </c>
      <c r="U3336">
        <v>0</v>
      </c>
      <c r="W3336" t="s">
        <v>52</v>
      </c>
    </row>
    <row r="3337" spans="1:23" x14ac:dyDescent="0.35">
      <c r="A3337" t="s">
        <v>45</v>
      </c>
      <c r="B3337" t="s">
        <v>6567</v>
      </c>
      <c r="C3337" t="s">
        <v>60</v>
      </c>
      <c r="D3337" t="s">
        <v>61</v>
      </c>
      <c r="E3337" t="s">
        <v>61</v>
      </c>
      <c r="F3337" t="s">
        <v>54</v>
      </c>
      <c r="G3337" t="s">
        <v>2712</v>
      </c>
      <c r="H3337" t="s">
        <v>6765</v>
      </c>
      <c r="J3337" t="str">
        <f>HYPERLINK("https://www.facebook.com/634639855377280/posts/774483894726208?comment_id=1504337170144290","https://www.facebook.com/634639855377280/posts/774483894726208?comment_id=1504337170144290")</f>
        <v>https://www.facebook.com/634639855377280/posts/774483894726208?comment_id=1504337170144290</v>
      </c>
      <c r="O3337">
        <v>0</v>
      </c>
      <c r="P3337">
        <v>0</v>
      </c>
      <c r="Q3337">
        <v>0</v>
      </c>
      <c r="S3337">
        <v>0</v>
      </c>
      <c r="T3337">
        <v>0</v>
      </c>
      <c r="U3337">
        <v>0</v>
      </c>
      <c r="W3337" t="s">
        <v>52</v>
      </c>
    </row>
    <row r="3338" spans="1:23" x14ac:dyDescent="0.35">
      <c r="A3338" t="s">
        <v>45</v>
      </c>
      <c r="B3338" t="s">
        <v>6567</v>
      </c>
      <c r="C3338" t="s">
        <v>60</v>
      </c>
      <c r="D3338" t="s">
        <v>64</v>
      </c>
      <c r="E3338" t="s">
        <v>64</v>
      </c>
      <c r="F3338" t="s">
        <v>49</v>
      </c>
      <c r="G3338" t="s">
        <v>454</v>
      </c>
      <c r="H3338" t="s">
        <v>6766</v>
      </c>
      <c r="J3338" t="str">
        <f>HYPERLINK("https://www.facebook.com/634639855377280/posts/774483894726208?comment_id=755786529771052&amp;reply_comment_id=291095680262768","https://www.facebook.com/634639855377280/posts/774483894726208?comment_id=755786529771052&amp;reply_comment_id=291095680262768")</f>
        <v>https://www.facebook.com/634639855377280/posts/774483894726208?comment_id=755786529771052&amp;reply_comment_id=291095680262768</v>
      </c>
      <c r="K3338" t="s">
        <v>67</v>
      </c>
      <c r="O3338">
        <v>0</v>
      </c>
      <c r="P3338">
        <v>0</v>
      </c>
      <c r="Q3338">
        <v>0</v>
      </c>
      <c r="S3338">
        <v>0</v>
      </c>
      <c r="T3338">
        <v>0</v>
      </c>
      <c r="U3338">
        <v>0</v>
      </c>
      <c r="W3338" t="s">
        <v>52</v>
      </c>
    </row>
    <row r="3339" spans="1:23" x14ac:dyDescent="0.35">
      <c r="A3339" t="s">
        <v>45</v>
      </c>
      <c r="B3339" t="s">
        <v>6567</v>
      </c>
      <c r="C3339" t="s">
        <v>60</v>
      </c>
      <c r="D3339" t="s">
        <v>64</v>
      </c>
      <c r="E3339" t="s">
        <v>64</v>
      </c>
      <c r="F3339" t="s">
        <v>49</v>
      </c>
      <c r="G3339" t="s">
        <v>266</v>
      </c>
      <c r="H3339" t="s">
        <v>6767</v>
      </c>
      <c r="J3339" t="str">
        <f>HYPERLINK("https://www.facebook.com/634639855377280/posts/774483894726208?comment_id=702700271944724&amp;reply_comment_id=2516821621823641","https://www.facebook.com/634639855377280/posts/774483894726208?comment_id=702700271944724&amp;reply_comment_id=2516821621823641")</f>
        <v>https://www.facebook.com/634639855377280/posts/774483894726208?comment_id=702700271944724&amp;reply_comment_id=2516821621823641</v>
      </c>
      <c r="K3339" t="s">
        <v>67</v>
      </c>
      <c r="O3339">
        <v>0</v>
      </c>
      <c r="P3339">
        <v>0</v>
      </c>
      <c r="Q3339">
        <v>0</v>
      </c>
      <c r="S3339">
        <v>0</v>
      </c>
      <c r="T3339">
        <v>0</v>
      </c>
      <c r="U3339">
        <v>0</v>
      </c>
      <c r="W3339" t="s">
        <v>52</v>
      </c>
    </row>
    <row r="3340" spans="1:23" x14ac:dyDescent="0.35">
      <c r="A3340" t="s">
        <v>45</v>
      </c>
      <c r="B3340" t="s">
        <v>6567</v>
      </c>
      <c r="C3340" t="s">
        <v>93</v>
      </c>
      <c r="D3340" t="s">
        <v>94</v>
      </c>
      <c r="E3340" t="s">
        <v>45</v>
      </c>
      <c r="F3340" t="s">
        <v>49</v>
      </c>
      <c r="G3340" t="s">
        <v>6768</v>
      </c>
      <c r="H3340" t="s">
        <v>6769</v>
      </c>
      <c r="J3340" t="str">
        <f>HYPERLINK("https://twitter.com/SpiceMoneyIndia/status/1748905198041420044","https://twitter.com/SpiceMoneyIndia/status/1748905198041420044")</f>
        <v>https://twitter.com/SpiceMoneyIndia/status/1748905198041420044</v>
      </c>
      <c r="K3340" t="s">
        <v>67</v>
      </c>
      <c r="O3340">
        <v>0</v>
      </c>
      <c r="P3340">
        <v>0</v>
      </c>
      <c r="Q3340">
        <v>6004</v>
      </c>
      <c r="R3340" t="s">
        <v>97</v>
      </c>
      <c r="S3340">
        <v>0</v>
      </c>
      <c r="T3340">
        <v>0</v>
      </c>
      <c r="U3340">
        <v>0</v>
      </c>
      <c r="V3340" t="s">
        <v>98</v>
      </c>
      <c r="W3340" t="s">
        <v>99</v>
      </c>
    </row>
    <row r="3341" spans="1:23" x14ac:dyDescent="0.35">
      <c r="A3341" t="s">
        <v>45</v>
      </c>
      <c r="B3341" t="s">
        <v>6567</v>
      </c>
      <c r="C3341" t="s">
        <v>47</v>
      </c>
      <c r="D3341" t="s">
        <v>68</v>
      </c>
      <c r="E3341" t="s">
        <v>68</v>
      </c>
      <c r="F3341" t="s">
        <v>49</v>
      </c>
      <c r="G3341" t="s">
        <v>293</v>
      </c>
      <c r="H3341" t="s">
        <v>6770</v>
      </c>
      <c r="J3341" t="str">
        <f>HYPERLINK("https://www.youtube.com/watch?v=--SsTSqIa-4&amp;lc=Ugy-sE2nDlxjGuUjQf94AaABAg.9znI4yuSn_M9zogOid8XnH","https://www.youtube.com/watch?v=--SsTSqIa-4&amp;lc=Ugy-sE2nDlxjGuUjQf94AaABAg.9znI4yuSn_M9zogOid8XnH")</f>
        <v>https://www.youtube.com/watch?v=--SsTSqIa-4&amp;lc=Ugy-sE2nDlxjGuUjQf94AaABAg.9znI4yuSn_M9zogOid8XnH</v>
      </c>
      <c r="O3341">
        <v>0</v>
      </c>
      <c r="P3341">
        <v>0</v>
      </c>
      <c r="Q3341">
        <v>0</v>
      </c>
      <c r="S3341">
        <v>0</v>
      </c>
      <c r="T3341">
        <v>0</v>
      </c>
      <c r="U3341">
        <v>0</v>
      </c>
      <c r="W3341" t="s">
        <v>52</v>
      </c>
    </row>
    <row r="3342" spans="1:23" x14ac:dyDescent="0.35">
      <c r="A3342" t="s">
        <v>45</v>
      </c>
      <c r="B3342" t="s">
        <v>6567</v>
      </c>
      <c r="C3342" t="s">
        <v>60</v>
      </c>
      <c r="D3342" t="s">
        <v>61</v>
      </c>
      <c r="E3342" t="s">
        <v>61</v>
      </c>
      <c r="F3342" t="s">
        <v>49</v>
      </c>
      <c r="G3342" t="s">
        <v>6771</v>
      </c>
      <c r="H3342" t="s">
        <v>6772</v>
      </c>
      <c r="J3342" t="str">
        <f>HYPERLINK("https://www.facebook.com/634639855377280/posts/774483894726208?comment_id=702700271944724","https://www.facebook.com/634639855377280/posts/774483894726208?comment_id=702700271944724")</f>
        <v>https://www.facebook.com/634639855377280/posts/774483894726208?comment_id=702700271944724</v>
      </c>
      <c r="O3342">
        <v>0</v>
      </c>
      <c r="P3342">
        <v>0</v>
      </c>
      <c r="Q3342">
        <v>0</v>
      </c>
      <c r="S3342">
        <v>0</v>
      </c>
      <c r="T3342">
        <v>0</v>
      </c>
      <c r="U3342">
        <v>0</v>
      </c>
      <c r="W3342" t="s">
        <v>52</v>
      </c>
    </row>
    <row r="3343" spans="1:23" x14ac:dyDescent="0.35">
      <c r="A3343" t="s">
        <v>45</v>
      </c>
      <c r="B3343" t="s">
        <v>6773</v>
      </c>
      <c r="C3343" t="s">
        <v>93</v>
      </c>
      <c r="D3343" t="s">
        <v>6774</v>
      </c>
      <c r="E3343" t="s">
        <v>6775</v>
      </c>
      <c r="F3343" t="s">
        <v>193</v>
      </c>
      <c r="G3343" t="s">
        <v>6776</v>
      </c>
      <c r="H3343" t="s">
        <v>6777</v>
      </c>
      <c r="J3343" t="str">
        <f>HYPERLINK("https://twitter.com/EwenAma30141/status/1748764746189336636","https://twitter.com/EwenAma30141/status/1748764746189336636")</f>
        <v>https://twitter.com/EwenAma30141/status/1748764746189336636</v>
      </c>
      <c r="O3343">
        <v>0</v>
      </c>
      <c r="P3343">
        <v>0</v>
      </c>
      <c r="Q3343">
        <v>11</v>
      </c>
      <c r="R3343" t="s">
        <v>6778</v>
      </c>
      <c r="S3343">
        <v>0</v>
      </c>
      <c r="T3343">
        <v>0</v>
      </c>
      <c r="U3343">
        <v>0</v>
      </c>
      <c r="W3343" t="s">
        <v>99</v>
      </c>
    </row>
    <row r="3344" spans="1:23" x14ac:dyDescent="0.35">
      <c r="A3344" t="s">
        <v>45</v>
      </c>
      <c r="B3344" t="s">
        <v>6773</v>
      </c>
      <c r="C3344" t="s">
        <v>93</v>
      </c>
      <c r="D3344" t="s">
        <v>3262</v>
      </c>
      <c r="E3344" t="s">
        <v>3263</v>
      </c>
      <c r="F3344" t="s">
        <v>193</v>
      </c>
      <c r="G3344" t="s">
        <v>6779</v>
      </c>
      <c r="H3344" t="s">
        <v>6780</v>
      </c>
      <c r="J3344" t="str">
        <f>HYPERLINK("https://twitter.com/ShoaibAkhtertsk/status/1748763914933026897","https://twitter.com/ShoaibAkhtertsk/status/1748763914933026897")</f>
        <v>https://twitter.com/ShoaibAkhtertsk/status/1748763914933026897</v>
      </c>
      <c r="K3344" t="s">
        <v>67</v>
      </c>
      <c r="O3344">
        <v>0</v>
      </c>
      <c r="P3344">
        <v>0</v>
      </c>
      <c r="Q3344">
        <v>50</v>
      </c>
      <c r="R3344" t="s">
        <v>3266</v>
      </c>
      <c r="S3344">
        <v>0</v>
      </c>
      <c r="T3344">
        <v>0</v>
      </c>
      <c r="U3344">
        <v>0</v>
      </c>
      <c r="W3344" t="s">
        <v>99</v>
      </c>
    </row>
    <row r="3345" spans="1:23" x14ac:dyDescent="0.35">
      <c r="A3345" t="s">
        <v>45</v>
      </c>
      <c r="B3345" t="s">
        <v>6773</v>
      </c>
      <c r="C3345" t="s">
        <v>60</v>
      </c>
      <c r="D3345" t="s">
        <v>61</v>
      </c>
      <c r="E3345" t="s">
        <v>61</v>
      </c>
      <c r="F3345" t="s">
        <v>49</v>
      </c>
      <c r="G3345" t="s">
        <v>6781</v>
      </c>
      <c r="H3345" t="s">
        <v>6782</v>
      </c>
      <c r="J3345" t="str">
        <f>HYPERLINK("https://www.facebook.com/634639855377280/posts/775671547940776?comment_id=3651071031816366","https://www.facebook.com/634639855377280/posts/775671547940776?comment_id=3651071031816366")</f>
        <v>https://www.facebook.com/634639855377280/posts/775671547940776?comment_id=3651071031816366</v>
      </c>
      <c r="O3345">
        <v>0</v>
      </c>
      <c r="P3345">
        <v>0</v>
      </c>
      <c r="Q3345">
        <v>0</v>
      </c>
      <c r="S3345">
        <v>0</v>
      </c>
      <c r="T3345">
        <v>0</v>
      </c>
      <c r="U3345">
        <v>0</v>
      </c>
      <c r="W3345" t="s">
        <v>52</v>
      </c>
    </row>
    <row r="3346" spans="1:23" x14ac:dyDescent="0.35">
      <c r="A3346" t="s">
        <v>45</v>
      </c>
      <c r="B3346" t="s">
        <v>6773</v>
      </c>
      <c r="C3346" t="s">
        <v>60</v>
      </c>
      <c r="D3346" t="s">
        <v>61</v>
      </c>
      <c r="E3346" t="s">
        <v>61</v>
      </c>
      <c r="F3346" t="s">
        <v>49</v>
      </c>
      <c r="G3346">
        <v>9675094133</v>
      </c>
      <c r="H3346" t="s">
        <v>6783</v>
      </c>
      <c r="J3346" t="str">
        <f>HYPERLINK("https://www.facebook.com/634639855377280/posts/774483894726208?comment_id=755786529771052","https://www.facebook.com/634639855377280/posts/774483894726208?comment_id=755786529771052")</f>
        <v>https://www.facebook.com/634639855377280/posts/774483894726208?comment_id=755786529771052</v>
      </c>
      <c r="O3346">
        <v>0</v>
      </c>
      <c r="P3346">
        <v>0</v>
      </c>
      <c r="Q3346">
        <v>0</v>
      </c>
      <c r="S3346">
        <v>0</v>
      </c>
      <c r="T3346">
        <v>0</v>
      </c>
      <c r="U3346">
        <v>0</v>
      </c>
      <c r="W3346" t="s">
        <v>52</v>
      </c>
    </row>
    <row r="3347" spans="1:23" x14ac:dyDescent="0.35">
      <c r="A3347" t="s">
        <v>45</v>
      </c>
      <c r="B3347" t="s">
        <v>6773</v>
      </c>
      <c r="C3347" t="s">
        <v>47</v>
      </c>
      <c r="D3347" t="s">
        <v>3634</v>
      </c>
      <c r="E3347" t="s">
        <v>3634</v>
      </c>
      <c r="F3347" t="s">
        <v>49</v>
      </c>
      <c r="G3347" t="s">
        <v>6784</v>
      </c>
      <c r="H3347" t="s">
        <v>6785</v>
      </c>
      <c r="J3347" t="str">
        <f>HYPERLINK("https://www.youtube.com/watch?v=L48LASyoHuE&amp;lc=UgwjClIU7C1CXU8UJ4N4AaABAg.9zjdJfmObmm9znWlRpx5Ag","https://www.youtube.com/watch?v=L48LASyoHuE&amp;lc=UgwjClIU7C1CXU8UJ4N4AaABAg.9zjdJfmObmm9znWlRpx5Ag")</f>
        <v>https://www.youtube.com/watch?v=L48LASyoHuE&amp;lc=UgwjClIU7C1CXU8UJ4N4AaABAg.9zjdJfmObmm9znWlRpx5Ag</v>
      </c>
      <c r="O3347">
        <v>0</v>
      </c>
      <c r="P3347">
        <v>0</v>
      </c>
      <c r="Q3347">
        <v>0</v>
      </c>
      <c r="S3347">
        <v>0</v>
      </c>
      <c r="T3347">
        <v>0</v>
      </c>
      <c r="U3347">
        <v>0</v>
      </c>
      <c r="W3347" t="s">
        <v>52</v>
      </c>
    </row>
    <row r="3348" spans="1:23" x14ac:dyDescent="0.35">
      <c r="A3348" t="s">
        <v>45</v>
      </c>
      <c r="B3348" t="s">
        <v>6773</v>
      </c>
      <c r="C3348" t="s">
        <v>60</v>
      </c>
      <c r="D3348" t="s">
        <v>61</v>
      </c>
      <c r="E3348" t="s">
        <v>61</v>
      </c>
      <c r="F3348" t="s">
        <v>49</v>
      </c>
      <c r="G3348" t="s">
        <v>6786</v>
      </c>
      <c r="H3348" t="s">
        <v>6787</v>
      </c>
      <c r="J3348" t="str">
        <f>HYPERLINK("https://www.facebook.com/634639855377280/posts/775671547940776?comment_id=1095588458546718","https://www.facebook.com/634639855377280/posts/775671547940776?comment_id=1095588458546718")</f>
        <v>https://www.facebook.com/634639855377280/posts/775671547940776?comment_id=1095588458546718</v>
      </c>
      <c r="O3348">
        <v>0</v>
      </c>
      <c r="P3348">
        <v>0</v>
      </c>
      <c r="Q3348">
        <v>0</v>
      </c>
      <c r="S3348">
        <v>0</v>
      </c>
      <c r="T3348">
        <v>0</v>
      </c>
      <c r="U3348">
        <v>0</v>
      </c>
      <c r="W3348" t="s">
        <v>52</v>
      </c>
    </row>
    <row r="3349" spans="1:23" x14ac:dyDescent="0.35">
      <c r="A3349" t="s">
        <v>45</v>
      </c>
      <c r="B3349" t="s">
        <v>6773</v>
      </c>
      <c r="C3349" t="s">
        <v>60</v>
      </c>
      <c r="D3349" t="s">
        <v>61</v>
      </c>
      <c r="E3349" t="s">
        <v>61</v>
      </c>
      <c r="F3349" t="s">
        <v>49</v>
      </c>
      <c r="G3349" t="s">
        <v>6788</v>
      </c>
      <c r="H3349" t="s">
        <v>6789</v>
      </c>
      <c r="J3349" t="str">
        <f>HYPERLINK("https://www.facebook.com/634639855377280/posts/774881771353087?comment_id=906651114441838","https://www.facebook.com/634639855377280/posts/774881771353087?comment_id=906651114441838")</f>
        <v>https://www.facebook.com/634639855377280/posts/774881771353087?comment_id=906651114441838</v>
      </c>
      <c r="O3349">
        <v>0</v>
      </c>
      <c r="P3349">
        <v>0</v>
      </c>
      <c r="Q3349">
        <v>0</v>
      </c>
      <c r="S3349">
        <v>0</v>
      </c>
      <c r="T3349">
        <v>0</v>
      </c>
      <c r="U3349">
        <v>0</v>
      </c>
      <c r="W3349" t="s">
        <v>52</v>
      </c>
    </row>
    <row r="3350" spans="1:23" x14ac:dyDescent="0.35">
      <c r="A3350" t="s">
        <v>45</v>
      </c>
      <c r="B3350" t="s">
        <v>6773</v>
      </c>
      <c r="C3350" t="s">
        <v>60</v>
      </c>
      <c r="D3350" t="s">
        <v>61</v>
      </c>
      <c r="E3350" t="s">
        <v>61</v>
      </c>
      <c r="F3350" t="s">
        <v>49</v>
      </c>
      <c r="G3350" t="s">
        <v>6790</v>
      </c>
      <c r="H3350" t="s">
        <v>6791</v>
      </c>
      <c r="J3350" t="str">
        <f>HYPERLINK("https://www.facebook.com/634639855377280/posts/774412801399984?comment_id=702432438699579","https://www.facebook.com/634639855377280/posts/774412801399984?comment_id=702432438699579")</f>
        <v>https://www.facebook.com/634639855377280/posts/774412801399984?comment_id=702432438699579</v>
      </c>
      <c r="O3350">
        <v>0</v>
      </c>
      <c r="P3350">
        <v>0</v>
      </c>
      <c r="Q3350">
        <v>0</v>
      </c>
      <c r="S3350">
        <v>0</v>
      </c>
      <c r="T3350">
        <v>0</v>
      </c>
      <c r="U3350">
        <v>0</v>
      </c>
      <c r="W3350" t="s">
        <v>52</v>
      </c>
    </row>
    <row r="3351" spans="1:23" x14ac:dyDescent="0.35">
      <c r="A3351" t="s">
        <v>45</v>
      </c>
      <c r="B3351" t="s">
        <v>6773</v>
      </c>
      <c r="C3351" t="s">
        <v>60</v>
      </c>
      <c r="D3351" t="s">
        <v>61</v>
      </c>
      <c r="E3351" t="s">
        <v>61</v>
      </c>
      <c r="F3351" t="s">
        <v>49</v>
      </c>
      <c r="G3351" t="s">
        <v>6792</v>
      </c>
      <c r="H3351" t="s">
        <v>6793</v>
      </c>
      <c r="J3351" t="str">
        <f>HYPERLINK("https://www.facebook.com/634639855377280/posts/774881771353087?comment_id=1061549851761846","https://www.facebook.com/634639855377280/posts/774881771353087?comment_id=1061549851761846")</f>
        <v>https://www.facebook.com/634639855377280/posts/774881771353087?comment_id=1061549851761846</v>
      </c>
      <c r="O3351">
        <v>0</v>
      </c>
      <c r="P3351">
        <v>0</v>
      </c>
      <c r="Q3351">
        <v>0</v>
      </c>
      <c r="S3351">
        <v>0</v>
      </c>
      <c r="T3351">
        <v>0</v>
      </c>
      <c r="U3351">
        <v>0</v>
      </c>
      <c r="W3351" t="s">
        <v>52</v>
      </c>
    </row>
    <row r="3352" spans="1:23" x14ac:dyDescent="0.35">
      <c r="A3352" t="s">
        <v>45</v>
      </c>
      <c r="B3352" t="s">
        <v>6773</v>
      </c>
      <c r="C3352" t="s">
        <v>60</v>
      </c>
      <c r="D3352" t="s">
        <v>61</v>
      </c>
      <c r="E3352" t="s">
        <v>61</v>
      </c>
      <c r="F3352" t="s">
        <v>49</v>
      </c>
      <c r="G3352" t="s">
        <v>6794</v>
      </c>
      <c r="H3352" t="s">
        <v>6795</v>
      </c>
      <c r="J3352" t="str">
        <f>HYPERLINK("https://www.facebook.com/634639855377280/posts/774483894726208?comment_id=188664647637912","https://www.facebook.com/634639855377280/posts/774483894726208?comment_id=188664647637912")</f>
        <v>https://www.facebook.com/634639855377280/posts/774483894726208?comment_id=188664647637912</v>
      </c>
      <c r="O3352">
        <v>0</v>
      </c>
      <c r="P3352">
        <v>0</v>
      </c>
      <c r="Q3352">
        <v>0</v>
      </c>
      <c r="S3352">
        <v>0</v>
      </c>
      <c r="T3352">
        <v>0</v>
      </c>
      <c r="U3352">
        <v>0</v>
      </c>
      <c r="W3352" t="s">
        <v>52</v>
      </c>
    </row>
    <row r="3353" spans="1:23" x14ac:dyDescent="0.35">
      <c r="A3353" t="s">
        <v>45</v>
      </c>
      <c r="B3353" t="s">
        <v>6773</v>
      </c>
      <c r="C3353" t="s">
        <v>47</v>
      </c>
      <c r="D3353" t="s">
        <v>6796</v>
      </c>
      <c r="E3353" t="s">
        <v>6796</v>
      </c>
      <c r="F3353" t="s">
        <v>49</v>
      </c>
      <c r="G3353" t="s">
        <v>6797</v>
      </c>
      <c r="H3353" t="s">
        <v>6798</v>
      </c>
      <c r="J3353" t="str">
        <f>HYPERLINK("https://www.youtube.com/watch?v=--SsTSqIa-4&amp;lc=Ugy-sE2nDlxjGuUjQf94AaABAg","https://www.youtube.com/watch?v=--SsTSqIa-4&amp;lc=Ugy-sE2nDlxjGuUjQf94AaABAg")</f>
        <v>https://www.youtube.com/watch?v=--SsTSqIa-4&amp;lc=Ugy-sE2nDlxjGuUjQf94AaABAg</v>
      </c>
      <c r="O3353">
        <v>0</v>
      </c>
      <c r="P3353">
        <v>0</v>
      </c>
      <c r="Q3353">
        <v>0</v>
      </c>
      <c r="S3353">
        <v>0</v>
      </c>
      <c r="T3353">
        <v>0</v>
      </c>
      <c r="U3353">
        <v>0</v>
      </c>
      <c r="W3353" t="s">
        <v>52</v>
      </c>
    </row>
    <row r="3354" spans="1:23" x14ac:dyDescent="0.35">
      <c r="A3354" t="s">
        <v>45</v>
      </c>
      <c r="B3354" t="s">
        <v>6773</v>
      </c>
      <c r="C3354" t="s">
        <v>60</v>
      </c>
      <c r="D3354" t="s">
        <v>61</v>
      </c>
      <c r="E3354" t="s">
        <v>61</v>
      </c>
      <c r="F3354" t="s">
        <v>49</v>
      </c>
      <c r="G3354" t="s">
        <v>6799</v>
      </c>
      <c r="H3354" t="s">
        <v>6800</v>
      </c>
      <c r="J3354" t="str">
        <f>HYPERLINK("https://www.facebook.com/634639855377280/posts/774950251346239?comment_id=219651007895564&amp;reply_comment_id=1079445353103574","https://www.facebook.com/634639855377280/posts/774950251346239?comment_id=219651007895564&amp;reply_comment_id=1079445353103574")</f>
        <v>https://www.facebook.com/634639855377280/posts/774950251346239?comment_id=219651007895564&amp;reply_comment_id=1079445353103574</v>
      </c>
      <c r="O3354">
        <v>0</v>
      </c>
      <c r="P3354">
        <v>0</v>
      </c>
      <c r="Q3354">
        <v>0</v>
      </c>
      <c r="S3354">
        <v>0</v>
      </c>
      <c r="T3354">
        <v>0</v>
      </c>
      <c r="U3354">
        <v>0</v>
      </c>
      <c r="W3354" t="s">
        <v>52</v>
      </c>
    </row>
    <row r="3355" spans="1:23" x14ac:dyDescent="0.35">
      <c r="A3355" t="s">
        <v>45</v>
      </c>
      <c r="B3355" t="s">
        <v>6773</v>
      </c>
      <c r="C3355" t="s">
        <v>93</v>
      </c>
      <c r="D3355" t="s">
        <v>5881</v>
      </c>
      <c r="E3355" t="s">
        <v>5882</v>
      </c>
      <c r="F3355" t="s">
        <v>193</v>
      </c>
      <c r="G3355" t="s">
        <v>6801</v>
      </c>
      <c r="H3355" t="s">
        <v>6802</v>
      </c>
      <c r="J3355" t="str">
        <f>HYPERLINK("https://twitter.com/santoshbha73771/status/1748701619175424352","https://twitter.com/santoshbha73771/status/1748701619175424352")</f>
        <v>https://twitter.com/santoshbha73771/status/1748701619175424352</v>
      </c>
      <c r="K3355" t="s">
        <v>67</v>
      </c>
      <c r="O3355">
        <v>0</v>
      </c>
      <c r="P3355">
        <v>0</v>
      </c>
      <c r="Q3355">
        <v>0</v>
      </c>
      <c r="S3355">
        <v>0</v>
      </c>
      <c r="T3355">
        <v>0</v>
      </c>
      <c r="U3355">
        <v>0</v>
      </c>
      <c r="W3355" t="s">
        <v>99</v>
      </c>
    </row>
    <row r="3356" spans="1:23" x14ac:dyDescent="0.35">
      <c r="A3356" t="s">
        <v>45</v>
      </c>
      <c r="B3356" t="s">
        <v>6773</v>
      </c>
      <c r="C3356" t="s">
        <v>60</v>
      </c>
      <c r="D3356" t="s">
        <v>61</v>
      </c>
      <c r="E3356" t="s">
        <v>61</v>
      </c>
      <c r="F3356" t="s">
        <v>49</v>
      </c>
      <c r="G3356" t="s">
        <v>6803</v>
      </c>
      <c r="H3356" t="s">
        <v>6804</v>
      </c>
      <c r="J3356" t="str">
        <f>HYPERLINK("https://www.facebook.com/634639855377280/posts/774483894726208?comment_id=368275185949981&amp;reply_comment_id=1338080573551810","https://www.facebook.com/634639855377280/posts/774483894726208?comment_id=368275185949981&amp;reply_comment_id=1338080573551810")</f>
        <v>https://www.facebook.com/634639855377280/posts/774483894726208?comment_id=368275185949981&amp;reply_comment_id=1338080573551810</v>
      </c>
      <c r="O3356">
        <v>0</v>
      </c>
      <c r="P3356">
        <v>0</v>
      </c>
      <c r="Q3356">
        <v>0</v>
      </c>
      <c r="S3356">
        <v>0</v>
      </c>
      <c r="T3356">
        <v>0</v>
      </c>
      <c r="U3356">
        <v>0</v>
      </c>
      <c r="W3356" t="s">
        <v>52</v>
      </c>
    </row>
    <row r="3357" spans="1:23" x14ac:dyDescent="0.35">
      <c r="A3357" t="s">
        <v>45</v>
      </c>
      <c r="B3357" t="s">
        <v>6773</v>
      </c>
      <c r="C3357" t="s">
        <v>60</v>
      </c>
      <c r="D3357" t="s">
        <v>61</v>
      </c>
      <c r="E3357" t="s">
        <v>61</v>
      </c>
      <c r="F3357" t="s">
        <v>49</v>
      </c>
      <c r="G3357">
        <v>7489626370</v>
      </c>
      <c r="H3357" t="s">
        <v>6805</v>
      </c>
      <c r="J3357" t="str">
        <f>HYPERLINK("https://www.facebook.com/634639855377280/posts/774483894726208?comment_id=368275185949981&amp;reply_comment_id=732245902194283","https://www.facebook.com/634639855377280/posts/774483894726208?comment_id=368275185949981&amp;reply_comment_id=732245902194283")</f>
        <v>https://www.facebook.com/634639855377280/posts/774483894726208?comment_id=368275185949981&amp;reply_comment_id=732245902194283</v>
      </c>
      <c r="O3357">
        <v>0</v>
      </c>
      <c r="P3357">
        <v>0</v>
      </c>
      <c r="Q3357">
        <v>0</v>
      </c>
      <c r="S3357">
        <v>0</v>
      </c>
      <c r="T3357">
        <v>0</v>
      </c>
      <c r="U3357">
        <v>0</v>
      </c>
      <c r="W3357" t="s">
        <v>52</v>
      </c>
    </row>
    <row r="3358" spans="1:23" x14ac:dyDescent="0.35">
      <c r="A3358" t="s">
        <v>45</v>
      </c>
      <c r="B3358" t="s">
        <v>6773</v>
      </c>
      <c r="C3358" t="s">
        <v>93</v>
      </c>
      <c r="D3358" t="s">
        <v>2718</v>
      </c>
      <c r="E3358" t="s">
        <v>2719</v>
      </c>
      <c r="F3358" t="s">
        <v>49</v>
      </c>
      <c r="G3358" t="s">
        <v>6806</v>
      </c>
      <c r="H3358" t="s">
        <v>6807</v>
      </c>
      <c r="J3358" t="str">
        <f>HYPERLINK("https://twitter.com/TinkuYadav9334/status/1748689577421029403","https://twitter.com/TinkuYadav9334/status/1748689577421029403")</f>
        <v>https://twitter.com/TinkuYadav9334/status/1748689577421029403</v>
      </c>
      <c r="K3358" t="s">
        <v>67</v>
      </c>
      <c r="O3358">
        <v>0</v>
      </c>
      <c r="P3358">
        <v>0</v>
      </c>
      <c r="Q3358">
        <v>2</v>
      </c>
      <c r="R3358" t="s">
        <v>2722</v>
      </c>
      <c r="S3358">
        <v>0</v>
      </c>
      <c r="T3358">
        <v>0</v>
      </c>
      <c r="U3358">
        <v>0</v>
      </c>
      <c r="W3358" t="s">
        <v>99</v>
      </c>
    </row>
    <row r="3359" spans="1:23" x14ac:dyDescent="0.35">
      <c r="A3359" t="s">
        <v>45</v>
      </c>
      <c r="B3359" t="s">
        <v>6773</v>
      </c>
      <c r="C3359" t="s">
        <v>93</v>
      </c>
      <c r="D3359" t="s">
        <v>94</v>
      </c>
      <c r="E3359" t="s">
        <v>45</v>
      </c>
      <c r="F3359" t="s">
        <v>49</v>
      </c>
      <c r="G3359" t="s">
        <v>2723</v>
      </c>
      <c r="H3359" t="s">
        <v>6808</v>
      </c>
      <c r="J3359" t="str">
        <f>HYPERLINK("https://twitter.com/SpiceMoneyIndia/status/1748687959539302881","https://twitter.com/SpiceMoneyIndia/status/1748687959539302881")</f>
        <v>https://twitter.com/SpiceMoneyIndia/status/1748687959539302881</v>
      </c>
      <c r="K3359" t="s">
        <v>67</v>
      </c>
      <c r="O3359">
        <v>0</v>
      </c>
      <c r="P3359">
        <v>0</v>
      </c>
      <c r="Q3359">
        <v>6004</v>
      </c>
      <c r="R3359" t="s">
        <v>97</v>
      </c>
      <c r="S3359">
        <v>0</v>
      </c>
      <c r="T3359">
        <v>0</v>
      </c>
      <c r="U3359">
        <v>0</v>
      </c>
      <c r="V3359" t="s">
        <v>98</v>
      </c>
      <c r="W3359" t="s">
        <v>99</v>
      </c>
    </row>
    <row r="3360" spans="1:23" x14ac:dyDescent="0.35">
      <c r="A3360" t="s">
        <v>45</v>
      </c>
      <c r="B3360" t="s">
        <v>6773</v>
      </c>
      <c r="C3360" t="s">
        <v>60</v>
      </c>
      <c r="D3360" t="s">
        <v>64</v>
      </c>
      <c r="E3360" t="s">
        <v>64</v>
      </c>
      <c r="F3360" t="s">
        <v>49</v>
      </c>
      <c r="G3360" t="s">
        <v>100</v>
      </c>
      <c r="H3360" t="s">
        <v>6809</v>
      </c>
      <c r="J3360" t="str">
        <f>HYPERLINK("https://www.facebook.com/634639855377280/posts/774483894726208?comment_id=364252649656581&amp;reply_comment_id=757866399708738","https://www.facebook.com/634639855377280/posts/774483894726208?comment_id=364252649656581&amp;reply_comment_id=757866399708738")</f>
        <v>https://www.facebook.com/634639855377280/posts/774483894726208?comment_id=364252649656581&amp;reply_comment_id=757866399708738</v>
      </c>
      <c r="K3360" t="s">
        <v>67</v>
      </c>
      <c r="O3360">
        <v>0</v>
      </c>
      <c r="P3360">
        <v>0</v>
      </c>
      <c r="Q3360">
        <v>0</v>
      </c>
      <c r="S3360">
        <v>0</v>
      </c>
      <c r="T3360">
        <v>0</v>
      </c>
      <c r="U3360">
        <v>0</v>
      </c>
      <c r="W3360" t="s">
        <v>52</v>
      </c>
    </row>
    <row r="3361" spans="1:23" x14ac:dyDescent="0.35">
      <c r="A3361" t="s">
        <v>45</v>
      </c>
      <c r="B3361" t="s">
        <v>6773</v>
      </c>
      <c r="C3361" t="s">
        <v>93</v>
      </c>
      <c r="D3361" t="s">
        <v>94</v>
      </c>
      <c r="E3361" t="s">
        <v>45</v>
      </c>
      <c r="F3361" t="s">
        <v>49</v>
      </c>
      <c r="G3361" t="s">
        <v>6810</v>
      </c>
      <c r="H3361" t="s">
        <v>6811</v>
      </c>
      <c r="J3361" t="str">
        <f>HYPERLINK("https://twitter.com/SpiceMoneyIndia/status/1748687591010873391","https://twitter.com/SpiceMoneyIndia/status/1748687591010873391")</f>
        <v>https://twitter.com/SpiceMoneyIndia/status/1748687591010873391</v>
      </c>
      <c r="K3361" t="s">
        <v>67</v>
      </c>
      <c r="O3361">
        <v>0</v>
      </c>
      <c r="P3361">
        <v>0</v>
      </c>
      <c r="Q3361">
        <v>6004</v>
      </c>
      <c r="R3361" t="s">
        <v>97</v>
      </c>
      <c r="S3361">
        <v>0</v>
      </c>
      <c r="T3361">
        <v>0</v>
      </c>
      <c r="U3361">
        <v>0</v>
      </c>
      <c r="V3361" t="s">
        <v>98</v>
      </c>
      <c r="W3361" t="s">
        <v>99</v>
      </c>
    </row>
    <row r="3362" spans="1:23" x14ac:dyDescent="0.35">
      <c r="A3362" t="s">
        <v>45</v>
      </c>
      <c r="B3362" t="s">
        <v>6773</v>
      </c>
      <c r="C3362" t="s">
        <v>60</v>
      </c>
      <c r="D3362" t="s">
        <v>64</v>
      </c>
      <c r="E3362" t="s">
        <v>64</v>
      </c>
      <c r="F3362" t="s">
        <v>49</v>
      </c>
      <c r="G3362" t="s">
        <v>100</v>
      </c>
      <c r="H3362" t="s">
        <v>6812</v>
      </c>
      <c r="J3362" t="str">
        <f>HYPERLINK("https://www.facebook.com/634639855377280/posts/774881771353087?comment_id=1356599798328357&amp;reply_comment_id=692012956452857","https://www.facebook.com/634639855377280/posts/774881771353087?comment_id=1356599798328357&amp;reply_comment_id=692012956452857")</f>
        <v>https://www.facebook.com/634639855377280/posts/774881771353087?comment_id=1356599798328357&amp;reply_comment_id=692012956452857</v>
      </c>
      <c r="K3362" t="s">
        <v>67</v>
      </c>
      <c r="O3362">
        <v>0</v>
      </c>
      <c r="P3362">
        <v>0</v>
      </c>
      <c r="Q3362">
        <v>0</v>
      </c>
      <c r="S3362">
        <v>0</v>
      </c>
      <c r="T3362">
        <v>0</v>
      </c>
      <c r="U3362">
        <v>0</v>
      </c>
      <c r="W3362" t="s">
        <v>52</v>
      </c>
    </row>
    <row r="3363" spans="1:23" x14ac:dyDescent="0.35">
      <c r="A3363" t="s">
        <v>45</v>
      </c>
      <c r="B3363" t="s">
        <v>6773</v>
      </c>
      <c r="C3363" t="s">
        <v>60</v>
      </c>
      <c r="D3363" t="s">
        <v>64</v>
      </c>
      <c r="E3363" t="s">
        <v>64</v>
      </c>
      <c r="F3363" t="s">
        <v>49</v>
      </c>
      <c r="G3363" t="s">
        <v>3138</v>
      </c>
      <c r="H3363" t="s">
        <v>6813</v>
      </c>
      <c r="J3363" t="str">
        <f>HYPERLINK("https://www.facebook.com/634639855377280/posts/774483894726208?comment_id=368275185949981&amp;reply_comment_id=1456276281631386","https://www.facebook.com/634639855377280/posts/774483894726208?comment_id=368275185949981&amp;reply_comment_id=1456276281631386")</f>
        <v>https://www.facebook.com/634639855377280/posts/774483894726208?comment_id=368275185949981&amp;reply_comment_id=1456276281631386</v>
      </c>
      <c r="K3363" t="s">
        <v>67</v>
      </c>
      <c r="O3363">
        <v>0</v>
      </c>
      <c r="P3363">
        <v>0</v>
      </c>
      <c r="Q3363">
        <v>0</v>
      </c>
      <c r="S3363">
        <v>0</v>
      </c>
      <c r="T3363">
        <v>0</v>
      </c>
      <c r="U3363">
        <v>0</v>
      </c>
      <c r="W3363" t="s">
        <v>52</v>
      </c>
    </row>
    <row r="3364" spans="1:23" x14ac:dyDescent="0.35">
      <c r="A3364" t="s">
        <v>45</v>
      </c>
      <c r="B3364" t="s">
        <v>6773</v>
      </c>
      <c r="C3364" t="s">
        <v>93</v>
      </c>
      <c r="D3364" t="s">
        <v>94</v>
      </c>
      <c r="E3364" t="s">
        <v>45</v>
      </c>
      <c r="F3364" t="s">
        <v>49</v>
      </c>
      <c r="G3364" t="s">
        <v>6814</v>
      </c>
      <c r="H3364" t="s">
        <v>6815</v>
      </c>
      <c r="J3364" t="str">
        <f>HYPERLINK("https://twitter.com/SpiceMoneyIndia/status/1748686732172619999","https://twitter.com/SpiceMoneyIndia/status/1748686732172619999")</f>
        <v>https://twitter.com/SpiceMoneyIndia/status/1748686732172619999</v>
      </c>
      <c r="K3364" t="s">
        <v>67</v>
      </c>
      <c r="O3364">
        <v>0</v>
      </c>
      <c r="P3364">
        <v>0</v>
      </c>
      <c r="Q3364">
        <v>6004</v>
      </c>
      <c r="R3364" t="s">
        <v>97</v>
      </c>
      <c r="S3364">
        <v>0</v>
      </c>
      <c r="T3364">
        <v>0</v>
      </c>
      <c r="U3364">
        <v>0</v>
      </c>
      <c r="V3364" t="s">
        <v>98</v>
      </c>
      <c r="W3364" t="s">
        <v>99</v>
      </c>
    </row>
    <row r="3365" spans="1:23" x14ac:dyDescent="0.35">
      <c r="A3365" t="s">
        <v>45</v>
      </c>
      <c r="B3365" t="s">
        <v>6773</v>
      </c>
      <c r="C3365" t="s">
        <v>93</v>
      </c>
      <c r="D3365" t="s">
        <v>2718</v>
      </c>
      <c r="E3365" t="s">
        <v>2719</v>
      </c>
      <c r="F3365" t="s">
        <v>49</v>
      </c>
      <c r="G3365" t="s">
        <v>6816</v>
      </c>
      <c r="H3365" t="s">
        <v>6817</v>
      </c>
      <c r="J3365" t="str">
        <f>HYPERLINK("https://twitter.com/TinkuYadav9334/status/1748686687180595248","https://twitter.com/TinkuYadav9334/status/1748686687180595248")</f>
        <v>https://twitter.com/TinkuYadav9334/status/1748686687180595248</v>
      </c>
      <c r="K3365" t="s">
        <v>67</v>
      </c>
      <c r="O3365">
        <v>0</v>
      </c>
      <c r="P3365">
        <v>0</v>
      </c>
      <c r="Q3365">
        <v>2</v>
      </c>
      <c r="R3365" t="s">
        <v>2722</v>
      </c>
      <c r="S3365">
        <v>0</v>
      </c>
      <c r="T3365">
        <v>0</v>
      </c>
      <c r="U3365">
        <v>0</v>
      </c>
      <c r="W3365" t="s">
        <v>99</v>
      </c>
    </row>
    <row r="3366" spans="1:23" x14ac:dyDescent="0.35">
      <c r="A3366" t="s">
        <v>45</v>
      </c>
      <c r="B3366" t="s">
        <v>6773</v>
      </c>
      <c r="C3366" t="s">
        <v>60</v>
      </c>
      <c r="D3366" t="s">
        <v>64</v>
      </c>
      <c r="E3366" t="s">
        <v>64</v>
      </c>
      <c r="F3366" t="s">
        <v>49</v>
      </c>
      <c r="G3366" t="s">
        <v>100</v>
      </c>
      <c r="H3366" t="s">
        <v>6818</v>
      </c>
      <c r="J3366" t="str">
        <f>HYPERLINK("https://www.facebook.com/634639855377280/posts/774483894726208?comment_id=1381887022533797&amp;reply_comment_id=1047526239657836","https://www.facebook.com/634639855377280/posts/774483894726208?comment_id=1381887022533797&amp;reply_comment_id=1047526239657836")</f>
        <v>https://www.facebook.com/634639855377280/posts/774483894726208?comment_id=1381887022533797&amp;reply_comment_id=1047526239657836</v>
      </c>
      <c r="K3366" t="s">
        <v>67</v>
      </c>
      <c r="O3366">
        <v>0</v>
      </c>
      <c r="P3366">
        <v>0</v>
      </c>
      <c r="Q3366">
        <v>0</v>
      </c>
      <c r="S3366">
        <v>0</v>
      </c>
      <c r="T3366">
        <v>0</v>
      </c>
      <c r="U3366">
        <v>0</v>
      </c>
      <c r="W3366" t="s">
        <v>52</v>
      </c>
    </row>
    <row r="3367" spans="1:23" x14ac:dyDescent="0.35">
      <c r="A3367" t="s">
        <v>45</v>
      </c>
      <c r="B3367" t="s">
        <v>6773</v>
      </c>
      <c r="C3367" t="s">
        <v>60</v>
      </c>
      <c r="D3367" t="s">
        <v>64</v>
      </c>
      <c r="E3367" t="s">
        <v>64</v>
      </c>
      <c r="F3367" t="s">
        <v>49</v>
      </c>
      <c r="G3367" t="s">
        <v>454</v>
      </c>
      <c r="H3367" t="s">
        <v>6819</v>
      </c>
      <c r="J3367" t="str">
        <f>HYPERLINK("https://www.facebook.com/634639855377280/posts/774483894726208?comment_id=1091835072007916&amp;reply_comment_id=926957792415214","https://www.facebook.com/634639855377280/posts/774483894726208?comment_id=1091835072007916&amp;reply_comment_id=926957792415214")</f>
        <v>https://www.facebook.com/634639855377280/posts/774483894726208?comment_id=1091835072007916&amp;reply_comment_id=926957792415214</v>
      </c>
      <c r="K3367" t="s">
        <v>67</v>
      </c>
      <c r="O3367">
        <v>0</v>
      </c>
      <c r="P3367">
        <v>0</v>
      </c>
      <c r="Q3367">
        <v>0</v>
      </c>
      <c r="S3367">
        <v>0</v>
      </c>
      <c r="T3367">
        <v>0</v>
      </c>
      <c r="U3367">
        <v>0</v>
      </c>
      <c r="W3367" t="s">
        <v>52</v>
      </c>
    </row>
    <row r="3368" spans="1:23" x14ac:dyDescent="0.35">
      <c r="A3368" t="s">
        <v>45</v>
      </c>
      <c r="B3368" t="s">
        <v>6773</v>
      </c>
      <c r="C3368" t="s">
        <v>60</v>
      </c>
      <c r="D3368" t="s">
        <v>64</v>
      </c>
      <c r="E3368" t="s">
        <v>64</v>
      </c>
      <c r="F3368" t="s">
        <v>49</v>
      </c>
      <c r="G3368" t="s">
        <v>100</v>
      </c>
      <c r="H3368" t="s">
        <v>6820</v>
      </c>
      <c r="J3368" t="str">
        <f>HYPERLINK("https://www.facebook.com/634639855377280/posts/773764291464835?comment_id=406117425171192&amp;reply_comment_id=835253148289073","https://www.facebook.com/634639855377280/posts/773764291464835?comment_id=406117425171192&amp;reply_comment_id=835253148289073")</f>
        <v>https://www.facebook.com/634639855377280/posts/773764291464835?comment_id=406117425171192&amp;reply_comment_id=835253148289073</v>
      </c>
      <c r="K3368" t="s">
        <v>67</v>
      </c>
      <c r="O3368">
        <v>0</v>
      </c>
      <c r="P3368">
        <v>0</v>
      </c>
      <c r="Q3368">
        <v>0</v>
      </c>
      <c r="S3368">
        <v>0</v>
      </c>
      <c r="T3368">
        <v>0</v>
      </c>
      <c r="U3368">
        <v>0</v>
      </c>
      <c r="W3368" t="s">
        <v>52</v>
      </c>
    </row>
    <row r="3369" spans="1:23" x14ac:dyDescent="0.35">
      <c r="A3369" t="s">
        <v>45</v>
      </c>
      <c r="B3369" t="s">
        <v>6773</v>
      </c>
      <c r="C3369" t="s">
        <v>93</v>
      </c>
      <c r="D3369" t="s">
        <v>94</v>
      </c>
      <c r="E3369" t="s">
        <v>45</v>
      </c>
      <c r="F3369" t="s">
        <v>49</v>
      </c>
      <c r="G3369" t="s">
        <v>6821</v>
      </c>
      <c r="H3369" t="s">
        <v>6822</v>
      </c>
      <c r="J3369" t="str">
        <f>HYPERLINK("https://twitter.com/SpiceMoneyIndia/status/1748686033414230066","https://twitter.com/SpiceMoneyIndia/status/1748686033414230066")</f>
        <v>https://twitter.com/SpiceMoneyIndia/status/1748686033414230066</v>
      </c>
      <c r="K3369" t="s">
        <v>67</v>
      </c>
      <c r="O3369">
        <v>0</v>
      </c>
      <c r="P3369">
        <v>0</v>
      </c>
      <c r="Q3369">
        <v>6004</v>
      </c>
      <c r="R3369" t="s">
        <v>97</v>
      </c>
      <c r="S3369">
        <v>0</v>
      </c>
      <c r="T3369">
        <v>0</v>
      </c>
      <c r="U3369">
        <v>0</v>
      </c>
      <c r="V3369" t="s">
        <v>98</v>
      </c>
      <c r="W3369" t="s">
        <v>99</v>
      </c>
    </row>
    <row r="3370" spans="1:23" x14ac:dyDescent="0.35">
      <c r="A3370" t="s">
        <v>45</v>
      </c>
      <c r="B3370" t="s">
        <v>6773</v>
      </c>
      <c r="C3370" t="s">
        <v>93</v>
      </c>
      <c r="D3370" t="s">
        <v>94</v>
      </c>
      <c r="E3370" t="s">
        <v>45</v>
      </c>
      <c r="F3370" t="s">
        <v>49</v>
      </c>
      <c r="G3370" t="s">
        <v>6823</v>
      </c>
      <c r="H3370" t="s">
        <v>6824</v>
      </c>
      <c r="J3370" t="str">
        <f>HYPERLINK("https://twitter.com/SpiceMoneyIndia/status/1748685632619098221","https://twitter.com/SpiceMoneyIndia/status/1748685632619098221")</f>
        <v>https://twitter.com/SpiceMoneyIndia/status/1748685632619098221</v>
      </c>
      <c r="K3370" t="s">
        <v>67</v>
      </c>
      <c r="O3370">
        <v>0</v>
      </c>
      <c r="P3370">
        <v>0</v>
      </c>
      <c r="Q3370">
        <v>6003</v>
      </c>
      <c r="R3370" t="s">
        <v>97</v>
      </c>
      <c r="S3370">
        <v>0</v>
      </c>
      <c r="T3370">
        <v>0</v>
      </c>
      <c r="U3370">
        <v>0</v>
      </c>
      <c r="V3370" t="s">
        <v>98</v>
      </c>
      <c r="W3370" t="s">
        <v>99</v>
      </c>
    </row>
    <row r="3371" spans="1:23" x14ac:dyDescent="0.35">
      <c r="A3371" t="s">
        <v>45</v>
      </c>
      <c r="B3371" t="s">
        <v>6773</v>
      </c>
      <c r="C3371" t="s">
        <v>60</v>
      </c>
      <c r="D3371" t="s">
        <v>61</v>
      </c>
      <c r="E3371" t="s">
        <v>61</v>
      </c>
      <c r="F3371" t="s">
        <v>49</v>
      </c>
      <c r="G3371" t="s">
        <v>6825</v>
      </c>
      <c r="H3371" t="s">
        <v>6826</v>
      </c>
      <c r="J3371" t="str">
        <f>HYPERLINK("https://www.facebook.com/634639855377280/posts/773764291464835?comment_id=406117425171192","https://www.facebook.com/634639855377280/posts/773764291464835?comment_id=406117425171192")</f>
        <v>https://www.facebook.com/634639855377280/posts/773764291464835?comment_id=406117425171192</v>
      </c>
      <c r="O3371">
        <v>0</v>
      </c>
      <c r="P3371">
        <v>0</v>
      </c>
      <c r="Q3371">
        <v>0</v>
      </c>
      <c r="S3371">
        <v>0</v>
      </c>
      <c r="T3371">
        <v>0</v>
      </c>
      <c r="U3371">
        <v>0</v>
      </c>
      <c r="W3371" t="s">
        <v>52</v>
      </c>
    </row>
    <row r="3372" spans="1:23" x14ac:dyDescent="0.35">
      <c r="A3372" t="s">
        <v>45</v>
      </c>
      <c r="B3372" t="s">
        <v>6773</v>
      </c>
      <c r="C3372" t="s">
        <v>60</v>
      </c>
      <c r="D3372" t="s">
        <v>64</v>
      </c>
      <c r="E3372" t="s">
        <v>64</v>
      </c>
      <c r="F3372" t="s">
        <v>49</v>
      </c>
      <c r="G3372" t="s">
        <v>3773</v>
      </c>
      <c r="H3372" t="s">
        <v>6827</v>
      </c>
      <c r="J3372" t="str">
        <f>HYPERLINK("https://www.facebook.com/634639855377280/posts/775671547940776?comment_id=2131113880561307&amp;reply_comment_id=344227755199303","https://www.facebook.com/634639855377280/posts/775671547940776?comment_id=2131113880561307&amp;reply_comment_id=344227755199303")</f>
        <v>https://www.facebook.com/634639855377280/posts/775671547940776?comment_id=2131113880561307&amp;reply_comment_id=344227755199303</v>
      </c>
      <c r="K3372" t="s">
        <v>67</v>
      </c>
      <c r="O3372">
        <v>0</v>
      </c>
      <c r="P3372">
        <v>0</v>
      </c>
      <c r="Q3372">
        <v>0</v>
      </c>
      <c r="S3372">
        <v>0</v>
      </c>
      <c r="T3372">
        <v>0</v>
      </c>
      <c r="U3372">
        <v>0</v>
      </c>
      <c r="W3372" t="s">
        <v>52</v>
      </c>
    </row>
    <row r="3373" spans="1:23" x14ac:dyDescent="0.35">
      <c r="A3373" t="s">
        <v>45</v>
      </c>
      <c r="B3373" t="s">
        <v>6773</v>
      </c>
      <c r="C3373" t="s">
        <v>60</v>
      </c>
      <c r="D3373" t="s">
        <v>64</v>
      </c>
      <c r="E3373" t="s">
        <v>64</v>
      </c>
      <c r="F3373" t="s">
        <v>49</v>
      </c>
      <c r="G3373" t="s">
        <v>3773</v>
      </c>
      <c r="H3373" t="s">
        <v>6828</v>
      </c>
      <c r="J3373" t="str">
        <f>HYPERLINK("https://www.facebook.com/634639855377280/posts/775589934615604?comment_id=2400878396776775&amp;reply_comment_id=1338975293451160","https://www.facebook.com/634639855377280/posts/775589934615604?comment_id=2400878396776775&amp;reply_comment_id=1338975293451160")</f>
        <v>https://www.facebook.com/634639855377280/posts/775589934615604?comment_id=2400878396776775&amp;reply_comment_id=1338975293451160</v>
      </c>
      <c r="K3373" t="s">
        <v>67</v>
      </c>
      <c r="O3373">
        <v>0</v>
      </c>
      <c r="P3373">
        <v>0</v>
      </c>
      <c r="Q3373">
        <v>0</v>
      </c>
      <c r="S3373">
        <v>0</v>
      </c>
      <c r="T3373">
        <v>0</v>
      </c>
      <c r="U3373">
        <v>0</v>
      </c>
      <c r="W3373" t="s">
        <v>52</v>
      </c>
    </row>
    <row r="3374" spans="1:23" x14ac:dyDescent="0.35">
      <c r="A3374" t="s">
        <v>45</v>
      </c>
      <c r="B3374" t="s">
        <v>6773</v>
      </c>
      <c r="C3374" t="s">
        <v>60</v>
      </c>
      <c r="D3374" t="s">
        <v>64</v>
      </c>
      <c r="E3374" t="s">
        <v>64</v>
      </c>
      <c r="F3374" t="s">
        <v>49</v>
      </c>
      <c r="G3374" t="s">
        <v>2766</v>
      </c>
      <c r="H3374" t="s">
        <v>6829</v>
      </c>
      <c r="J3374" t="str">
        <f>HYPERLINK("https://www.facebook.com/634639855377280/posts/775671547940776?comment_id=617633110477977&amp;reply_comment_id=719278196623698","https://www.facebook.com/634639855377280/posts/775671547940776?comment_id=617633110477977&amp;reply_comment_id=719278196623698")</f>
        <v>https://www.facebook.com/634639855377280/posts/775671547940776?comment_id=617633110477977&amp;reply_comment_id=719278196623698</v>
      </c>
      <c r="K3374" t="s">
        <v>67</v>
      </c>
      <c r="O3374">
        <v>0</v>
      </c>
      <c r="P3374">
        <v>0</v>
      </c>
      <c r="Q3374">
        <v>0</v>
      </c>
      <c r="S3374">
        <v>0</v>
      </c>
      <c r="T3374">
        <v>0</v>
      </c>
      <c r="U3374">
        <v>0</v>
      </c>
      <c r="W3374" t="s">
        <v>52</v>
      </c>
    </row>
    <row r="3375" spans="1:23" x14ac:dyDescent="0.35">
      <c r="A3375" t="s">
        <v>45</v>
      </c>
      <c r="B3375" t="s">
        <v>6773</v>
      </c>
      <c r="C3375" t="s">
        <v>60</v>
      </c>
      <c r="D3375" t="s">
        <v>64</v>
      </c>
      <c r="E3375" t="s">
        <v>64</v>
      </c>
      <c r="F3375" t="s">
        <v>49</v>
      </c>
      <c r="G3375" t="s">
        <v>100</v>
      </c>
      <c r="H3375" t="s">
        <v>6830</v>
      </c>
      <c r="J3375" t="str">
        <f>HYPERLINK("https://www.facebook.com/634639855377280/posts/774483894726208?comment_id=772463498243763&amp;reply_comment_id=1043297900070625","https://www.facebook.com/634639855377280/posts/774483894726208?comment_id=772463498243763&amp;reply_comment_id=1043297900070625")</f>
        <v>https://www.facebook.com/634639855377280/posts/774483894726208?comment_id=772463498243763&amp;reply_comment_id=1043297900070625</v>
      </c>
      <c r="K3375" t="s">
        <v>67</v>
      </c>
      <c r="O3375">
        <v>0</v>
      </c>
      <c r="P3375">
        <v>0</v>
      </c>
      <c r="Q3375">
        <v>0</v>
      </c>
      <c r="S3375">
        <v>0</v>
      </c>
      <c r="T3375">
        <v>0</v>
      </c>
      <c r="U3375">
        <v>0</v>
      </c>
      <c r="W3375" t="s">
        <v>52</v>
      </c>
    </row>
    <row r="3376" spans="1:23" x14ac:dyDescent="0.35">
      <c r="A3376" t="s">
        <v>45</v>
      </c>
      <c r="B3376" t="s">
        <v>6773</v>
      </c>
      <c r="C3376" t="s">
        <v>60</v>
      </c>
      <c r="D3376" t="s">
        <v>64</v>
      </c>
      <c r="E3376" t="s">
        <v>64</v>
      </c>
      <c r="F3376" t="s">
        <v>49</v>
      </c>
      <c r="G3376" t="s">
        <v>83</v>
      </c>
      <c r="H3376" t="s">
        <v>6831</v>
      </c>
      <c r="J3376" t="str">
        <f>HYPERLINK("https://www.facebook.com/634639855377280/posts/773764291464835?comment_id=1256800682389694&amp;reply_comment_id=1143508120344029","https://www.facebook.com/634639855377280/posts/773764291464835?comment_id=1256800682389694&amp;reply_comment_id=1143508120344029")</f>
        <v>https://www.facebook.com/634639855377280/posts/773764291464835?comment_id=1256800682389694&amp;reply_comment_id=1143508120344029</v>
      </c>
      <c r="K3376" t="s">
        <v>67</v>
      </c>
      <c r="O3376">
        <v>0</v>
      </c>
      <c r="P3376">
        <v>0</v>
      </c>
      <c r="Q3376">
        <v>0</v>
      </c>
      <c r="S3376">
        <v>0</v>
      </c>
      <c r="T3376">
        <v>0</v>
      </c>
      <c r="U3376">
        <v>0</v>
      </c>
      <c r="W3376" t="s">
        <v>52</v>
      </c>
    </row>
    <row r="3377" spans="1:23" x14ac:dyDescent="0.35">
      <c r="A3377" t="s">
        <v>45</v>
      </c>
      <c r="B3377" t="s">
        <v>6773</v>
      </c>
      <c r="C3377" t="s">
        <v>60</v>
      </c>
      <c r="D3377" t="s">
        <v>64</v>
      </c>
      <c r="E3377" t="s">
        <v>64</v>
      </c>
      <c r="F3377" t="s">
        <v>49</v>
      </c>
      <c r="G3377" t="s">
        <v>100</v>
      </c>
      <c r="H3377" t="s">
        <v>6832</v>
      </c>
      <c r="J3377" t="str">
        <f>HYPERLINK("https://www.facebook.com/634639855377280/posts/774412801399984?comment_id=1083199186440179&amp;reply_comment_id=928609418623871","https://www.facebook.com/634639855377280/posts/774412801399984?comment_id=1083199186440179&amp;reply_comment_id=928609418623871")</f>
        <v>https://www.facebook.com/634639855377280/posts/774412801399984?comment_id=1083199186440179&amp;reply_comment_id=928609418623871</v>
      </c>
      <c r="K3377" t="s">
        <v>67</v>
      </c>
      <c r="O3377">
        <v>0</v>
      </c>
      <c r="P3377">
        <v>0</v>
      </c>
      <c r="Q3377">
        <v>0</v>
      </c>
      <c r="S3377">
        <v>0</v>
      </c>
      <c r="T3377">
        <v>0</v>
      </c>
      <c r="U3377">
        <v>0</v>
      </c>
      <c r="W3377" t="s">
        <v>52</v>
      </c>
    </row>
    <row r="3378" spans="1:23" x14ac:dyDescent="0.35">
      <c r="A3378" t="s">
        <v>45</v>
      </c>
      <c r="B3378" t="s">
        <v>6773</v>
      </c>
      <c r="C3378" t="s">
        <v>60</v>
      </c>
      <c r="D3378" t="s">
        <v>64</v>
      </c>
      <c r="E3378" t="s">
        <v>64</v>
      </c>
      <c r="F3378" t="s">
        <v>49</v>
      </c>
      <c r="G3378" t="s">
        <v>380</v>
      </c>
      <c r="H3378" t="s">
        <v>6833</v>
      </c>
      <c r="J3378" t="str">
        <f>HYPERLINK("https://www.facebook.com/634639855377280/posts/774483894726208?comment_id=1303146163713756&amp;reply_comment_id=1651617352329403","https://www.facebook.com/634639855377280/posts/774483894726208?comment_id=1303146163713756&amp;reply_comment_id=1651617352329403")</f>
        <v>https://www.facebook.com/634639855377280/posts/774483894726208?comment_id=1303146163713756&amp;reply_comment_id=1651617352329403</v>
      </c>
      <c r="K3378" t="s">
        <v>67</v>
      </c>
      <c r="O3378">
        <v>0</v>
      </c>
      <c r="P3378">
        <v>0</v>
      </c>
      <c r="Q3378">
        <v>0</v>
      </c>
      <c r="S3378">
        <v>0</v>
      </c>
      <c r="T3378">
        <v>0</v>
      </c>
      <c r="U3378">
        <v>0</v>
      </c>
      <c r="W3378" t="s">
        <v>52</v>
      </c>
    </row>
    <row r="3379" spans="1:23" x14ac:dyDescent="0.35">
      <c r="A3379" t="s">
        <v>45</v>
      </c>
      <c r="B3379" t="s">
        <v>6773</v>
      </c>
      <c r="C3379" t="s">
        <v>93</v>
      </c>
      <c r="D3379" t="s">
        <v>94</v>
      </c>
      <c r="E3379" t="s">
        <v>45</v>
      </c>
      <c r="F3379" t="s">
        <v>49</v>
      </c>
      <c r="G3379" t="s">
        <v>6834</v>
      </c>
      <c r="H3379" t="s">
        <v>6835</v>
      </c>
      <c r="J3379" t="str">
        <f>HYPERLINK("https://twitter.com/SpiceMoneyIndia/status/1748682371908378810","https://twitter.com/SpiceMoneyIndia/status/1748682371908378810")</f>
        <v>https://twitter.com/SpiceMoneyIndia/status/1748682371908378810</v>
      </c>
      <c r="K3379" t="s">
        <v>67</v>
      </c>
      <c r="O3379">
        <v>0</v>
      </c>
      <c r="P3379">
        <v>0</v>
      </c>
      <c r="Q3379">
        <v>6003</v>
      </c>
      <c r="R3379" t="s">
        <v>97</v>
      </c>
      <c r="S3379">
        <v>0</v>
      </c>
      <c r="T3379">
        <v>0</v>
      </c>
      <c r="U3379">
        <v>0</v>
      </c>
      <c r="V3379" t="s">
        <v>98</v>
      </c>
      <c r="W3379" t="s">
        <v>99</v>
      </c>
    </row>
    <row r="3380" spans="1:23" x14ac:dyDescent="0.35">
      <c r="A3380" t="s">
        <v>45</v>
      </c>
      <c r="B3380" t="s">
        <v>6773</v>
      </c>
      <c r="C3380" t="s">
        <v>60</v>
      </c>
      <c r="D3380" t="s">
        <v>64</v>
      </c>
      <c r="E3380" t="s">
        <v>64</v>
      </c>
      <c r="F3380" t="s">
        <v>49</v>
      </c>
      <c r="G3380" t="s">
        <v>6836</v>
      </c>
      <c r="H3380" t="s">
        <v>6837</v>
      </c>
      <c r="J3380" t="str">
        <f>HYPERLINK("https://www.facebook.com/634639855377280/posts/772618101579454?comment_id=7367358720016174&amp;reply_comment_id=1103536574000482","https://www.facebook.com/634639855377280/posts/772618101579454?comment_id=7367358720016174&amp;reply_comment_id=1103536574000482")</f>
        <v>https://www.facebook.com/634639855377280/posts/772618101579454?comment_id=7367358720016174&amp;reply_comment_id=1103536574000482</v>
      </c>
      <c r="K3380" t="s">
        <v>67</v>
      </c>
      <c r="O3380">
        <v>0</v>
      </c>
      <c r="P3380">
        <v>0</v>
      </c>
      <c r="Q3380">
        <v>0</v>
      </c>
      <c r="S3380">
        <v>0</v>
      </c>
      <c r="T3380">
        <v>0</v>
      </c>
      <c r="U3380">
        <v>0</v>
      </c>
      <c r="W3380" t="s">
        <v>52</v>
      </c>
    </row>
    <row r="3381" spans="1:23" x14ac:dyDescent="0.35">
      <c r="A3381" t="s">
        <v>45</v>
      </c>
      <c r="B3381" t="s">
        <v>6773</v>
      </c>
      <c r="C3381" t="s">
        <v>93</v>
      </c>
      <c r="D3381" t="s">
        <v>94</v>
      </c>
      <c r="E3381" t="s">
        <v>45</v>
      </c>
      <c r="F3381" t="s">
        <v>49</v>
      </c>
      <c r="G3381" t="s">
        <v>6838</v>
      </c>
      <c r="H3381" t="s">
        <v>6839</v>
      </c>
      <c r="J3381" t="str">
        <f>HYPERLINK("https://twitter.com/SpiceMoneyIndia/status/1748682038117347814","https://twitter.com/SpiceMoneyIndia/status/1748682038117347814")</f>
        <v>https://twitter.com/SpiceMoneyIndia/status/1748682038117347814</v>
      </c>
      <c r="K3381" t="s">
        <v>67</v>
      </c>
      <c r="O3381">
        <v>0</v>
      </c>
      <c r="P3381">
        <v>0</v>
      </c>
      <c r="Q3381">
        <v>6003</v>
      </c>
      <c r="R3381" t="s">
        <v>97</v>
      </c>
      <c r="S3381">
        <v>0</v>
      </c>
      <c r="T3381">
        <v>0</v>
      </c>
      <c r="U3381">
        <v>0</v>
      </c>
      <c r="V3381" t="s">
        <v>98</v>
      </c>
      <c r="W3381" t="s">
        <v>99</v>
      </c>
    </row>
    <row r="3382" spans="1:23" x14ac:dyDescent="0.35">
      <c r="A3382" t="s">
        <v>45</v>
      </c>
      <c r="B3382" t="s">
        <v>6773</v>
      </c>
      <c r="C3382" t="s">
        <v>47</v>
      </c>
      <c r="D3382" t="s">
        <v>68</v>
      </c>
      <c r="E3382" t="s">
        <v>68</v>
      </c>
      <c r="F3382" t="s">
        <v>49</v>
      </c>
      <c r="G3382" t="s">
        <v>162</v>
      </c>
      <c r="H3382" t="s">
        <v>6840</v>
      </c>
      <c r="J3382" t="str">
        <f>HYPERLINK("https://www.youtube.com/watch?v=fi0KMSdJZZY&amp;lc=UgxAiTntlvJlr00z6y94AaABAg.9zmB77ESPVD9zn676xxGVS","https://www.youtube.com/watch?v=fi0KMSdJZZY&amp;lc=UgxAiTntlvJlr00z6y94AaABAg.9zmB77ESPVD9zn676xxGVS")</f>
        <v>https://www.youtube.com/watch?v=fi0KMSdJZZY&amp;lc=UgxAiTntlvJlr00z6y94AaABAg.9zmB77ESPVD9zn676xxGVS</v>
      </c>
      <c r="O3382">
        <v>0</v>
      </c>
      <c r="P3382">
        <v>0</v>
      </c>
      <c r="Q3382">
        <v>0</v>
      </c>
      <c r="S3382">
        <v>0</v>
      </c>
      <c r="T3382">
        <v>0</v>
      </c>
      <c r="U3382">
        <v>0</v>
      </c>
      <c r="W3382" t="s">
        <v>52</v>
      </c>
    </row>
    <row r="3383" spans="1:23" x14ac:dyDescent="0.35">
      <c r="A3383" t="s">
        <v>45</v>
      </c>
      <c r="B3383" t="s">
        <v>6773</v>
      </c>
      <c r="C3383" t="s">
        <v>93</v>
      </c>
      <c r="D3383" t="s">
        <v>94</v>
      </c>
      <c r="E3383" t="s">
        <v>45</v>
      </c>
      <c r="F3383" t="s">
        <v>49</v>
      </c>
      <c r="G3383" t="s">
        <v>6841</v>
      </c>
      <c r="H3383" t="s">
        <v>6842</v>
      </c>
      <c r="J3383" t="str">
        <f>HYPERLINK("https://twitter.com/SpiceMoneyIndia/status/1748681046730604908","https://twitter.com/SpiceMoneyIndia/status/1748681046730604908")</f>
        <v>https://twitter.com/SpiceMoneyIndia/status/1748681046730604908</v>
      </c>
      <c r="K3383" t="s">
        <v>67</v>
      </c>
      <c r="O3383">
        <v>0</v>
      </c>
      <c r="P3383">
        <v>0</v>
      </c>
      <c r="Q3383">
        <v>6003</v>
      </c>
      <c r="R3383" t="s">
        <v>97</v>
      </c>
      <c r="S3383">
        <v>0</v>
      </c>
      <c r="T3383">
        <v>0</v>
      </c>
      <c r="U3383">
        <v>0</v>
      </c>
      <c r="V3383" t="s">
        <v>98</v>
      </c>
      <c r="W3383" t="s">
        <v>99</v>
      </c>
    </row>
    <row r="3384" spans="1:23" x14ac:dyDescent="0.35">
      <c r="A3384" t="s">
        <v>45</v>
      </c>
      <c r="B3384" t="s">
        <v>6773</v>
      </c>
      <c r="C3384" t="s">
        <v>93</v>
      </c>
      <c r="D3384" t="s">
        <v>94</v>
      </c>
      <c r="E3384" t="s">
        <v>45</v>
      </c>
      <c r="F3384" t="s">
        <v>49</v>
      </c>
      <c r="G3384" t="s">
        <v>6843</v>
      </c>
      <c r="H3384" t="s">
        <v>6842</v>
      </c>
      <c r="J3384" t="str">
        <f>HYPERLINK("https://twitter.com/SpiceMoneyIndia/status/1748681047322055140","https://twitter.com/SpiceMoneyIndia/status/1748681047322055140")</f>
        <v>https://twitter.com/SpiceMoneyIndia/status/1748681047322055140</v>
      </c>
      <c r="K3384" t="s">
        <v>67</v>
      </c>
      <c r="O3384">
        <v>0</v>
      </c>
      <c r="P3384">
        <v>0</v>
      </c>
      <c r="Q3384">
        <v>6003</v>
      </c>
      <c r="R3384" t="s">
        <v>97</v>
      </c>
      <c r="S3384">
        <v>0</v>
      </c>
      <c r="T3384">
        <v>0</v>
      </c>
      <c r="U3384">
        <v>0</v>
      </c>
      <c r="V3384" t="s">
        <v>98</v>
      </c>
      <c r="W3384" t="s">
        <v>99</v>
      </c>
    </row>
    <row r="3385" spans="1:23" x14ac:dyDescent="0.35">
      <c r="A3385" t="s">
        <v>45</v>
      </c>
      <c r="B3385" t="s">
        <v>6773</v>
      </c>
      <c r="C3385" t="s">
        <v>93</v>
      </c>
      <c r="D3385" t="s">
        <v>94</v>
      </c>
      <c r="E3385" t="s">
        <v>45</v>
      </c>
      <c r="F3385" t="s">
        <v>49</v>
      </c>
      <c r="G3385" t="s">
        <v>6844</v>
      </c>
      <c r="H3385" t="s">
        <v>6845</v>
      </c>
      <c r="J3385" t="str">
        <f>HYPERLINK("https://twitter.com/SpiceMoneyIndia/status/1748676250514628631","https://twitter.com/SpiceMoneyIndia/status/1748676250514628631")</f>
        <v>https://twitter.com/SpiceMoneyIndia/status/1748676250514628631</v>
      </c>
      <c r="K3385" t="s">
        <v>67</v>
      </c>
      <c r="O3385">
        <v>0</v>
      </c>
      <c r="P3385">
        <v>0</v>
      </c>
      <c r="Q3385">
        <v>6003</v>
      </c>
      <c r="R3385" t="s">
        <v>97</v>
      </c>
      <c r="S3385">
        <v>0</v>
      </c>
      <c r="T3385">
        <v>0</v>
      </c>
      <c r="U3385">
        <v>0</v>
      </c>
      <c r="V3385" t="s">
        <v>98</v>
      </c>
      <c r="W3385" t="s">
        <v>99</v>
      </c>
    </row>
    <row r="3386" spans="1:23" x14ac:dyDescent="0.35">
      <c r="A3386" t="s">
        <v>45</v>
      </c>
      <c r="B3386" t="s">
        <v>6773</v>
      </c>
      <c r="C3386" t="s">
        <v>93</v>
      </c>
      <c r="D3386" t="s">
        <v>94</v>
      </c>
      <c r="E3386" t="s">
        <v>45</v>
      </c>
      <c r="F3386" t="s">
        <v>49</v>
      </c>
      <c r="G3386" t="s">
        <v>6846</v>
      </c>
      <c r="H3386" t="s">
        <v>6847</v>
      </c>
      <c r="J3386" t="str">
        <f>HYPERLINK("https://twitter.com/SpiceMoneyIndia/status/1748673900685164663","https://twitter.com/SpiceMoneyIndia/status/1748673900685164663")</f>
        <v>https://twitter.com/SpiceMoneyIndia/status/1748673900685164663</v>
      </c>
      <c r="K3386" t="s">
        <v>67</v>
      </c>
      <c r="O3386">
        <v>0</v>
      </c>
      <c r="P3386">
        <v>0</v>
      </c>
      <c r="Q3386">
        <v>6003</v>
      </c>
      <c r="R3386" t="s">
        <v>97</v>
      </c>
      <c r="S3386">
        <v>0</v>
      </c>
      <c r="T3386">
        <v>0</v>
      </c>
      <c r="U3386">
        <v>0</v>
      </c>
      <c r="V3386" t="s">
        <v>98</v>
      </c>
      <c r="W3386" t="s">
        <v>99</v>
      </c>
    </row>
    <row r="3387" spans="1:23" x14ac:dyDescent="0.35">
      <c r="A3387" t="s">
        <v>45</v>
      </c>
      <c r="B3387" t="s">
        <v>6773</v>
      </c>
      <c r="C3387" t="s">
        <v>60</v>
      </c>
      <c r="D3387" t="s">
        <v>61</v>
      </c>
      <c r="E3387" t="s">
        <v>61</v>
      </c>
      <c r="F3387" t="s">
        <v>49</v>
      </c>
      <c r="G3387" t="s">
        <v>6848</v>
      </c>
      <c r="H3387" t="s">
        <v>6849</v>
      </c>
      <c r="J3387" t="str">
        <f>HYPERLINK("https://www.facebook.com/634639855377280/posts/775671547940776?comment_id=414788607644544","https://www.facebook.com/634639855377280/posts/775671547940776?comment_id=414788607644544")</f>
        <v>https://www.facebook.com/634639855377280/posts/775671547940776?comment_id=414788607644544</v>
      </c>
      <c r="O3387">
        <v>0</v>
      </c>
      <c r="P3387">
        <v>0</v>
      </c>
      <c r="Q3387">
        <v>0</v>
      </c>
      <c r="S3387">
        <v>0</v>
      </c>
      <c r="T3387">
        <v>0</v>
      </c>
      <c r="U3387">
        <v>0</v>
      </c>
      <c r="W3387" t="s">
        <v>52</v>
      </c>
    </row>
    <row r="3388" spans="1:23" x14ac:dyDescent="0.35">
      <c r="A3388" t="s">
        <v>45</v>
      </c>
      <c r="B3388" t="s">
        <v>6773</v>
      </c>
      <c r="C3388" t="s">
        <v>60</v>
      </c>
      <c r="D3388" t="s">
        <v>61</v>
      </c>
      <c r="E3388" t="s">
        <v>61</v>
      </c>
      <c r="F3388" t="s">
        <v>49</v>
      </c>
      <c r="G3388" t="s">
        <v>6850</v>
      </c>
      <c r="H3388" t="s">
        <v>6851</v>
      </c>
      <c r="J3388" t="str">
        <f>HYPERLINK("https://www.facebook.com/634639855377280/posts/774412801399984?comment_id=1109397393383367","https://www.facebook.com/634639855377280/posts/774412801399984?comment_id=1109397393383367")</f>
        <v>https://www.facebook.com/634639855377280/posts/774412801399984?comment_id=1109397393383367</v>
      </c>
      <c r="O3388">
        <v>0</v>
      </c>
      <c r="P3388">
        <v>0</v>
      </c>
      <c r="Q3388">
        <v>0</v>
      </c>
      <c r="S3388">
        <v>0</v>
      </c>
      <c r="T3388">
        <v>0</v>
      </c>
      <c r="U3388">
        <v>0</v>
      </c>
      <c r="W3388" t="s">
        <v>52</v>
      </c>
    </row>
    <row r="3389" spans="1:23" x14ac:dyDescent="0.35">
      <c r="A3389" t="s">
        <v>45</v>
      </c>
      <c r="B3389" t="s">
        <v>6773</v>
      </c>
      <c r="C3389" t="s">
        <v>60</v>
      </c>
      <c r="D3389" t="s">
        <v>61</v>
      </c>
      <c r="E3389" t="s">
        <v>61</v>
      </c>
      <c r="F3389" t="s">
        <v>49</v>
      </c>
      <c r="G3389" t="s">
        <v>6852</v>
      </c>
      <c r="H3389" t="s">
        <v>6853</v>
      </c>
      <c r="J3389" t="str">
        <f>HYPERLINK("https://www.facebook.com/634639855377280/posts/775589934615604?comment_id=7411013068929900","https://www.facebook.com/634639855377280/posts/775589934615604?comment_id=7411013068929900")</f>
        <v>https://www.facebook.com/634639855377280/posts/775589934615604?comment_id=7411013068929900</v>
      </c>
      <c r="O3389">
        <v>0</v>
      </c>
      <c r="P3389">
        <v>0</v>
      </c>
      <c r="Q3389">
        <v>0</v>
      </c>
      <c r="S3389">
        <v>0</v>
      </c>
      <c r="T3389">
        <v>0</v>
      </c>
      <c r="U3389">
        <v>0</v>
      </c>
      <c r="W3389" t="s">
        <v>52</v>
      </c>
    </row>
    <row r="3390" spans="1:23" x14ac:dyDescent="0.35">
      <c r="A3390" t="s">
        <v>45</v>
      </c>
      <c r="B3390" t="s">
        <v>6773</v>
      </c>
      <c r="C3390" t="s">
        <v>60</v>
      </c>
      <c r="D3390" t="s">
        <v>61</v>
      </c>
      <c r="E3390" t="s">
        <v>61</v>
      </c>
      <c r="F3390" t="s">
        <v>49</v>
      </c>
      <c r="G3390" t="s">
        <v>6854</v>
      </c>
      <c r="H3390" t="s">
        <v>6855</v>
      </c>
      <c r="J3390" t="str">
        <f>HYPERLINK("https://www.facebook.com/634639855377280/posts/775589934615604?comment_id=2400878396776775","https://www.facebook.com/634639855377280/posts/775589934615604?comment_id=2400878396776775")</f>
        <v>https://www.facebook.com/634639855377280/posts/775589934615604?comment_id=2400878396776775</v>
      </c>
      <c r="O3390">
        <v>0</v>
      </c>
      <c r="P3390">
        <v>0</v>
      </c>
      <c r="Q3390">
        <v>0</v>
      </c>
      <c r="S3390">
        <v>0</v>
      </c>
      <c r="T3390">
        <v>0</v>
      </c>
      <c r="U3390">
        <v>0</v>
      </c>
      <c r="W3390" t="s">
        <v>52</v>
      </c>
    </row>
    <row r="3391" spans="1:23" x14ac:dyDescent="0.35">
      <c r="A3391" t="s">
        <v>45</v>
      </c>
      <c r="B3391" t="s">
        <v>6773</v>
      </c>
      <c r="C3391" t="s">
        <v>60</v>
      </c>
      <c r="D3391" t="s">
        <v>61</v>
      </c>
      <c r="E3391" t="s">
        <v>61</v>
      </c>
      <c r="F3391" t="s">
        <v>193</v>
      </c>
      <c r="G3391" t="s">
        <v>6856</v>
      </c>
      <c r="H3391" t="s">
        <v>6857</v>
      </c>
      <c r="J3391" t="str">
        <f>HYPERLINK("https://www.facebook.com/634639855377280/posts/775671547940776?comment_id=617633110477977","https://www.facebook.com/634639855377280/posts/775671547940776?comment_id=617633110477977")</f>
        <v>https://www.facebook.com/634639855377280/posts/775671547940776?comment_id=617633110477977</v>
      </c>
      <c r="O3391">
        <v>0</v>
      </c>
      <c r="P3391">
        <v>0</v>
      </c>
      <c r="Q3391">
        <v>0</v>
      </c>
      <c r="S3391">
        <v>0</v>
      </c>
      <c r="T3391">
        <v>0</v>
      </c>
      <c r="U3391">
        <v>0</v>
      </c>
      <c r="W3391" t="s">
        <v>52</v>
      </c>
    </row>
    <row r="3392" spans="1:23" x14ac:dyDescent="0.35">
      <c r="A3392" t="s">
        <v>45</v>
      </c>
      <c r="B3392" t="s">
        <v>6773</v>
      </c>
      <c r="C3392" t="s">
        <v>60</v>
      </c>
      <c r="D3392" t="s">
        <v>61</v>
      </c>
      <c r="E3392" t="s">
        <v>61</v>
      </c>
      <c r="F3392" t="s">
        <v>49</v>
      </c>
      <c r="G3392" t="s">
        <v>6858</v>
      </c>
      <c r="H3392" t="s">
        <v>6859</v>
      </c>
      <c r="J3392" t="str">
        <f>HYPERLINK("https://www.facebook.com/634639855377280/posts/775671547940776?comment_id=2131113880561307","https://www.facebook.com/634639855377280/posts/775671547940776?comment_id=2131113880561307")</f>
        <v>https://www.facebook.com/634639855377280/posts/775671547940776?comment_id=2131113880561307</v>
      </c>
      <c r="O3392">
        <v>0</v>
      </c>
      <c r="P3392">
        <v>0</v>
      </c>
      <c r="Q3392">
        <v>0</v>
      </c>
      <c r="S3392">
        <v>0</v>
      </c>
      <c r="T3392">
        <v>0</v>
      </c>
      <c r="U3392">
        <v>0</v>
      </c>
      <c r="W3392" t="s">
        <v>52</v>
      </c>
    </row>
    <row r="3393" spans="1:23" x14ac:dyDescent="0.35">
      <c r="A3393" t="s">
        <v>45</v>
      </c>
      <c r="B3393" t="s">
        <v>6773</v>
      </c>
      <c r="C3393" t="s">
        <v>60</v>
      </c>
      <c r="D3393" t="s">
        <v>61</v>
      </c>
      <c r="E3393" t="s">
        <v>61</v>
      </c>
      <c r="F3393" t="s">
        <v>49</v>
      </c>
      <c r="G3393" t="s">
        <v>6860</v>
      </c>
      <c r="H3393" t="s">
        <v>6861</v>
      </c>
      <c r="J3393" t="str">
        <f>HYPERLINK("https://www.facebook.com/634639855377280/posts/772618101579454?comment_id=7367358720016174","https://www.facebook.com/634639855377280/posts/772618101579454?comment_id=7367358720016174")</f>
        <v>https://www.facebook.com/634639855377280/posts/772618101579454?comment_id=7367358720016174</v>
      </c>
      <c r="O3393">
        <v>0</v>
      </c>
      <c r="P3393">
        <v>0</v>
      </c>
      <c r="Q3393">
        <v>0</v>
      </c>
      <c r="S3393">
        <v>0</v>
      </c>
      <c r="T3393">
        <v>0</v>
      </c>
      <c r="U3393">
        <v>0</v>
      </c>
      <c r="W3393" t="s">
        <v>52</v>
      </c>
    </row>
    <row r="3394" spans="1:23" x14ac:dyDescent="0.35">
      <c r="A3394" t="s">
        <v>45</v>
      </c>
      <c r="B3394" t="s">
        <v>6773</v>
      </c>
      <c r="C3394" t="s">
        <v>60</v>
      </c>
      <c r="D3394" t="s">
        <v>61</v>
      </c>
      <c r="E3394" t="s">
        <v>61</v>
      </c>
      <c r="F3394" t="s">
        <v>49</v>
      </c>
      <c r="G3394" t="s">
        <v>6862</v>
      </c>
      <c r="H3394" t="s">
        <v>6863</v>
      </c>
      <c r="J3394" t="str">
        <f>HYPERLINK("https://www.facebook.com/634639855377280/posts/772618101579454?comment_id=353739327409700","https://www.facebook.com/634639855377280/posts/772618101579454?comment_id=353739327409700")</f>
        <v>https://www.facebook.com/634639855377280/posts/772618101579454?comment_id=353739327409700</v>
      </c>
      <c r="O3394">
        <v>0</v>
      </c>
      <c r="P3394">
        <v>0</v>
      </c>
      <c r="Q3394">
        <v>0</v>
      </c>
      <c r="S3394">
        <v>0</v>
      </c>
      <c r="T3394">
        <v>0</v>
      </c>
      <c r="U3394">
        <v>0</v>
      </c>
      <c r="W3394" t="s">
        <v>52</v>
      </c>
    </row>
    <row r="3395" spans="1:23" x14ac:dyDescent="0.35">
      <c r="A3395" t="s">
        <v>45</v>
      </c>
      <c r="B3395" t="s">
        <v>6773</v>
      </c>
      <c r="C3395" t="s">
        <v>60</v>
      </c>
      <c r="D3395" t="s">
        <v>61</v>
      </c>
      <c r="E3395" t="s">
        <v>61</v>
      </c>
      <c r="F3395" t="s">
        <v>54</v>
      </c>
      <c r="G3395" t="s">
        <v>6864</v>
      </c>
      <c r="H3395" t="s">
        <v>6865</v>
      </c>
      <c r="J3395" t="str">
        <f>HYPERLINK("https://www.facebook.com/634639855377280/posts/772618101579454?comment_id=986057829544717&amp;reply_comment_id=395141316206196","https://www.facebook.com/634639855377280/posts/772618101579454?comment_id=986057829544717&amp;reply_comment_id=395141316206196")</f>
        <v>https://www.facebook.com/634639855377280/posts/772618101579454?comment_id=986057829544717&amp;reply_comment_id=395141316206196</v>
      </c>
      <c r="O3395">
        <v>0</v>
      </c>
      <c r="P3395">
        <v>0</v>
      </c>
      <c r="Q3395">
        <v>0</v>
      </c>
      <c r="S3395">
        <v>0</v>
      </c>
      <c r="T3395">
        <v>0</v>
      </c>
      <c r="U3395">
        <v>0</v>
      </c>
      <c r="W3395" t="s">
        <v>52</v>
      </c>
    </row>
    <row r="3396" spans="1:23" x14ac:dyDescent="0.35">
      <c r="A3396" t="s">
        <v>45</v>
      </c>
      <c r="B3396" t="s">
        <v>6773</v>
      </c>
      <c r="C3396" t="s">
        <v>60</v>
      </c>
      <c r="D3396" t="s">
        <v>61</v>
      </c>
      <c r="E3396" t="s">
        <v>61</v>
      </c>
      <c r="F3396" t="s">
        <v>49</v>
      </c>
      <c r="G3396" t="s">
        <v>6866</v>
      </c>
      <c r="H3396" t="s">
        <v>6867</v>
      </c>
      <c r="J3396" t="str">
        <f>HYPERLINK("https://www.facebook.com/634639855377280/posts/775589934615604?comment_id=1028955754854448","https://www.facebook.com/634639855377280/posts/775589934615604?comment_id=1028955754854448")</f>
        <v>https://www.facebook.com/634639855377280/posts/775589934615604?comment_id=1028955754854448</v>
      </c>
      <c r="O3396">
        <v>0</v>
      </c>
      <c r="P3396">
        <v>0</v>
      </c>
      <c r="Q3396">
        <v>0</v>
      </c>
      <c r="S3396">
        <v>0</v>
      </c>
      <c r="T3396">
        <v>0</v>
      </c>
      <c r="U3396">
        <v>0</v>
      </c>
      <c r="W3396" t="s">
        <v>52</v>
      </c>
    </row>
    <row r="3397" spans="1:23" x14ac:dyDescent="0.35">
      <c r="A3397" t="s">
        <v>45</v>
      </c>
      <c r="B3397" t="s">
        <v>6773</v>
      </c>
      <c r="C3397" t="s">
        <v>60</v>
      </c>
      <c r="D3397" t="s">
        <v>64</v>
      </c>
      <c r="E3397" t="s">
        <v>64</v>
      </c>
      <c r="F3397" t="s">
        <v>49</v>
      </c>
      <c r="G3397" t="s">
        <v>6868</v>
      </c>
      <c r="H3397" t="s">
        <v>6869</v>
      </c>
      <c r="J3397" t="str">
        <f>HYPERLINK("https://www.facebook.com/634639855377280/posts/772618101579454?comment_id=986057829544717&amp;reply_comment_id=338164342459695","https://www.facebook.com/634639855377280/posts/772618101579454?comment_id=986057829544717&amp;reply_comment_id=338164342459695")</f>
        <v>https://www.facebook.com/634639855377280/posts/772618101579454?comment_id=986057829544717&amp;reply_comment_id=338164342459695</v>
      </c>
      <c r="K3397" t="s">
        <v>67</v>
      </c>
      <c r="O3397">
        <v>0</v>
      </c>
      <c r="P3397">
        <v>0</v>
      </c>
      <c r="Q3397">
        <v>0</v>
      </c>
      <c r="S3397">
        <v>0</v>
      </c>
      <c r="T3397">
        <v>0</v>
      </c>
      <c r="U3397">
        <v>0</v>
      </c>
      <c r="W3397" t="s">
        <v>52</v>
      </c>
    </row>
    <row r="3398" spans="1:23" x14ac:dyDescent="0.35">
      <c r="A3398" t="s">
        <v>45</v>
      </c>
      <c r="B3398" t="s">
        <v>6773</v>
      </c>
      <c r="C3398" t="s">
        <v>93</v>
      </c>
      <c r="D3398" t="s">
        <v>6870</v>
      </c>
      <c r="E3398" t="s">
        <v>6871</v>
      </c>
      <c r="F3398" t="s">
        <v>49</v>
      </c>
      <c r="G3398" t="s">
        <v>6872</v>
      </c>
      <c r="H3398" t="s">
        <v>6873</v>
      </c>
      <c r="J3398" t="str">
        <f>HYPERLINK("https://twitter.com/mohsinahmad007/status/1748637013287530940","https://twitter.com/mohsinahmad007/status/1748637013287530940")</f>
        <v>https://twitter.com/mohsinahmad007/status/1748637013287530940</v>
      </c>
      <c r="K3398" t="s">
        <v>67</v>
      </c>
      <c r="O3398">
        <v>0</v>
      </c>
      <c r="P3398">
        <v>0</v>
      </c>
      <c r="Q3398">
        <v>46</v>
      </c>
      <c r="R3398" t="s">
        <v>513</v>
      </c>
      <c r="S3398">
        <v>0</v>
      </c>
      <c r="T3398">
        <v>0</v>
      </c>
      <c r="U3398">
        <v>0</v>
      </c>
      <c r="W3398" t="s">
        <v>99</v>
      </c>
    </row>
    <row r="3399" spans="1:23" x14ac:dyDescent="0.35">
      <c r="A3399" t="s">
        <v>45</v>
      </c>
      <c r="B3399" t="s">
        <v>6773</v>
      </c>
      <c r="C3399" t="s">
        <v>93</v>
      </c>
      <c r="D3399" t="s">
        <v>6259</v>
      </c>
      <c r="E3399" t="s">
        <v>6260</v>
      </c>
      <c r="F3399" t="s">
        <v>193</v>
      </c>
      <c r="G3399" t="s">
        <v>6874</v>
      </c>
      <c r="H3399" t="s">
        <v>6875</v>
      </c>
      <c r="J3399" t="str">
        <f>HYPERLINK("https://twitter.com/dineshsahu0202/status/1748636836220821875","https://twitter.com/dineshsahu0202/status/1748636836220821875")</f>
        <v>https://twitter.com/dineshsahu0202/status/1748636836220821875</v>
      </c>
      <c r="K3399" t="s">
        <v>67</v>
      </c>
      <c r="O3399">
        <v>0</v>
      </c>
      <c r="P3399">
        <v>0</v>
      </c>
      <c r="Q3399">
        <v>2</v>
      </c>
      <c r="S3399">
        <v>0</v>
      </c>
      <c r="T3399">
        <v>0</v>
      </c>
      <c r="U3399">
        <v>0</v>
      </c>
      <c r="W3399" t="s">
        <v>99</v>
      </c>
    </row>
    <row r="3400" spans="1:23" x14ac:dyDescent="0.35">
      <c r="A3400" t="s">
        <v>45</v>
      </c>
      <c r="B3400" t="s">
        <v>6773</v>
      </c>
      <c r="C3400" t="s">
        <v>93</v>
      </c>
      <c r="D3400" t="s">
        <v>6876</v>
      </c>
      <c r="E3400" t="s">
        <v>6877</v>
      </c>
      <c r="F3400" t="s">
        <v>49</v>
      </c>
      <c r="G3400" t="s">
        <v>6878</v>
      </c>
      <c r="H3400" t="s">
        <v>6879</v>
      </c>
      <c r="J3400" t="str">
        <f>HYPERLINK("https://twitter.com/dheeren47839279/status/1748630680211505156","https://twitter.com/dheeren47839279/status/1748630680211505156")</f>
        <v>https://twitter.com/dheeren47839279/status/1748630680211505156</v>
      </c>
      <c r="K3400" t="s">
        <v>67</v>
      </c>
      <c r="O3400">
        <v>0</v>
      </c>
      <c r="P3400">
        <v>0</v>
      </c>
      <c r="Q3400">
        <v>2</v>
      </c>
      <c r="S3400">
        <v>0</v>
      </c>
      <c r="T3400">
        <v>0</v>
      </c>
      <c r="U3400">
        <v>0</v>
      </c>
      <c r="W3400" t="s">
        <v>99</v>
      </c>
    </row>
    <row r="3401" spans="1:23" x14ac:dyDescent="0.35">
      <c r="A3401" t="s">
        <v>45</v>
      </c>
      <c r="B3401" t="s">
        <v>6773</v>
      </c>
      <c r="C3401" t="s">
        <v>60</v>
      </c>
      <c r="D3401" t="s">
        <v>61</v>
      </c>
      <c r="E3401" t="s">
        <v>61</v>
      </c>
      <c r="F3401" t="s">
        <v>49</v>
      </c>
      <c r="G3401" t="s">
        <v>6880</v>
      </c>
      <c r="H3401" t="s">
        <v>6881</v>
      </c>
      <c r="J3401" t="str">
        <f>HYPERLINK("https://www.facebook.com/634639855377280/posts/775589934615604?comment_id=1094754091948158","https://www.facebook.com/634639855377280/posts/775589934615604?comment_id=1094754091948158")</f>
        <v>https://www.facebook.com/634639855377280/posts/775589934615604?comment_id=1094754091948158</v>
      </c>
      <c r="O3401">
        <v>0</v>
      </c>
      <c r="P3401">
        <v>0</v>
      </c>
      <c r="Q3401">
        <v>0</v>
      </c>
      <c r="S3401">
        <v>0</v>
      </c>
      <c r="T3401">
        <v>0</v>
      </c>
      <c r="U3401">
        <v>0</v>
      </c>
      <c r="W3401" t="s">
        <v>52</v>
      </c>
    </row>
    <row r="3402" spans="1:23" x14ac:dyDescent="0.35">
      <c r="A3402" t="s">
        <v>45</v>
      </c>
      <c r="B3402" t="s">
        <v>6773</v>
      </c>
      <c r="C3402" t="s">
        <v>93</v>
      </c>
      <c r="D3402" t="s">
        <v>5881</v>
      </c>
      <c r="E3402" t="s">
        <v>5882</v>
      </c>
      <c r="F3402" t="s">
        <v>49</v>
      </c>
      <c r="G3402" t="s">
        <v>6882</v>
      </c>
      <c r="H3402" t="s">
        <v>6883</v>
      </c>
      <c r="J3402" t="str">
        <f>HYPERLINK("https://twitter.com/santoshbha73771/status/1748625499226792044","https://twitter.com/santoshbha73771/status/1748625499226792044")</f>
        <v>https://twitter.com/santoshbha73771/status/1748625499226792044</v>
      </c>
      <c r="K3402" t="s">
        <v>67</v>
      </c>
      <c r="O3402">
        <v>0</v>
      </c>
      <c r="P3402">
        <v>0</v>
      </c>
      <c r="Q3402">
        <v>0</v>
      </c>
      <c r="S3402">
        <v>0</v>
      </c>
      <c r="T3402">
        <v>0</v>
      </c>
      <c r="U3402">
        <v>0</v>
      </c>
      <c r="W3402" t="s">
        <v>99</v>
      </c>
    </row>
    <row r="3403" spans="1:23" x14ac:dyDescent="0.35">
      <c r="A3403" t="s">
        <v>45</v>
      </c>
      <c r="B3403" t="s">
        <v>6773</v>
      </c>
      <c r="C3403" t="s">
        <v>60</v>
      </c>
      <c r="D3403" t="s">
        <v>61</v>
      </c>
      <c r="E3403" t="s">
        <v>61</v>
      </c>
      <c r="F3403" t="s">
        <v>49</v>
      </c>
      <c r="G3403" t="s">
        <v>6884</v>
      </c>
      <c r="H3403" t="s">
        <v>6885</v>
      </c>
      <c r="J3403" t="str">
        <f>HYPERLINK("https://www.facebook.com/634639855377280/posts/774881771353087?comment_id=1854072338442188","https://www.facebook.com/634639855377280/posts/774881771353087?comment_id=1854072338442188")</f>
        <v>https://www.facebook.com/634639855377280/posts/774881771353087?comment_id=1854072338442188</v>
      </c>
      <c r="O3403">
        <v>0</v>
      </c>
      <c r="P3403">
        <v>0</v>
      </c>
      <c r="Q3403">
        <v>0</v>
      </c>
      <c r="S3403">
        <v>0</v>
      </c>
      <c r="T3403">
        <v>0</v>
      </c>
      <c r="U3403">
        <v>0</v>
      </c>
      <c r="W3403" t="s">
        <v>52</v>
      </c>
    </row>
    <row r="3404" spans="1:23" x14ac:dyDescent="0.35">
      <c r="A3404" t="s">
        <v>45</v>
      </c>
      <c r="B3404" t="s">
        <v>6773</v>
      </c>
      <c r="C3404" t="s">
        <v>60</v>
      </c>
      <c r="D3404" t="s">
        <v>61</v>
      </c>
      <c r="E3404" t="s">
        <v>61</v>
      </c>
      <c r="F3404" t="s">
        <v>49</v>
      </c>
      <c r="G3404" t="s">
        <v>6886</v>
      </c>
      <c r="H3404" t="s">
        <v>6887</v>
      </c>
      <c r="J3404" t="str">
        <f>HYPERLINK("https://www.facebook.com/634639855377280/posts/774412801399984?comment_id=704543991810949&amp;reply_comment_id=868776044995397","https://www.facebook.com/634639855377280/posts/774412801399984?comment_id=704543991810949&amp;reply_comment_id=868776044995397")</f>
        <v>https://www.facebook.com/634639855377280/posts/774412801399984?comment_id=704543991810949&amp;reply_comment_id=868776044995397</v>
      </c>
      <c r="O3404">
        <v>0</v>
      </c>
      <c r="P3404">
        <v>0</v>
      </c>
      <c r="Q3404">
        <v>0</v>
      </c>
      <c r="S3404">
        <v>0</v>
      </c>
      <c r="T3404">
        <v>0</v>
      </c>
      <c r="U3404">
        <v>0</v>
      </c>
      <c r="W3404" t="s">
        <v>52</v>
      </c>
    </row>
    <row r="3405" spans="1:23" x14ac:dyDescent="0.35">
      <c r="A3405" t="s">
        <v>45</v>
      </c>
      <c r="B3405" t="s">
        <v>6773</v>
      </c>
      <c r="C3405" t="s">
        <v>93</v>
      </c>
      <c r="D3405" t="s">
        <v>94</v>
      </c>
      <c r="E3405" t="s">
        <v>45</v>
      </c>
      <c r="F3405" t="s">
        <v>49</v>
      </c>
      <c r="G3405" t="s">
        <v>5618</v>
      </c>
      <c r="H3405" t="s">
        <v>6888</v>
      </c>
      <c r="J3405" t="str">
        <f>HYPERLINK("https://twitter.com/SpiceMoneyIndia/status/1748606148603961408","https://twitter.com/SpiceMoneyIndia/status/1748606148603961408")</f>
        <v>https://twitter.com/SpiceMoneyIndia/status/1748606148603961408</v>
      </c>
      <c r="K3405" t="s">
        <v>67</v>
      </c>
      <c r="O3405">
        <v>0</v>
      </c>
      <c r="P3405">
        <v>0</v>
      </c>
      <c r="Q3405">
        <v>6002</v>
      </c>
      <c r="R3405" t="s">
        <v>97</v>
      </c>
      <c r="S3405">
        <v>0</v>
      </c>
      <c r="T3405">
        <v>0</v>
      </c>
      <c r="U3405">
        <v>0</v>
      </c>
      <c r="V3405" t="s">
        <v>98</v>
      </c>
      <c r="W3405" t="s">
        <v>99</v>
      </c>
    </row>
    <row r="3406" spans="1:23" x14ac:dyDescent="0.35">
      <c r="A3406" t="s">
        <v>45</v>
      </c>
      <c r="B3406" t="s">
        <v>6773</v>
      </c>
      <c r="C3406" t="s">
        <v>60</v>
      </c>
      <c r="D3406" t="s">
        <v>64</v>
      </c>
      <c r="E3406" t="s">
        <v>64</v>
      </c>
      <c r="F3406" t="s">
        <v>49</v>
      </c>
      <c r="G3406" t="s">
        <v>6889</v>
      </c>
      <c r="H3406" t="s">
        <v>6890</v>
      </c>
      <c r="J3406" t="str">
        <f>HYPERLINK("https://www.facebook.com/634639855377280/posts/775671547940776","https://www.facebook.com/634639855377280/posts/775671547940776")</f>
        <v>https://www.facebook.com/634639855377280/posts/775671547940776</v>
      </c>
      <c r="O3406">
        <v>0</v>
      </c>
      <c r="P3406">
        <v>0</v>
      </c>
      <c r="Q3406">
        <v>0</v>
      </c>
      <c r="S3406">
        <v>6</v>
      </c>
      <c r="T3406">
        <v>74</v>
      </c>
      <c r="U3406">
        <v>2</v>
      </c>
      <c r="W3406" t="s">
        <v>346</v>
      </c>
    </row>
    <row r="3407" spans="1:23" x14ac:dyDescent="0.35">
      <c r="A3407" t="s">
        <v>45</v>
      </c>
      <c r="B3407" t="s">
        <v>6773</v>
      </c>
      <c r="C3407" t="s">
        <v>60</v>
      </c>
      <c r="D3407" t="s">
        <v>61</v>
      </c>
      <c r="E3407" t="s">
        <v>61</v>
      </c>
      <c r="F3407" t="s">
        <v>49</v>
      </c>
      <c r="G3407" t="s">
        <v>6891</v>
      </c>
      <c r="H3407" t="s">
        <v>6892</v>
      </c>
      <c r="J3407" t="str">
        <f>HYPERLINK("https://www.facebook.com/634639855377280/posts/774483894726208?comment_id=1091835072007916","https://www.facebook.com/634639855377280/posts/774483894726208?comment_id=1091835072007916")</f>
        <v>https://www.facebook.com/634639855377280/posts/774483894726208?comment_id=1091835072007916</v>
      </c>
      <c r="O3407">
        <v>0</v>
      </c>
      <c r="P3407">
        <v>0</v>
      </c>
      <c r="Q3407">
        <v>0</v>
      </c>
      <c r="S3407">
        <v>0</v>
      </c>
      <c r="T3407">
        <v>0</v>
      </c>
      <c r="U3407">
        <v>0</v>
      </c>
      <c r="W3407" t="s">
        <v>52</v>
      </c>
    </row>
    <row r="3408" spans="1:23" x14ac:dyDescent="0.35">
      <c r="A3408" t="s">
        <v>45</v>
      </c>
      <c r="B3408" t="s">
        <v>6773</v>
      </c>
      <c r="C3408" t="s">
        <v>60</v>
      </c>
      <c r="D3408" t="s">
        <v>61</v>
      </c>
      <c r="E3408" t="s">
        <v>61</v>
      </c>
      <c r="F3408" t="s">
        <v>49</v>
      </c>
      <c r="G3408" t="s">
        <v>6893</v>
      </c>
      <c r="H3408" t="s">
        <v>6894</v>
      </c>
      <c r="J3408" t="str">
        <f>HYPERLINK("https://www.facebook.com/634639855377280/posts/774483894726208?comment_id=1381887022533797","https://www.facebook.com/634639855377280/posts/774483894726208?comment_id=1381887022533797")</f>
        <v>https://www.facebook.com/634639855377280/posts/774483894726208?comment_id=1381887022533797</v>
      </c>
      <c r="O3408">
        <v>0</v>
      </c>
      <c r="P3408">
        <v>0</v>
      </c>
      <c r="Q3408">
        <v>0</v>
      </c>
      <c r="S3408">
        <v>0</v>
      </c>
      <c r="T3408">
        <v>0</v>
      </c>
      <c r="U3408">
        <v>0</v>
      </c>
      <c r="W3408" t="s">
        <v>52</v>
      </c>
    </row>
    <row r="3409" spans="1:23" x14ac:dyDescent="0.35">
      <c r="A3409" t="s">
        <v>45</v>
      </c>
      <c r="B3409" t="s">
        <v>6773</v>
      </c>
      <c r="C3409" t="s">
        <v>60</v>
      </c>
      <c r="D3409" t="s">
        <v>61</v>
      </c>
      <c r="E3409" t="s">
        <v>61</v>
      </c>
      <c r="F3409" t="s">
        <v>49</v>
      </c>
      <c r="G3409" t="s">
        <v>6895</v>
      </c>
      <c r="H3409" t="s">
        <v>6896</v>
      </c>
      <c r="J3409" t="str">
        <f>HYPERLINK("https://www.facebook.com/634639855377280/posts/774483894726208?comment_id=356078533842440","https://www.facebook.com/634639855377280/posts/774483894726208?comment_id=356078533842440")</f>
        <v>https://www.facebook.com/634639855377280/posts/774483894726208?comment_id=356078533842440</v>
      </c>
      <c r="O3409">
        <v>0</v>
      </c>
      <c r="P3409">
        <v>0</v>
      </c>
      <c r="Q3409">
        <v>0</v>
      </c>
      <c r="S3409">
        <v>0</v>
      </c>
      <c r="T3409">
        <v>0</v>
      </c>
      <c r="U3409">
        <v>0</v>
      </c>
      <c r="W3409" t="s">
        <v>52</v>
      </c>
    </row>
    <row r="3410" spans="1:23" x14ac:dyDescent="0.35">
      <c r="A3410" t="s">
        <v>45</v>
      </c>
      <c r="B3410" t="s">
        <v>6773</v>
      </c>
      <c r="C3410" t="s">
        <v>93</v>
      </c>
      <c r="D3410" t="s">
        <v>5777</v>
      </c>
      <c r="E3410" t="s">
        <v>5778</v>
      </c>
      <c r="F3410" t="s">
        <v>193</v>
      </c>
      <c r="G3410" t="s">
        <v>6897</v>
      </c>
      <c r="H3410" t="s">
        <v>6898</v>
      </c>
      <c r="J3410" t="str">
        <f>HYPERLINK("https://twitter.com/JatinTripathiii/status/1748572927035953324","https://twitter.com/JatinTripathiii/status/1748572927035953324")</f>
        <v>https://twitter.com/JatinTripathiii/status/1748572927035953324</v>
      </c>
      <c r="K3410" t="s">
        <v>67</v>
      </c>
      <c r="O3410">
        <v>0</v>
      </c>
      <c r="P3410">
        <v>0</v>
      </c>
      <c r="Q3410">
        <v>8</v>
      </c>
      <c r="R3410" t="s">
        <v>5781</v>
      </c>
      <c r="S3410">
        <v>0</v>
      </c>
      <c r="T3410">
        <v>0</v>
      </c>
      <c r="U3410">
        <v>0</v>
      </c>
      <c r="W3410" t="s">
        <v>99</v>
      </c>
    </row>
    <row r="3411" spans="1:23" x14ac:dyDescent="0.35">
      <c r="A3411" t="s">
        <v>45</v>
      </c>
      <c r="B3411" t="s">
        <v>6773</v>
      </c>
      <c r="C3411" t="s">
        <v>93</v>
      </c>
      <c r="D3411" t="s">
        <v>5777</v>
      </c>
      <c r="E3411" t="s">
        <v>5778</v>
      </c>
      <c r="F3411" t="s">
        <v>49</v>
      </c>
      <c r="G3411" t="s">
        <v>6899</v>
      </c>
      <c r="H3411" t="s">
        <v>6900</v>
      </c>
      <c r="J3411" t="str">
        <f>HYPERLINK("https://twitter.com/JatinTripathiii/status/1748572359609737417","https://twitter.com/JatinTripathiii/status/1748572359609737417")</f>
        <v>https://twitter.com/JatinTripathiii/status/1748572359609737417</v>
      </c>
      <c r="K3411" t="s">
        <v>67</v>
      </c>
      <c r="O3411">
        <v>0</v>
      </c>
      <c r="P3411">
        <v>0</v>
      </c>
      <c r="Q3411">
        <v>8</v>
      </c>
      <c r="R3411" t="s">
        <v>5781</v>
      </c>
      <c r="S3411">
        <v>0</v>
      </c>
      <c r="T3411">
        <v>0</v>
      </c>
      <c r="U3411">
        <v>0</v>
      </c>
      <c r="W3411" t="s">
        <v>99</v>
      </c>
    </row>
    <row r="3412" spans="1:23" x14ac:dyDescent="0.35">
      <c r="A3412" t="s">
        <v>45</v>
      </c>
      <c r="B3412" t="s">
        <v>6773</v>
      </c>
      <c r="C3412" t="s">
        <v>60</v>
      </c>
      <c r="D3412" t="s">
        <v>61</v>
      </c>
      <c r="E3412" t="s">
        <v>61</v>
      </c>
      <c r="F3412" t="s">
        <v>49</v>
      </c>
      <c r="G3412" t="s">
        <v>6901</v>
      </c>
      <c r="H3412" t="s">
        <v>6902</v>
      </c>
      <c r="J3412" t="str">
        <f>HYPERLINK("https://www.facebook.com/634639855377280/posts/774483894726208?comment_id=5722121844579265","https://www.facebook.com/634639855377280/posts/774483894726208?comment_id=5722121844579265")</f>
        <v>https://www.facebook.com/634639855377280/posts/774483894726208?comment_id=5722121844579265</v>
      </c>
      <c r="O3412">
        <v>0</v>
      </c>
      <c r="P3412">
        <v>0</v>
      </c>
      <c r="Q3412">
        <v>0</v>
      </c>
      <c r="S3412">
        <v>0</v>
      </c>
      <c r="T3412">
        <v>0</v>
      </c>
      <c r="U3412">
        <v>0</v>
      </c>
      <c r="W3412" t="s">
        <v>52</v>
      </c>
    </row>
    <row r="3413" spans="1:23" x14ac:dyDescent="0.35">
      <c r="A3413" t="s">
        <v>45</v>
      </c>
      <c r="B3413" t="s">
        <v>6773</v>
      </c>
      <c r="C3413" t="s">
        <v>47</v>
      </c>
      <c r="D3413" t="s">
        <v>846</v>
      </c>
      <c r="E3413" t="s">
        <v>846</v>
      </c>
      <c r="F3413" t="s">
        <v>54</v>
      </c>
      <c r="G3413" t="s">
        <v>6903</v>
      </c>
      <c r="H3413" t="s">
        <v>6904</v>
      </c>
      <c r="J3413" t="str">
        <f>HYPERLINK("https://www.youtube.com/watch?v=Un06w8WhYRg&amp;lc=UgyT1bOJ3km0lCZ7bVB4AaABAg","https://www.youtube.com/watch?v=Un06w8WhYRg&amp;lc=UgyT1bOJ3km0lCZ7bVB4AaABAg")</f>
        <v>https://www.youtube.com/watch?v=Un06w8WhYRg&amp;lc=UgyT1bOJ3km0lCZ7bVB4AaABAg</v>
      </c>
      <c r="O3413">
        <v>0</v>
      </c>
      <c r="P3413">
        <v>0</v>
      </c>
      <c r="Q3413">
        <v>0</v>
      </c>
      <c r="S3413">
        <v>0</v>
      </c>
      <c r="T3413">
        <v>0</v>
      </c>
      <c r="U3413">
        <v>0</v>
      </c>
      <c r="W3413" t="s">
        <v>52</v>
      </c>
    </row>
    <row r="3414" spans="1:23" x14ac:dyDescent="0.35">
      <c r="A3414" t="s">
        <v>45</v>
      </c>
      <c r="B3414" t="s">
        <v>6773</v>
      </c>
      <c r="C3414" t="s">
        <v>60</v>
      </c>
      <c r="D3414" t="s">
        <v>61</v>
      </c>
      <c r="E3414" t="s">
        <v>61</v>
      </c>
      <c r="F3414" t="s">
        <v>49</v>
      </c>
      <c r="G3414" t="s">
        <v>6905</v>
      </c>
      <c r="H3414" t="s">
        <v>6906</v>
      </c>
      <c r="J3414" t="str">
        <f>HYPERLINK("https://www.facebook.com/634639855377280/posts/774483894726208?comment_id=1998880610563005&amp;reply_comment_id=903149934865143","https://www.facebook.com/634639855377280/posts/774483894726208?comment_id=1998880610563005&amp;reply_comment_id=903149934865143")</f>
        <v>https://www.facebook.com/634639855377280/posts/774483894726208?comment_id=1998880610563005&amp;reply_comment_id=903149934865143</v>
      </c>
      <c r="O3414">
        <v>0</v>
      </c>
      <c r="P3414">
        <v>0</v>
      </c>
      <c r="Q3414">
        <v>0</v>
      </c>
      <c r="S3414">
        <v>0</v>
      </c>
      <c r="T3414">
        <v>0</v>
      </c>
      <c r="U3414">
        <v>0</v>
      </c>
      <c r="W3414" t="s">
        <v>52</v>
      </c>
    </row>
    <row r="3415" spans="1:23" x14ac:dyDescent="0.35">
      <c r="A3415" t="s">
        <v>45</v>
      </c>
      <c r="B3415" t="s">
        <v>6773</v>
      </c>
      <c r="C3415" t="s">
        <v>60</v>
      </c>
      <c r="D3415" t="s">
        <v>61</v>
      </c>
      <c r="E3415" t="s">
        <v>61</v>
      </c>
      <c r="F3415" t="s">
        <v>49</v>
      </c>
      <c r="G3415" t="s">
        <v>6907</v>
      </c>
      <c r="H3415" t="s">
        <v>6908</v>
      </c>
      <c r="J3415" t="str">
        <f>HYPERLINK("https://www.facebook.com/634639855377280/posts/774881771353087?comment_id=1356599798328357&amp;reply_comment_id=1355204275104667","https://www.facebook.com/634639855377280/posts/774881771353087?comment_id=1356599798328357&amp;reply_comment_id=1355204275104667")</f>
        <v>https://www.facebook.com/634639855377280/posts/774881771353087?comment_id=1356599798328357&amp;reply_comment_id=1355204275104667</v>
      </c>
      <c r="O3415">
        <v>0</v>
      </c>
      <c r="P3415">
        <v>0</v>
      </c>
      <c r="Q3415">
        <v>0</v>
      </c>
      <c r="S3415">
        <v>0</v>
      </c>
      <c r="T3415">
        <v>0</v>
      </c>
      <c r="U3415">
        <v>0</v>
      </c>
      <c r="W3415" t="s">
        <v>52</v>
      </c>
    </row>
    <row r="3416" spans="1:23" x14ac:dyDescent="0.35">
      <c r="A3416" t="s">
        <v>45</v>
      </c>
      <c r="B3416" t="s">
        <v>6773</v>
      </c>
      <c r="C3416" t="s">
        <v>60</v>
      </c>
      <c r="D3416" t="s">
        <v>61</v>
      </c>
      <c r="E3416" t="s">
        <v>61</v>
      </c>
      <c r="F3416" t="s">
        <v>49</v>
      </c>
      <c r="G3416" t="s">
        <v>6909</v>
      </c>
      <c r="H3416" t="s">
        <v>6910</v>
      </c>
      <c r="J3416" t="str">
        <f>HYPERLINK("https://www.facebook.com/634639855377280/posts/774483894726208?comment_id=368275185949981","https://www.facebook.com/634639855377280/posts/774483894726208?comment_id=368275185949981")</f>
        <v>https://www.facebook.com/634639855377280/posts/774483894726208?comment_id=368275185949981</v>
      </c>
      <c r="O3416">
        <v>0</v>
      </c>
      <c r="P3416">
        <v>0</v>
      </c>
      <c r="Q3416">
        <v>0</v>
      </c>
      <c r="S3416">
        <v>0</v>
      </c>
      <c r="T3416">
        <v>0</v>
      </c>
      <c r="U3416">
        <v>0</v>
      </c>
      <c r="W3416" t="s">
        <v>52</v>
      </c>
    </row>
    <row r="3417" spans="1:23" x14ac:dyDescent="0.35">
      <c r="A3417" t="s">
        <v>45</v>
      </c>
      <c r="B3417" t="s">
        <v>6773</v>
      </c>
      <c r="C3417" t="s">
        <v>60</v>
      </c>
      <c r="D3417" t="s">
        <v>61</v>
      </c>
      <c r="E3417" t="s">
        <v>61</v>
      </c>
      <c r="F3417" t="s">
        <v>49</v>
      </c>
      <c r="G3417" t="s">
        <v>6911</v>
      </c>
      <c r="H3417" t="s">
        <v>6912</v>
      </c>
      <c r="J3417" t="str">
        <f>HYPERLINK("https://www.facebook.com/634639855377280/posts/774483894726208?comment_id=364252649656581&amp;reply_comment_id=1048653876369762","https://www.facebook.com/634639855377280/posts/774483894726208?comment_id=364252649656581&amp;reply_comment_id=1048653876369762")</f>
        <v>https://www.facebook.com/634639855377280/posts/774483894726208?comment_id=364252649656581&amp;reply_comment_id=1048653876369762</v>
      </c>
      <c r="O3417">
        <v>0</v>
      </c>
      <c r="P3417">
        <v>0</v>
      </c>
      <c r="Q3417">
        <v>0</v>
      </c>
      <c r="S3417">
        <v>0</v>
      </c>
      <c r="T3417">
        <v>0</v>
      </c>
      <c r="U3417">
        <v>0</v>
      </c>
      <c r="W3417" t="s">
        <v>52</v>
      </c>
    </row>
    <row r="3418" spans="1:23" x14ac:dyDescent="0.35">
      <c r="A3418" t="s">
        <v>45</v>
      </c>
      <c r="B3418" t="s">
        <v>6773</v>
      </c>
      <c r="C3418" t="s">
        <v>60</v>
      </c>
      <c r="D3418" t="s">
        <v>61</v>
      </c>
      <c r="E3418" t="s">
        <v>61</v>
      </c>
      <c r="F3418" t="s">
        <v>49</v>
      </c>
      <c r="G3418" t="s">
        <v>6913</v>
      </c>
      <c r="H3418" t="s">
        <v>6914</v>
      </c>
      <c r="J3418" t="str">
        <f>HYPERLINK("https://www.facebook.com/634639855377280/posts/774483894726208?comment_id=364252649656581","https://www.facebook.com/634639855377280/posts/774483894726208?comment_id=364252649656581")</f>
        <v>https://www.facebook.com/634639855377280/posts/774483894726208?comment_id=364252649656581</v>
      </c>
      <c r="O3418">
        <v>0</v>
      </c>
      <c r="P3418">
        <v>0</v>
      </c>
      <c r="Q3418">
        <v>0</v>
      </c>
      <c r="S3418">
        <v>0</v>
      </c>
      <c r="T3418">
        <v>0</v>
      </c>
      <c r="U3418">
        <v>0</v>
      </c>
      <c r="W3418" t="s">
        <v>52</v>
      </c>
    </row>
    <row r="3419" spans="1:23" x14ac:dyDescent="0.35">
      <c r="A3419" t="s">
        <v>45</v>
      </c>
      <c r="B3419" t="s">
        <v>6773</v>
      </c>
      <c r="C3419" t="s">
        <v>47</v>
      </c>
      <c r="D3419" t="s">
        <v>6915</v>
      </c>
      <c r="E3419" t="s">
        <v>6915</v>
      </c>
      <c r="F3419" t="s">
        <v>49</v>
      </c>
      <c r="G3419" t="s">
        <v>6916</v>
      </c>
      <c r="H3419" t="s">
        <v>6917</v>
      </c>
      <c r="J3419" t="str">
        <f>HYPERLINK("https://www.youtube.com/watch?v=L48LASyoHuE&amp;lc=UgxJdVFL89miQQ0w4VN4AaABAg","https://www.youtube.com/watch?v=L48LASyoHuE&amp;lc=UgxJdVFL89miQQ0w4VN4AaABAg")</f>
        <v>https://www.youtube.com/watch?v=L48LASyoHuE&amp;lc=UgxJdVFL89miQQ0w4VN4AaABAg</v>
      </c>
      <c r="O3419">
        <v>0</v>
      </c>
      <c r="P3419">
        <v>0</v>
      </c>
      <c r="Q3419">
        <v>0</v>
      </c>
      <c r="S3419">
        <v>0</v>
      </c>
      <c r="T3419">
        <v>0</v>
      </c>
      <c r="U3419">
        <v>0</v>
      </c>
      <c r="W3419" t="s">
        <v>52</v>
      </c>
    </row>
    <row r="3420" spans="1:23" x14ac:dyDescent="0.35">
      <c r="A3420" t="s">
        <v>45</v>
      </c>
      <c r="B3420" t="s">
        <v>6773</v>
      </c>
      <c r="C3420" t="s">
        <v>47</v>
      </c>
      <c r="D3420" t="s">
        <v>6915</v>
      </c>
      <c r="E3420" t="s">
        <v>6915</v>
      </c>
      <c r="F3420" t="s">
        <v>49</v>
      </c>
      <c r="G3420" t="s">
        <v>6918</v>
      </c>
      <c r="H3420" t="s">
        <v>6919</v>
      </c>
      <c r="J3420" t="str">
        <f>HYPERLINK("https://www.youtube.com/watch?v=U7QcHcr47cw&amp;lc=UgxZvBoTSABTh8DDAux4AaABAg","https://www.youtube.com/watch?v=U7QcHcr47cw&amp;lc=UgxZvBoTSABTh8DDAux4AaABAg")</f>
        <v>https://www.youtube.com/watch?v=U7QcHcr47cw&amp;lc=UgxZvBoTSABTh8DDAux4AaABAg</v>
      </c>
      <c r="O3420">
        <v>0</v>
      </c>
      <c r="P3420">
        <v>0</v>
      </c>
      <c r="Q3420">
        <v>0</v>
      </c>
      <c r="S3420">
        <v>0</v>
      </c>
      <c r="T3420">
        <v>0</v>
      </c>
      <c r="U3420">
        <v>0</v>
      </c>
      <c r="W3420" t="s">
        <v>52</v>
      </c>
    </row>
    <row r="3421" spans="1:23" x14ac:dyDescent="0.35">
      <c r="A3421" t="s">
        <v>45</v>
      </c>
      <c r="B3421" t="s">
        <v>6773</v>
      </c>
      <c r="C3421" t="s">
        <v>93</v>
      </c>
      <c r="D3421" t="s">
        <v>6920</v>
      </c>
      <c r="E3421" t="s">
        <v>6921</v>
      </c>
      <c r="F3421" t="s">
        <v>49</v>
      </c>
      <c r="G3421" t="s">
        <v>6922</v>
      </c>
      <c r="H3421" t="s">
        <v>6923</v>
      </c>
      <c r="J3421" t="str">
        <f>HYPERLINK("https://twitter.com/GulamHu94492562/status/1748560027412291905","https://twitter.com/GulamHu94492562/status/1748560027412291905")</f>
        <v>https://twitter.com/GulamHu94492562/status/1748560027412291905</v>
      </c>
      <c r="K3421" t="s">
        <v>67</v>
      </c>
      <c r="O3421">
        <v>0</v>
      </c>
      <c r="P3421">
        <v>0</v>
      </c>
      <c r="Q3421">
        <v>0</v>
      </c>
      <c r="S3421">
        <v>0</v>
      </c>
      <c r="T3421">
        <v>0</v>
      </c>
      <c r="U3421">
        <v>0</v>
      </c>
      <c r="W3421" t="s">
        <v>99</v>
      </c>
    </row>
    <row r="3422" spans="1:23" x14ac:dyDescent="0.35">
      <c r="A3422" t="s">
        <v>45</v>
      </c>
      <c r="B3422" t="s">
        <v>6773</v>
      </c>
      <c r="C3422" t="s">
        <v>60</v>
      </c>
      <c r="D3422" t="s">
        <v>61</v>
      </c>
      <c r="E3422" t="s">
        <v>61</v>
      </c>
      <c r="F3422" t="s">
        <v>49</v>
      </c>
      <c r="G3422" t="s">
        <v>6924</v>
      </c>
      <c r="H3422" t="s">
        <v>6925</v>
      </c>
      <c r="J3422" t="str">
        <f>HYPERLINK("https://www.facebook.com/634639855377280/posts/774483894726208?comment_id=772463498243763&amp;reply_comment_id=1837057150063758","https://www.facebook.com/634639855377280/posts/774483894726208?comment_id=772463498243763&amp;reply_comment_id=1837057150063758")</f>
        <v>https://www.facebook.com/634639855377280/posts/774483894726208?comment_id=772463498243763&amp;reply_comment_id=1837057150063758</v>
      </c>
      <c r="O3422">
        <v>0</v>
      </c>
      <c r="P3422">
        <v>0</v>
      </c>
      <c r="Q3422">
        <v>0</v>
      </c>
      <c r="S3422">
        <v>0</v>
      </c>
      <c r="T3422">
        <v>0</v>
      </c>
      <c r="U3422">
        <v>0</v>
      </c>
      <c r="W3422" t="s">
        <v>52</v>
      </c>
    </row>
    <row r="3423" spans="1:23" x14ac:dyDescent="0.35">
      <c r="A3423" t="s">
        <v>45</v>
      </c>
      <c r="B3423" t="s">
        <v>6773</v>
      </c>
      <c r="C3423" t="s">
        <v>60</v>
      </c>
      <c r="D3423" t="s">
        <v>64</v>
      </c>
      <c r="E3423" t="s">
        <v>64</v>
      </c>
      <c r="F3423" t="s">
        <v>49</v>
      </c>
      <c r="G3423" t="s">
        <v>100</v>
      </c>
      <c r="H3423" t="s">
        <v>6926</v>
      </c>
      <c r="J3423" t="str">
        <f>HYPERLINK("https://www.facebook.com/634639855377280/posts/774483894726208?comment_id=3245700509067009&amp;reply_comment_id=1042826990107850","https://www.facebook.com/634639855377280/posts/774483894726208?comment_id=3245700509067009&amp;reply_comment_id=1042826990107850")</f>
        <v>https://www.facebook.com/634639855377280/posts/774483894726208?comment_id=3245700509067009&amp;reply_comment_id=1042826990107850</v>
      </c>
      <c r="K3423" t="s">
        <v>67</v>
      </c>
      <c r="O3423">
        <v>0</v>
      </c>
      <c r="P3423">
        <v>0</v>
      </c>
      <c r="Q3423">
        <v>0</v>
      </c>
      <c r="S3423">
        <v>0</v>
      </c>
      <c r="T3423">
        <v>0</v>
      </c>
      <c r="U3423">
        <v>0</v>
      </c>
      <c r="W3423" t="s">
        <v>52</v>
      </c>
    </row>
    <row r="3424" spans="1:23" x14ac:dyDescent="0.35">
      <c r="A3424" t="s">
        <v>45</v>
      </c>
      <c r="B3424" t="s">
        <v>6773</v>
      </c>
      <c r="C3424" t="s">
        <v>93</v>
      </c>
      <c r="D3424" t="s">
        <v>94</v>
      </c>
      <c r="E3424" t="s">
        <v>45</v>
      </c>
      <c r="F3424" t="s">
        <v>49</v>
      </c>
      <c r="G3424" t="s">
        <v>6927</v>
      </c>
      <c r="H3424" t="s">
        <v>6928</v>
      </c>
      <c r="J3424" t="str">
        <f>HYPERLINK("https://twitter.com/SpiceMoneyIndia/status/1748559255408373911","https://twitter.com/SpiceMoneyIndia/status/1748559255408373911")</f>
        <v>https://twitter.com/SpiceMoneyIndia/status/1748559255408373911</v>
      </c>
      <c r="K3424" t="s">
        <v>67</v>
      </c>
      <c r="O3424">
        <v>0</v>
      </c>
      <c r="P3424">
        <v>0</v>
      </c>
      <c r="Q3424">
        <v>6001</v>
      </c>
      <c r="R3424" t="s">
        <v>97</v>
      </c>
      <c r="S3424">
        <v>0</v>
      </c>
      <c r="T3424">
        <v>0</v>
      </c>
      <c r="U3424">
        <v>0</v>
      </c>
      <c r="V3424" t="s">
        <v>98</v>
      </c>
      <c r="W3424" t="s">
        <v>99</v>
      </c>
    </row>
    <row r="3425" spans="1:23" x14ac:dyDescent="0.35">
      <c r="A3425" t="s">
        <v>45</v>
      </c>
      <c r="B3425" t="s">
        <v>6773</v>
      </c>
      <c r="C3425" t="s">
        <v>93</v>
      </c>
      <c r="D3425" t="s">
        <v>94</v>
      </c>
      <c r="E3425" t="s">
        <v>45</v>
      </c>
      <c r="F3425" t="s">
        <v>49</v>
      </c>
      <c r="G3425" t="s">
        <v>6929</v>
      </c>
      <c r="H3425" t="s">
        <v>6930</v>
      </c>
      <c r="J3425" t="str">
        <f>HYPERLINK("https://twitter.com/SpiceMoneyIndia/status/1748559004370952326","https://twitter.com/SpiceMoneyIndia/status/1748559004370952326")</f>
        <v>https://twitter.com/SpiceMoneyIndia/status/1748559004370952326</v>
      </c>
      <c r="K3425" t="s">
        <v>67</v>
      </c>
      <c r="O3425">
        <v>0</v>
      </c>
      <c r="P3425">
        <v>0</v>
      </c>
      <c r="Q3425">
        <v>6001</v>
      </c>
      <c r="R3425" t="s">
        <v>97</v>
      </c>
      <c r="S3425">
        <v>0</v>
      </c>
      <c r="T3425">
        <v>0</v>
      </c>
      <c r="U3425">
        <v>0</v>
      </c>
      <c r="V3425" t="s">
        <v>98</v>
      </c>
      <c r="W3425" t="s">
        <v>99</v>
      </c>
    </row>
    <row r="3426" spans="1:23" x14ac:dyDescent="0.35">
      <c r="A3426" t="s">
        <v>45</v>
      </c>
      <c r="B3426" t="s">
        <v>6773</v>
      </c>
      <c r="C3426" t="s">
        <v>60</v>
      </c>
      <c r="D3426" t="s">
        <v>64</v>
      </c>
      <c r="E3426" t="s">
        <v>64</v>
      </c>
      <c r="F3426" t="s">
        <v>49</v>
      </c>
      <c r="G3426" t="s">
        <v>83</v>
      </c>
      <c r="H3426" t="s">
        <v>6931</v>
      </c>
      <c r="J3426" t="str">
        <f>HYPERLINK("https://www.facebook.com/634639855377280/posts/774881771353087?comment_id=1356599798328357&amp;reply_comment_id=754271132817326","https://www.facebook.com/634639855377280/posts/774881771353087?comment_id=1356599798328357&amp;reply_comment_id=754271132817326")</f>
        <v>https://www.facebook.com/634639855377280/posts/774881771353087?comment_id=1356599798328357&amp;reply_comment_id=754271132817326</v>
      </c>
      <c r="K3426" t="s">
        <v>67</v>
      </c>
      <c r="O3426">
        <v>0</v>
      </c>
      <c r="P3426">
        <v>0</v>
      </c>
      <c r="Q3426">
        <v>0</v>
      </c>
      <c r="S3426">
        <v>0</v>
      </c>
      <c r="T3426">
        <v>0</v>
      </c>
      <c r="U3426">
        <v>0</v>
      </c>
      <c r="W3426" t="s">
        <v>52</v>
      </c>
    </row>
    <row r="3427" spans="1:23" x14ac:dyDescent="0.35">
      <c r="A3427" t="s">
        <v>45</v>
      </c>
      <c r="B3427" t="s">
        <v>6773</v>
      </c>
      <c r="C3427" t="s">
        <v>60</v>
      </c>
      <c r="D3427" t="s">
        <v>64</v>
      </c>
      <c r="E3427" t="s">
        <v>64</v>
      </c>
      <c r="F3427" t="s">
        <v>49</v>
      </c>
      <c r="G3427" t="s">
        <v>83</v>
      </c>
      <c r="H3427" t="s">
        <v>6932</v>
      </c>
      <c r="J3427" t="str">
        <f>HYPERLINK("https://www.facebook.com/634639855377280/posts/774483894726208?comment_id=1998880610563005&amp;reply_comment_id=744064910641027","https://www.facebook.com/634639855377280/posts/774483894726208?comment_id=1998880610563005&amp;reply_comment_id=744064910641027")</f>
        <v>https://www.facebook.com/634639855377280/posts/774483894726208?comment_id=1998880610563005&amp;reply_comment_id=744064910641027</v>
      </c>
      <c r="K3427" t="s">
        <v>67</v>
      </c>
      <c r="O3427">
        <v>0</v>
      </c>
      <c r="P3427">
        <v>0</v>
      </c>
      <c r="Q3427">
        <v>0</v>
      </c>
      <c r="S3427">
        <v>0</v>
      </c>
      <c r="T3427">
        <v>0</v>
      </c>
      <c r="U3427">
        <v>0</v>
      </c>
      <c r="W3427" t="s">
        <v>52</v>
      </c>
    </row>
    <row r="3428" spans="1:23" x14ac:dyDescent="0.35">
      <c r="A3428" t="s">
        <v>45</v>
      </c>
      <c r="B3428" t="s">
        <v>6773</v>
      </c>
      <c r="C3428" t="s">
        <v>60</v>
      </c>
      <c r="D3428" t="s">
        <v>64</v>
      </c>
      <c r="E3428" t="s">
        <v>64</v>
      </c>
      <c r="F3428" t="s">
        <v>49</v>
      </c>
      <c r="G3428" t="s">
        <v>83</v>
      </c>
      <c r="H3428" t="s">
        <v>6933</v>
      </c>
      <c r="J3428" t="str">
        <f>HYPERLINK("https://www.facebook.com/634639855377280/posts/774950251346239?comment_id=219651007895564&amp;reply_comment_id=1066144774591612","https://www.facebook.com/634639855377280/posts/774950251346239?comment_id=219651007895564&amp;reply_comment_id=1066144774591612")</f>
        <v>https://www.facebook.com/634639855377280/posts/774950251346239?comment_id=219651007895564&amp;reply_comment_id=1066144774591612</v>
      </c>
      <c r="K3428" t="s">
        <v>67</v>
      </c>
      <c r="O3428">
        <v>0</v>
      </c>
      <c r="P3428">
        <v>0</v>
      </c>
      <c r="Q3428">
        <v>0</v>
      </c>
      <c r="S3428">
        <v>0</v>
      </c>
      <c r="T3428">
        <v>0</v>
      </c>
      <c r="U3428">
        <v>0</v>
      </c>
      <c r="W3428" t="s">
        <v>52</v>
      </c>
    </row>
    <row r="3429" spans="1:23" x14ac:dyDescent="0.35">
      <c r="A3429" t="s">
        <v>45</v>
      </c>
      <c r="B3429" t="s">
        <v>6773</v>
      </c>
      <c r="C3429" t="s">
        <v>60</v>
      </c>
      <c r="D3429" t="s">
        <v>64</v>
      </c>
      <c r="E3429" t="s">
        <v>64</v>
      </c>
      <c r="F3429" t="s">
        <v>49</v>
      </c>
      <c r="G3429" t="s">
        <v>83</v>
      </c>
      <c r="H3429" t="s">
        <v>6934</v>
      </c>
      <c r="J3429" t="str">
        <f>HYPERLINK("https://www.facebook.com/634639855377280/posts/774881771353087?comment_id=1088160562614977&amp;reply_comment_id=729648055788025","https://www.facebook.com/634639855377280/posts/774881771353087?comment_id=1088160562614977&amp;reply_comment_id=729648055788025")</f>
        <v>https://www.facebook.com/634639855377280/posts/774881771353087?comment_id=1088160562614977&amp;reply_comment_id=729648055788025</v>
      </c>
      <c r="K3429" t="s">
        <v>67</v>
      </c>
      <c r="O3429">
        <v>0</v>
      </c>
      <c r="P3429">
        <v>0</v>
      </c>
      <c r="Q3429">
        <v>0</v>
      </c>
      <c r="S3429">
        <v>0</v>
      </c>
      <c r="T3429">
        <v>0</v>
      </c>
      <c r="U3429">
        <v>0</v>
      </c>
      <c r="W3429" t="s">
        <v>52</v>
      </c>
    </row>
    <row r="3430" spans="1:23" x14ac:dyDescent="0.35">
      <c r="A3430" t="s">
        <v>45</v>
      </c>
      <c r="B3430" t="s">
        <v>6773</v>
      </c>
      <c r="C3430" t="s">
        <v>60</v>
      </c>
      <c r="D3430" t="s">
        <v>61</v>
      </c>
      <c r="E3430" t="s">
        <v>61</v>
      </c>
      <c r="F3430" t="s">
        <v>49</v>
      </c>
      <c r="G3430" t="s">
        <v>6935</v>
      </c>
      <c r="H3430" t="s">
        <v>6936</v>
      </c>
      <c r="J3430" t="str">
        <f>HYPERLINK("https://www.facebook.com/634639855377280/posts/774483894726208?comment_id=1998880610563005","https://www.facebook.com/634639855377280/posts/774483894726208?comment_id=1998880610563005")</f>
        <v>https://www.facebook.com/634639855377280/posts/774483894726208?comment_id=1998880610563005</v>
      </c>
      <c r="O3430">
        <v>0</v>
      </c>
      <c r="P3430">
        <v>0</v>
      </c>
      <c r="Q3430">
        <v>0</v>
      </c>
      <c r="S3430">
        <v>0</v>
      </c>
      <c r="T3430">
        <v>0</v>
      </c>
      <c r="U3430">
        <v>0</v>
      </c>
      <c r="W3430" t="s">
        <v>52</v>
      </c>
    </row>
    <row r="3431" spans="1:23" x14ac:dyDescent="0.35">
      <c r="A3431" t="s">
        <v>45</v>
      </c>
      <c r="B3431" t="s">
        <v>6773</v>
      </c>
      <c r="C3431" t="s">
        <v>60</v>
      </c>
      <c r="D3431" t="s">
        <v>64</v>
      </c>
      <c r="E3431" t="s">
        <v>64</v>
      </c>
      <c r="F3431" t="s">
        <v>49</v>
      </c>
      <c r="G3431" t="s">
        <v>1595</v>
      </c>
      <c r="H3431" t="s">
        <v>6937</v>
      </c>
      <c r="J3431" t="str">
        <f>HYPERLINK("https://www.facebook.com/634639855377280/posts/774412801399984?comment_id=194778707053255&amp;reply_comment_id=346489701562864","https://www.facebook.com/634639855377280/posts/774412801399984?comment_id=194778707053255&amp;reply_comment_id=346489701562864")</f>
        <v>https://www.facebook.com/634639855377280/posts/774412801399984?comment_id=194778707053255&amp;reply_comment_id=346489701562864</v>
      </c>
      <c r="K3431" t="s">
        <v>67</v>
      </c>
      <c r="O3431">
        <v>0</v>
      </c>
      <c r="P3431">
        <v>0</v>
      </c>
      <c r="Q3431">
        <v>0</v>
      </c>
      <c r="S3431">
        <v>0</v>
      </c>
      <c r="T3431">
        <v>0</v>
      </c>
      <c r="U3431">
        <v>0</v>
      </c>
      <c r="W3431" t="s">
        <v>52</v>
      </c>
    </row>
    <row r="3432" spans="1:23" x14ac:dyDescent="0.35">
      <c r="A3432" t="s">
        <v>45</v>
      </c>
      <c r="B3432" t="s">
        <v>6773</v>
      </c>
      <c r="C3432" t="s">
        <v>60</v>
      </c>
      <c r="D3432" t="s">
        <v>61</v>
      </c>
      <c r="E3432" t="s">
        <v>61</v>
      </c>
      <c r="F3432" t="s">
        <v>49</v>
      </c>
      <c r="G3432" t="s">
        <v>6938</v>
      </c>
      <c r="H3432" t="s">
        <v>6939</v>
      </c>
      <c r="J3432" t="str">
        <f>HYPERLINK("https://www.facebook.com/634639855377280/posts/774881771353087?comment_id=1356599798328357","https://www.facebook.com/634639855377280/posts/774881771353087?comment_id=1356599798328357")</f>
        <v>https://www.facebook.com/634639855377280/posts/774881771353087?comment_id=1356599798328357</v>
      </c>
      <c r="O3432">
        <v>0</v>
      </c>
      <c r="P3432">
        <v>0</v>
      </c>
      <c r="Q3432">
        <v>0</v>
      </c>
      <c r="S3432">
        <v>0</v>
      </c>
      <c r="T3432">
        <v>0</v>
      </c>
      <c r="U3432">
        <v>0</v>
      </c>
      <c r="W3432" t="s">
        <v>52</v>
      </c>
    </row>
    <row r="3433" spans="1:23" x14ac:dyDescent="0.35">
      <c r="A3433" t="s">
        <v>45</v>
      </c>
      <c r="B3433" t="s">
        <v>6773</v>
      </c>
      <c r="C3433" t="s">
        <v>60</v>
      </c>
      <c r="D3433" t="s">
        <v>61</v>
      </c>
      <c r="E3433" t="s">
        <v>61</v>
      </c>
      <c r="F3433" t="s">
        <v>49</v>
      </c>
      <c r="G3433" t="s">
        <v>6940</v>
      </c>
      <c r="H3433" t="s">
        <v>6941</v>
      </c>
      <c r="J3433" t="str">
        <f>HYPERLINK("https://www.facebook.com/634639855377280/posts/774483894726208?comment_id=310920321400803&amp;reply_comment_id=1386016668944857","https://www.facebook.com/634639855377280/posts/774483894726208?comment_id=310920321400803&amp;reply_comment_id=1386016668944857")</f>
        <v>https://www.facebook.com/634639855377280/posts/774483894726208?comment_id=310920321400803&amp;reply_comment_id=1386016668944857</v>
      </c>
      <c r="O3433">
        <v>0</v>
      </c>
      <c r="P3433">
        <v>0</v>
      </c>
      <c r="Q3433">
        <v>0</v>
      </c>
      <c r="S3433">
        <v>0</v>
      </c>
      <c r="T3433">
        <v>0</v>
      </c>
      <c r="U3433">
        <v>0</v>
      </c>
      <c r="W3433" t="s">
        <v>52</v>
      </c>
    </row>
    <row r="3434" spans="1:23" x14ac:dyDescent="0.35">
      <c r="A3434" t="s">
        <v>45</v>
      </c>
      <c r="B3434" t="s">
        <v>6773</v>
      </c>
      <c r="C3434" t="s">
        <v>93</v>
      </c>
      <c r="D3434" t="s">
        <v>6942</v>
      </c>
      <c r="E3434" t="s">
        <v>6943</v>
      </c>
      <c r="F3434" t="s">
        <v>49</v>
      </c>
      <c r="G3434" t="s">
        <v>6944</v>
      </c>
      <c r="H3434" t="s">
        <v>6945</v>
      </c>
      <c r="J3434" t="str">
        <f>HYPERLINK("https://twitter.com/Tozawashin33445/status/1748555908982997367","https://twitter.com/Tozawashin33445/status/1748555908982997367")</f>
        <v>https://twitter.com/Tozawashin33445/status/1748555908982997367</v>
      </c>
      <c r="O3434">
        <v>0</v>
      </c>
      <c r="P3434">
        <v>0</v>
      </c>
      <c r="Q3434">
        <v>0</v>
      </c>
      <c r="R3434" t="s">
        <v>5142</v>
      </c>
      <c r="S3434">
        <v>0</v>
      </c>
      <c r="T3434">
        <v>0</v>
      </c>
      <c r="U3434">
        <v>0</v>
      </c>
      <c r="W3434" t="s">
        <v>99</v>
      </c>
    </row>
    <row r="3435" spans="1:23" x14ac:dyDescent="0.35">
      <c r="A3435" t="s">
        <v>45</v>
      </c>
      <c r="B3435" t="s">
        <v>6773</v>
      </c>
      <c r="C3435" t="s">
        <v>93</v>
      </c>
      <c r="D3435" t="s">
        <v>94</v>
      </c>
      <c r="E3435" t="s">
        <v>45</v>
      </c>
      <c r="F3435" t="s">
        <v>49</v>
      </c>
      <c r="G3435" t="s">
        <v>6946</v>
      </c>
      <c r="H3435" t="s">
        <v>6947</v>
      </c>
      <c r="J3435" t="str">
        <f>HYPERLINK("https://twitter.com/SpiceMoneyIndia/status/1748555895850881069","https://twitter.com/SpiceMoneyIndia/status/1748555895850881069")</f>
        <v>https://twitter.com/SpiceMoneyIndia/status/1748555895850881069</v>
      </c>
      <c r="K3435" t="s">
        <v>67</v>
      </c>
      <c r="O3435">
        <v>0</v>
      </c>
      <c r="P3435">
        <v>0</v>
      </c>
      <c r="Q3435">
        <v>6001</v>
      </c>
      <c r="R3435" t="s">
        <v>97</v>
      </c>
      <c r="S3435">
        <v>0</v>
      </c>
      <c r="T3435">
        <v>0</v>
      </c>
      <c r="U3435">
        <v>0</v>
      </c>
      <c r="V3435" t="s">
        <v>98</v>
      </c>
      <c r="W3435" t="s">
        <v>99</v>
      </c>
    </row>
    <row r="3436" spans="1:23" x14ac:dyDescent="0.35">
      <c r="A3436" t="s">
        <v>45</v>
      </c>
      <c r="B3436" t="s">
        <v>6773</v>
      </c>
      <c r="C3436" t="s">
        <v>60</v>
      </c>
      <c r="D3436" t="s">
        <v>64</v>
      </c>
      <c r="E3436" t="s">
        <v>64</v>
      </c>
      <c r="F3436" t="s">
        <v>49</v>
      </c>
      <c r="G3436" t="s">
        <v>6948</v>
      </c>
      <c r="H3436" t="s">
        <v>6949</v>
      </c>
      <c r="J3436" t="str">
        <f>HYPERLINK("https://www.facebook.com/634639855377280/posts/775589934615604","https://www.facebook.com/634639855377280/posts/775589934615604")</f>
        <v>https://www.facebook.com/634639855377280/posts/775589934615604</v>
      </c>
      <c r="O3436">
        <v>0</v>
      </c>
      <c r="P3436">
        <v>0</v>
      </c>
      <c r="Q3436">
        <v>0</v>
      </c>
      <c r="S3436">
        <v>7</v>
      </c>
      <c r="T3436">
        <v>57</v>
      </c>
      <c r="U3436">
        <v>4</v>
      </c>
      <c r="W3436" t="s">
        <v>346</v>
      </c>
    </row>
    <row r="3437" spans="1:23" x14ac:dyDescent="0.35">
      <c r="A3437" t="s">
        <v>45</v>
      </c>
      <c r="B3437" t="s">
        <v>6773</v>
      </c>
      <c r="C3437" t="s">
        <v>60</v>
      </c>
      <c r="D3437" t="s">
        <v>64</v>
      </c>
      <c r="E3437" t="s">
        <v>64</v>
      </c>
      <c r="F3437" t="s">
        <v>49</v>
      </c>
      <c r="G3437" t="s">
        <v>83</v>
      </c>
      <c r="H3437" t="s">
        <v>6950</v>
      </c>
      <c r="J3437" t="str">
        <f>HYPERLINK("https://www.facebook.com/634639855377280/posts/774881771353087?comment_id=1303614053781561&amp;reply_comment_id=1821005508361037","https://www.facebook.com/634639855377280/posts/774881771353087?comment_id=1303614053781561&amp;reply_comment_id=1821005508361037")</f>
        <v>https://www.facebook.com/634639855377280/posts/774881771353087?comment_id=1303614053781561&amp;reply_comment_id=1821005508361037</v>
      </c>
      <c r="K3437" t="s">
        <v>67</v>
      </c>
      <c r="O3437">
        <v>0</v>
      </c>
      <c r="P3437">
        <v>0</v>
      </c>
      <c r="Q3437">
        <v>0</v>
      </c>
      <c r="S3437">
        <v>0</v>
      </c>
      <c r="T3437">
        <v>0</v>
      </c>
      <c r="U3437">
        <v>0</v>
      </c>
      <c r="W3437" t="s">
        <v>52</v>
      </c>
    </row>
    <row r="3438" spans="1:23" x14ac:dyDescent="0.35">
      <c r="A3438" t="s">
        <v>45</v>
      </c>
      <c r="B3438" t="s">
        <v>6773</v>
      </c>
      <c r="C3438" t="s">
        <v>60</v>
      </c>
      <c r="D3438" t="s">
        <v>61</v>
      </c>
      <c r="E3438" t="s">
        <v>61</v>
      </c>
      <c r="F3438" t="s">
        <v>49</v>
      </c>
      <c r="G3438" t="s">
        <v>6951</v>
      </c>
      <c r="H3438" t="s">
        <v>6952</v>
      </c>
      <c r="J3438" t="str">
        <f>HYPERLINK("https://www.facebook.com/634639855377280/posts/774483894726208?comment_id=3245700509067009&amp;reply_comment_id=1127879648393116","https://www.facebook.com/634639855377280/posts/774483894726208?comment_id=3245700509067009&amp;reply_comment_id=1127879648393116")</f>
        <v>https://www.facebook.com/634639855377280/posts/774483894726208?comment_id=3245700509067009&amp;reply_comment_id=1127879648393116</v>
      </c>
      <c r="O3438">
        <v>0</v>
      </c>
      <c r="P3438">
        <v>0</v>
      </c>
      <c r="Q3438">
        <v>0</v>
      </c>
      <c r="S3438">
        <v>0</v>
      </c>
      <c r="T3438">
        <v>0</v>
      </c>
      <c r="U3438">
        <v>0</v>
      </c>
      <c r="W3438" t="s">
        <v>52</v>
      </c>
    </row>
    <row r="3439" spans="1:23" x14ac:dyDescent="0.35">
      <c r="A3439" t="s">
        <v>45</v>
      </c>
      <c r="B3439" t="s">
        <v>6773</v>
      </c>
      <c r="C3439" t="s">
        <v>47</v>
      </c>
      <c r="D3439" t="s">
        <v>6953</v>
      </c>
      <c r="E3439" t="s">
        <v>6953</v>
      </c>
      <c r="F3439" t="s">
        <v>54</v>
      </c>
      <c r="G3439" t="s">
        <v>6954</v>
      </c>
      <c r="H3439" t="s">
        <v>6955</v>
      </c>
      <c r="J3439" t="str">
        <f>HYPERLINK("https://www.youtube.com/watch?v=fi0KMSdJZZY&amp;lc=UgxAiTntlvJlr00z6y94AaABAg","https://www.youtube.com/watch?v=fi0KMSdJZZY&amp;lc=UgxAiTntlvJlr00z6y94AaABAg")</f>
        <v>https://www.youtube.com/watch?v=fi0KMSdJZZY&amp;lc=UgxAiTntlvJlr00z6y94AaABAg</v>
      </c>
      <c r="O3439">
        <v>0</v>
      </c>
      <c r="P3439">
        <v>0</v>
      </c>
      <c r="Q3439">
        <v>0</v>
      </c>
      <c r="S3439">
        <v>0</v>
      </c>
      <c r="T3439">
        <v>0</v>
      </c>
      <c r="U3439">
        <v>0</v>
      </c>
      <c r="W3439" t="s">
        <v>52</v>
      </c>
    </row>
    <row r="3440" spans="1:23" x14ac:dyDescent="0.35">
      <c r="A3440" t="s">
        <v>45</v>
      </c>
      <c r="B3440" t="s">
        <v>6773</v>
      </c>
      <c r="C3440" t="s">
        <v>60</v>
      </c>
      <c r="D3440" t="s">
        <v>64</v>
      </c>
      <c r="E3440" t="s">
        <v>64</v>
      </c>
      <c r="F3440" t="s">
        <v>49</v>
      </c>
      <c r="G3440" t="s">
        <v>83</v>
      </c>
      <c r="H3440" t="s">
        <v>6956</v>
      </c>
      <c r="J3440" t="str">
        <f>HYPERLINK("https://www.facebook.com/634639855377280/posts/774483894726208?comment_id=3245700509067009&amp;reply_comment_id=7037712966264554","https://www.facebook.com/634639855377280/posts/774483894726208?comment_id=3245700509067009&amp;reply_comment_id=7037712966264554")</f>
        <v>https://www.facebook.com/634639855377280/posts/774483894726208?comment_id=3245700509067009&amp;reply_comment_id=7037712966264554</v>
      </c>
      <c r="K3440" t="s">
        <v>67</v>
      </c>
      <c r="O3440">
        <v>0</v>
      </c>
      <c r="P3440">
        <v>0</v>
      </c>
      <c r="Q3440">
        <v>0</v>
      </c>
      <c r="S3440">
        <v>0</v>
      </c>
      <c r="T3440">
        <v>0</v>
      </c>
      <c r="U3440">
        <v>0</v>
      </c>
      <c r="W3440" t="s">
        <v>52</v>
      </c>
    </row>
    <row r="3441" spans="1:23" x14ac:dyDescent="0.35">
      <c r="A3441" t="s">
        <v>45</v>
      </c>
      <c r="B3441" t="s">
        <v>6773</v>
      </c>
      <c r="C3441" t="s">
        <v>60</v>
      </c>
      <c r="D3441" t="s">
        <v>64</v>
      </c>
      <c r="E3441" t="s">
        <v>64</v>
      </c>
      <c r="F3441" t="s">
        <v>49</v>
      </c>
      <c r="G3441" t="s">
        <v>100</v>
      </c>
      <c r="H3441" t="s">
        <v>6957</v>
      </c>
      <c r="J3441" t="str">
        <f>HYPERLINK("https://www.facebook.com/634639855377280/posts/774483894726208?comment_id=342888618696992&amp;reply_comment_id=1616746965736222","https://www.facebook.com/634639855377280/posts/774483894726208?comment_id=342888618696992&amp;reply_comment_id=1616746965736222")</f>
        <v>https://www.facebook.com/634639855377280/posts/774483894726208?comment_id=342888618696992&amp;reply_comment_id=1616746965736222</v>
      </c>
      <c r="K3441" t="s">
        <v>67</v>
      </c>
      <c r="O3441">
        <v>0</v>
      </c>
      <c r="P3441">
        <v>0</v>
      </c>
      <c r="Q3441">
        <v>0</v>
      </c>
      <c r="S3441">
        <v>0</v>
      </c>
      <c r="T3441">
        <v>0</v>
      </c>
      <c r="U3441">
        <v>0</v>
      </c>
      <c r="W3441" t="s">
        <v>52</v>
      </c>
    </row>
    <row r="3442" spans="1:23" x14ac:dyDescent="0.35">
      <c r="A3442" t="s">
        <v>45</v>
      </c>
      <c r="B3442" t="s">
        <v>6773</v>
      </c>
      <c r="C3442" t="s">
        <v>60</v>
      </c>
      <c r="D3442" t="s">
        <v>64</v>
      </c>
      <c r="E3442" t="s">
        <v>64</v>
      </c>
      <c r="F3442" t="s">
        <v>49</v>
      </c>
      <c r="G3442" t="s">
        <v>83</v>
      </c>
      <c r="H3442" t="s">
        <v>6958</v>
      </c>
      <c r="J3442" t="str">
        <f>HYPERLINK("https://www.facebook.com/634639855377280/posts/774483894726208?comment_id=3605405819677550&amp;reply_comment_id=1142062500113402","https://www.facebook.com/634639855377280/posts/774483894726208?comment_id=3605405819677550&amp;reply_comment_id=1142062500113402")</f>
        <v>https://www.facebook.com/634639855377280/posts/774483894726208?comment_id=3605405819677550&amp;reply_comment_id=1142062500113402</v>
      </c>
      <c r="K3442" t="s">
        <v>67</v>
      </c>
      <c r="O3442">
        <v>0</v>
      </c>
      <c r="P3442">
        <v>0</v>
      </c>
      <c r="Q3442">
        <v>0</v>
      </c>
      <c r="S3442">
        <v>0</v>
      </c>
      <c r="T3442">
        <v>0</v>
      </c>
      <c r="U3442">
        <v>0</v>
      </c>
      <c r="W3442" t="s">
        <v>52</v>
      </c>
    </row>
    <row r="3443" spans="1:23" x14ac:dyDescent="0.35">
      <c r="A3443" t="s">
        <v>45</v>
      </c>
      <c r="B3443" t="s">
        <v>6773</v>
      </c>
      <c r="C3443" t="s">
        <v>60</v>
      </c>
      <c r="D3443" t="s">
        <v>61</v>
      </c>
      <c r="E3443" t="s">
        <v>61</v>
      </c>
      <c r="F3443" t="s">
        <v>49</v>
      </c>
      <c r="G3443" t="s">
        <v>6959</v>
      </c>
      <c r="H3443" t="s">
        <v>6960</v>
      </c>
      <c r="J3443" t="str">
        <f>HYPERLINK("https://www.facebook.com/634639855377280/posts/774483894726208?comment_id=342888618696992&amp;reply_comment_id=1573289413503789","https://www.facebook.com/634639855377280/posts/774483894726208?comment_id=342888618696992&amp;reply_comment_id=1573289413503789")</f>
        <v>https://www.facebook.com/634639855377280/posts/774483894726208?comment_id=342888618696992&amp;reply_comment_id=1573289413503789</v>
      </c>
      <c r="O3443">
        <v>0</v>
      </c>
      <c r="P3443">
        <v>0</v>
      </c>
      <c r="Q3443">
        <v>0</v>
      </c>
      <c r="S3443">
        <v>0</v>
      </c>
      <c r="T3443">
        <v>0</v>
      </c>
      <c r="U3443">
        <v>0</v>
      </c>
      <c r="W3443" t="s">
        <v>52</v>
      </c>
    </row>
    <row r="3444" spans="1:23" x14ac:dyDescent="0.35">
      <c r="A3444" t="s">
        <v>45</v>
      </c>
      <c r="B3444" t="s">
        <v>6773</v>
      </c>
      <c r="C3444" t="s">
        <v>60</v>
      </c>
      <c r="D3444" t="s">
        <v>61</v>
      </c>
      <c r="E3444" t="s">
        <v>61</v>
      </c>
      <c r="F3444" t="s">
        <v>49</v>
      </c>
      <c r="G3444" t="s">
        <v>6961</v>
      </c>
      <c r="H3444" t="s">
        <v>6962</v>
      </c>
      <c r="J3444" t="str">
        <f>HYPERLINK("https://www.facebook.com/634639855377280/posts/774483894726208?comment_id=342888618696992&amp;reply_comment_id=387608850470768","https://www.facebook.com/634639855377280/posts/774483894726208?comment_id=342888618696992&amp;reply_comment_id=387608850470768")</f>
        <v>https://www.facebook.com/634639855377280/posts/774483894726208?comment_id=342888618696992&amp;reply_comment_id=387608850470768</v>
      </c>
      <c r="O3444">
        <v>0</v>
      </c>
      <c r="P3444">
        <v>0</v>
      </c>
      <c r="Q3444">
        <v>0</v>
      </c>
      <c r="S3444">
        <v>0</v>
      </c>
      <c r="T3444">
        <v>0</v>
      </c>
      <c r="U3444">
        <v>0</v>
      </c>
      <c r="W3444" t="s">
        <v>52</v>
      </c>
    </row>
    <row r="3445" spans="1:23" x14ac:dyDescent="0.35">
      <c r="A3445" t="s">
        <v>45</v>
      </c>
      <c r="B3445" t="s">
        <v>6773</v>
      </c>
      <c r="C3445" t="s">
        <v>60</v>
      </c>
      <c r="D3445" t="s">
        <v>64</v>
      </c>
      <c r="E3445" t="s">
        <v>64</v>
      </c>
      <c r="F3445" t="s">
        <v>49</v>
      </c>
      <c r="G3445" t="s">
        <v>83</v>
      </c>
      <c r="H3445" t="s">
        <v>6963</v>
      </c>
      <c r="J3445" t="str">
        <f>HYPERLINK("https://www.facebook.com/634639855377280/posts/774483894726208?comment_id=342888618696992&amp;reply_comment_id=1449643809100290","https://www.facebook.com/634639855377280/posts/774483894726208?comment_id=342888618696992&amp;reply_comment_id=1449643809100290")</f>
        <v>https://www.facebook.com/634639855377280/posts/774483894726208?comment_id=342888618696992&amp;reply_comment_id=1449643809100290</v>
      </c>
      <c r="K3445" t="s">
        <v>67</v>
      </c>
      <c r="O3445">
        <v>0</v>
      </c>
      <c r="P3445">
        <v>0</v>
      </c>
      <c r="Q3445">
        <v>0</v>
      </c>
      <c r="S3445">
        <v>0</v>
      </c>
      <c r="T3445">
        <v>0</v>
      </c>
      <c r="U3445">
        <v>0</v>
      </c>
      <c r="W3445" t="s">
        <v>52</v>
      </c>
    </row>
    <row r="3446" spans="1:23" x14ac:dyDescent="0.35">
      <c r="A3446" t="s">
        <v>45</v>
      </c>
      <c r="B3446" t="s">
        <v>6773</v>
      </c>
      <c r="C3446" t="s">
        <v>60</v>
      </c>
      <c r="D3446" t="s">
        <v>64</v>
      </c>
      <c r="E3446" t="s">
        <v>64</v>
      </c>
      <c r="F3446" t="s">
        <v>49</v>
      </c>
      <c r="G3446" t="s">
        <v>83</v>
      </c>
      <c r="H3446" t="s">
        <v>6964</v>
      </c>
      <c r="J3446" t="str">
        <f>HYPERLINK("https://www.facebook.com/634639855377280/posts/774483894726208?comment_id=772463498243763&amp;reply_comment_id=1610249636478084","https://www.facebook.com/634639855377280/posts/774483894726208?comment_id=772463498243763&amp;reply_comment_id=1610249636478084")</f>
        <v>https://www.facebook.com/634639855377280/posts/774483894726208?comment_id=772463498243763&amp;reply_comment_id=1610249636478084</v>
      </c>
      <c r="K3446" t="s">
        <v>67</v>
      </c>
      <c r="O3446">
        <v>0</v>
      </c>
      <c r="P3446">
        <v>0</v>
      </c>
      <c r="Q3446">
        <v>0</v>
      </c>
      <c r="S3446">
        <v>0</v>
      </c>
      <c r="T3446">
        <v>0</v>
      </c>
      <c r="U3446">
        <v>0</v>
      </c>
      <c r="W3446" t="s">
        <v>52</v>
      </c>
    </row>
    <row r="3447" spans="1:23" x14ac:dyDescent="0.35">
      <c r="A3447" t="s">
        <v>45</v>
      </c>
      <c r="B3447" t="s">
        <v>6773</v>
      </c>
      <c r="C3447" t="s">
        <v>93</v>
      </c>
      <c r="D3447" t="s">
        <v>94</v>
      </c>
      <c r="E3447" t="s">
        <v>45</v>
      </c>
      <c r="F3447" t="s">
        <v>49</v>
      </c>
      <c r="G3447" t="s">
        <v>6965</v>
      </c>
      <c r="H3447" t="s">
        <v>6966</v>
      </c>
      <c r="J3447" t="str">
        <f>HYPERLINK("https://twitter.com/SpiceMoneyIndia/status/1748547396483555679","https://twitter.com/SpiceMoneyIndia/status/1748547396483555679")</f>
        <v>https://twitter.com/SpiceMoneyIndia/status/1748547396483555679</v>
      </c>
      <c r="K3447" t="s">
        <v>67</v>
      </c>
      <c r="O3447">
        <v>0</v>
      </c>
      <c r="P3447">
        <v>0</v>
      </c>
      <c r="Q3447">
        <v>6001</v>
      </c>
      <c r="R3447" t="s">
        <v>97</v>
      </c>
      <c r="S3447">
        <v>0</v>
      </c>
      <c r="T3447">
        <v>0</v>
      </c>
      <c r="U3447">
        <v>0</v>
      </c>
      <c r="V3447" t="s">
        <v>98</v>
      </c>
      <c r="W3447" t="s">
        <v>99</v>
      </c>
    </row>
    <row r="3448" spans="1:23" x14ac:dyDescent="0.35">
      <c r="A3448" t="s">
        <v>45</v>
      </c>
      <c r="B3448" t="s">
        <v>6773</v>
      </c>
      <c r="C3448" t="s">
        <v>47</v>
      </c>
      <c r="D3448" t="s">
        <v>68</v>
      </c>
      <c r="E3448" t="s">
        <v>68</v>
      </c>
      <c r="F3448" t="s">
        <v>49</v>
      </c>
      <c r="G3448" t="s">
        <v>102</v>
      </c>
      <c r="H3448" t="s">
        <v>6967</v>
      </c>
      <c r="J3448" t="str">
        <f>HYPERLINK("https://www.youtube.com/watch?v=L48LASyoHuE&amp;lc=UgxC_TZPG5-0PmeeRoZ4AaABAg.9zknRc9eekH9zm8iiioPYW","https://www.youtube.com/watch?v=L48LASyoHuE&amp;lc=UgxC_TZPG5-0PmeeRoZ4AaABAg.9zknRc9eekH9zm8iiioPYW")</f>
        <v>https://www.youtube.com/watch?v=L48LASyoHuE&amp;lc=UgxC_TZPG5-0PmeeRoZ4AaABAg.9zknRc9eekH9zm8iiioPYW</v>
      </c>
      <c r="O3448">
        <v>0</v>
      </c>
      <c r="P3448">
        <v>0</v>
      </c>
      <c r="Q3448">
        <v>0</v>
      </c>
      <c r="S3448">
        <v>0</v>
      </c>
      <c r="T3448">
        <v>0</v>
      </c>
      <c r="U3448">
        <v>0</v>
      </c>
      <c r="W3448" t="s">
        <v>52</v>
      </c>
    </row>
    <row r="3449" spans="1:23" x14ac:dyDescent="0.35">
      <c r="A3449" t="s">
        <v>45</v>
      </c>
      <c r="B3449" t="s">
        <v>6773</v>
      </c>
      <c r="C3449" t="s">
        <v>60</v>
      </c>
      <c r="D3449" t="s">
        <v>61</v>
      </c>
      <c r="E3449" t="s">
        <v>61</v>
      </c>
      <c r="F3449" t="s">
        <v>49</v>
      </c>
      <c r="G3449" t="s">
        <v>6968</v>
      </c>
      <c r="H3449" t="s">
        <v>6969</v>
      </c>
      <c r="J3449" t="str">
        <f>HYPERLINK("https://www.facebook.com/634639855377280/posts/774483894726208?comment_id=772463498243763","https://www.facebook.com/634639855377280/posts/774483894726208?comment_id=772463498243763")</f>
        <v>https://www.facebook.com/634639855377280/posts/774483894726208?comment_id=772463498243763</v>
      </c>
      <c r="O3449">
        <v>0</v>
      </c>
      <c r="P3449">
        <v>0</v>
      </c>
      <c r="Q3449">
        <v>0</v>
      </c>
      <c r="S3449">
        <v>0</v>
      </c>
      <c r="T3449">
        <v>0</v>
      </c>
      <c r="U3449">
        <v>0</v>
      </c>
      <c r="W3449" t="s">
        <v>52</v>
      </c>
    </row>
    <row r="3450" spans="1:23" x14ac:dyDescent="0.35">
      <c r="A3450" t="s">
        <v>45</v>
      </c>
      <c r="B3450" t="s">
        <v>6773</v>
      </c>
      <c r="C3450" t="s">
        <v>60</v>
      </c>
      <c r="D3450" t="s">
        <v>61</v>
      </c>
      <c r="E3450" t="s">
        <v>61</v>
      </c>
      <c r="F3450" t="s">
        <v>49</v>
      </c>
      <c r="G3450" t="s">
        <v>6970</v>
      </c>
      <c r="H3450" t="s">
        <v>6971</v>
      </c>
      <c r="J3450" t="str">
        <f>HYPERLINK("https://www.facebook.com/634639855377280/posts/774483894726208?comment_id=342888618696992","https://www.facebook.com/634639855377280/posts/774483894726208?comment_id=342888618696992")</f>
        <v>https://www.facebook.com/634639855377280/posts/774483894726208?comment_id=342888618696992</v>
      </c>
      <c r="O3450">
        <v>0</v>
      </c>
      <c r="P3450">
        <v>0</v>
      </c>
      <c r="Q3450">
        <v>0</v>
      </c>
      <c r="S3450">
        <v>0</v>
      </c>
      <c r="T3450">
        <v>0</v>
      </c>
      <c r="U3450">
        <v>0</v>
      </c>
      <c r="W3450" t="s">
        <v>52</v>
      </c>
    </row>
    <row r="3451" spans="1:23" x14ac:dyDescent="0.35">
      <c r="A3451" t="s">
        <v>45</v>
      </c>
      <c r="B3451" t="s">
        <v>6773</v>
      </c>
      <c r="C3451" t="s">
        <v>60</v>
      </c>
      <c r="D3451" t="s">
        <v>61</v>
      </c>
      <c r="E3451" t="s">
        <v>61</v>
      </c>
      <c r="F3451" t="s">
        <v>49</v>
      </c>
      <c r="G3451" t="s">
        <v>6972</v>
      </c>
      <c r="H3451" t="s">
        <v>6973</v>
      </c>
      <c r="J3451" t="str">
        <f>HYPERLINK("https://www.facebook.com/634639855377280/posts/774881771353087?comment_id=1103052840734474","https://www.facebook.com/634639855377280/posts/774881771353087?comment_id=1103052840734474")</f>
        <v>https://www.facebook.com/634639855377280/posts/774881771353087?comment_id=1103052840734474</v>
      </c>
      <c r="O3451">
        <v>0</v>
      </c>
      <c r="P3451">
        <v>0</v>
      </c>
      <c r="Q3451">
        <v>0</v>
      </c>
      <c r="S3451">
        <v>0</v>
      </c>
      <c r="T3451">
        <v>0</v>
      </c>
      <c r="U3451">
        <v>0</v>
      </c>
      <c r="W3451" t="s">
        <v>52</v>
      </c>
    </row>
    <row r="3452" spans="1:23" x14ac:dyDescent="0.35">
      <c r="A3452" t="s">
        <v>45</v>
      </c>
      <c r="B3452" t="s">
        <v>6974</v>
      </c>
      <c r="C3452" t="s">
        <v>60</v>
      </c>
      <c r="D3452" t="s">
        <v>61</v>
      </c>
      <c r="E3452" t="s">
        <v>61</v>
      </c>
      <c r="F3452" t="s">
        <v>193</v>
      </c>
      <c r="G3452" t="s">
        <v>6975</v>
      </c>
      <c r="H3452" t="s">
        <v>6976</v>
      </c>
      <c r="J3452" t="str">
        <f>HYPERLINK("https://www.facebook.com/634639855377280/posts/773764291464835?comment_id=1016922046068701","https://www.facebook.com/634639855377280/posts/773764291464835?comment_id=1016922046068701")</f>
        <v>https://www.facebook.com/634639855377280/posts/773764291464835?comment_id=1016922046068701</v>
      </c>
      <c r="O3452">
        <v>0</v>
      </c>
      <c r="P3452">
        <v>0</v>
      </c>
      <c r="Q3452">
        <v>0</v>
      </c>
      <c r="S3452">
        <v>0</v>
      </c>
      <c r="T3452">
        <v>0</v>
      </c>
      <c r="U3452">
        <v>0</v>
      </c>
      <c r="W3452" t="s">
        <v>52</v>
      </c>
    </row>
    <row r="3453" spans="1:23" x14ac:dyDescent="0.35">
      <c r="A3453" t="s">
        <v>45</v>
      </c>
      <c r="B3453" t="s">
        <v>6974</v>
      </c>
      <c r="C3453" t="s">
        <v>60</v>
      </c>
      <c r="D3453" t="s">
        <v>61</v>
      </c>
      <c r="E3453" t="s">
        <v>61</v>
      </c>
      <c r="F3453" t="s">
        <v>49</v>
      </c>
      <c r="G3453" t="s">
        <v>6977</v>
      </c>
      <c r="H3453" t="s">
        <v>6978</v>
      </c>
      <c r="J3453" t="str">
        <f>HYPERLINK("https://www.facebook.com/634639855377280/posts/774881771353087?comment_id=3595811533997790","https://www.facebook.com/634639855377280/posts/774881771353087?comment_id=3595811533997790")</f>
        <v>https://www.facebook.com/634639855377280/posts/774881771353087?comment_id=3595811533997790</v>
      </c>
      <c r="O3453">
        <v>0</v>
      </c>
      <c r="P3453">
        <v>0</v>
      </c>
      <c r="Q3453">
        <v>0</v>
      </c>
      <c r="S3453">
        <v>0</v>
      </c>
      <c r="T3453">
        <v>0</v>
      </c>
      <c r="U3453">
        <v>0</v>
      </c>
      <c r="W3453" t="s">
        <v>52</v>
      </c>
    </row>
    <row r="3454" spans="1:23" x14ac:dyDescent="0.35">
      <c r="A3454" t="s">
        <v>45</v>
      </c>
      <c r="B3454" t="s">
        <v>6974</v>
      </c>
      <c r="C3454" t="s">
        <v>60</v>
      </c>
      <c r="D3454" t="s">
        <v>61</v>
      </c>
      <c r="E3454" t="s">
        <v>61</v>
      </c>
      <c r="F3454" t="s">
        <v>49</v>
      </c>
      <c r="G3454" t="s">
        <v>6979</v>
      </c>
      <c r="H3454" t="s">
        <v>6980</v>
      </c>
      <c r="J3454" t="str">
        <f>HYPERLINK("https://www.facebook.com/634639855377280/posts/774483894726208?comment_id=3605405819677550","https://www.facebook.com/634639855377280/posts/774483894726208?comment_id=3605405819677550")</f>
        <v>https://www.facebook.com/634639855377280/posts/774483894726208?comment_id=3605405819677550</v>
      </c>
      <c r="O3454">
        <v>0</v>
      </c>
      <c r="P3454">
        <v>0</v>
      </c>
      <c r="Q3454">
        <v>0</v>
      </c>
      <c r="S3454">
        <v>0</v>
      </c>
      <c r="T3454">
        <v>0</v>
      </c>
      <c r="U3454">
        <v>0</v>
      </c>
      <c r="W3454" t="s">
        <v>52</v>
      </c>
    </row>
    <row r="3455" spans="1:23" x14ac:dyDescent="0.35">
      <c r="A3455" t="s">
        <v>45</v>
      </c>
      <c r="B3455" t="s">
        <v>6974</v>
      </c>
      <c r="C3455" t="s">
        <v>47</v>
      </c>
      <c r="D3455" t="s">
        <v>6981</v>
      </c>
      <c r="E3455" t="s">
        <v>6981</v>
      </c>
      <c r="F3455" t="s">
        <v>193</v>
      </c>
      <c r="G3455" t="s">
        <v>6982</v>
      </c>
      <c r="H3455" t="s">
        <v>6983</v>
      </c>
      <c r="J3455" t="str">
        <f>HYPERLINK("https://www.youtube.com/watch?v=L48LASyoHuE&amp;lc=Ugw__q019BaeHfxMf-d4AaABAg","https://www.youtube.com/watch?v=L48LASyoHuE&amp;lc=Ugw__q019BaeHfxMf-d4AaABAg")</f>
        <v>https://www.youtube.com/watch?v=L48LASyoHuE&amp;lc=Ugw__q019BaeHfxMf-d4AaABAg</v>
      </c>
      <c r="O3455">
        <v>0</v>
      </c>
      <c r="P3455">
        <v>0</v>
      </c>
      <c r="Q3455">
        <v>0</v>
      </c>
      <c r="S3455">
        <v>0</v>
      </c>
      <c r="T3455">
        <v>0</v>
      </c>
      <c r="U3455">
        <v>0</v>
      </c>
      <c r="W3455" t="s">
        <v>52</v>
      </c>
    </row>
    <row r="3456" spans="1:23" x14ac:dyDescent="0.35">
      <c r="A3456" t="s">
        <v>45</v>
      </c>
      <c r="B3456" t="s">
        <v>6974</v>
      </c>
      <c r="C3456" t="s">
        <v>60</v>
      </c>
      <c r="D3456" t="s">
        <v>61</v>
      </c>
      <c r="E3456" t="s">
        <v>61</v>
      </c>
      <c r="F3456" t="s">
        <v>49</v>
      </c>
      <c r="G3456" t="s">
        <v>6984</v>
      </c>
      <c r="H3456" t="s">
        <v>6985</v>
      </c>
      <c r="J3456" t="str">
        <f>HYPERLINK("https://www.facebook.com/634639855377280/posts/774483894726208?comment_id=3245700509067009","https://www.facebook.com/634639855377280/posts/774483894726208?comment_id=3245700509067009")</f>
        <v>https://www.facebook.com/634639855377280/posts/774483894726208?comment_id=3245700509067009</v>
      </c>
      <c r="O3456">
        <v>0</v>
      </c>
      <c r="P3456">
        <v>0</v>
      </c>
      <c r="Q3456">
        <v>0</v>
      </c>
      <c r="S3456">
        <v>0</v>
      </c>
      <c r="T3456">
        <v>0</v>
      </c>
      <c r="U3456">
        <v>0</v>
      </c>
      <c r="W3456" t="s">
        <v>52</v>
      </c>
    </row>
    <row r="3457" spans="1:23" x14ac:dyDescent="0.35">
      <c r="A3457" t="s">
        <v>45</v>
      </c>
      <c r="B3457" t="s">
        <v>6974</v>
      </c>
      <c r="C3457" t="s">
        <v>60</v>
      </c>
      <c r="D3457" t="s">
        <v>61</v>
      </c>
      <c r="E3457" t="s">
        <v>61</v>
      </c>
      <c r="F3457" t="s">
        <v>49</v>
      </c>
      <c r="G3457" t="s">
        <v>6986</v>
      </c>
      <c r="H3457" t="s">
        <v>6987</v>
      </c>
      <c r="J3457" t="str">
        <f>HYPERLINK("https://www.facebook.com/634639855377280/posts/774881771353087?comment_id=3503768079887338","https://www.facebook.com/634639855377280/posts/774881771353087?comment_id=3503768079887338")</f>
        <v>https://www.facebook.com/634639855377280/posts/774881771353087?comment_id=3503768079887338</v>
      </c>
      <c r="O3457">
        <v>0</v>
      </c>
      <c r="P3457">
        <v>0</v>
      </c>
      <c r="Q3457">
        <v>0</v>
      </c>
      <c r="S3457">
        <v>0</v>
      </c>
      <c r="T3457">
        <v>0</v>
      </c>
      <c r="U3457">
        <v>0</v>
      </c>
      <c r="W3457" t="s">
        <v>52</v>
      </c>
    </row>
    <row r="3458" spans="1:23" x14ac:dyDescent="0.35">
      <c r="A3458" t="s">
        <v>45</v>
      </c>
      <c r="B3458" t="s">
        <v>6974</v>
      </c>
      <c r="C3458" t="s">
        <v>60</v>
      </c>
      <c r="D3458" t="s">
        <v>61</v>
      </c>
      <c r="E3458" t="s">
        <v>61</v>
      </c>
      <c r="F3458" t="s">
        <v>49</v>
      </c>
      <c r="G3458" t="s">
        <v>6988</v>
      </c>
      <c r="H3458" t="s">
        <v>6989</v>
      </c>
      <c r="J3458" t="str">
        <f>HYPERLINK("https://www.facebook.com/634639855377280/posts/774950251346239?comment_id=398275749535194","https://www.facebook.com/634639855377280/posts/774950251346239?comment_id=398275749535194")</f>
        <v>https://www.facebook.com/634639855377280/posts/774950251346239?comment_id=398275749535194</v>
      </c>
      <c r="O3458">
        <v>0</v>
      </c>
      <c r="P3458">
        <v>0</v>
      </c>
      <c r="Q3458">
        <v>0</v>
      </c>
      <c r="S3458">
        <v>0</v>
      </c>
      <c r="T3458">
        <v>0</v>
      </c>
      <c r="U3458">
        <v>0</v>
      </c>
      <c r="W3458" t="s">
        <v>52</v>
      </c>
    </row>
    <row r="3459" spans="1:23" x14ac:dyDescent="0.35">
      <c r="A3459" t="s">
        <v>45</v>
      </c>
      <c r="B3459" t="s">
        <v>6974</v>
      </c>
      <c r="C3459" t="s">
        <v>60</v>
      </c>
      <c r="D3459" t="s">
        <v>61</v>
      </c>
      <c r="E3459" t="s">
        <v>61</v>
      </c>
      <c r="F3459" t="s">
        <v>49</v>
      </c>
      <c r="G3459" t="s">
        <v>6990</v>
      </c>
      <c r="H3459" t="s">
        <v>6991</v>
      </c>
      <c r="J3459" t="str">
        <f>HYPERLINK("https://www.facebook.com/634639855377280/posts/774412801399984?comment_id=194778707053255","https://www.facebook.com/634639855377280/posts/774412801399984?comment_id=194778707053255")</f>
        <v>https://www.facebook.com/634639855377280/posts/774412801399984?comment_id=194778707053255</v>
      </c>
      <c r="O3459">
        <v>0</v>
      </c>
      <c r="P3459">
        <v>0</v>
      </c>
      <c r="Q3459">
        <v>0</v>
      </c>
      <c r="S3459">
        <v>0</v>
      </c>
      <c r="T3459">
        <v>0</v>
      </c>
      <c r="U3459">
        <v>0</v>
      </c>
      <c r="W3459" t="s">
        <v>52</v>
      </c>
    </row>
    <row r="3460" spans="1:23" x14ac:dyDescent="0.35">
      <c r="A3460" t="s">
        <v>45</v>
      </c>
      <c r="B3460" t="s">
        <v>6974</v>
      </c>
      <c r="C3460" t="s">
        <v>60</v>
      </c>
      <c r="D3460" t="s">
        <v>61</v>
      </c>
      <c r="E3460" t="s">
        <v>61</v>
      </c>
      <c r="F3460" t="s">
        <v>49</v>
      </c>
      <c r="G3460" t="s">
        <v>6992</v>
      </c>
      <c r="H3460" t="s">
        <v>6993</v>
      </c>
      <c r="J3460" t="str">
        <f>HYPERLINK("https://www.facebook.com/634639855377280/posts/774483894726208?comment_id=1769933586860227","https://www.facebook.com/634639855377280/posts/774483894726208?comment_id=1769933586860227")</f>
        <v>https://www.facebook.com/634639855377280/posts/774483894726208?comment_id=1769933586860227</v>
      </c>
      <c r="O3460">
        <v>0</v>
      </c>
      <c r="P3460">
        <v>0</v>
      </c>
      <c r="Q3460">
        <v>0</v>
      </c>
      <c r="S3460">
        <v>0</v>
      </c>
      <c r="T3460">
        <v>0</v>
      </c>
      <c r="U3460">
        <v>0</v>
      </c>
      <c r="W3460" t="s">
        <v>52</v>
      </c>
    </row>
    <row r="3461" spans="1:23" x14ac:dyDescent="0.35">
      <c r="A3461" t="s">
        <v>45</v>
      </c>
      <c r="B3461" t="s">
        <v>6974</v>
      </c>
      <c r="C3461" t="s">
        <v>60</v>
      </c>
      <c r="D3461" t="s">
        <v>61</v>
      </c>
      <c r="E3461" t="s">
        <v>61</v>
      </c>
      <c r="F3461" t="s">
        <v>49</v>
      </c>
      <c r="G3461" t="s">
        <v>6994</v>
      </c>
      <c r="H3461" t="s">
        <v>6995</v>
      </c>
      <c r="J3461" t="str">
        <f>HYPERLINK("https://www.facebook.com/634639855377280/posts/774483894726208?comment_id=900863791614828","https://www.facebook.com/634639855377280/posts/774483894726208?comment_id=900863791614828")</f>
        <v>https://www.facebook.com/634639855377280/posts/774483894726208?comment_id=900863791614828</v>
      </c>
      <c r="O3461">
        <v>0</v>
      </c>
      <c r="P3461">
        <v>0</v>
      </c>
      <c r="Q3461">
        <v>0</v>
      </c>
      <c r="S3461">
        <v>0</v>
      </c>
      <c r="T3461">
        <v>0</v>
      </c>
      <c r="U3461">
        <v>0</v>
      </c>
      <c r="W3461" t="s">
        <v>52</v>
      </c>
    </row>
    <row r="3462" spans="1:23" x14ac:dyDescent="0.35">
      <c r="A3462" t="s">
        <v>45</v>
      </c>
      <c r="B3462" t="s">
        <v>6974</v>
      </c>
      <c r="C3462" t="s">
        <v>60</v>
      </c>
      <c r="D3462" t="s">
        <v>61</v>
      </c>
      <c r="E3462" t="s">
        <v>61</v>
      </c>
      <c r="F3462" t="s">
        <v>49</v>
      </c>
      <c r="G3462" t="s">
        <v>6996</v>
      </c>
      <c r="H3462" t="s">
        <v>6997</v>
      </c>
      <c r="J3462" t="str">
        <f>HYPERLINK("https://www.facebook.com/634639855377280/posts/774881771353087?comment_id=1088160562614977","https://www.facebook.com/634639855377280/posts/774881771353087?comment_id=1088160562614977")</f>
        <v>https://www.facebook.com/634639855377280/posts/774881771353087?comment_id=1088160562614977</v>
      </c>
      <c r="O3462">
        <v>0</v>
      </c>
      <c r="P3462">
        <v>0</v>
      </c>
      <c r="Q3462">
        <v>0</v>
      </c>
      <c r="S3462">
        <v>0</v>
      </c>
      <c r="T3462">
        <v>0</v>
      </c>
      <c r="U3462">
        <v>0</v>
      </c>
      <c r="W3462" t="s">
        <v>52</v>
      </c>
    </row>
    <row r="3463" spans="1:23" x14ac:dyDescent="0.35">
      <c r="A3463" t="s">
        <v>45</v>
      </c>
      <c r="B3463" t="s">
        <v>6974</v>
      </c>
      <c r="C3463" t="s">
        <v>60</v>
      </c>
      <c r="D3463" t="s">
        <v>61</v>
      </c>
      <c r="E3463" t="s">
        <v>61</v>
      </c>
      <c r="F3463" t="s">
        <v>49</v>
      </c>
      <c r="G3463" t="s">
        <v>6998</v>
      </c>
      <c r="H3463" t="s">
        <v>6999</v>
      </c>
      <c r="J3463" t="str">
        <f>HYPERLINK("https://www.facebook.com/634639855377280/posts/774950251346239?comment_id=1165007207804554","https://www.facebook.com/634639855377280/posts/774950251346239?comment_id=1165007207804554")</f>
        <v>https://www.facebook.com/634639855377280/posts/774950251346239?comment_id=1165007207804554</v>
      </c>
      <c r="O3463">
        <v>0</v>
      </c>
      <c r="P3463">
        <v>0</v>
      </c>
      <c r="Q3463">
        <v>0</v>
      </c>
      <c r="S3463">
        <v>0</v>
      </c>
      <c r="T3463">
        <v>0</v>
      </c>
      <c r="U3463">
        <v>0</v>
      </c>
      <c r="W3463" t="s">
        <v>52</v>
      </c>
    </row>
    <row r="3464" spans="1:23" x14ac:dyDescent="0.35">
      <c r="A3464" t="s">
        <v>45</v>
      </c>
      <c r="B3464" t="s">
        <v>6974</v>
      </c>
      <c r="C3464" t="s">
        <v>60</v>
      </c>
      <c r="D3464" t="s">
        <v>61</v>
      </c>
      <c r="E3464" t="s">
        <v>61</v>
      </c>
      <c r="F3464" t="s">
        <v>49</v>
      </c>
      <c r="G3464" t="s">
        <v>7000</v>
      </c>
      <c r="H3464" t="s">
        <v>7001</v>
      </c>
      <c r="J3464" t="str">
        <f>HYPERLINK("https://www.facebook.com/634639855377280/posts/774950251346239?comment_id=219651007895564","https://www.facebook.com/634639855377280/posts/774950251346239?comment_id=219651007895564")</f>
        <v>https://www.facebook.com/634639855377280/posts/774950251346239?comment_id=219651007895564</v>
      </c>
      <c r="O3464">
        <v>0</v>
      </c>
      <c r="P3464">
        <v>0</v>
      </c>
      <c r="Q3464">
        <v>0</v>
      </c>
      <c r="S3464">
        <v>0</v>
      </c>
      <c r="T3464">
        <v>0</v>
      </c>
      <c r="U3464">
        <v>0</v>
      </c>
      <c r="W3464" t="s">
        <v>52</v>
      </c>
    </row>
    <row r="3465" spans="1:23" x14ac:dyDescent="0.35">
      <c r="A3465" t="s">
        <v>45</v>
      </c>
      <c r="B3465" t="s">
        <v>6974</v>
      </c>
      <c r="C3465" t="s">
        <v>60</v>
      </c>
      <c r="D3465" t="s">
        <v>61</v>
      </c>
      <c r="E3465" t="s">
        <v>61</v>
      </c>
      <c r="F3465" t="s">
        <v>49</v>
      </c>
      <c r="G3465" t="s">
        <v>7002</v>
      </c>
      <c r="H3465" t="s">
        <v>7003</v>
      </c>
      <c r="J3465" t="str">
        <f>HYPERLINK("https://www.facebook.com/634639855377280/posts/774412801399984?comment_id=1419444988653386","https://www.facebook.com/634639855377280/posts/774412801399984?comment_id=1419444988653386")</f>
        <v>https://www.facebook.com/634639855377280/posts/774412801399984?comment_id=1419444988653386</v>
      </c>
      <c r="O3465">
        <v>0</v>
      </c>
      <c r="P3465">
        <v>0</v>
      </c>
      <c r="Q3465">
        <v>0</v>
      </c>
      <c r="S3465">
        <v>0</v>
      </c>
      <c r="T3465">
        <v>0</v>
      </c>
      <c r="U3465">
        <v>0</v>
      </c>
      <c r="W3465" t="s">
        <v>52</v>
      </c>
    </row>
    <row r="3466" spans="1:23" x14ac:dyDescent="0.35">
      <c r="A3466" t="s">
        <v>45</v>
      </c>
      <c r="B3466" t="s">
        <v>6974</v>
      </c>
      <c r="C3466" t="s">
        <v>93</v>
      </c>
      <c r="D3466" t="s">
        <v>7004</v>
      </c>
      <c r="E3466" t="s">
        <v>7005</v>
      </c>
      <c r="F3466" t="s">
        <v>49</v>
      </c>
      <c r="G3466" t="s">
        <v>7006</v>
      </c>
      <c r="H3466" t="s">
        <v>7007</v>
      </c>
      <c r="J3466" t="str">
        <f>HYPERLINK("https://twitter.com/Prakash_sahoo07/status/1748357785744773124","https://twitter.com/Prakash_sahoo07/status/1748357785744773124")</f>
        <v>https://twitter.com/Prakash_sahoo07/status/1748357785744773124</v>
      </c>
      <c r="K3466" t="s">
        <v>67</v>
      </c>
      <c r="O3466">
        <v>0</v>
      </c>
      <c r="P3466">
        <v>0</v>
      </c>
      <c r="Q3466">
        <v>1</v>
      </c>
      <c r="S3466">
        <v>0</v>
      </c>
      <c r="T3466">
        <v>0</v>
      </c>
      <c r="U3466">
        <v>0</v>
      </c>
      <c r="W3466" t="s">
        <v>99</v>
      </c>
    </row>
    <row r="3467" spans="1:23" x14ac:dyDescent="0.35">
      <c r="A3467" t="s">
        <v>45</v>
      </c>
      <c r="B3467" t="s">
        <v>6974</v>
      </c>
      <c r="C3467" t="s">
        <v>47</v>
      </c>
      <c r="D3467" t="s">
        <v>2063</v>
      </c>
      <c r="E3467" t="s">
        <v>2063</v>
      </c>
      <c r="F3467" t="s">
        <v>49</v>
      </c>
      <c r="G3467" t="s">
        <v>7008</v>
      </c>
      <c r="H3467" t="s">
        <v>7009</v>
      </c>
      <c r="J3467" t="str">
        <f>HYPERLINK("https://www.youtube.com/watch?v=L48LASyoHuE&amp;lc=UgxC_TZPG5-0PmeeRoZ4AaABAg","https://www.youtube.com/watch?v=L48LASyoHuE&amp;lc=UgxC_TZPG5-0PmeeRoZ4AaABAg")</f>
        <v>https://www.youtube.com/watch?v=L48LASyoHuE&amp;lc=UgxC_TZPG5-0PmeeRoZ4AaABAg</v>
      </c>
      <c r="O3467">
        <v>0</v>
      </c>
      <c r="P3467">
        <v>0</v>
      </c>
      <c r="Q3467">
        <v>0</v>
      </c>
      <c r="S3467">
        <v>0</v>
      </c>
      <c r="T3467">
        <v>0</v>
      </c>
      <c r="U3467">
        <v>0</v>
      </c>
      <c r="W3467" t="s">
        <v>52</v>
      </c>
    </row>
    <row r="3468" spans="1:23" x14ac:dyDescent="0.35">
      <c r="A3468" t="s">
        <v>45</v>
      </c>
      <c r="B3468" t="s">
        <v>6974</v>
      </c>
      <c r="C3468" t="s">
        <v>60</v>
      </c>
      <c r="D3468" t="s">
        <v>61</v>
      </c>
      <c r="E3468" t="s">
        <v>61</v>
      </c>
      <c r="F3468" t="s">
        <v>49</v>
      </c>
      <c r="G3468" t="s">
        <v>7010</v>
      </c>
      <c r="H3468" t="s">
        <v>7011</v>
      </c>
      <c r="J3468" t="str">
        <f>HYPERLINK("https://www.facebook.com/634639855377280/posts/774881771353087?comment_id=777438467541387","https://www.facebook.com/634639855377280/posts/774881771353087?comment_id=777438467541387")</f>
        <v>https://www.facebook.com/634639855377280/posts/774881771353087?comment_id=777438467541387</v>
      </c>
      <c r="O3468">
        <v>0</v>
      </c>
      <c r="P3468">
        <v>0</v>
      </c>
      <c r="Q3468">
        <v>0</v>
      </c>
      <c r="S3468">
        <v>0</v>
      </c>
      <c r="T3468">
        <v>0</v>
      </c>
      <c r="U3468">
        <v>0</v>
      </c>
      <c r="W3468" t="s">
        <v>52</v>
      </c>
    </row>
    <row r="3469" spans="1:23" x14ac:dyDescent="0.35">
      <c r="A3469" t="s">
        <v>45</v>
      </c>
      <c r="B3469" t="s">
        <v>6974</v>
      </c>
      <c r="C3469" t="s">
        <v>60</v>
      </c>
      <c r="D3469" t="s">
        <v>61</v>
      </c>
      <c r="E3469" t="s">
        <v>61</v>
      </c>
      <c r="F3469" t="s">
        <v>193</v>
      </c>
      <c r="G3469" t="s">
        <v>7012</v>
      </c>
      <c r="H3469" t="s">
        <v>7013</v>
      </c>
      <c r="J3469" t="str">
        <f>HYPERLINK("https://www.facebook.com/634639855377280/posts/774483894726208?comment_id=746261660760499","https://www.facebook.com/634639855377280/posts/774483894726208?comment_id=746261660760499")</f>
        <v>https://www.facebook.com/634639855377280/posts/774483894726208?comment_id=746261660760499</v>
      </c>
      <c r="O3469">
        <v>0</v>
      </c>
      <c r="P3469">
        <v>0</v>
      </c>
      <c r="Q3469">
        <v>0</v>
      </c>
      <c r="S3469">
        <v>0</v>
      </c>
      <c r="T3469">
        <v>0</v>
      </c>
      <c r="U3469">
        <v>0</v>
      </c>
      <c r="W3469" t="s">
        <v>52</v>
      </c>
    </row>
    <row r="3470" spans="1:23" x14ac:dyDescent="0.35">
      <c r="A3470" t="s">
        <v>45</v>
      </c>
      <c r="B3470" t="s">
        <v>6974</v>
      </c>
      <c r="C3470" t="s">
        <v>60</v>
      </c>
      <c r="D3470" t="s">
        <v>61</v>
      </c>
      <c r="E3470" t="s">
        <v>61</v>
      </c>
      <c r="F3470" t="s">
        <v>49</v>
      </c>
      <c r="G3470" t="s">
        <v>7014</v>
      </c>
      <c r="H3470" t="s">
        <v>7015</v>
      </c>
      <c r="J3470" t="str">
        <f>HYPERLINK("https://www.facebook.com/634639855377280/posts/774483894726208?comment_id=719847980236655","https://www.facebook.com/634639855377280/posts/774483894726208?comment_id=719847980236655")</f>
        <v>https://www.facebook.com/634639855377280/posts/774483894726208?comment_id=719847980236655</v>
      </c>
      <c r="O3470">
        <v>0</v>
      </c>
      <c r="P3470">
        <v>0</v>
      </c>
      <c r="Q3470">
        <v>0</v>
      </c>
      <c r="S3470">
        <v>0</v>
      </c>
      <c r="T3470">
        <v>0</v>
      </c>
      <c r="U3470">
        <v>0</v>
      </c>
      <c r="W3470" t="s">
        <v>52</v>
      </c>
    </row>
    <row r="3471" spans="1:23" x14ac:dyDescent="0.35">
      <c r="A3471" t="s">
        <v>45</v>
      </c>
      <c r="B3471" t="s">
        <v>6974</v>
      </c>
      <c r="C3471" t="s">
        <v>60</v>
      </c>
      <c r="D3471" t="s">
        <v>61</v>
      </c>
      <c r="E3471" t="s">
        <v>61</v>
      </c>
      <c r="F3471" t="s">
        <v>49</v>
      </c>
      <c r="G3471" t="s">
        <v>7016</v>
      </c>
      <c r="H3471" t="s">
        <v>7017</v>
      </c>
      <c r="J3471" t="str">
        <f>HYPERLINK("https://www.facebook.com/634639855377280/posts/774881771353087?comment_id=923256525821199","https://www.facebook.com/634639855377280/posts/774881771353087?comment_id=923256525821199")</f>
        <v>https://www.facebook.com/634639855377280/posts/774881771353087?comment_id=923256525821199</v>
      </c>
      <c r="O3471">
        <v>0</v>
      </c>
      <c r="P3471">
        <v>0</v>
      </c>
      <c r="Q3471">
        <v>0</v>
      </c>
      <c r="S3471">
        <v>0</v>
      </c>
      <c r="T3471">
        <v>0</v>
      </c>
      <c r="U3471">
        <v>0</v>
      </c>
      <c r="W3471" t="s">
        <v>52</v>
      </c>
    </row>
    <row r="3472" spans="1:23" x14ac:dyDescent="0.35">
      <c r="A3472" t="s">
        <v>45</v>
      </c>
      <c r="B3472" t="s">
        <v>6974</v>
      </c>
      <c r="C3472" t="s">
        <v>60</v>
      </c>
      <c r="D3472" t="s">
        <v>61</v>
      </c>
      <c r="E3472" t="s">
        <v>61</v>
      </c>
      <c r="F3472" t="s">
        <v>49</v>
      </c>
      <c r="G3472" t="s">
        <v>7018</v>
      </c>
      <c r="H3472" t="s">
        <v>7019</v>
      </c>
      <c r="J3472" t="str">
        <f>HYPERLINK("https://www.facebook.com/634639855377280/posts/774483894726208?comment_id=310920321400803","https://www.facebook.com/634639855377280/posts/774483894726208?comment_id=310920321400803")</f>
        <v>https://www.facebook.com/634639855377280/posts/774483894726208?comment_id=310920321400803</v>
      </c>
      <c r="O3472">
        <v>0</v>
      </c>
      <c r="P3472">
        <v>0</v>
      </c>
      <c r="Q3472">
        <v>0</v>
      </c>
      <c r="S3472">
        <v>0</v>
      </c>
      <c r="T3472">
        <v>0</v>
      </c>
      <c r="U3472">
        <v>0</v>
      </c>
      <c r="W3472" t="s">
        <v>52</v>
      </c>
    </row>
    <row r="3473" spans="1:23" x14ac:dyDescent="0.35">
      <c r="A3473" t="s">
        <v>45</v>
      </c>
      <c r="B3473" t="s">
        <v>6974</v>
      </c>
      <c r="C3473" t="s">
        <v>93</v>
      </c>
      <c r="D3473" t="s">
        <v>2648</v>
      </c>
      <c r="E3473" t="s">
        <v>2649</v>
      </c>
      <c r="F3473" t="s">
        <v>49</v>
      </c>
      <c r="G3473" t="s">
        <v>7020</v>
      </c>
      <c r="H3473" t="s">
        <v>7021</v>
      </c>
      <c r="J3473" t="str">
        <f>HYPERLINK("https://twitter.com/anwer_raqib/status/1748342509279867391","https://twitter.com/anwer_raqib/status/1748342509279867391")</f>
        <v>https://twitter.com/anwer_raqib/status/1748342509279867391</v>
      </c>
      <c r="K3473" t="s">
        <v>67</v>
      </c>
      <c r="O3473">
        <v>0</v>
      </c>
      <c r="P3473">
        <v>0</v>
      </c>
      <c r="Q3473">
        <v>17</v>
      </c>
      <c r="R3473" t="s">
        <v>756</v>
      </c>
      <c r="S3473">
        <v>0</v>
      </c>
      <c r="T3473">
        <v>0</v>
      </c>
      <c r="U3473">
        <v>0</v>
      </c>
      <c r="W3473" t="s">
        <v>99</v>
      </c>
    </row>
    <row r="3474" spans="1:23" x14ac:dyDescent="0.35">
      <c r="A3474" t="s">
        <v>45</v>
      </c>
      <c r="B3474" t="s">
        <v>6974</v>
      </c>
      <c r="C3474" t="s">
        <v>93</v>
      </c>
      <c r="D3474" t="s">
        <v>7022</v>
      </c>
      <c r="E3474" t="s">
        <v>7023</v>
      </c>
      <c r="F3474" t="s">
        <v>193</v>
      </c>
      <c r="G3474" t="s">
        <v>7024</v>
      </c>
      <c r="H3474" t="s">
        <v>7025</v>
      </c>
      <c r="J3474" t="str">
        <f>HYPERLINK("https://twitter.com/ca2428137/status/1748340635835514968","https://twitter.com/ca2428137/status/1748340635835514968")</f>
        <v>https://twitter.com/ca2428137/status/1748340635835514968</v>
      </c>
      <c r="K3474" t="s">
        <v>67</v>
      </c>
      <c r="O3474">
        <v>0</v>
      </c>
      <c r="P3474">
        <v>0</v>
      </c>
      <c r="Q3474">
        <v>9</v>
      </c>
      <c r="R3474" t="s">
        <v>7026</v>
      </c>
      <c r="S3474">
        <v>0</v>
      </c>
      <c r="T3474">
        <v>0</v>
      </c>
      <c r="U3474">
        <v>0</v>
      </c>
      <c r="W3474" t="s">
        <v>99</v>
      </c>
    </row>
    <row r="3475" spans="1:23" x14ac:dyDescent="0.35">
      <c r="A3475" t="s">
        <v>45</v>
      </c>
      <c r="B3475" t="s">
        <v>6974</v>
      </c>
      <c r="C3475" t="s">
        <v>93</v>
      </c>
      <c r="D3475" t="s">
        <v>7022</v>
      </c>
      <c r="E3475" t="s">
        <v>7023</v>
      </c>
      <c r="F3475" t="s">
        <v>49</v>
      </c>
      <c r="G3475" t="s">
        <v>7027</v>
      </c>
      <c r="H3475" t="s">
        <v>7028</v>
      </c>
      <c r="J3475" t="str">
        <f>HYPERLINK("https://twitter.com/ca2428137/status/1748340130354782208","https://twitter.com/ca2428137/status/1748340130354782208")</f>
        <v>https://twitter.com/ca2428137/status/1748340130354782208</v>
      </c>
      <c r="K3475" t="s">
        <v>67</v>
      </c>
      <c r="O3475">
        <v>0</v>
      </c>
      <c r="P3475">
        <v>0</v>
      </c>
      <c r="Q3475">
        <v>9</v>
      </c>
      <c r="R3475" t="s">
        <v>7026</v>
      </c>
      <c r="S3475">
        <v>0</v>
      </c>
      <c r="T3475">
        <v>0</v>
      </c>
      <c r="U3475">
        <v>0</v>
      </c>
      <c r="W3475" t="s">
        <v>99</v>
      </c>
    </row>
    <row r="3476" spans="1:23" x14ac:dyDescent="0.35">
      <c r="A3476" t="s">
        <v>45</v>
      </c>
      <c r="B3476" t="s">
        <v>6974</v>
      </c>
      <c r="C3476" t="s">
        <v>93</v>
      </c>
      <c r="D3476" t="s">
        <v>5881</v>
      </c>
      <c r="E3476" t="s">
        <v>5882</v>
      </c>
      <c r="F3476" t="s">
        <v>49</v>
      </c>
      <c r="G3476" t="s">
        <v>7029</v>
      </c>
      <c r="H3476" t="s">
        <v>7030</v>
      </c>
      <c r="J3476" t="str">
        <f>HYPERLINK("https://twitter.com/santoshbha73771/status/1748339150057562125","https://twitter.com/santoshbha73771/status/1748339150057562125")</f>
        <v>https://twitter.com/santoshbha73771/status/1748339150057562125</v>
      </c>
      <c r="K3476" t="s">
        <v>67</v>
      </c>
      <c r="O3476">
        <v>0</v>
      </c>
      <c r="P3476">
        <v>0</v>
      </c>
      <c r="Q3476">
        <v>0</v>
      </c>
      <c r="S3476">
        <v>0</v>
      </c>
      <c r="T3476">
        <v>0</v>
      </c>
      <c r="U3476">
        <v>0</v>
      </c>
      <c r="W3476" t="s">
        <v>99</v>
      </c>
    </row>
    <row r="3477" spans="1:23" x14ac:dyDescent="0.35">
      <c r="A3477" t="s">
        <v>45</v>
      </c>
      <c r="B3477" t="s">
        <v>6974</v>
      </c>
      <c r="C3477" t="s">
        <v>60</v>
      </c>
      <c r="D3477" t="s">
        <v>61</v>
      </c>
      <c r="E3477" t="s">
        <v>61</v>
      </c>
      <c r="F3477" t="s">
        <v>49</v>
      </c>
      <c r="G3477" t="s">
        <v>7031</v>
      </c>
      <c r="H3477" t="s">
        <v>7032</v>
      </c>
      <c r="J3477" t="str">
        <f>HYPERLINK("https://www.facebook.com/634639855377280/posts/774412801399984?comment_id=704543991810949&amp;reply_comment_id=1542137803286955","https://www.facebook.com/634639855377280/posts/774412801399984?comment_id=704543991810949&amp;reply_comment_id=1542137803286955")</f>
        <v>https://www.facebook.com/634639855377280/posts/774412801399984?comment_id=704543991810949&amp;reply_comment_id=1542137803286955</v>
      </c>
      <c r="O3477">
        <v>0</v>
      </c>
      <c r="P3477">
        <v>0</v>
      </c>
      <c r="Q3477">
        <v>0</v>
      </c>
      <c r="S3477">
        <v>0</v>
      </c>
      <c r="T3477">
        <v>0</v>
      </c>
      <c r="U3477">
        <v>0</v>
      </c>
      <c r="W3477" t="s">
        <v>52</v>
      </c>
    </row>
    <row r="3478" spans="1:23" x14ac:dyDescent="0.35">
      <c r="A3478" t="s">
        <v>45</v>
      </c>
      <c r="B3478" t="s">
        <v>6974</v>
      </c>
      <c r="C3478" t="s">
        <v>93</v>
      </c>
      <c r="D3478" t="s">
        <v>5881</v>
      </c>
      <c r="E3478" t="s">
        <v>5882</v>
      </c>
      <c r="F3478" t="s">
        <v>49</v>
      </c>
      <c r="G3478" t="s">
        <v>7033</v>
      </c>
      <c r="H3478" t="s">
        <v>7034</v>
      </c>
      <c r="J3478" t="str">
        <f>HYPERLINK("https://twitter.com/santoshbha73771/status/1748338847036088697","https://twitter.com/santoshbha73771/status/1748338847036088697")</f>
        <v>https://twitter.com/santoshbha73771/status/1748338847036088697</v>
      </c>
      <c r="K3478" t="s">
        <v>67</v>
      </c>
      <c r="O3478">
        <v>0</v>
      </c>
      <c r="P3478">
        <v>0</v>
      </c>
      <c r="Q3478">
        <v>0</v>
      </c>
      <c r="S3478">
        <v>0</v>
      </c>
      <c r="T3478">
        <v>0</v>
      </c>
      <c r="U3478">
        <v>0</v>
      </c>
      <c r="W3478" t="s">
        <v>99</v>
      </c>
    </row>
    <row r="3479" spans="1:23" x14ac:dyDescent="0.35">
      <c r="A3479" t="s">
        <v>45</v>
      </c>
      <c r="B3479" t="s">
        <v>6974</v>
      </c>
      <c r="C3479" t="s">
        <v>60</v>
      </c>
      <c r="D3479" t="s">
        <v>61</v>
      </c>
      <c r="E3479" t="s">
        <v>61</v>
      </c>
      <c r="F3479" t="s">
        <v>49</v>
      </c>
      <c r="G3479" t="s">
        <v>7035</v>
      </c>
      <c r="H3479" t="s">
        <v>7036</v>
      </c>
      <c r="J3479" t="str">
        <f>HYPERLINK("https://www.facebook.com/634639855377280/posts/774483894726208?comment_id=395514569666746","https://www.facebook.com/634639855377280/posts/774483894726208?comment_id=395514569666746")</f>
        <v>https://www.facebook.com/634639855377280/posts/774483894726208?comment_id=395514569666746</v>
      </c>
      <c r="O3479">
        <v>0</v>
      </c>
      <c r="P3479">
        <v>0</v>
      </c>
      <c r="Q3479">
        <v>0</v>
      </c>
      <c r="S3479">
        <v>0</v>
      </c>
      <c r="T3479">
        <v>0</v>
      </c>
      <c r="U3479">
        <v>0</v>
      </c>
      <c r="W3479" t="s">
        <v>52</v>
      </c>
    </row>
    <row r="3480" spans="1:23" x14ac:dyDescent="0.35">
      <c r="A3480" t="s">
        <v>45</v>
      </c>
      <c r="B3480" t="s">
        <v>6974</v>
      </c>
      <c r="C3480" t="s">
        <v>60</v>
      </c>
      <c r="D3480" t="s">
        <v>61</v>
      </c>
      <c r="E3480" t="s">
        <v>61</v>
      </c>
      <c r="F3480" t="s">
        <v>49</v>
      </c>
      <c r="G3480" t="s">
        <v>7037</v>
      </c>
      <c r="H3480" t="s">
        <v>7038</v>
      </c>
      <c r="J3480" t="str">
        <f>HYPERLINK("https://www.facebook.com/634639855377280/posts/773764291464835?comment_id=1256800682389694","https://www.facebook.com/634639855377280/posts/773764291464835?comment_id=1256800682389694")</f>
        <v>https://www.facebook.com/634639855377280/posts/773764291464835?comment_id=1256800682389694</v>
      </c>
      <c r="O3480">
        <v>0</v>
      </c>
      <c r="P3480">
        <v>0</v>
      </c>
      <c r="Q3480">
        <v>0</v>
      </c>
      <c r="S3480">
        <v>0</v>
      </c>
      <c r="T3480">
        <v>0</v>
      </c>
      <c r="U3480">
        <v>0</v>
      </c>
      <c r="W3480" t="s">
        <v>52</v>
      </c>
    </row>
    <row r="3481" spans="1:23" x14ac:dyDescent="0.35">
      <c r="A3481" t="s">
        <v>45</v>
      </c>
      <c r="B3481" t="s">
        <v>6974</v>
      </c>
      <c r="C3481" t="s">
        <v>60</v>
      </c>
      <c r="D3481" t="s">
        <v>61</v>
      </c>
      <c r="E3481" t="s">
        <v>61</v>
      </c>
      <c r="F3481" t="s">
        <v>49</v>
      </c>
      <c r="G3481" t="s">
        <v>7039</v>
      </c>
      <c r="H3481" t="s">
        <v>7040</v>
      </c>
      <c r="J3481" t="str">
        <f>HYPERLINK("https://www.facebook.com/634639855377280/posts/774881771353087?comment_id=399586989244891","https://www.facebook.com/634639855377280/posts/774881771353087?comment_id=399586989244891")</f>
        <v>https://www.facebook.com/634639855377280/posts/774881771353087?comment_id=399586989244891</v>
      </c>
      <c r="O3481">
        <v>0</v>
      </c>
      <c r="P3481">
        <v>0</v>
      </c>
      <c r="Q3481">
        <v>0</v>
      </c>
      <c r="S3481">
        <v>0</v>
      </c>
      <c r="T3481">
        <v>0</v>
      </c>
      <c r="U3481">
        <v>0</v>
      </c>
      <c r="W3481" t="s">
        <v>52</v>
      </c>
    </row>
    <row r="3482" spans="1:23" x14ac:dyDescent="0.35">
      <c r="A3482" t="s">
        <v>45</v>
      </c>
      <c r="B3482" t="s">
        <v>6974</v>
      </c>
      <c r="C3482" t="s">
        <v>60</v>
      </c>
      <c r="D3482" t="s">
        <v>61</v>
      </c>
      <c r="E3482" t="s">
        <v>61</v>
      </c>
      <c r="F3482" t="s">
        <v>49</v>
      </c>
      <c r="G3482" t="s">
        <v>7041</v>
      </c>
      <c r="H3482" t="s">
        <v>7042</v>
      </c>
      <c r="J3482" t="str">
        <f>HYPERLINK("https://www.facebook.com/634639855377280/posts/774881771353087?comment_id=687056216831789","https://www.facebook.com/634639855377280/posts/774881771353087?comment_id=687056216831789")</f>
        <v>https://www.facebook.com/634639855377280/posts/774881771353087?comment_id=687056216831789</v>
      </c>
      <c r="O3482">
        <v>0</v>
      </c>
      <c r="P3482">
        <v>0</v>
      </c>
      <c r="Q3482">
        <v>0</v>
      </c>
      <c r="S3482">
        <v>0</v>
      </c>
      <c r="T3482">
        <v>0</v>
      </c>
      <c r="U3482">
        <v>0</v>
      </c>
      <c r="W3482" t="s">
        <v>52</v>
      </c>
    </row>
    <row r="3483" spans="1:23" x14ac:dyDescent="0.35">
      <c r="A3483" t="s">
        <v>45</v>
      </c>
      <c r="B3483" t="s">
        <v>6974</v>
      </c>
      <c r="C3483" t="s">
        <v>60</v>
      </c>
      <c r="D3483" t="s">
        <v>61</v>
      </c>
      <c r="E3483" t="s">
        <v>61</v>
      </c>
      <c r="F3483" t="s">
        <v>49</v>
      </c>
      <c r="G3483" t="s">
        <v>7043</v>
      </c>
      <c r="H3483" t="s">
        <v>7044</v>
      </c>
      <c r="J3483" t="str">
        <f>HYPERLINK("https://www.facebook.com/634639855377280/posts/774412801399984?comment_id=400093505875002&amp;reply_comment_id=401594085645198","https://www.facebook.com/634639855377280/posts/774412801399984?comment_id=400093505875002&amp;reply_comment_id=401594085645198")</f>
        <v>https://www.facebook.com/634639855377280/posts/774412801399984?comment_id=400093505875002&amp;reply_comment_id=401594085645198</v>
      </c>
      <c r="O3483">
        <v>0</v>
      </c>
      <c r="P3483">
        <v>0</v>
      </c>
      <c r="Q3483">
        <v>0</v>
      </c>
      <c r="S3483">
        <v>0</v>
      </c>
      <c r="T3483">
        <v>0</v>
      </c>
      <c r="U3483">
        <v>0</v>
      </c>
      <c r="W3483" t="s">
        <v>52</v>
      </c>
    </row>
    <row r="3484" spans="1:23" x14ac:dyDescent="0.35">
      <c r="A3484" t="s">
        <v>45</v>
      </c>
      <c r="B3484" t="s">
        <v>6974</v>
      </c>
      <c r="C3484" t="s">
        <v>60</v>
      </c>
      <c r="D3484" t="s">
        <v>61</v>
      </c>
      <c r="E3484" t="s">
        <v>61</v>
      </c>
      <c r="F3484" t="s">
        <v>49</v>
      </c>
      <c r="G3484" t="s">
        <v>7045</v>
      </c>
      <c r="H3484" t="s">
        <v>7046</v>
      </c>
      <c r="J3484" t="str">
        <f>HYPERLINK("https://www.facebook.com/634639855377280/posts/774483894726208?comment_id=1303146163713756","https://www.facebook.com/634639855377280/posts/774483894726208?comment_id=1303146163713756")</f>
        <v>https://www.facebook.com/634639855377280/posts/774483894726208?comment_id=1303146163713756</v>
      </c>
      <c r="O3484">
        <v>0</v>
      </c>
      <c r="P3484">
        <v>0</v>
      </c>
      <c r="Q3484">
        <v>0</v>
      </c>
      <c r="S3484">
        <v>0</v>
      </c>
      <c r="T3484">
        <v>0</v>
      </c>
      <c r="U3484">
        <v>0</v>
      </c>
      <c r="W3484" t="s">
        <v>52</v>
      </c>
    </row>
    <row r="3485" spans="1:23" x14ac:dyDescent="0.35">
      <c r="A3485" t="s">
        <v>45</v>
      </c>
      <c r="B3485" t="s">
        <v>6974</v>
      </c>
      <c r="C3485" t="s">
        <v>60</v>
      </c>
      <c r="D3485" t="s">
        <v>64</v>
      </c>
      <c r="E3485" t="s">
        <v>64</v>
      </c>
      <c r="F3485" t="s">
        <v>49</v>
      </c>
      <c r="G3485" t="s">
        <v>100</v>
      </c>
      <c r="H3485" t="s">
        <v>7047</v>
      </c>
      <c r="J3485" t="str">
        <f>HYPERLINK("https://www.facebook.com/634639855377280/posts/774412801399984?comment_id=400093505875002&amp;reply_comment_id=7561469647206242","https://www.facebook.com/634639855377280/posts/774412801399984?comment_id=400093505875002&amp;reply_comment_id=7561469647206242")</f>
        <v>https://www.facebook.com/634639855377280/posts/774412801399984?comment_id=400093505875002&amp;reply_comment_id=7561469647206242</v>
      </c>
      <c r="K3485" t="s">
        <v>67</v>
      </c>
      <c r="O3485">
        <v>0</v>
      </c>
      <c r="P3485">
        <v>0</v>
      </c>
      <c r="Q3485">
        <v>0</v>
      </c>
      <c r="S3485">
        <v>0</v>
      </c>
      <c r="T3485">
        <v>0</v>
      </c>
      <c r="U3485">
        <v>0</v>
      </c>
      <c r="W3485" t="s">
        <v>52</v>
      </c>
    </row>
    <row r="3486" spans="1:23" x14ac:dyDescent="0.35">
      <c r="A3486" t="s">
        <v>45</v>
      </c>
      <c r="B3486" t="s">
        <v>6974</v>
      </c>
      <c r="C3486" t="s">
        <v>60</v>
      </c>
      <c r="D3486" t="s">
        <v>61</v>
      </c>
      <c r="E3486" t="s">
        <v>61</v>
      </c>
      <c r="F3486" t="s">
        <v>49</v>
      </c>
      <c r="G3486" t="s">
        <v>7048</v>
      </c>
      <c r="H3486" t="s">
        <v>7049</v>
      </c>
      <c r="J3486" t="str">
        <f>HYPERLINK("https://www.facebook.com/634639855377280/posts/774412801399984?comment_id=1083199186440179&amp;reply_comment_id=2087051514984091","https://www.facebook.com/634639855377280/posts/774412801399984?comment_id=1083199186440179&amp;reply_comment_id=2087051514984091")</f>
        <v>https://www.facebook.com/634639855377280/posts/774412801399984?comment_id=1083199186440179&amp;reply_comment_id=2087051514984091</v>
      </c>
      <c r="O3486">
        <v>0</v>
      </c>
      <c r="P3486">
        <v>0</v>
      </c>
      <c r="Q3486">
        <v>0</v>
      </c>
      <c r="S3486">
        <v>0</v>
      </c>
      <c r="T3486">
        <v>0</v>
      </c>
      <c r="U3486">
        <v>0</v>
      </c>
      <c r="W3486" t="s">
        <v>52</v>
      </c>
    </row>
    <row r="3487" spans="1:23" x14ac:dyDescent="0.35">
      <c r="A3487" t="s">
        <v>45</v>
      </c>
      <c r="B3487" t="s">
        <v>6974</v>
      </c>
      <c r="C3487" t="s">
        <v>60</v>
      </c>
      <c r="D3487" t="s">
        <v>64</v>
      </c>
      <c r="E3487" t="s">
        <v>64</v>
      </c>
      <c r="F3487" t="s">
        <v>49</v>
      </c>
      <c r="G3487" t="s">
        <v>164</v>
      </c>
      <c r="H3487" t="s">
        <v>7050</v>
      </c>
      <c r="J3487" t="str">
        <f>HYPERLINK("https://www.facebook.com/634639855377280/posts/774483894726208?comment_id=1900298680389338&amp;reply_comment_id=751105183158300","https://www.facebook.com/634639855377280/posts/774483894726208?comment_id=1900298680389338&amp;reply_comment_id=751105183158300")</f>
        <v>https://www.facebook.com/634639855377280/posts/774483894726208?comment_id=1900298680389338&amp;reply_comment_id=751105183158300</v>
      </c>
      <c r="K3487" t="s">
        <v>67</v>
      </c>
      <c r="O3487">
        <v>0</v>
      </c>
      <c r="P3487">
        <v>0</v>
      </c>
      <c r="Q3487">
        <v>0</v>
      </c>
      <c r="S3487">
        <v>0</v>
      </c>
      <c r="T3487">
        <v>0</v>
      </c>
      <c r="U3487">
        <v>0</v>
      </c>
      <c r="W3487" t="s">
        <v>52</v>
      </c>
    </row>
    <row r="3488" spans="1:23" x14ac:dyDescent="0.35">
      <c r="A3488" t="s">
        <v>45</v>
      </c>
      <c r="B3488" t="s">
        <v>6974</v>
      </c>
      <c r="C3488" t="s">
        <v>60</v>
      </c>
      <c r="D3488" t="s">
        <v>61</v>
      </c>
      <c r="E3488" t="s">
        <v>61</v>
      </c>
      <c r="F3488" t="s">
        <v>49</v>
      </c>
      <c r="G3488">
        <v>8208028600</v>
      </c>
      <c r="H3488" t="s">
        <v>7051</v>
      </c>
      <c r="J3488" t="str">
        <f>HYPERLINK("https://www.facebook.com/634639855377280/posts/774483894726208?comment_id=1900298680389338&amp;reply_comment_id=389908050049866","https://www.facebook.com/634639855377280/posts/774483894726208?comment_id=1900298680389338&amp;reply_comment_id=389908050049866")</f>
        <v>https://www.facebook.com/634639855377280/posts/774483894726208?comment_id=1900298680389338&amp;reply_comment_id=389908050049866</v>
      </c>
      <c r="O3488">
        <v>0</v>
      </c>
      <c r="P3488">
        <v>0</v>
      </c>
      <c r="Q3488">
        <v>0</v>
      </c>
      <c r="S3488">
        <v>0</v>
      </c>
      <c r="T3488">
        <v>0</v>
      </c>
      <c r="U3488">
        <v>0</v>
      </c>
      <c r="W3488" t="s">
        <v>52</v>
      </c>
    </row>
    <row r="3489" spans="1:23" x14ac:dyDescent="0.35">
      <c r="A3489" t="s">
        <v>45</v>
      </c>
      <c r="B3489" t="s">
        <v>6974</v>
      </c>
      <c r="C3489" t="s">
        <v>60</v>
      </c>
      <c r="D3489" t="s">
        <v>64</v>
      </c>
      <c r="E3489" t="s">
        <v>64</v>
      </c>
      <c r="F3489" t="s">
        <v>49</v>
      </c>
      <c r="G3489" t="s">
        <v>3138</v>
      </c>
      <c r="H3489" t="s">
        <v>7052</v>
      </c>
      <c r="J3489" t="str">
        <f>HYPERLINK("https://www.facebook.com/634639855377280/posts/774412801399984?comment_id=897284868437816&amp;reply_comment_id=1054530372534662","https://www.facebook.com/634639855377280/posts/774412801399984?comment_id=897284868437816&amp;reply_comment_id=1054530372534662")</f>
        <v>https://www.facebook.com/634639855377280/posts/774412801399984?comment_id=897284868437816&amp;reply_comment_id=1054530372534662</v>
      </c>
      <c r="K3489" t="s">
        <v>67</v>
      </c>
      <c r="O3489">
        <v>0</v>
      </c>
      <c r="P3489">
        <v>0</v>
      </c>
      <c r="Q3489">
        <v>0</v>
      </c>
      <c r="S3489">
        <v>0</v>
      </c>
      <c r="T3489">
        <v>0</v>
      </c>
      <c r="U3489">
        <v>0</v>
      </c>
      <c r="W3489" t="s">
        <v>52</v>
      </c>
    </row>
    <row r="3490" spans="1:23" x14ac:dyDescent="0.35">
      <c r="A3490" t="s">
        <v>45</v>
      </c>
      <c r="B3490" t="s">
        <v>6974</v>
      </c>
      <c r="C3490" t="s">
        <v>60</v>
      </c>
      <c r="D3490" t="s">
        <v>64</v>
      </c>
      <c r="E3490" t="s">
        <v>64</v>
      </c>
      <c r="F3490" t="s">
        <v>49</v>
      </c>
      <c r="G3490" t="s">
        <v>3537</v>
      </c>
      <c r="H3490" t="s">
        <v>7053</v>
      </c>
      <c r="J3490" t="str">
        <f>HYPERLINK("https://www.facebook.com/634639855377280/posts/774483894726208?comment_id=1900298680389338&amp;reply_comment_id=393431676478557","https://www.facebook.com/634639855377280/posts/774483894726208?comment_id=1900298680389338&amp;reply_comment_id=393431676478557")</f>
        <v>https://www.facebook.com/634639855377280/posts/774483894726208?comment_id=1900298680389338&amp;reply_comment_id=393431676478557</v>
      </c>
      <c r="K3490" t="s">
        <v>67</v>
      </c>
      <c r="O3490">
        <v>0</v>
      </c>
      <c r="P3490">
        <v>0</v>
      </c>
      <c r="Q3490">
        <v>0</v>
      </c>
      <c r="S3490">
        <v>0</v>
      </c>
      <c r="T3490">
        <v>0</v>
      </c>
      <c r="U3490">
        <v>0</v>
      </c>
      <c r="W3490" t="s">
        <v>52</v>
      </c>
    </row>
    <row r="3491" spans="1:23" x14ac:dyDescent="0.35">
      <c r="A3491" t="s">
        <v>45</v>
      </c>
      <c r="B3491" t="s">
        <v>6974</v>
      </c>
      <c r="C3491" t="s">
        <v>93</v>
      </c>
      <c r="D3491" t="s">
        <v>7054</v>
      </c>
      <c r="E3491" t="s">
        <v>7055</v>
      </c>
      <c r="F3491" t="s">
        <v>193</v>
      </c>
      <c r="G3491" t="s">
        <v>7056</v>
      </c>
      <c r="H3491" t="s">
        <v>7057</v>
      </c>
      <c r="J3491" t="str">
        <f>HYPERLINK("https://twitter.com/MukammilBabu/status/1748333928933691884","https://twitter.com/MukammilBabu/status/1748333928933691884")</f>
        <v>https://twitter.com/MukammilBabu/status/1748333928933691884</v>
      </c>
      <c r="K3491" t="s">
        <v>67</v>
      </c>
      <c r="O3491">
        <v>0</v>
      </c>
      <c r="P3491">
        <v>0</v>
      </c>
      <c r="Q3491">
        <v>1448</v>
      </c>
      <c r="R3491" t="s">
        <v>7058</v>
      </c>
      <c r="S3491">
        <v>0</v>
      </c>
      <c r="T3491">
        <v>0</v>
      </c>
      <c r="U3491">
        <v>0</v>
      </c>
      <c r="W3491" t="s">
        <v>99</v>
      </c>
    </row>
    <row r="3492" spans="1:23" x14ac:dyDescent="0.35">
      <c r="A3492" t="s">
        <v>45</v>
      </c>
      <c r="B3492" t="s">
        <v>6974</v>
      </c>
      <c r="C3492" t="s">
        <v>47</v>
      </c>
      <c r="D3492" t="s">
        <v>68</v>
      </c>
      <c r="E3492" t="s">
        <v>68</v>
      </c>
      <c r="F3492" t="s">
        <v>49</v>
      </c>
      <c r="G3492" t="s">
        <v>2528</v>
      </c>
      <c r="H3492" t="s">
        <v>7059</v>
      </c>
      <c r="J3492" t="str">
        <f>HYPERLINK("https://www.youtube.com/watch?v=L48LASyoHuE&amp;lc=UgyBdByrfhBKBtbX3S54AaABAg.9zkOkkn1Bq19zkcwa12WYc","https://www.youtube.com/watch?v=L48LASyoHuE&amp;lc=UgyBdByrfhBKBtbX3S54AaABAg.9zkOkkn1Bq19zkcwa12WYc")</f>
        <v>https://www.youtube.com/watch?v=L48LASyoHuE&amp;lc=UgyBdByrfhBKBtbX3S54AaABAg.9zkOkkn1Bq19zkcwa12WYc</v>
      </c>
      <c r="O3492">
        <v>0</v>
      </c>
      <c r="P3492">
        <v>0</v>
      </c>
      <c r="Q3492">
        <v>0</v>
      </c>
      <c r="S3492">
        <v>0</v>
      </c>
      <c r="T3492">
        <v>0</v>
      </c>
      <c r="U3492">
        <v>0</v>
      </c>
      <c r="W3492" t="s">
        <v>52</v>
      </c>
    </row>
    <row r="3493" spans="1:23" x14ac:dyDescent="0.35">
      <c r="A3493" t="s">
        <v>45</v>
      </c>
      <c r="B3493" t="s">
        <v>6974</v>
      </c>
      <c r="C3493" t="s">
        <v>60</v>
      </c>
      <c r="D3493" t="s">
        <v>64</v>
      </c>
      <c r="E3493" t="s">
        <v>64</v>
      </c>
      <c r="F3493" t="s">
        <v>49</v>
      </c>
      <c r="G3493" t="s">
        <v>83</v>
      </c>
      <c r="H3493" t="s">
        <v>7060</v>
      </c>
      <c r="J3493" t="str">
        <f>HYPERLINK("https://www.facebook.com/634639855377280/posts/774412801399984?comment_id=1083199186440179&amp;reply_comment_id=339062639010496","https://www.facebook.com/634639855377280/posts/774412801399984?comment_id=1083199186440179&amp;reply_comment_id=339062639010496")</f>
        <v>https://www.facebook.com/634639855377280/posts/774412801399984?comment_id=1083199186440179&amp;reply_comment_id=339062639010496</v>
      </c>
      <c r="K3493" t="s">
        <v>67</v>
      </c>
      <c r="O3493">
        <v>0</v>
      </c>
      <c r="P3493">
        <v>0</v>
      </c>
      <c r="Q3493">
        <v>0</v>
      </c>
      <c r="S3493">
        <v>0</v>
      </c>
      <c r="T3493">
        <v>0</v>
      </c>
      <c r="U3493">
        <v>0</v>
      </c>
      <c r="W3493" t="s">
        <v>52</v>
      </c>
    </row>
    <row r="3494" spans="1:23" x14ac:dyDescent="0.35">
      <c r="A3494" t="s">
        <v>45</v>
      </c>
      <c r="B3494" t="s">
        <v>6974</v>
      </c>
      <c r="C3494" t="s">
        <v>60</v>
      </c>
      <c r="D3494" t="s">
        <v>61</v>
      </c>
      <c r="E3494" t="s">
        <v>61</v>
      </c>
      <c r="F3494" t="s">
        <v>49</v>
      </c>
      <c r="G3494" t="s">
        <v>7061</v>
      </c>
      <c r="H3494" t="s">
        <v>7062</v>
      </c>
      <c r="J3494" t="str">
        <f>HYPERLINK("https://www.facebook.com/634639855377280/posts/774412801399984?comment_id=400093505875002&amp;reply_comment_id=440271431759026","https://www.facebook.com/634639855377280/posts/774412801399984?comment_id=400093505875002&amp;reply_comment_id=440271431759026")</f>
        <v>https://www.facebook.com/634639855377280/posts/774412801399984?comment_id=400093505875002&amp;reply_comment_id=440271431759026</v>
      </c>
      <c r="O3494">
        <v>0</v>
      </c>
      <c r="P3494">
        <v>0</v>
      </c>
      <c r="Q3494">
        <v>0</v>
      </c>
      <c r="S3494">
        <v>0</v>
      </c>
      <c r="T3494">
        <v>0</v>
      </c>
      <c r="U3494">
        <v>0</v>
      </c>
      <c r="W3494" t="s">
        <v>52</v>
      </c>
    </row>
    <row r="3495" spans="1:23" x14ac:dyDescent="0.35">
      <c r="A3495" t="s">
        <v>45</v>
      </c>
      <c r="B3495" t="s">
        <v>6974</v>
      </c>
      <c r="C3495" t="s">
        <v>60</v>
      </c>
      <c r="D3495" t="s">
        <v>64</v>
      </c>
      <c r="E3495" t="s">
        <v>64</v>
      </c>
      <c r="F3495" t="s">
        <v>49</v>
      </c>
      <c r="G3495" t="s">
        <v>100</v>
      </c>
      <c r="H3495" t="s">
        <v>7063</v>
      </c>
      <c r="J3495" t="str">
        <f>HYPERLINK("https://www.facebook.com/634639855377280/posts/774483894726208?comment_id=750425983627786&amp;reply_comment_id=1108917700106317","https://www.facebook.com/634639855377280/posts/774483894726208?comment_id=750425983627786&amp;reply_comment_id=1108917700106317")</f>
        <v>https://www.facebook.com/634639855377280/posts/774483894726208?comment_id=750425983627786&amp;reply_comment_id=1108917700106317</v>
      </c>
      <c r="K3495" t="s">
        <v>67</v>
      </c>
      <c r="O3495">
        <v>0</v>
      </c>
      <c r="P3495">
        <v>0</v>
      </c>
      <c r="Q3495">
        <v>0</v>
      </c>
      <c r="S3495">
        <v>0</v>
      </c>
      <c r="T3495">
        <v>0</v>
      </c>
      <c r="U3495">
        <v>0</v>
      </c>
      <c r="W3495" t="s">
        <v>52</v>
      </c>
    </row>
    <row r="3496" spans="1:23" x14ac:dyDescent="0.35">
      <c r="A3496" t="s">
        <v>45</v>
      </c>
      <c r="B3496" t="s">
        <v>6974</v>
      </c>
      <c r="C3496" t="s">
        <v>60</v>
      </c>
      <c r="D3496" t="s">
        <v>64</v>
      </c>
      <c r="E3496" t="s">
        <v>64</v>
      </c>
      <c r="F3496" t="s">
        <v>49</v>
      </c>
      <c r="G3496" t="s">
        <v>5897</v>
      </c>
      <c r="H3496" t="s">
        <v>7064</v>
      </c>
      <c r="J3496" t="str">
        <f>HYPERLINK("https://www.facebook.com/634639855377280/posts/773392231502041?comment_id=1289985901642635&amp;reply_comment_id=1512066219365951","https://www.facebook.com/634639855377280/posts/773392231502041?comment_id=1289985901642635&amp;reply_comment_id=1512066219365951")</f>
        <v>https://www.facebook.com/634639855377280/posts/773392231502041?comment_id=1289985901642635&amp;reply_comment_id=1512066219365951</v>
      </c>
      <c r="K3496" t="s">
        <v>67</v>
      </c>
      <c r="O3496">
        <v>0</v>
      </c>
      <c r="P3496">
        <v>0</v>
      </c>
      <c r="Q3496">
        <v>0</v>
      </c>
      <c r="S3496">
        <v>0</v>
      </c>
      <c r="T3496">
        <v>0</v>
      </c>
      <c r="U3496">
        <v>0</v>
      </c>
      <c r="W3496" t="s">
        <v>52</v>
      </c>
    </row>
    <row r="3497" spans="1:23" x14ac:dyDescent="0.35">
      <c r="A3497" t="s">
        <v>45</v>
      </c>
      <c r="B3497" t="s">
        <v>6974</v>
      </c>
      <c r="C3497" t="s">
        <v>47</v>
      </c>
      <c r="D3497" t="s">
        <v>5894</v>
      </c>
      <c r="E3497" t="s">
        <v>5894</v>
      </c>
      <c r="F3497" t="s">
        <v>49</v>
      </c>
      <c r="G3497" t="s">
        <v>7065</v>
      </c>
      <c r="H3497" t="s">
        <v>7066</v>
      </c>
      <c r="J3497" t="str">
        <f>HYPERLINK("https://www.youtube.com/watch?v=slQ7JH9hEVA","https://www.youtube.com/watch?v=slQ7JH9hEVA")</f>
        <v>https://www.youtube.com/watch?v=slQ7JH9hEVA</v>
      </c>
      <c r="O3497">
        <v>0</v>
      </c>
      <c r="P3497">
        <v>0</v>
      </c>
      <c r="Q3497">
        <v>0</v>
      </c>
      <c r="S3497">
        <v>0</v>
      </c>
      <c r="T3497">
        <v>0</v>
      </c>
      <c r="U3497">
        <v>0</v>
      </c>
      <c r="W3497" t="s">
        <v>346</v>
      </c>
    </row>
    <row r="3498" spans="1:23" x14ac:dyDescent="0.35">
      <c r="A3498" t="s">
        <v>45</v>
      </c>
      <c r="B3498" t="s">
        <v>6974</v>
      </c>
      <c r="C3498" t="s">
        <v>60</v>
      </c>
      <c r="D3498" t="s">
        <v>64</v>
      </c>
      <c r="E3498" t="s">
        <v>64</v>
      </c>
      <c r="F3498" t="s">
        <v>49</v>
      </c>
      <c r="G3498" t="s">
        <v>83</v>
      </c>
      <c r="H3498" t="s">
        <v>7067</v>
      </c>
      <c r="J3498" t="str">
        <f>HYPERLINK("https://www.facebook.com/634639855377280/posts/774412801399984?comment_id=1095087665007316&amp;reply_comment_id=292090677197018","https://www.facebook.com/634639855377280/posts/774412801399984?comment_id=1095087665007316&amp;reply_comment_id=292090677197018")</f>
        <v>https://www.facebook.com/634639855377280/posts/774412801399984?comment_id=1095087665007316&amp;reply_comment_id=292090677197018</v>
      </c>
      <c r="K3498" t="s">
        <v>67</v>
      </c>
      <c r="O3498">
        <v>0</v>
      </c>
      <c r="P3498">
        <v>0</v>
      </c>
      <c r="Q3498">
        <v>0</v>
      </c>
      <c r="S3498">
        <v>0</v>
      </c>
      <c r="T3498">
        <v>0</v>
      </c>
      <c r="U3498">
        <v>0</v>
      </c>
      <c r="W3498" t="s">
        <v>52</v>
      </c>
    </row>
    <row r="3499" spans="1:23" x14ac:dyDescent="0.35">
      <c r="A3499" t="s">
        <v>45</v>
      </c>
      <c r="B3499" t="s">
        <v>6974</v>
      </c>
      <c r="C3499" t="s">
        <v>60</v>
      </c>
      <c r="D3499" t="s">
        <v>64</v>
      </c>
      <c r="E3499" t="s">
        <v>64</v>
      </c>
      <c r="F3499" t="s">
        <v>49</v>
      </c>
      <c r="G3499" t="s">
        <v>3138</v>
      </c>
      <c r="H3499" t="s">
        <v>7068</v>
      </c>
      <c r="J3499" t="str">
        <f>HYPERLINK("https://www.facebook.com/634639855377280/posts/774483894726208?comment_id=759585619564834&amp;reply_comment_id=1618494142338179","https://www.facebook.com/634639855377280/posts/774483894726208?comment_id=759585619564834&amp;reply_comment_id=1618494142338179")</f>
        <v>https://www.facebook.com/634639855377280/posts/774483894726208?comment_id=759585619564834&amp;reply_comment_id=1618494142338179</v>
      </c>
      <c r="K3499" t="s">
        <v>67</v>
      </c>
      <c r="O3499">
        <v>0</v>
      </c>
      <c r="P3499">
        <v>0</v>
      </c>
      <c r="Q3499">
        <v>0</v>
      </c>
      <c r="S3499">
        <v>0</v>
      </c>
      <c r="T3499">
        <v>0</v>
      </c>
      <c r="U3499">
        <v>0</v>
      </c>
      <c r="W3499" t="s">
        <v>52</v>
      </c>
    </row>
    <row r="3500" spans="1:23" x14ac:dyDescent="0.35">
      <c r="A3500" t="s">
        <v>45</v>
      </c>
      <c r="B3500" t="s">
        <v>6974</v>
      </c>
      <c r="C3500" t="s">
        <v>60</v>
      </c>
      <c r="D3500" t="s">
        <v>61</v>
      </c>
      <c r="E3500" t="s">
        <v>61</v>
      </c>
      <c r="F3500" t="s">
        <v>49</v>
      </c>
      <c r="G3500" t="s">
        <v>7069</v>
      </c>
      <c r="H3500" t="s">
        <v>7070</v>
      </c>
      <c r="J3500" t="str">
        <f>HYPERLINK("https://www.facebook.com/634639855377280/posts/774483894726208?comment_id=1900298680389338","https://www.facebook.com/634639855377280/posts/774483894726208?comment_id=1900298680389338")</f>
        <v>https://www.facebook.com/634639855377280/posts/774483894726208?comment_id=1900298680389338</v>
      </c>
      <c r="O3500">
        <v>0</v>
      </c>
      <c r="P3500">
        <v>0</v>
      </c>
      <c r="Q3500">
        <v>0</v>
      </c>
      <c r="S3500">
        <v>0</v>
      </c>
      <c r="T3500">
        <v>0</v>
      </c>
      <c r="U3500">
        <v>0</v>
      </c>
      <c r="W3500" t="s">
        <v>52</v>
      </c>
    </row>
    <row r="3501" spans="1:23" x14ac:dyDescent="0.35">
      <c r="A3501" t="s">
        <v>45</v>
      </c>
      <c r="B3501" t="s">
        <v>6974</v>
      </c>
      <c r="C3501" t="s">
        <v>60</v>
      </c>
      <c r="D3501" t="s">
        <v>61</v>
      </c>
      <c r="E3501" t="s">
        <v>61</v>
      </c>
      <c r="F3501" t="s">
        <v>49</v>
      </c>
      <c r="G3501" t="s">
        <v>7071</v>
      </c>
      <c r="H3501" t="s">
        <v>7072</v>
      </c>
      <c r="J3501" t="str">
        <f>HYPERLINK("https://www.facebook.com/634639855377280/posts/774483894726208?comment_id=339998062282773","https://www.facebook.com/634639855377280/posts/774483894726208?comment_id=339998062282773")</f>
        <v>https://www.facebook.com/634639855377280/posts/774483894726208?comment_id=339998062282773</v>
      </c>
      <c r="O3501">
        <v>0</v>
      </c>
      <c r="P3501">
        <v>0</v>
      </c>
      <c r="Q3501">
        <v>0</v>
      </c>
      <c r="S3501">
        <v>0</v>
      </c>
      <c r="T3501">
        <v>0</v>
      </c>
      <c r="U3501">
        <v>0</v>
      </c>
      <c r="W3501" t="s">
        <v>52</v>
      </c>
    </row>
    <row r="3502" spans="1:23" x14ac:dyDescent="0.35">
      <c r="A3502" t="s">
        <v>45</v>
      </c>
      <c r="B3502" t="s">
        <v>6974</v>
      </c>
      <c r="C3502" t="s">
        <v>60</v>
      </c>
      <c r="D3502" t="s">
        <v>64</v>
      </c>
      <c r="E3502" t="s">
        <v>64</v>
      </c>
      <c r="F3502" t="s">
        <v>49</v>
      </c>
      <c r="G3502" t="s">
        <v>164</v>
      </c>
      <c r="H3502" t="s">
        <v>7073</v>
      </c>
      <c r="J3502" t="str">
        <f>HYPERLINK("https://www.facebook.com/634639855377280/posts/774483894726208?comment_id=712251504308599&amp;reply_comment_id=1419805628944433","https://www.facebook.com/634639855377280/posts/774483894726208?comment_id=712251504308599&amp;reply_comment_id=1419805628944433")</f>
        <v>https://www.facebook.com/634639855377280/posts/774483894726208?comment_id=712251504308599&amp;reply_comment_id=1419805628944433</v>
      </c>
      <c r="K3502" t="s">
        <v>67</v>
      </c>
      <c r="O3502">
        <v>0</v>
      </c>
      <c r="P3502">
        <v>0</v>
      </c>
      <c r="Q3502">
        <v>0</v>
      </c>
      <c r="S3502">
        <v>0</v>
      </c>
      <c r="T3502">
        <v>0</v>
      </c>
      <c r="U3502">
        <v>0</v>
      </c>
      <c r="W3502" t="s">
        <v>52</v>
      </c>
    </row>
    <row r="3503" spans="1:23" x14ac:dyDescent="0.35">
      <c r="A3503" t="s">
        <v>45</v>
      </c>
      <c r="B3503" t="s">
        <v>6974</v>
      </c>
      <c r="C3503" t="s">
        <v>60</v>
      </c>
      <c r="D3503" t="s">
        <v>64</v>
      </c>
      <c r="E3503" t="s">
        <v>64</v>
      </c>
      <c r="F3503" t="s">
        <v>49</v>
      </c>
      <c r="G3503" t="s">
        <v>380</v>
      </c>
      <c r="H3503" t="s">
        <v>7074</v>
      </c>
      <c r="J3503" t="str">
        <f>HYPERLINK("https://www.facebook.com/634639855377280/posts/774483894726208?comment_id=315674071467159&amp;reply_comment_id=2123159201359452","https://www.facebook.com/634639855377280/posts/774483894726208?comment_id=315674071467159&amp;reply_comment_id=2123159201359452")</f>
        <v>https://www.facebook.com/634639855377280/posts/774483894726208?comment_id=315674071467159&amp;reply_comment_id=2123159201359452</v>
      </c>
      <c r="K3503" t="s">
        <v>67</v>
      </c>
      <c r="O3503">
        <v>0</v>
      </c>
      <c r="P3503">
        <v>0</v>
      </c>
      <c r="Q3503">
        <v>0</v>
      </c>
      <c r="S3503">
        <v>0</v>
      </c>
      <c r="T3503">
        <v>0</v>
      </c>
      <c r="U3503">
        <v>0</v>
      </c>
      <c r="W3503" t="s">
        <v>52</v>
      </c>
    </row>
    <row r="3504" spans="1:23" x14ac:dyDescent="0.35">
      <c r="A3504" t="s">
        <v>45</v>
      </c>
      <c r="B3504" t="s">
        <v>6974</v>
      </c>
      <c r="C3504" t="s">
        <v>60</v>
      </c>
      <c r="D3504" t="s">
        <v>64</v>
      </c>
      <c r="E3504" t="s">
        <v>64</v>
      </c>
      <c r="F3504" t="s">
        <v>49</v>
      </c>
      <c r="G3504" t="s">
        <v>3773</v>
      </c>
      <c r="H3504" t="s">
        <v>7075</v>
      </c>
      <c r="J3504" t="str">
        <f>HYPERLINK("https://www.facebook.com/634639855377280/posts/774412801399984?comment_id=311998964604277&amp;reply_comment_id=1133314671360524","https://www.facebook.com/634639855377280/posts/774412801399984?comment_id=311998964604277&amp;reply_comment_id=1133314671360524")</f>
        <v>https://www.facebook.com/634639855377280/posts/774412801399984?comment_id=311998964604277&amp;reply_comment_id=1133314671360524</v>
      </c>
      <c r="K3504" t="s">
        <v>67</v>
      </c>
      <c r="O3504">
        <v>0</v>
      </c>
      <c r="P3504">
        <v>0</v>
      </c>
      <c r="Q3504">
        <v>0</v>
      </c>
      <c r="S3504">
        <v>0</v>
      </c>
      <c r="T3504">
        <v>0</v>
      </c>
      <c r="U3504">
        <v>0</v>
      </c>
      <c r="W3504" t="s">
        <v>52</v>
      </c>
    </row>
    <row r="3505" spans="1:23" x14ac:dyDescent="0.35">
      <c r="A3505" t="s">
        <v>45</v>
      </c>
      <c r="B3505" t="s">
        <v>6974</v>
      </c>
      <c r="C3505" t="s">
        <v>60</v>
      </c>
      <c r="D3505" t="s">
        <v>64</v>
      </c>
      <c r="E3505" t="s">
        <v>64</v>
      </c>
      <c r="F3505" t="s">
        <v>49</v>
      </c>
      <c r="G3505" t="s">
        <v>162</v>
      </c>
      <c r="H3505" t="s">
        <v>7076</v>
      </c>
      <c r="J3505" t="str">
        <f>HYPERLINK("https://www.facebook.com/634639855377280/posts/774483894726208?comment_id=6729565970503626&amp;reply_comment_id=885133589767625","https://www.facebook.com/634639855377280/posts/774483894726208?comment_id=6729565970503626&amp;reply_comment_id=885133589767625")</f>
        <v>https://www.facebook.com/634639855377280/posts/774483894726208?comment_id=6729565970503626&amp;reply_comment_id=885133589767625</v>
      </c>
      <c r="K3505" t="s">
        <v>67</v>
      </c>
      <c r="O3505">
        <v>0</v>
      </c>
      <c r="P3505">
        <v>0</v>
      </c>
      <c r="Q3505">
        <v>0</v>
      </c>
      <c r="S3505">
        <v>0</v>
      </c>
      <c r="T3505">
        <v>0</v>
      </c>
      <c r="U3505">
        <v>0</v>
      </c>
      <c r="W3505" t="s">
        <v>52</v>
      </c>
    </row>
    <row r="3506" spans="1:23" x14ac:dyDescent="0.35">
      <c r="A3506" t="s">
        <v>45</v>
      </c>
      <c r="B3506" t="s">
        <v>6974</v>
      </c>
      <c r="C3506" t="s">
        <v>60</v>
      </c>
      <c r="D3506" t="s">
        <v>61</v>
      </c>
      <c r="E3506" t="s">
        <v>61</v>
      </c>
      <c r="F3506" t="s">
        <v>193</v>
      </c>
      <c r="G3506" t="s">
        <v>7077</v>
      </c>
      <c r="H3506" t="s">
        <v>7078</v>
      </c>
      <c r="J3506" t="str">
        <f>HYPERLINK("https://www.facebook.com/634639855377280/posts/774412801399984?comment_id=1083199186440179","https://www.facebook.com/634639855377280/posts/774412801399984?comment_id=1083199186440179")</f>
        <v>https://www.facebook.com/634639855377280/posts/774412801399984?comment_id=1083199186440179</v>
      </c>
      <c r="O3506">
        <v>0</v>
      </c>
      <c r="P3506">
        <v>0</v>
      </c>
      <c r="Q3506">
        <v>0</v>
      </c>
      <c r="S3506">
        <v>0</v>
      </c>
      <c r="T3506">
        <v>0</v>
      </c>
      <c r="U3506">
        <v>0</v>
      </c>
      <c r="W3506" t="s">
        <v>52</v>
      </c>
    </row>
    <row r="3507" spans="1:23" x14ac:dyDescent="0.35">
      <c r="A3507" t="s">
        <v>45</v>
      </c>
      <c r="B3507" t="s">
        <v>6974</v>
      </c>
      <c r="C3507" t="s">
        <v>60</v>
      </c>
      <c r="D3507" t="s">
        <v>64</v>
      </c>
      <c r="E3507" t="s">
        <v>64</v>
      </c>
      <c r="F3507" t="s">
        <v>49</v>
      </c>
      <c r="G3507" t="s">
        <v>380</v>
      </c>
      <c r="H3507" t="s">
        <v>7079</v>
      </c>
      <c r="J3507" t="str">
        <f>HYPERLINK("https://www.facebook.com/634639855377280/posts/774483894726208?comment_id=746980447315449&amp;reply_comment_id=400628055968281","https://www.facebook.com/634639855377280/posts/774483894726208?comment_id=746980447315449&amp;reply_comment_id=400628055968281")</f>
        <v>https://www.facebook.com/634639855377280/posts/774483894726208?comment_id=746980447315449&amp;reply_comment_id=400628055968281</v>
      </c>
      <c r="K3507" t="s">
        <v>67</v>
      </c>
      <c r="O3507">
        <v>0</v>
      </c>
      <c r="P3507">
        <v>0</v>
      </c>
      <c r="Q3507">
        <v>0</v>
      </c>
      <c r="S3507">
        <v>0</v>
      </c>
      <c r="T3507">
        <v>0</v>
      </c>
      <c r="U3507">
        <v>0</v>
      </c>
      <c r="W3507" t="s">
        <v>52</v>
      </c>
    </row>
    <row r="3508" spans="1:23" x14ac:dyDescent="0.35">
      <c r="A3508" t="s">
        <v>45</v>
      </c>
      <c r="B3508" t="s">
        <v>6974</v>
      </c>
      <c r="C3508" t="s">
        <v>60</v>
      </c>
      <c r="D3508" t="s">
        <v>64</v>
      </c>
      <c r="E3508" t="s">
        <v>64</v>
      </c>
      <c r="F3508" t="s">
        <v>49</v>
      </c>
      <c r="G3508" t="s">
        <v>380</v>
      </c>
      <c r="H3508" t="s">
        <v>7080</v>
      </c>
      <c r="J3508" t="str">
        <f>HYPERLINK("https://www.facebook.com/634639855377280/posts/774483894726208?comment_id=719315196971050&amp;reply_comment_id=887484642848970","https://www.facebook.com/634639855377280/posts/774483894726208?comment_id=719315196971050&amp;reply_comment_id=887484642848970")</f>
        <v>https://www.facebook.com/634639855377280/posts/774483894726208?comment_id=719315196971050&amp;reply_comment_id=887484642848970</v>
      </c>
      <c r="K3508" t="s">
        <v>67</v>
      </c>
      <c r="O3508">
        <v>0</v>
      </c>
      <c r="P3508">
        <v>0</v>
      </c>
      <c r="Q3508">
        <v>0</v>
      </c>
      <c r="S3508">
        <v>0</v>
      </c>
      <c r="T3508">
        <v>0</v>
      </c>
      <c r="U3508">
        <v>0</v>
      </c>
      <c r="W3508" t="s">
        <v>52</v>
      </c>
    </row>
    <row r="3509" spans="1:23" x14ac:dyDescent="0.35">
      <c r="A3509" t="s">
        <v>45</v>
      </c>
      <c r="B3509" t="s">
        <v>6974</v>
      </c>
      <c r="C3509" t="s">
        <v>60</v>
      </c>
      <c r="D3509" t="s">
        <v>64</v>
      </c>
      <c r="E3509" t="s">
        <v>64</v>
      </c>
      <c r="F3509" t="s">
        <v>49</v>
      </c>
      <c r="G3509" t="s">
        <v>3138</v>
      </c>
      <c r="H3509" t="s">
        <v>7081</v>
      </c>
      <c r="J3509" t="str">
        <f>HYPERLINK("https://www.facebook.com/634639855377280/posts/774412801399984?comment_id=400093505875002&amp;reply_comment_id=395815169619366","https://www.facebook.com/634639855377280/posts/774412801399984?comment_id=400093505875002&amp;reply_comment_id=395815169619366")</f>
        <v>https://www.facebook.com/634639855377280/posts/774412801399984?comment_id=400093505875002&amp;reply_comment_id=395815169619366</v>
      </c>
      <c r="K3509" t="s">
        <v>67</v>
      </c>
      <c r="O3509">
        <v>0</v>
      </c>
      <c r="P3509">
        <v>0</v>
      </c>
      <c r="Q3509">
        <v>0</v>
      </c>
      <c r="S3509">
        <v>0</v>
      </c>
      <c r="T3509">
        <v>0</v>
      </c>
      <c r="U3509">
        <v>0</v>
      </c>
      <c r="W3509" t="s">
        <v>52</v>
      </c>
    </row>
    <row r="3510" spans="1:23" x14ac:dyDescent="0.35">
      <c r="A3510" t="s">
        <v>45</v>
      </c>
      <c r="B3510" t="s">
        <v>6974</v>
      </c>
      <c r="C3510" t="s">
        <v>60</v>
      </c>
      <c r="D3510" t="s">
        <v>64</v>
      </c>
      <c r="E3510" t="s">
        <v>64</v>
      </c>
      <c r="F3510" t="s">
        <v>49</v>
      </c>
      <c r="G3510" t="s">
        <v>3773</v>
      </c>
      <c r="H3510" t="s">
        <v>7082</v>
      </c>
      <c r="J3510" t="str">
        <f>HYPERLINK("https://www.facebook.com/634639855377280/posts/774412801399984?comment_id=288657310873952&amp;reply_comment_id=356591150459861","https://www.facebook.com/634639855377280/posts/774412801399984?comment_id=288657310873952&amp;reply_comment_id=356591150459861")</f>
        <v>https://www.facebook.com/634639855377280/posts/774412801399984?comment_id=288657310873952&amp;reply_comment_id=356591150459861</v>
      </c>
      <c r="K3510" t="s">
        <v>67</v>
      </c>
      <c r="O3510">
        <v>0</v>
      </c>
      <c r="P3510">
        <v>0</v>
      </c>
      <c r="Q3510">
        <v>0</v>
      </c>
      <c r="S3510">
        <v>0</v>
      </c>
      <c r="T3510">
        <v>0</v>
      </c>
      <c r="U3510">
        <v>0</v>
      </c>
      <c r="W3510" t="s">
        <v>52</v>
      </c>
    </row>
    <row r="3511" spans="1:23" x14ac:dyDescent="0.35">
      <c r="A3511" t="s">
        <v>45</v>
      </c>
      <c r="B3511" t="s">
        <v>6974</v>
      </c>
      <c r="C3511" t="s">
        <v>60</v>
      </c>
      <c r="D3511" t="s">
        <v>64</v>
      </c>
      <c r="E3511" t="s">
        <v>64</v>
      </c>
      <c r="F3511" t="s">
        <v>49</v>
      </c>
      <c r="G3511" t="s">
        <v>83</v>
      </c>
      <c r="H3511" t="s">
        <v>7083</v>
      </c>
      <c r="J3511" t="str">
        <f>HYPERLINK("https://www.facebook.com/634639855377280/posts/771990234975574?comment_id=235989189547450&amp;reply_comment_id=441043511590540","https://www.facebook.com/634639855377280/posts/771990234975574?comment_id=235989189547450&amp;reply_comment_id=441043511590540")</f>
        <v>https://www.facebook.com/634639855377280/posts/771990234975574?comment_id=235989189547450&amp;reply_comment_id=441043511590540</v>
      </c>
      <c r="K3511" t="s">
        <v>67</v>
      </c>
      <c r="O3511">
        <v>0</v>
      </c>
      <c r="P3511">
        <v>0</v>
      </c>
      <c r="Q3511">
        <v>0</v>
      </c>
      <c r="S3511">
        <v>0</v>
      </c>
      <c r="T3511">
        <v>0</v>
      </c>
      <c r="U3511">
        <v>0</v>
      </c>
      <c r="W3511" t="s">
        <v>52</v>
      </c>
    </row>
    <row r="3512" spans="1:23" x14ac:dyDescent="0.35">
      <c r="A3512" t="s">
        <v>45</v>
      </c>
      <c r="B3512" t="s">
        <v>6974</v>
      </c>
      <c r="C3512" t="s">
        <v>47</v>
      </c>
      <c r="D3512" t="s">
        <v>7084</v>
      </c>
      <c r="E3512" t="s">
        <v>7084</v>
      </c>
      <c r="F3512" t="s">
        <v>49</v>
      </c>
      <c r="G3512" t="s">
        <v>7085</v>
      </c>
      <c r="H3512" t="s">
        <v>7086</v>
      </c>
      <c r="J3512" t="str">
        <f>HYPERLINK("https://www.youtube.com/watch?v=L48LASyoHuE&amp;lc=UgyBdByrfhBKBtbX3S54AaABAg.9zkOkkn1Bq19zkbWGG0Ain","https://www.youtube.com/watch?v=L48LASyoHuE&amp;lc=UgyBdByrfhBKBtbX3S54AaABAg.9zkOkkn1Bq19zkbWGG0Ain")</f>
        <v>https://www.youtube.com/watch?v=L48LASyoHuE&amp;lc=UgyBdByrfhBKBtbX3S54AaABAg.9zkOkkn1Bq19zkbWGG0Ain</v>
      </c>
      <c r="O3512">
        <v>0</v>
      </c>
      <c r="P3512">
        <v>0</v>
      </c>
      <c r="Q3512">
        <v>0</v>
      </c>
      <c r="S3512">
        <v>0</v>
      </c>
      <c r="T3512">
        <v>0</v>
      </c>
      <c r="U3512">
        <v>0</v>
      </c>
      <c r="W3512" t="s">
        <v>52</v>
      </c>
    </row>
    <row r="3513" spans="1:23" x14ac:dyDescent="0.35">
      <c r="A3513" t="s">
        <v>45</v>
      </c>
      <c r="B3513" t="s">
        <v>6974</v>
      </c>
      <c r="C3513" t="s">
        <v>60</v>
      </c>
      <c r="D3513" t="s">
        <v>61</v>
      </c>
      <c r="E3513" t="s">
        <v>61</v>
      </c>
      <c r="F3513" t="s">
        <v>54</v>
      </c>
      <c r="G3513" t="s">
        <v>7087</v>
      </c>
      <c r="H3513" t="s">
        <v>7088</v>
      </c>
      <c r="J3513" t="str">
        <f>HYPERLINK("https://www.facebook.com/634639855377280/posts/774483894726208?comment_id=712251504308599","https://www.facebook.com/634639855377280/posts/774483894726208?comment_id=712251504308599")</f>
        <v>https://www.facebook.com/634639855377280/posts/774483894726208?comment_id=712251504308599</v>
      </c>
      <c r="O3513">
        <v>0</v>
      </c>
      <c r="P3513">
        <v>0</v>
      </c>
      <c r="Q3513">
        <v>0</v>
      </c>
      <c r="S3513">
        <v>0</v>
      </c>
      <c r="T3513">
        <v>0</v>
      </c>
      <c r="U3513">
        <v>0</v>
      </c>
      <c r="W3513" t="s">
        <v>52</v>
      </c>
    </row>
    <row r="3514" spans="1:23" x14ac:dyDescent="0.35">
      <c r="A3514" t="s">
        <v>45</v>
      </c>
      <c r="B3514" t="s">
        <v>6974</v>
      </c>
      <c r="C3514" t="s">
        <v>60</v>
      </c>
      <c r="D3514" t="s">
        <v>64</v>
      </c>
      <c r="E3514" t="s">
        <v>64</v>
      </c>
      <c r="F3514" t="s">
        <v>49</v>
      </c>
      <c r="G3514" t="s">
        <v>7089</v>
      </c>
      <c r="H3514" t="s">
        <v>7090</v>
      </c>
      <c r="J3514" t="str">
        <f>HYPERLINK("https://www.facebook.com/634639855377280/posts/774412801399984?comment_id=766797288650669&amp;reply_comment_id=900333168419687","https://www.facebook.com/634639855377280/posts/774412801399984?comment_id=766797288650669&amp;reply_comment_id=900333168419687")</f>
        <v>https://www.facebook.com/634639855377280/posts/774412801399984?comment_id=766797288650669&amp;reply_comment_id=900333168419687</v>
      </c>
      <c r="K3514" t="s">
        <v>67</v>
      </c>
      <c r="O3514">
        <v>0</v>
      </c>
      <c r="P3514">
        <v>0</v>
      </c>
      <c r="Q3514">
        <v>0</v>
      </c>
      <c r="S3514">
        <v>0</v>
      </c>
      <c r="T3514">
        <v>0</v>
      </c>
      <c r="U3514">
        <v>0</v>
      </c>
      <c r="W3514" t="s">
        <v>52</v>
      </c>
    </row>
    <row r="3515" spans="1:23" x14ac:dyDescent="0.35">
      <c r="A3515" t="s">
        <v>45</v>
      </c>
      <c r="B3515" t="s">
        <v>6974</v>
      </c>
      <c r="C3515" t="s">
        <v>60</v>
      </c>
      <c r="D3515" t="s">
        <v>64</v>
      </c>
      <c r="E3515" t="s">
        <v>64</v>
      </c>
      <c r="F3515" t="s">
        <v>49</v>
      </c>
      <c r="G3515" t="s">
        <v>3773</v>
      </c>
      <c r="H3515" t="s">
        <v>7091</v>
      </c>
      <c r="J3515" t="str">
        <f>HYPERLINK("https://www.facebook.com/634639855377280/posts/774412801399984?comment_id=647655277408628&amp;reply_comment_id=341336488809013","https://www.facebook.com/634639855377280/posts/774412801399984?comment_id=647655277408628&amp;reply_comment_id=341336488809013")</f>
        <v>https://www.facebook.com/634639855377280/posts/774412801399984?comment_id=647655277408628&amp;reply_comment_id=341336488809013</v>
      </c>
      <c r="K3515" t="s">
        <v>67</v>
      </c>
      <c r="O3515">
        <v>0</v>
      </c>
      <c r="P3515">
        <v>0</v>
      </c>
      <c r="Q3515">
        <v>0</v>
      </c>
      <c r="S3515">
        <v>0</v>
      </c>
      <c r="T3515">
        <v>0</v>
      </c>
      <c r="U3515">
        <v>0</v>
      </c>
      <c r="W3515" t="s">
        <v>52</v>
      </c>
    </row>
    <row r="3516" spans="1:23" x14ac:dyDescent="0.35">
      <c r="A3516" t="s">
        <v>45</v>
      </c>
      <c r="B3516" t="s">
        <v>6974</v>
      </c>
      <c r="C3516" t="s">
        <v>60</v>
      </c>
      <c r="D3516" t="s">
        <v>64</v>
      </c>
      <c r="E3516" t="s">
        <v>64</v>
      </c>
      <c r="F3516" t="s">
        <v>49</v>
      </c>
      <c r="G3516" t="s">
        <v>83</v>
      </c>
      <c r="H3516" t="s">
        <v>7092</v>
      </c>
      <c r="J3516" t="str">
        <f>HYPERLINK("https://www.facebook.com/634639855377280/posts/771990234975574?comment_id=387937193899868&amp;reply_comment_id=710495477853259","https://www.facebook.com/634639855377280/posts/771990234975574?comment_id=387937193899868&amp;reply_comment_id=710495477853259")</f>
        <v>https://www.facebook.com/634639855377280/posts/771990234975574?comment_id=387937193899868&amp;reply_comment_id=710495477853259</v>
      </c>
      <c r="K3516" t="s">
        <v>67</v>
      </c>
      <c r="O3516">
        <v>0</v>
      </c>
      <c r="P3516">
        <v>0</v>
      </c>
      <c r="Q3516">
        <v>0</v>
      </c>
      <c r="S3516">
        <v>0</v>
      </c>
      <c r="T3516">
        <v>0</v>
      </c>
      <c r="U3516">
        <v>0</v>
      </c>
      <c r="W3516" t="s">
        <v>52</v>
      </c>
    </row>
    <row r="3517" spans="1:23" x14ac:dyDescent="0.35">
      <c r="A3517" t="s">
        <v>45</v>
      </c>
      <c r="B3517" t="s">
        <v>6974</v>
      </c>
      <c r="C3517" t="s">
        <v>60</v>
      </c>
      <c r="D3517" t="s">
        <v>64</v>
      </c>
      <c r="E3517" t="s">
        <v>64</v>
      </c>
      <c r="F3517" t="s">
        <v>49</v>
      </c>
      <c r="G3517" t="s">
        <v>492</v>
      </c>
      <c r="H3517" t="s">
        <v>7093</v>
      </c>
      <c r="J3517" t="str">
        <f>HYPERLINK("https://www.facebook.com/634639855377280/posts/773764291464835?comment_id=2603993789765609&amp;reply_comment_id=339460968985814","https://www.facebook.com/634639855377280/posts/773764291464835?comment_id=2603993789765609&amp;reply_comment_id=339460968985814")</f>
        <v>https://www.facebook.com/634639855377280/posts/773764291464835?comment_id=2603993789765609&amp;reply_comment_id=339460968985814</v>
      </c>
      <c r="K3517" t="s">
        <v>67</v>
      </c>
      <c r="O3517">
        <v>0</v>
      </c>
      <c r="P3517">
        <v>0</v>
      </c>
      <c r="Q3517">
        <v>0</v>
      </c>
      <c r="S3517">
        <v>0</v>
      </c>
      <c r="T3517">
        <v>0</v>
      </c>
      <c r="U3517">
        <v>0</v>
      </c>
      <c r="W3517" t="s">
        <v>52</v>
      </c>
    </row>
    <row r="3518" spans="1:23" x14ac:dyDescent="0.35">
      <c r="A3518" t="s">
        <v>45</v>
      </c>
      <c r="B3518" t="s">
        <v>6974</v>
      </c>
      <c r="C3518" t="s">
        <v>60</v>
      </c>
      <c r="D3518" t="s">
        <v>64</v>
      </c>
      <c r="E3518" t="s">
        <v>64</v>
      </c>
      <c r="F3518" t="s">
        <v>49</v>
      </c>
      <c r="G3518" t="s">
        <v>100</v>
      </c>
      <c r="H3518" t="s">
        <v>7094</v>
      </c>
      <c r="J3518" t="str">
        <f>HYPERLINK("https://www.facebook.com/634639855377280/posts/773764291464835?comment_id=319542361082742&amp;reply_comment_id=1044357733535744","https://www.facebook.com/634639855377280/posts/773764291464835?comment_id=319542361082742&amp;reply_comment_id=1044357733535744")</f>
        <v>https://www.facebook.com/634639855377280/posts/773764291464835?comment_id=319542361082742&amp;reply_comment_id=1044357733535744</v>
      </c>
      <c r="K3518" t="s">
        <v>67</v>
      </c>
      <c r="O3518">
        <v>0</v>
      </c>
      <c r="P3518">
        <v>0</v>
      </c>
      <c r="Q3518">
        <v>0</v>
      </c>
      <c r="S3518">
        <v>0</v>
      </c>
      <c r="T3518">
        <v>0</v>
      </c>
      <c r="U3518">
        <v>0</v>
      </c>
      <c r="W3518" t="s">
        <v>52</v>
      </c>
    </row>
    <row r="3519" spans="1:23" x14ac:dyDescent="0.35">
      <c r="A3519" t="s">
        <v>45</v>
      </c>
      <c r="B3519" t="s">
        <v>6974</v>
      </c>
      <c r="C3519" t="s">
        <v>60</v>
      </c>
      <c r="D3519" t="s">
        <v>64</v>
      </c>
      <c r="E3519" t="s">
        <v>64</v>
      </c>
      <c r="F3519" t="s">
        <v>49</v>
      </c>
      <c r="G3519" t="s">
        <v>454</v>
      </c>
      <c r="H3519" t="s">
        <v>7095</v>
      </c>
      <c r="J3519" t="str">
        <f>HYPERLINK("https://www.facebook.com/634639855377280/posts/774412801399984?comment_id=366536942789512&amp;reply_comment_id=1414675985801624","https://www.facebook.com/634639855377280/posts/774412801399984?comment_id=366536942789512&amp;reply_comment_id=1414675985801624")</f>
        <v>https://www.facebook.com/634639855377280/posts/774412801399984?comment_id=366536942789512&amp;reply_comment_id=1414675985801624</v>
      </c>
      <c r="K3519" t="s">
        <v>67</v>
      </c>
      <c r="O3519">
        <v>0</v>
      </c>
      <c r="P3519">
        <v>0</v>
      </c>
      <c r="Q3519">
        <v>0</v>
      </c>
      <c r="S3519">
        <v>0</v>
      </c>
      <c r="T3519">
        <v>0</v>
      </c>
      <c r="U3519">
        <v>0</v>
      </c>
      <c r="W3519" t="s">
        <v>52</v>
      </c>
    </row>
    <row r="3520" spans="1:23" x14ac:dyDescent="0.35">
      <c r="A3520" t="s">
        <v>45</v>
      </c>
      <c r="B3520" t="s">
        <v>6974</v>
      </c>
      <c r="C3520" t="s">
        <v>60</v>
      </c>
      <c r="D3520" t="s">
        <v>64</v>
      </c>
      <c r="E3520" t="s">
        <v>64</v>
      </c>
      <c r="F3520" t="s">
        <v>49</v>
      </c>
      <c r="G3520" t="s">
        <v>100</v>
      </c>
      <c r="H3520" t="s">
        <v>7096</v>
      </c>
      <c r="J3520" t="str">
        <f>HYPERLINK("https://www.facebook.com/634639855377280/posts/774483894726208?comment_id=807367254737028&amp;reply_comment_id=764251775602901","https://www.facebook.com/634639855377280/posts/774483894726208?comment_id=807367254737028&amp;reply_comment_id=764251775602901")</f>
        <v>https://www.facebook.com/634639855377280/posts/774483894726208?comment_id=807367254737028&amp;reply_comment_id=764251775602901</v>
      </c>
      <c r="K3520" t="s">
        <v>67</v>
      </c>
      <c r="O3520">
        <v>0</v>
      </c>
      <c r="P3520">
        <v>0</v>
      </c>
      <c r="Q3520">
        <v>0</v>
      </c>
      <c r="S3520">
        <v>0</v>
      </c>
      <c r="T3520">
        <v>0</v>
      </c>
      <c r="U3520">
        <v>0</v>
      </c>
      <c r="W3520" t="s">
        <v>52</v>
      </c>
    </row>
    <row r="3521" spans="1:23" x14ac:dyDescent="0.35">
      <c r="A3521" t="s">
        <v>45</v>
      </c>
      <c r="B3521" t="s">
        <v>6974</v>
      </c>
      <c r="C3521" t="s">
        <v>60</v>
      </c>
      <c r="D3521" t="s">
        <v>64</v>
      </c>
      <c r="E3521" t="s">
        <v>64</v>
      </c>
      <c r="F3521" t="s">
        <v>49</v>
      </c>
      <c r="G3521" t="s">
        <v>280</v>
      </c>
      <c r="H3521" t="s">
        <v>7097</v>
      </c>
      <c r="J3521" t="str">
        <f>HYPERLINK("https://www.facebook.com/634639855377280/posts/774881771353087?comment_id=1303614053781561&amp;reply_comment_id=424639369888965","https://www.facebook.com/634639855377280/posts/774881771353087?comment_id=1303614053781561&amp;reply_comment_id=424639369888965")</f>
        <v>https://www.facebook.com/634639855377280/posts/774881771353087?comment_id=1303614053781561&amp;reply_comment_id=424639369888965</v>
      </c>
      <c r="K3521" t="s">
        <v>67</v>
      </c>
      <c r="O3521">
        <v>0</v>
      </c>
      <c r="P3521">
        <v>0</v>
      </c>
      <c r="Q3521">
        <v>0</v>
      </c>
      <c r="S3521">
        <v>0</v>
      </c>
      <c r="T3521">
        <v>0</v>
      </c>
      <c r="U3521">
        <v>0</v>
      </c>
      <c r="W3521" t="s">
        <v>52</v>
      </c>
    </row>
    <row r="3522" spans="1:23" x14ac:dyDescent="0.35">
      <c r="A3522" t="s">
        <v>45</v>
      </c>
      <c r="B3522" t="s">
        <v>6974</v>
      </c>
      <c r="C3522" t="s">
        <v>60</v>
      </c>
      <c r="D3522" t="s">
        <v>61</v>
      </c>
      <c r="E3522" t="s">
        <v>61</v>
      </c>
      <c r="F3522" t="s">
        <v>49</v>
      </c>
      <c r="G3522" t="s">
        <v>7098</v>
      </c>
      <c r="H3522" t="s">
        <v>7099</v>
      </c>
      <c r="J3522" t="str">
        <f>HYPERLINK("https://www.facebook.com/634639855377280/posts/774881771353087?comment_id=1303614053781561&amp;reply_comment_id=3616973981914892","https://www.facebook.com/634639855377280/posts/774881771353087?comment_id=1303614053781561&amp;reply_comment_id=3616973981914892")</f>
        <v>https://www.facebook.com/634639855377280/posts/774881771353087?comment_id=1303614053781561&amp;reply_comment_id=3616973981914892</v>
      </c>
      <c r="O3522">
        <v>0</v>
      </c>
      <c r="P3522">
        <v>0</v>
      </c>
      <c r="Q3522">
        <v>0</v>
      </c>
      <c r="S3522">
        <v>0</v>
      </c>
      <c r="T3522">
        <v>0</v>
      </c>
      <c r="U3522">
        <v>0</v>
      </c>
      <c r="W3522" t="s">
        <v>52</v>
      </c>
    </row>
    <row r="3523" spans="1:23" x14ac:dyDescent="0.35">
      <c r="A3523" t="s">
        <v>45</v>
      </c>
      <c r="B3523" t="s">
        <v>6974</v>
      </c>
      <c r="C3523" t="s">
        <v>60</v>
      </c>
      <c r="D3523" t="s">
        <v>64</v>
      </c>
      <c r="E3523" t="s">
        <v>64</v>
      </c>
      <c r="F3523" t="s">
        <v>49</v>
      </c>
      <c r="G3523" t="s">
        <v>6836</v>
      </c>
      <c r="H3523" t="s">
        <v>7100</v>
      </c>
      <c r="J3523" t="str">
        <f>HYPERLINK("https://www.facebook.com/634639855377280/posts/774483894726208?comment_id=1071545890723327&amp;reply_comment_id=1345651666146200","https://www.facebook.com/634639855377280/posts/774483894726208?comment_id=1071545890723327&amp;reply_comment_id=1345651666146200")</f>
        <v>https://www.facebook.com/634639855377280/posts/774483894726208?comment_id=1071545890723327&amp;reply_comment_id=1345651666146200</v>
      </c>
      <c r="K3523" t="s">
        <v>67</v>
      </c>
      <c r="O3523">
        <v>0</v>
      </c>
      <c r="P3523">
        <v>0</v>
      </c>
      <c r="Q3523">
        <v>0</v>
      </c>
      <c r="S3523">
        <v>0</v>
      </c>
      <c r="T3523">
        <v>0</v>
      </c>
      <c r="U3523">
        <v>0</v>
      </c>
      <c r="W3523" t="s">
        <v>52</v>
      </c>
    </row>
    <row r="3524" spans="1:23" x14ac:dyDescent="0.35">
      <c r="A3524" t="s">
        <v>45</v>
      </c>
      <c r="B3524" t="s">
        <v>6974</v>
      </c>
      <c r="C3524" t="s">
        <v>60</v>
      </c>
      <c r="D3524" t="s">
        <v>61</v>
      </c>
      <c r="E3524" t="s">
        <v>61</v>
      </c>
      <c r="F3524" t="s">
        <v>193</v>
      </c>
      <c r="G3524" t="s">
        <v>7101</v>
      </c>
      <c r="H3524" t="s">
        <v>7102</v>
      </c>
      <c r="J3524" t="str">
        <f>HYPERLINK("https://www.facebook.com/634639855377280/posts/774483894726208?comment_id=807367254737028&amp;reply_comment_id=300601616327380","https://www.facebook.com/634639855377280/posts/774483894726208?comment_id=807367254737028&amp;reply_comment_id=300601616327380")</f>
        <v>https://www.facebook.com/634639855377280/posts/774483894726208?comment_id=807367254737028&amp;reply_comment_id=300601616327380</v>
      </c>
      <c r="O3524">
        <v>0</v>
      </c>
      <c r="P3524">
        <v>0</v>
      </c>
      <c r="Q3524">
        <v>0</v>
      </c>
      <c r="S3524">
        <v>0</v>
      </c>
      <c r="T3524">
        <v>0</v>
      </c>
      <c r="U3524">
        <v>0</v>
      </c>
      <c r="W3524" t="s">
        <v>52</v>
      </c>
    </row>
    <row r="3525" spans="1:23" x14ac:dyDescent="0.35">
      <c r="A3525" t="s">
        <v>45</v>
      </c>
      <c r="B3525" t="s">
        <v>6974</v>
      </c>
      <c r="C3525" t="s">
        <v>60</v>
      </c>
      <c r="D3525" t="s">
        <v>64</v>
      </c>
      <c r="E3525" t="s">
        <v>64</v>
      </c>
      <c r="F3525" t="s">
        <v>49</v>
      </c>
      <c r="G3525" t="s">
        <v>7103</v>
      </c>
      <c r="H3525" t="s">
        <v>7104</v>
      </c>
      <c r="J3525" t="str">
        <f>HYPERLINK("https://www.facebook.com/634639855377280/posts/774881771353087?comment_id=1303614053781561&amp;reply_comment_id=2082977585396286","https://www.facebook.com/634639855377280/posts/774881771353087?comment_id=1303614053781561&amp;reply_comment_id=2082977585396286")</f>
        <v>https://www.facebook.com/634639855377280/posts/774881771353087?comment_id=1303614053781561&amp;reply_comment_id=2082977585396286</v>
      </c>
      <c r="K3525" t="s">
        <v>67</v>
      </c>
      <c r="O3525">
        <v>0</v>
      </c>
      <c r="P3525">
        <v>0</v>
      </c>
      <c r="Q3525">
        <v>0</v>
      </c>
      <c r="S3525">
        <v>0</v>
      </c>
      <c r="T3525">
        <v>0</v>
      </c>
      <c r="U3525">
        <v>0</v>
      </c>
      <c r="W3525" t="s">
        <v>52</v>
      </c>
    </row>
    <row r="3526" spans="1:23" x14ac:dyDescent="0.35">
      <c r="A3526" t="s">
        <v>45</v>
      </c>
      <c r="B3526" t="s">
        <v>6974</v>
      </c>
      <c r="C3526" t="s">
        <v>93</v>
      </c>
      <c r="D3526" t="s">
        <v>94</v>
      </c>
      <c r="E3526" t="s">
        <v>45</v>
      </c>
      <c r="F3526" t="s">
        <v>49</v>
      </c>
      <c r="G3526" t="s">
        <v>7105</v>
      </c>
      <c r="H3526" t="s">
        <v>7106</v>
      </c>
      <c r="J3526" t="str">
        <f>HYPERLINK("https://twitter.com/SpiceMoneyIndia/status/1748326924672225744","https://twitter.com/SpiceMoneyIndia/status/1748326924672225744")</f>
        <v>https://twitter.com/SpiceMoneyIndia/status/1748326924672225744</v>
      </c>
      <c r="K3526" t="s">
        <v>67</v>
      </c>
      <c r="O3526">
        <v>0</v>
      </c>
      <c r="P3526">
        <v>0</v>
      </c>
      <c r="Q3526">
        <v>6001</v>
      </c>
      <c r="R3526" t="s">
        <v>97</v>
      </c>
      <c r="S3526">
        <v>0</v>
      </c>
      <c r="T3526">
        <v>0</v>
      </c>
      <c r="U3526">
        <v>0</v>
      </c>
      <c r="V3526" t="s">
        <v>98</v>
      </c>
      <c r="W3526" t="s">
        <v>99</v>
      </c>
    </row>
    <row r="3527" spans="1:23" x14ac:dyDescent="0.35">
      <c r="A3527" t="s">
        <v>45</v>
      </c>
      <c r="B3527" t="s">
        <v>6974</v>
      </c>
      <c r="C3527" t="s">
        <v>60</v>
      </c>
      <c r="D3527" t="s">
        <v>64</v>
      </c>
      <c r="E3527" t="s">
        <v>64</v>
      </c>
      <c r="F3527" t="s">
        <v>49</v>
      </c>
      <c r="G3527" t="s">
        <v>270</v>
      </c>
      <c r="H3527" t="s">
        <v>7107</v>
      </c>
      <c r="J3527" t="str">
        <f>HYPERLINK("https://www.facebook.com/634639855377280/posts/774483894726208?comment_id=807367254737028&amp;reply_comment_id=1545612966234459","https://www.facebook.com/634639855377280/posts/774483894726208?comment_id=807367254737028&amp;reply_comment_id=1545612966234459")</f>
        <v>https://www.facebook.com/634639855377280/posts/774483894726208?comment_id=807367254737028&amp;reply_comment_id=1545612966234459</v>
      </c>
      <c r="K3527" t="s">
        <v>67</v>
      </c>
      <c r="O3527">
        <v>0</v>
      </c>
      <c r="P3527">
        <v>0</v>
      </c>
      <c r="Q3527">
        <v>0</v>
      </c>
      <c r="S3527">
        <v>0</v>
      </c>
      <c r="T3527">
        <v>0</v>
      </c>
      <c r="U3527">
        <v>0</v>
      </c>
      <c r="W3527" t="s">
        <v>52</v>
      </c>
    </row>
    <row r="3528" spans="1:23" x14ac:dyDescent="0.35">
      <c r="A3528" t="s">
        <v>45</v>
      </c>
      <c r="B3528" t="s">
        <v>6974</v>
      </c>
      <c r="C3528" t="s">
        <v>47</v>
      </c>
      <c r="D3528" t="s">
        <v>68</v>
      </c>
      <c r="E3528" t="s">
        <v>68</v>
      </c>
      <c r="F3528" t="s">
        <v>49</v>
      </c>
      <c r="G3528" t="s">
        <v>7089</v>
      </c>
      <c r="H3528" t="s">
        <v>7108</v>
      </c>
      <c r="J3528" t="str">
        <f>HYPERLINK("https://www.youtube.com/watch?v=gIyuJbshDBM&amp;lc=UgwT0mvrWLeeIv0Ypq14AaABAg.9zj4dDzb-n_9zk_3VenPJm","https://www.youtube.com/watch?v=gIyuJbshDBM&amp;lc=UgwT0mvrWLeeIv0Ypq14AaABAg.9zj4dDzb-n_9zk_3VenPJm")</f>
        <v>https://www.youtube.com/watch?v=gIyuJbshDBM&amp;lc=UgwT0mvrWLeeIv0Ypq14AaABAg.9zj4dDzb-n_9zk_3VenPJm</v>
      </c>
      <c r="O3528">
        <v>0</v>
      </c>
      <c r="P3528">
        <v>0</v>
      </c>
      <c r="Q3528">
        <v>0</v>
      </c>
      <c r="S3528">
        <v>0</v>
      </c>
      <c r="T3528">
        <v>0</v>
      </c>
      <c r="U3528">
        <v>0</v>
      </c>
      <c r="W3528" t="s">
        <v>52</v>
      </c>
    </row>
    <row r="3529" spans="1:23" x14ac:dyDescent="0.35">
      <c r="A3529" t="s">
        <v>45</v>
      </c>
      <c r="B3529" t="s">
        <v>6974</v>
      </c>
      <c r="C3529" t="s">
        <v>47</v>
      </c>
      <c r="D3529" t="s">
        <v>68</v>
      </c>
      <c r="E3529" t="s">
        <v>68</v>
      </c>
      <c r="F3529" t="s">
        <v>49</v>
      </c>
      <c r="G3529" t="s">
        <v>102</v>
      </c>
      <c r="H3529" t="s">
        <v>7109</v>
      </c>
      <c r="J3529" t="str">
        <f>HYPERLINK("https://www.youtube.com/watch?v=L48LASyoHuE&amp;lc=UgzmJWmzFlkd5pArh-t4AaABAg.9zjcK1YFJSW9zkZgh-lYWA","https://www.youtube.com/watch?v=L48LASyoHuE&amp;lc=UgzmJWmzFlkd5pArh-t4AaABAg.9zjcK1YFJSW9zkZgh-lYWA")</f>
        <v>https://www.youtube.com/watch?v=L48LASyoHuE&amp;lc=UgzmJWmzFlkd5pArh-t4AaABAg.9zjcK1YFJSW9zkZgh-lYWA</v>
      </c>
      <c r="O3529">
        <v>0</v>
      </c>
      <c r="P3529">
        <v>0</v>
      </c>
      <c r="Q3529">
        <v>0</v>
      </c>
      <c r="S3529">
        <v>0</v>
      </c>
      <c r="T3529">
        <v>0</v>
      </c>
      <c r="U3529">
        <v>0</v>
      </c>
      <c r="W3529" t="s">
        <v>52</v>
      </c>
    </row>
    <row r="3530" spans="1:23" x14ac:dyDescent="0.35">
      <c r="A3530" t="s">
        <v>45</v>
      </c>
      <c r="B3530" t="s">
        <v>6974</v>
      </c>
      <c r="C3530" t="s">
        <v>60</v>
      </c>
      <c r="D3530" t="s">
        <v>61</v>
      </c>
      <c r="E3530" t="s">
        <v>61</v>
      </c>
      <c r="F3530" t="s">
        <v>49</v>
      </c>
      <c r="G3530" t="s">
        <v>7110</v>
      </c>
      <c r="H3530" t="s">
        <v>7111</v>
      </c>
      <c r="J3530" t="str">
        <f>HYPERLINK("https://www.facebook.com/634639855377280/posts/774950251346239?comment_id=1495004641072389","https://www.facebook.com/634639855377280/posts/774950251346239?comment_id=1495004641072389")</f>
        <v>https://www.facebook.com/634639855377280/posts/774950251346239?comment_id=1495004641072389</v>
      </c>
      <c r="O3530">
        <v>0</v>
      </c>
      <c r="P3530">
        <v>0</v>
      </c>
      <c r="Q3530">
        <v>0</v>
      </c>
      <c r="S3530">
        <v>0</v>
      </c>
      <c r="T3530">
        <v>0</v>
      </c>
      <c r="U3530">
        <v>0</v>
      </c>
      <c r="W3530" t="s">
        <v>52</v>
      </c>
    </row>
    <row r="3531" spans="1:23" x14ac:dyDescent="0.35">
      <c r="A3531" t="s">
        <v>45</v>
      </c>
      <c r="B3531" t="s">
        <v>6974</v>
      </c>
      <c r="C3531" t="s">
        <v>47</v>
      </c>
      <c r="D3531" t="s">
        <v>68</v>
      </c>
      <c r="E3531" t="s">
        <v>68</v>
      </c>
      <c r="F3531" t="s">
        <v>49</v>
      </c>
      <c r="G3531" t="s">
        <v>102</v>
      </c>
      <c r="H3531" t="s">
        <v>7112</v>
      </c>
      <c r="J3531" t="str">
        <f>HYPERLINK("https://www.youtube.com/watch?v=z58WzdIZIO8&amp;lc=UgyThCAlxkueskqkKxd4AaABAg.9zjc8Wgq_cY9zkZcrOr-2g","https://www.youtube.com/watch?v=z58WzdIZIO8&amp;lc=UgyThCAlxkueskqkKxd4AaABAg.9zjc8Wgq_cY9zkZcrOr-2g")</f>
        <v>https://www.youtube.com/watch?v=z58WzdIZIO8&amp;lc=UgyThCAlxkueskqkKxd4AaABAg.9zjc8Wgq_cY9zkZcrOr-2g</v>
      </c>
      <c r="O3531">
        <v>0</v>
      </c>
      <c r="P3531">
        <v>0</v>
      </c>
      <c r="Q3531">
        <v>0</v>
      </c>
      <c r="S3531">
        <v>0</v>
      </c>
      <c r="T3531">
        <v>0</v>
      </c>
      <c r="U3531">
        <v>0</v>
      </c>
      <c r="W3531" t="s">
        <v>52</v>
      </c>
    </row>
    <row r="3532" spans="1:23" x14ac:dyDescent="0.35">
      <c r="A3532" t="s">
        <v>45</v>
      </c>
      <c r="B3532" t="s">
        <v>6974</v>
      </c>
      <c r="C3532" t="s">
        <v>47</v>
      </c>
      <c r="D3532" t="s">
        <v>68</v>
      </c>
      <c r="E3532" t="s">
        <v>68</v>
      </c>
      <c r="F3532" t="s">
        <v>49</v>
      </c>
      <c r="G3532" t="s">
        <v>162</v>
      </c>
      <c r="H3532" t="s">
        <v>7113</v>
      </c>
      <c r="J3532" t="str">
        <f>HYPERLINK("https://www.youtube.com/watch?v=L48LASyoHuE&amp;lc=Ugy-GOPC6TUrgX2OAE14AaABAg.9zjarBlwAUP9zkZ_IYAICq","https://www.youtube.com/watch?v=L48LASyoHuE&amp;lc=Ugy-GOPC6TUrgX2OAE14AaABAg.9zjarBlwAUP9zkZ_IYAICq")</f>
        <v>https://www.youtube.com/watch?v=L48LASyoHuE&amp;lc=Ugy-GOPC6TUrgX2OAE14AaABAg.9zjarBlwAUP9zkZ_IYAICq</v>
      </c>
      <c r="O3532">
        <v>0</v>
      </c>
      <c r="P3532">
        <v>0</v>
      </c>
      <c r="Q3532">
        <v>0</v>
      </c>
      <c r="S3532">
        <v>0</v>
      </c>
      <c r="T3532">
        <v>0</v>
      </c>
      <c r="U3532">
        <v>0</v>
      </c>
      <c r="W3532" t="s">
        <v>52</v>
      </c>
    </row>
    <row r="3533" spans="1:23" x14ac:dyDescent="0.35">
      <c r="A3533" t="s">
        <v>45</v>
      </c>
      <c r="B3533" t="s">
        <v>6974</v>
      </c>
      <c r="C3533" t="s">
        <v>47</v>
      </c>
      <c r="D3533" t="s">
        <v>68</v>
      </c>
      <c r="E3533" t="s">
        <v>68</v>
      </c>
      <c r="F3533" t="s">
        <v>49</v>
      </c>
      <c r="G3533" t="s">
        <v>102</v>
      </c>
      <c r="H3533" t="s">
        <v>7114</v>
      </c>
      <c r="J3533" t="str">
        <f>HYPERLINK("https://www.youtube.com/watch?v=L48LASyoHuE&amp;lc=UgxplJToHqhXef3X62t4AaABAg.9zjaPUTIKl99zkZVQpWg6F","https://www.youtube.com/watch?v=L48LASyoHuE&amp;lc=UgxplJToHqhXef3X62t4AaABAg.9zjaPUTIKl99zkZVQpWg6F")</f>
        <v>https://www.youtube.com/watch?v=L48LASyoHuE&amp;lc=UgxplJToHqhXef3X62t4AaABAg.9zjaPUTIKl99zkZVQpWg6F</v>
      </c>
      <c r="O3533">
        <v>0</v>
      </c>
      <c r="P3533">
        <v>0</v>
      </c>
      <c r="Q3533">
        <v>0</v>
      </c>
      <c r="S3533">
        <v>0</v>
      </c>
      <c r="T3533">
        <v>0</v>
      </c>
      <c r="U3533">
        <v>0</v>
      </c>
      <c r="W3533" t="s">
        <v>52</v>
      </c>
    </row>
    <row r="3534" spans="1:23" x14ac:dyDescent="0.35">
      <c r="A3534" t="s">
        <v>45</v>
      </c>
      <c r="B3534" t="s">
        <v>6974</v>
      </c>
      <c r="C3534" t="s">
        <v>47</v>
      </c>
      <c r="D3534" t="s">
        <v>68</v>
      </c>
      <c r="E3534" t="s">
        <v>68</v>
      </c>
      <c r="F3534" t="s">
        <v>49</v>
      </c>
      <c r="G3534" t="s">
        <v>102</v>
      </c>
      <c r="H3534" t="s">
        <v>7115</v>
      </c>
      <c r="J3534" t="str">
        <f>HYPERLINK("https://www.youtube.com/watch?v=L48LASyoHuE&amp;lc=Ugwm0tf3kudVr_s6jqB4AaABAg.9zjafYxSHKU9zkZSUonYEQ","https://www.youtube.com/watch?v=L48LASyoHuE&amp;lc=Ugwm0tf3kudVr_s6jqB4AaABAg.9zjafYxSHKU9zkZSUonYEQ")</f>
        <v>https://www.youtube.com/watch?v=L48LASyoHuE&amp;lc=Ugwm0tf3kudVr_s6jqB4AaABAg.9zjafYxSHKU9zkZSUonYEQ</v>
      </c>
      <c r="O3534">
        <v>0</v>
      </c>
      <c r="P3534">
        <v>0</v>
      </c>
      <c r="Q3534">
        <v>0</v>
      </c>
      <c r="S3534">
        <v>0</v>
      </c>
      <c r="T3534">
        <v>0</v>
      </c>
      <c r="U3534">
        <v>0</v>
      </c>
      <c r="W3534" t="s">
        <v>52</v>
      </c>
    </row>
    <row r="3535" spans="1:23" x14ac:dyDescent="0.35">
      <c r="A3535" t="s">
        <v>45</v>
      </c>
      <c r="B3535" t="s">
        <v>6974</v>
      </c>
      <c r="C3535" t="s">
        <v>47</v>
      </c>
      <c r="D3535" t="s">
        <v>68</v>
      </c>
      <c r="E3535" t="s">
        <v>68</v>
      </c>
      <c r="F3535" t="s">
        <v>49</v>
      </c>
      <c r="G3535" t="s">
        <v>69</v>
      </c>
      <c r="H3535" t="s">
        <v>7116</v>
      </c>
      <c r="J3535" t="str">
        <f>HYPERLINK("https://www.youtube.com/watch?v=L48LASyoHuE&amp;lc=UgwjClIU7C1CXU8UJ4N4AaABAg.9zjdJfmObmm9zkZPqujBBr","https://www.youtube.com/watch?v=L48LASyoHuE&amp;lc=UgwjClIU7C1CXU8UJ4N4AaABAg.9zjdJfmObmm9zkZPqujBBr")</f>
        <v>https://www.youtube.com/watch?v=L48LASyoHuE&amp;lc=UgwjClIU7C1CXU8UJ4N4AaABAg.9zjdJfmObmm9zkZPqujBBr</v>
      </c>
      <c r="O3535">
        <v>0</v>
      </c>
      <c r="P3535">
        <v>0</v>
      </c>
      <c r="Q3535">
        <v>0</v>
      </c>
      <c r="S3535">
        <v>0</v>
      </c>
      <c r="T3535">
        <v>0</v>
      </c>
      <c r="U3535">
        <v>0</v>
      </c>
      <c r="W3535" t="s">
        <v>52</v>
      </c>
    </row>
    <row r="3536" spans="1:23" x14ac:dyDescent="0.35">
      <c r="A3536" t="s">
        <v>45</v>
      </c>
      <c r="B3536" t="s">
        <v>6974</v>
      </c>
      <c r="C3536" t="s">
        <v>47</v>
      </c>
      <c r="D3536" t="s">
        <v>68</v>
      </c>
      <c r="E3536" t="s">
        <v>68</v>
      </c>
      <c r="F3536" t="s">
        <v>49</v>
      </c>
      <c r="G3536" t="s">
        <v>102</v>
      </c>
      <c r="H3536" t="s">
        <v>7117</v>
      </c>
      <c r="J3536" t="str">
        <f>HYPERLINK("https://www.youtube.com/watch?v=L48LASyoHuE&amp;lc=UgwFQFHoz-NCnUYl57J4AaABAg.9zjhwQfuBmq9zkZJYxnXfH","https://www.youtube.com/watch?v=L48LASyoHuE&amp;lc=UgwFQFHoz-NCnUYl57J4AaABAg.9zjhwQfuBmq9zkZJYxnXfH")</f>
        <v>https://www.youtube.com/watch?v=L48LASyoHuE&amp;lc=UgwFQFHoz-NCnUYl57J4AaABAg.9zjhwQfuBmq9zkZJYxnXfH</v>
      </c>
      <c r="O3536">
        <v>0</v>
      </c>
      <c r="P3536">
        <v>0</v>
      </c>
      <c r="Q3536">
        <v>0</v>
      </c>
      <c r="S3536">
        <v>0</v>
      </c>
      <c r="T3536">
        <v>0</v>
      </c>
      <c r="U3536">
        <v>0</v>
      </c>
      <c r="W3536" t="s">
        <v>52</v>
      </c>
    </row>
    <row r="3537" spans="1:23" x14ac:dyDescent="0.35">
      <c r="A3537" t="s">
        <v>45</v>
      </c>
      <c r="B3537" t="s">
        <v>6974</v>
      </c>
      <c r="C3537" t="s">
        <v>47</v>
      </c>
      <c r="D3537" t="s">
        <v>68</v>
      </c>
      <c r="E3537" t="s">
        <v>68</v>
      </c>
      <c r="F3537" t="s">
        <v>49</v>
      </c>
      <c r="G3537" t="s">
        <v>69</v>
      </c>
      <c r="H3537" t="s">
        <v>7118</v>
      </c>
      <c r="J3537" t="str">
        <f>HYPERLINK("https://www.youtube.com/watch?v=L48LASyoHuE&amp;lc=UgwTX5WqC4Zh8bYC6DN4AaABAg.9zjniBeW5Wf9zkXLM1okvX","https://www.youtube.com/watch?v=L48LASyoHuE&amp;lc=UgwTX5WqC4Zh8bYC6DN4AaABAg.9zjniBeW5Wf9zkXLM1okvX")</f>
        <v>https://www.youtube.com/watch?v=L48LASyoHuE&amp;lc=UgwTX5WqC4Zh8bYC6DN4AaABAg.9zjniBeW5Wf9zkXLM1okvX</v>
      </c>
      <c r="O3537">
        <v>0</v>
      </c>
      <c r="P3537">
        <v>0</v>
      </c>
      <c r="Q3537">
        <v>0</v>
      </c>
      <c r="S3537">
        <v>0</v>
      </c>
      <c r="T3537">
        <v>0</v>
      </c>
      <c r="U3537">
        <v>0</v>
      </c>
      <c r="W3537" t="s">
        <v>52</v>
      </c>
    </row>
    <row r="3538" spans="1:23" x14ac:dyDescent="0.35">
      <c r="A3538" t="s">
        <v>45</v>
      </c>
      <c r="B3538" t="s">
        <v>6974</v>
      </c>
      <c r="C3538" t="s">
        <v>47</v>
      </c>
      <c r="D3538" t="s">
        <v>68</v>
      </c>
      <c r="E3538" t="s">
        <v>68</v>
      </c>
      <c r="F3538" t="s">
        <v>49</v>
      </c>
      <c r="G3538" t="s">
        <v>293</v>
      </c>
      <c r="H3538" t="s">
        <v>7119</v>
      </c>
      <c r="J3538" t="str">
        <f>HYPERLINK("https://www.youtube.com/watch?v=L48LASyoHuE&amp;lc=UgzUnAeQ2gqs7IT-Okt4AaABAg.9zjsyNZzOxo9zkX3kldtH8","https://www.youtube.com/watch?v=L48LASyoHuE&amp;lc=UgzUnAeQ2gqs7IT-Okt4AaABAg.9zjsyNZzOxo9zkX3kldtH8")</f>
        <v>https://www.youtube.com/watch?v=L48LASyoHuE&amp;lc=UgzUnAeQ2gqs7IT-Okt4AaABAg.9zjsyNZzOxo9zkX3kldtH8</v>
      </c>
      <c r="O3538">
        <v>0</v>
      </c>
      <c r="P3538">
        <v>0</v>
      </c>
      <c r="Q3538">
        <v>0</v>
      </c>
      <c r="S3538">
        <v>0</v>
      </c>
      <c r="T3538">
        <v>0</v>
      </c>
      <c r="U3538">
        <v>0</v>
      </c>
      <c r="W3538" t="s">
        <v>52</v>
      </c>
    </row>
    <row r="3539" spans="1:23" x14ac:dyDescent="0.35">
      <c r="A3539" t="s">
        <v>45</v>
      </c>
      <c r="B3539" t="s">
        <v>6974</v>
      </c>
      <c r="C3539" t="s">
        <v>47</v>
      </c>
      <c r="D3539" t="s">
        <v>68</v>
      </c>
      <c r="E3539" t="s">
        <v>68</v>
      </c>
      <c r="F3539" t="s">
        <v>49</v>
      </c>
      <c r="G3539" t="s">
        <v>270</v>
      </c>
      <c r="H3539" t="s">
        <v>7120</v>
      </c>
      <c r="J3539" t="str">
        <f>HYPERLINK("https://www.youtube.com/watch?v=L48LASyoHuE&amp;lc=UgyBdByrfhBKBtbX3S54AaABAg.9zkOkkn1Bq19zkWt09Trac","https://www.youtube.com/watch?v=L48LASyoHuE&amp;lc=UgyBdByrfhBKBtbX3S54AaABAg.9zkOkkn1Bq19zkWt09Trac")</f>
        <v>https://www.youtube.com/watch?v=L48LASyoHuE&amp;lc=UgyBdByrfhBKBtbX3S54AaABAg.9zkOkkn1Bq19zkWt09Trac</v>
      </c>
      <c r="O3539">
        <v>0</v>
      </c>
      <c r="P3539">
        <v>0</v>
      </c>
      <c r="Q3539">
        <v>0</v>
      </c>
      <c r="S3539">
        <v>0</v>
      </c>
      <c r="T3539">
        <v>0</v>
      </c>
      <c r="U3539">
        <v>0</v>
      </c>
      <c r="W3539" t="s">
        <v>52</v>
      </c>
    </row>
    <row r="3540" spans="1:23" x14ac:dyDescent="0.35">
      <c r="A3540" t="s">
        <v>45</v>
      </c>
      <c r="B3540" t="s">
        <v>6974</v>
      </c>
      <c r="C3540" t="s">
        <v>93</v>
      </c>
      <c r="D3540" t="s">
        <v>94</v>
      </c>
      <c r="E3540" t="s">
        <v>45</v>
      </c>
      <c r="F3540" t="s">
        <v>49</v>
      </c>
      <c r="G3540" t="s">
        <v>7121</v>
      </c>
      <c r="H3540" t="s">
        <v>7122</v>
      </c>
      <c r="J3540" t="str">
        <f>HYPERLINK("https://twitter.com/SpiceMoneyIndia/status/1748318282979975660","https://twitter.com/SpiceMoneyIndia/status/1748318282979975660")</f>
        <v>https://twitter.com/SpiceMoneyIndia/status/1748318282979975660</v>
      </c>
      <c r="K3540" t="s">
        <v>67</v>
      </c>
      <c r="O3540">
        <v>0</v>
      </c>
      <c r="P3540">
        <v>0</v>
      </c>
      <c r="Q3540">
        <v>6001</v>
      </c>
      <c r="R3540" t="s">
        <v>97</v>
      </c>
      <c r="S3540">
        <v>0</v>
      </c>
      <c r="T3540">
        <v>0</v>
      </c>
      <c r="U3540">
        <v>0</v>
      </c>
      <c r="V3540" t="s">
        <v>98</v>
      </c>
      <c r="W3540" t="s">
        <v>99</v>
      </c>
    </row>
    <row r="3541" spans="1:23" x14ac:dyDescent="0.35">
      <c r="A3541" t="s">
        <v>45</v>
      </c>
      <c r="B3541" t="s">
        <v>6974</v>
      </c>
      <c r="C3541" t="s">
        <v>60</v>
      </c>
      <c r="D3541" t="s">
        <v>61</v>
      </c>
      <c r="E3541" t="s">
        <v>61</v>
      </c>
      <c r="F3541" t="s">
        <v>49</v>
      </c>
      <c r="G3541" t="s">
        <v>7123</v>
      </c>
      <c r="H3541" t="s">
        <v>7124</v>
      </c>
      <c r="J3541" t="str">
        <f>HYPERLINK("https://www.facebook.com/634639855377280/posts/774483894726208?comment_id=807367254737028","https://www.facebook.com/634639855377280/posts/774483894726208?comment_id=807367254737028")</f>
        <v>https://www.facebook.com/634639855377280/posts/774483894726208?comment_id=807367254737028</v>
      </c>
      <c r="O3541">
        <v>0</v>
      </c>
      <c r="P3541">
        <v>0</v>
      </c>
      <c r="Q3541">
        <v>0</v>
      </c>
      <c r="S3541">
        <v>0</v>
      </c>
      <c r="T3541">
        <v>0</v>
      </c>
      <c r="U3541">
        <v>0</v>
      </c>
      <c r="W3541" t="s">
        <v>52</v>
      </c>
    </row>
    <row r="3542" spans="1:23" x14ac:dyDescent="0.35">
      <c r="A3542" t="s">
        <v>45</v>
      </c>
      <c r="B3542" t="s">
        <v>6974</v>
      </c>
      <c r="C3542" t="s">
        <v>93</v>
      </c>
      <c r="D3542" t="s">
        <v>5881</v>
      </c>
      <c r="E3542" t="s">
        <v>5882</v>
      </c>
      <c r="F3542" t="s">
        <v>193</v>
      </c>
      <c r="G3542" t="s">
        <v>7125</v>
      </c>
      <c r="H3542" t="s">
        <v>7126</v>
      </c>
      <c r="J3542" t="str">
        <f>HYPERLINK("https://twitter.com/santoshbha73771/status/1748311006953210341","https://twitter.com/santoshbha73771/status/1748311006953210341")</f>
        <v>https://twitter.com/santoshbha73771/status/1748311006953210341</v>
      </c>
      <c r="K3542" t="s">
        <v>67</v>
      </c>
      <c r="O3542">
        <v>0</v>
      </c>
      <c r="P3542">
        <v>0</v>
      </c>
      <c r="Q3542">
        <v>0</v>
      </c>
      <c r="S3542">
        <v>0</v>
      </c>
      <c r="T3542">
        <v>0</v>
      </c>
      <c r="U3542">
        <v>0</v>
      </c>
      <c r="W3542" t="s">
        <v>99</v>
      </c>
    </row>
    <row r="3543" spans="1:23" x14ac:dyDescent="0.35">
      <c r="A3543" t="s">
        <v>45</v>
      </c>
      <c r="B3543" t="s">
        <v>6974</v>
      </c>
      <c r="C3543" t="s">
        <v>47</v>
      </c>
      <c r="D3543" t="s">
        <v>7084</v>
      </c>
      <c r="E3543" t="s">
        <v>7084</v>
      </c>
      <c r="F3543" t="s">
        <v>54</v>
      </c>
      <c r="G3543" t="s">
        <v>7127</v>
      </c>
      <c r="H3543" t="s">
        <v>7128</v>
      </c>
      <c r="J3543" t="str">
        <f>HYPERLINK("https://www.youtube.com/watch?v=L48LASyoHuE&amp;lc=UgyBdByrfhBKBtbX3S54AaABAg","https://www.youtube.com/watch?v=L48LASyoHuE&amp;lc=UgyBdByrfhBKBtbX3S54AaABAg")</f>
        <v>https://www.youtube.com/watch?v=L48LASyoHuE&amp;lc=UgyBdByrfhBKBtbX3S54AaABAg</v>
      </c>
      <c r="O3543">
        <v>0</v>
      </c>
      <c r="P3543">
        <v>0</v>
      </c>
      <c r="Q3543">
        <v>0</v>
      </c>
      <c r="S3543">
        <v>0</v>
      </c>
      <c r="T3543">
        <v>0</v>
      </c>
      <c r="U3543">
        <v>0</v>
      </c>
      <c r="W3543" t="s">
        <v>52</v>
      </c>
    </row>
    <row r="3544" spans="1:23" x14ac:dyDescent="0.35">
      <c r="A3544" t="s">
        <v>45</v>
      </c>
      <c r="B3544" t="s">
        <v>6974</v>
      </c>
      <c r="C3544" t="s">
        <v>60</v>
      </c>
      <c r="D3544" t="s">
        <v>61</v>
      </c>
      <c r="E3544" t="s">
        <v>61</v>
      </c>
      <c r="F3544" t="s">
        <v>49</v>
      </c>
      <c r="G3544" t="s">
        <v>7129</v>
      </c>
      <c r="H3544" t="s">
        <v>7130</v>
      </c>
      <c r="J3544" t="str">
        <f>HYPERLINK("https://www.facebook.com/634639855377280/posts/774881771353087?comment_id=1303614053781561","https://www.facebook.com/634639855377280/posts/774881771353087?comment_id=1303614053781561")</f>
        <v>https://www.facebook.com/634639855377280/posts/774881771353087?comment_id=1303614053781561</v>
      </c>
      <c r="O3544">
        <v>0</v>
      </c>
      <c r="P3544">
        <v>0</v>
      </c>
      <c r="Q3544">
        <v>0</v>
      </c>
      <c r="S3544">
        <v>0</v>
      </c>
      <c r="T3544">
        <v>0</v>
      </c>
      <c r="U3544">
        <v>0</v>
      </c>
      <c r="W3544" t="s">
        <v>52</v>
      </c>
    </row>
    <row r="3545" spans="1:23" x14ac:dyDescent="0.35">
      <c r="A3545" t="s">
        <v>45</v>
      </c>
      <c r="B3545" t="s">
        <v>6974</v>
      </c>
      <c r="C3545" t="s">
        <v>60</v>
      </c>
      <c r="D3545" t="s">
        <v>61</v>
      </c>
      <c r="E3545" t="s">
        <v>61</v>
      </c>
      <c r="F3545" t="s">
        <v>49</v>
      </c>
      <c r="G3545" t="s">
        <v>7131</v>
      </c>
      <c r="H3545" t="s">
        <v>7132</v>
      </c>
      <c r="J3545" t="str">
        <f>HYPERLINK("https://www.facebook.com/634639855377280/posts/774483894726208?comment_id=1071545890723327","https://www.facebook.com/634639855377280/posts/774483894726208?comment_id=1071545890723327")</f>
        <v>https://www.facebook.com/634639855377280/posts/774483894726208?comment_id=1071545890723327</v>
      </c>
      <c r="O3545">
        <v>0</v>
      </c>
      <c r="P3545">
        <v>0</v>
      </c>
      <c r="Q3545">
        <v>0</v>
      </c>
      <c r="S3545">
        <v>0</v>
      </c>
      <c r="T3545">
        <v>0</v>
      </c>
      <c r="U3545">
        <v>0</v>
      </c>
      <c r="W3545" t="s">
        <v>52</v>
      </c>
    </row>
    <row r="3546" spans="1:23" x14ac:dyDescent="0.35">
      <c r="A3546" t="s">
        <v>45</v>
      </c>
      <c r="B3546" t="s">
        <v>6974</v>
      </c>
      <c r="C3546" t="s">
        <v>60</v>
      </c>
      <c r="D3546" t="s">
        <v>61</v>
      </c>
      <c r="E3546" t="s">
        <v>61</v>
      </c>
      <c r="F3546" t="s">
        <v>49</v>
      </c>
      <c r="G3546" t="s">
        <v>7133</v>
      </c>
      <c r="H3546" t="s">
        <v>7134</v>
      </c>
      <c r="J3546" t="str">
        <f>HYPERLINK("https://www.facebook.com/634639855377280/posts/774483894726208?comment_id=1344991702860771","https://www.facebook.com/634639855377280/posts/774483894726208?comment_id=1344991702860771")</f>
        <v>https://www.facebook.com/634639855377280/posts/774483894726208?comment_id=1344991702860771</v>
      </c>
      <c r="O3546">
        <v>0</v>
      </c>
      <c r="P3546">
        <v>0</v>
      </c>
      <c r="Q3546">
        <v>0</v>
      </c>
      <c r="S3546">
        <v>0</v>
      </c>
      <c r="T3546">
        <v>0</v>
      </c>
      <c r="U3546">
        <v>0</v>
      </c>
      <c r="W3546" t="s">
        <v>52</v>
      </c>
    </row>
    <row r="3547" spans="1:23" x14ac:dyDescent="0.35">
      <c r="A3547" t="s">
        <v>45</v>
      </c>
      <c r="B3547" t="s">
        <v>6974</v>
      </c>
      <c r="C3547" t="s">
        <v>47</v>
      </c>
      <c r="D3547" t="s">
        <v>3485</v>
      </c>
      <c r="E3547" t="s">
        <v>3485</v>
      </c>
      <c r="F3547" t="s">
        <v>49</v>
      </c>
      <c r="G3547" t="s">
        <v>7135</v>
      </c>
      <c r="H3547" t="s">
        <v>7136</v>
      </c>
      <c r="J3547" t="str">
        <f>HYPERLINK("https://www.youtube.com/watch?v=L48LASyoHuE&amp;lc=UgzUnAeQ2gqs7IT-Okt4AaABAg","https://www.youtube.com/watch?v=L48LASyoHuE&amp;lc=UgzUnAeQ2gqs7IT-Okt4AaABAg")</f>
        <v>https://www.youtube.com/watch?v=L48LASyoHuE&amp;lc=UgzUnAeQ2gqs7IT-Okt4AaABAg</v>
      </c>
      <c r="O3547">
        <v>0</v>
      </c>
      <c r="P3547">
        <v>0</v>
      </c>
      <c r="Q3547">
        <v>0</v>
      </c>
      <c r="S3547">
        <v>0</v>
      </c>
      <c r="T3547">
        <v>0</v>
      </c>
      <c r="U3547">
        <v>0</v>
      </c>
      <c r="W3547" t="s">
        <v>52</v>
      </c>
    </row>
    <row r="3548" spans="1:23" x14ac:dyDescent="0.35">
      <c r="A3548" t="s">
        <v>45</v>
      </c>
      <c r="B3548" t="s">
        <v>6974</v>
      </c>
      <c r="C3548" t="s">
        <v>47</v>
      </c>
      <c r="D3548" t="s">
        <v>846</v>
      </c>
      <c r="E3548" t="s">
        <v>846</v>
      </c>
      <c r="F3548" t="s">
        <v>49</v>
      </c>
      <c r="G3548" t="s">
        <v>7137</v>
      </c>
      <c r="H3548" t="s">
        <v>7138</v>
      </c>
      <c r="J3548" t="str">
        <f>HYPERLINK("https://www.youtube.com/watch?v=L48LASyoHuE&amp;lc=UgzVQKxP6UmTfCnjBPZ4AaABAg","https://www.youtube.com/watch?v=L48LASyoHuE&amp;lc=UgzVQKxP6UmTfCnjBPZ4AaABAg")</f>
        <v>https://www.youtube.com/watch?v=L48LASyoHuE&amp;lc=UgzVQKxP6UmTfCnjBPZ4AaABAg</v>
      </c>
      <c r="O3548">
        <v>0</v>
      </c>
      <c r="P3548">
        <v>0</v>
      </c>
      <c r="Q3548">
        <v>0</v>
      </c>
      <c r="S3548">
        <v>0</v>
      </c>
      <c r="T3548">
        <v>0</v>
      </c>
      <c r="U3548">
        <v>0</v>
      </c>
      <c r="W3548" t="s">
        <v>52</v>
      </c>
    </row>
    <row r="3549" spans="1:23" x14ac:dyDescent="0.35">
      <c r="A3549" t="s">
        <v>45</v>
      </c>
      <c r="B3549" t="s">
        <v>6974</v>
      </c>
      <c r="C3549" t="s">
        <v>47</v>
      </c>
      <c r="D3549" t="s">
        <v>351</v>
      </c>
      <c r="E3549" t="s">
        <v>351</v>
      </c>
      <c r="F3549" t="s">
        <v>49</v>
      </c>
      <c r="G3549" t="s">
        <v>7139</v>
      </c>
      <c r="H3549" t="s">
        <v>7140</v>
      </c>
      <c r="J3549" t="str">
        <f>HYPERLINK("https://www.youtube.com/watch?v=L48LASyoHuE&amp;lc=UgwTX5WqC4Zh8bYC6DN4AaABAg","https://www.youtube.com/watch?v=L48LASyoHuE&amp;lc=UgwTX5WqC4Zh8bYC6DN4AaABAg")</f>
        <v>https://www.youtube.com/watch?v=L48LASyoHuE&amp;lc=UgwTX5WqC4Zh8bYC6DN4AaABAg</v>
      </c>
      <c r="O3549">
        <v>0</v>
      </c>
      <c r="P3549">
        <v>0</v>
      </c>
      <c r="Q3549">
        <v>0</v>
      </c>
      <c r="S3549">
        <v>0</v>
      </c>
      <c r="T3549">
        <v>0</v>
      </c>
      <c r="U3549">
        <v>0</v>
      </c>
      <c r="W3549" t="s">
        <v>52</v>
      </c>
    </row>
    <row r="3550" spans="1:23" x14ac:dyDescent="0.35">
      <c r="A3550" t="s">
        <v>45</v>
      </c>
      <c r="B3550" t="s">
        <v>6974</v>
      </c>
      <c r="C3550" t="s">
        <v>47</v>
      </c>
      <c r="D3550" t="s">
        <v>4031</v>
      </c>
      <c r="E3550" t="s">
        <v>4031</v>
      </c>
      <c r="F3550" t="s">
        <v>54</v>
      </c>
      <c r="G3550" t="s">
        <v>4032</v>
      </c>
      <c r="H3550" t="s">
        <v>7141</v>
      </c>
      <c r="J3550" t="str">
        <f>HYPERLINK("https://www.youtube.com/watch?v=L48LASyoHuE&amp;lc=UgwdA6LIvPqjv1x2GYp4AaABAg","https://www.youtube.com/watch?v=L48LASyoHuE&amp;lc=UgwdA6LIvPqjv1x2GYp4AaABAg")</f>
        <v>https://www.youtube.com/watch?v=L48LASyoHuE&amp;lc=UgwdA6LIvPqjv1x2GYp4AaABAg</v>
      </c>
      <c r="O3550">
        <v>0</v>
      </c>
      <c r="P3550">
        <v>0</v>
      </c>
      <c r="Q3550">
        <v>0</v>
      </c>
      <c r="S3550">
        <v>0</v>
      </c>
      <c r="T3550">
        <v>0</v>
      </c>
      <c r="U3550">
        <v>0</v>
      </c>
      <c r="W3550" t="s">
        <v>52</v>
      </c>
    </row>
    <row r="3551" spans="1:23" x14ac:dyDescent="0.35">
      <c r="A3551" t="s">
        <v>45</v>
      </c>
      <c r="B3551" t="s">
        <v>6974</v>
      </c>
      <c r="C3551" t="s">
        <v>93</v>
      </c>
      <c r="D3551" t="s">
        <v>5881</v>
      </c>
      <c r="E3551" t="s">
        <v>5882</v>
      </c>
      <c r="F3551" t="s">
        <v>193</v>
      </c>
      <c r="G3551" t="s">
        <v>7142</v>
      </c>
      <c r="H3551" t="s">
        <v>7143</v>
      </c>
      <c r="J3551" t="str">
        <f>HYPERLINK("https://twitter.com/santoshbha73771/status/1748208578241208443","https://twitter.com/santoshbha73771/status/1748208578241208443")</f>
        <v>https://twitter.com/santoshbha73771/status/1748208578241208443</v>
      </c>
      <c r="K3551" t="s">
        <v>67</v>
      </c>
      <c r="O3551">
        <v>0</v>
      </c>
      <c r="P3551">
        <v>0</v>
      </c>
      <c r="Q3551">
        <v>0</v>
      </c>
      <c r="S3551">
        <v>0</v>
      </c>
      <c r="T3551">
        <v>0</v>
      </c>
      <c r="U3551">
        <v>0</v>
      </c>
      <c r="W3551" t="s">
        <v>99</v>
      </c>
    </row>
    <row r="3552" spans="1:23" x14ac:dyDescent="0.35">
      <c r="A3552" t="s">
        <v>45</v>
      </c>
      <c r="B3552" t="s">
        <v>6974</v>
      </c>
      <c r="C3552" t="s">
        <v>47</v>
      </c>
      <c r="D3552" t="s">
        <v>1007</v>
      </c>
      <c r="E3552" t="s">
        <v>1007</v>
      </c>
      <c r="F3552" t="s">
        <v>54</v>
      </c>
      <c r="G3552" t="s">
        <v>7144</v>
      </c>
      <c r="H3552" t="s">
        <v>7145</v>
      </c>
      <c r="J3552" t="str">
        <f>HYPERLINK("https://www.youtube.com/watch?v=L48LASyoHuE&amp;lc=UgwFQFHoz-NCnUYl57J4AaABAg","https://www.youtube.com/watch?v=L48LASyoHuE&amp;lc=UgwFQFHoz-NCnUYl57J4AaABAg")</f>
        <v>https://www.youtube.com/watch?v=L48LASyoHuE&amp;lc=UgwFQFHoz-NCnUYl57J4AaABAg</v>
      </c>
      <c r="O3552">
        <v>0</v>
      </c>
      <c r="P3552">
        <v>0</v>
      </c>
      <c r="Q3552">
        <v>0</v>
      </c>
      <c r="S3552">
        <v>0</v>
      </c>
      <c r="T3552">
        <v>0</v>
      </c>
      <c r="U3552">
        <v>0</v>
      </c>
      <c r="W3552" t="s">
        <v>52</v>
      </c>
    </row>
    <row r="3553" spans="1:23" x14ac:dyDescent="0.35">
      <c r="A3553" t="s">
        <v>45</v>
      </c>
      <c r="B3553" t="s">
        <v>6974</v>
      </c>
      <c r="C3553" t="s">
        <v>60</v>
      </c>
      <c r="D3553" t="s">
        <v>64</v>
      </c>
      <c r="E3553" t="s">
        <v>64</v>
      </c>
      <c r="F3553" t="s">
        <v>49</v>
      </c>
      <c r="G3553" t="s">
        <v>7146</v>
      </c>
      <c r="H3553" t="s">
        <v>7147</v>
      </c>
      <c r="J3553" t="str">
        <f>HYPERLINK("https://www.facebook.com/634639855377280/posts/774950251346239","https://www.facebook.com/634639855377280/posts/774950251346239")</f>
        <v>https://www.facebook.com/634639855377280/posts/774950251346239</v>
      </c>
      <c r="O3553">
        <v>0</v>
      </c>
      <c r="P3553">
        <v>0</v>
      </c>
      <c r="Q3553">
        <v>0</v>
      </c>
      <c r="S3553">
        <v>13</v>
      </c>
      <c r="T3553">
        <v>23</v>
      </c>
      <c r="U3553">
        <v>0</v>
      </c>
      <c r="W3553" t="s">
        <v>346</v>
      </c>
    </row>
    <row r="3554" spans="1:23" x14ac:dyDescent="0.35">
      <c r="A3554" t="s">
        <v>45</v>
      </c>
      <c r="B3554" t="s">
        <v>6974</v>
      </c>
      <c r="C3554" t="s">
        <v>93</v>
      </c>
      <c r="D3554" t="s">
        <v>7148</v>
      </c>
      <c r="E3554" t="s">
        <v>7149</v>
      </c>
      <c r="F3554" t="s">
        <v>49</v>
      </c>
      <c r="G3554" t="s">
        <v>7150</v>
      </c>
      <c r="H3554" t="s">
        <v>7151</v>
      </c>
      <c r="J3554" t="str">
        <f>HYPERLINK("https://twitter.com/Tarunrajbarmer/status/1748196414616965617","https://twitter.com/Tarunrajbarmer/status/1748196414616965617")</f>
        <v>https://twitter.com/Tarunrajbarmer/status/1748196414616965617</v>
      </c>
      <c r="O3554">
        <v>0</v>
      </c>
      <c r="P3554">
        <v>0</v>
      </c>
      <c r="Q3554">
        <v>108</v>
      </c>
      <c r="S3554">
        <v>0</v>
      </c>
      <c r="T3554">
        <v>0</v>
      </c>
      <c r="U3554">
        <v>0</v>
      </c>
      <c r="W3554" t="s">
        <v>99</v>
      </c>
    </row>
    <row r="3555" spans="1:23" x14ac:dyDescent="0.35">
      <c r="A3555" t="s">
        <v>45</v>
      </c>
      <c r="B3555" t="s">
        <v>6974</v>
      </c>
      <c r="C3555" t="s">
        <v>47</v>
      </c>
      <c r="D3555" t="s">
        <v>3634</v>
      </c>
      <c r="E3555" t="s">
        <v>3634</v>
      </c>
      <c r="F3555" t="s">
        <v>49</v>
      </c>
      <c r="G3555" t="s">
        <v>7152</v>
      </c>
      <c r="H3555" t="s">
        <v>7153</v>
      </c>
      <c r="J3555" t="str">
        <f>HYPERLINK("https://www.youtube.com/watch?v=L48LASyoHuE&amp;lc=UgwjClIU7C1CXU8UJ4N4AaABAg","https://www.youtube.com/watch?v=L48LASyoHuE&amp;lc=UgwjClIU7C1CXU8UJ4N4AaABAg")</f>
        <v>https://www.youtube.com/watch?v=L48LASyoHuE&amp;lc=UgwjClIU7C1CXU8UJ4N4AaABAg</v>
      </c>
      <c r="O3555">
        <v>0</v>
      </c>
      <c r="P3555">
        <v>0</v>
      </c>
      <c r="Q3555">
        <v>0</v>
      </c>
      <c r="S3555">
        <v>0</v>
      </c>
      <c r="T3555">
        <v>0</v>
      </c>
      <c r="U3555">
        <v>0</v>
      </c>
      <c r="W3555" t="s">
        <v>52</v>
      </c>
    </row>
    <row r="3556" spans="1:23" x14ac:dyDescent="0.35">
      <c r="A3556" t="s">
        <v>45</v>
      </c>
      <c r="B3556" t="s">
        <v>6974</v>
      </c>
      <c r="C3556" t="s">
        <v>47</v>
      </c>
      <c r="D3556" t="s">
        <v>7154</v>
      </c>
      <c r="E3556" t="s">
        <v>7154</v>
      </c>
      <c r="F3556" t="s">
        <v>49</v>
      </c>
      <c r="G3556" t="s">
        <v>7155</v>
      </c>
      <c r="H3556" t="s">
        <v>7156</v>
      </c>
      <c r="J3556" t="str">
        <f>HYPERLINK("https://www.youtube.com/watch?v=L48LASyoHuE&amp;lc=UgzmJWmzFlkd5pArh-t4AaABAg","https://www.youtube.com/watch?v=L48LASyoHuE&amp;lc=UgzmJWmzFlkd5pArh-t4AaABAg")</f>
        <v>https://www.youtube.com/watch?v=L48LASyoHuE&amp;lc=UgzmJWmzFlkd5pArh-t4AaABAg</v>
      </c>
      <c r="O3556">
        <v>0</v>
      </c>
      <c r="P3556">
        <v>0</v>
      </c>
      <c r="Q3556">
        <v>0</v>
      </c>
      <c r="S3556">
        <v>0</v>
      </c>
      <c r="T3556">
        <v>0</v>
      </c>
      <c r="U3556">
        <v>0</v>
      </c>
      <c r="W3556" t="s">
        <v>52</v>
      </c>
    </row>
    <row r="3557" spans="1:23" x14ac:dyDescent="0.35">
      <c r="A3557" t="s">
        <v>45</v>
      </c>
      <c r="B3557" t="s">
        <v>6974</v>
      </c>
      <c r="C3557" t="s">
        <v>47</v>
      </c>
      <c r="D3557" t="s">
        <v>7157</v>
      </c>
      <c r="E3557" t="s">
        <v>7157</v>
      </c>
      <c r="F3557" t="s">
        <v>49</v>
      </c>
      <c r="G3557" t="s">
        <v>7158</v>
      </c>
      <c r="H3557" t="s">
        <v>7159</v>
      </c>
      <c r="J3557" t="str">
        <f>HYPERLINK("https://www.youtube.com/watch?v=z58WzdIZIO8&amp;lc=UgyThCAlxkueskqkKxd4AaABAg","https://www.youtube.com/watch?v=z58WzdIZIO8&amp;lc=UgyThCAlxkueskqkKxd4AaABAg")</f>
        <v>https://www.youtube.com/watch?v=z58WzdIZIO8&amp;lc=UgyThCAlxkueskqkKxd4AaABAg</v>
      </c>
      <c r="O3557">
        <v>0</v>
      </c>
      <c r="P3557">
        <v>0</v>
      </c>
      <c r="Q3557">
        <v>0</v>
      </c>
      <c r="S3557">
        <v>0</v>
      </c>
      <c r="T3557">
        <v>0</v>
      </c>
      <c r="U3557">
        <v>0</v>
      </c>
      <c r="W3557" t="s">
        <v>52</v>
      </c>
    </row>
    <row r="3558" spans="1:23" x14ac:dyDescent="0.35">
      <c r="A3558" t="s">
        <v>45</v>
      </c>
      <c r="B3558" t="s">
        <v>6974</v>
      </c>
      <c r="C3558" t="s">
        <v>60</v>
      </c>
      <c r="D3558" t="s">
        <v>61</v>
      </c>
      <c r="E3558" t="s">
        <v>61</v>
      </c>
      <c r="F3558" t="s">
        <v>49</v>
      </c>
      <c r="G3558" t="s">
        <v>7160</v>
      </c>
      <c r="H3558" t="s">
        <v>7161</v>
      </c>
      <c r="J3558" t="str">
        <f>HYPERLINK("https://www.facebook.com/634639855377280/posts/772618101579454?comment_id=256389717337688&amp;reply_comment_id=733604625386103","https://www.facebook.com/634639855377280/posts/772618101579454?comment_id=256389717337688&amp;reply_comment_id=733604625386103")</f>
        <v>https://www.facebook.com/634639855377280/posts/772618101579454?comment_id=256389717337688&amp;reply_comment_id=733604625386103</v>
      </c>
      <c r="O3558">
        <v>0</v>
      </c>
      <c r="P3558">
        <v>0</v>
      </c>
      <c r="Q3558">
        <v>0</v>
      </c>
      <c r="S3558">
        <v>0</v>
      </c>
      <c r="T3558">
        <v>0</v>
      </c>
      <c r="U3558">
        <v>0</v>
      </c>
      <c r="W3558" t="s">
        <v>52</v>
      </c>
    </row>
    <row r="3559" spans="1:23" x14ac:dyDescent="0.35">
      <c r="A3559" t="s">
        <v>45</v>
      </c>
      <c r="B3559" t="s">
        <v>6974</v>
      </c>
      <c r="C3559" t="s">
        <v>47</v>
      </c>
      <c r="D3559" t="s">
        <v>607</v>
      </c>
      <c r="E3559" t="s">
        <v>607</v>
      </c>
      <c r="F3559" t="s">
        <v>54</v>
      </c>
      <c r="G3559" t="s">
        <v>7162</v>
      </c>
      <c r="H3559" t="s">
        <v>7163</v>
      </c>
      <c r="J3559" t="str">
        <f>HYPERLINK("https://www.youtube.com/watch?v=L48LASyoHuE&amp;lc=Ugy-GOPC6TUrgX2OAE14AaABAg","https://www.youtube.com/watch?v=L48LASyoHuE&amp;lc=Ugy-GOPC6TUrgX2OAE14AaABAg")</f>
        <v>https://www.youtube.com/watch?v=L48LASyoHuE&amp;lc=Ugy-GOPC6TUrgX2OAE14AaABAg</v>
      </c>
      <c r="O3559">
        <v>0</v>
      </c>
      <c r="P3559">
        <v>0</v>
      </c>
      <c r="Q3559">
        <v>0</v>
      </c>
      <c r="S3559">
        <v>0</v>
      </c>
      <c r="T3559">
        <v>0</v>
      </c>
      <c r="U3559">
        <v>0</v>
      </c>
      <c r="W3559" t="s">
        <v>52</v>
      </c>
    </row>
    <row r="3560" spans="1:23" x14ac:dyDescent="0.35">
      <c r="A3560" t="s">
        <v>45</v>
      </c>
      <c r="B3560" t="s">
        <v>6974</v>
      </c>
      <c r="C3560" t="s">
        <v>47</v>
      </c>
      <c r="D3560" t="s">
        <v>7164</v>
      </c>
      <c r="E3560" t="s">
        <v>7164</v>
      </c>
      <c r="F3560" t="s">
        <v>49</v>
      </c>
      <c r="G3560" t="s">
        <v>7165</v>
      </c>
      <c r="H3560" t="s">
        <v>7166</v>
      </c>
      <c r="J3560" t="str">
        <f>HYPERLINK("https://www.youtube.com/watch?v=L48LASyoHuE&amp;lc=UgzgG1rj5sIHr6sMsM54AaABAg","https://www.youtube.com/watch?v=L48LASyoHuE&amp;lc=UgzgG1rj5sIHr6sMsM54AaABAg")</f>
        <v>https://www.youtube.com/watch?v=L48LASyoHuE&amp;lc=UgzgG1rj5sIHr6sMsM54AaABAg</v>
      </c>
      <c r="O3560">
        <v>0</v>
      </c>
      <c r="P3560">
        <v>0</v>
      </c>
      <c r="Q3560">
        <v>0</v>
      </c>
      <c r="S3560">
        <v>0</v>
      </c>
      <c r="T3560">
        <v>0</v>
      </c>
      <c r="U3560">
        <v>0</v>
      </c>
      <c r="W3560" t="s">
        <v>52</v>
      </c>
    </row>
    <row r="3561" spans="1:23" x14ac:dyDescent="0.35">
      <c r="A3561" t="s">
        <v>45</v>
      </c>
      <c r="B3561" t="s">
        <v>6974</v>
      </c>
      <c r="C3561" t="s">
        <v>47</v>
      </c>
      <c r="D3561" t="s">
        <v>7167</v>
      </c>
      <c r="E3561" t="s">
        <v>7167</v>
      </c>
      <c r="F3561" t="s">
        <v>193</v>
      </c>
      <c r="G3561" t="s">
        <v>7168</v>
      </c>
      <c r="H3561" t="s">
        <v>7169</v>
      </c>
      <c r="J3561" t="str">
        <f>HYPERLINK("https://www.youtube.com/watch?v=L48LASyoHuE&amp;lc=Ugwm0tf3kudVr_s6jqB4AaABAg","https://www.youtube.com/watch?v=L48LASyoHuE&amp;lc=Ugwm0tf3kudVr_s6jqB4AaABAg")</f>
        <v>https://www.youtube.com/watch?v=L48LASyoHuE&amp;lc=Ugwm0tf3kudVr_s6jqB4AaABAg</v>
      </c>
      <c r="O3561">
        <v>0</v>
      </c>
      <c r="P3561">
        <v>0</v>
      </c>
      <c r="Q3561">
        <v>0</v>
      </c>
      <c r="S3561">
        <v>0</v>
      </c>
      <c r="T3561">
        <v>0</v>
      </c>
      <c r="U3561">
        <v>0</v>
      </c>
      <c r="W3561" t="s">
        <v>52</v>
      </c>
    </row>
    <row r="3562" spans="1:23" x14ac:dyDescent="0.35">
      <c r="A3562" t="s">
        <v>45</v>
      </c>
      <c r="B3562" t="s">
        <v>6974</v>
      </c>
      <c r="C3562" t="s">
        <v>47</v>
      </c>
      <c r="D3562" t="s">
        <v>607</v>
      </c>
      <c r="E3562" t="s">
        <v>607</v>
      </c>
      <c r="F3562" t="s">
        <v>54</v>
      </c>
      <c r="G3562" t="s">
        <v>7170</v>
      </c>
      <c r="H3562" t="s">
        <v>7171</v>
      </c>
      <c r="J3562" t="str">
        <f>HYPERLINK("https://www.youtube.com/watch?v=L48LASyoHuE&amp;lc=UgxF2jcjJSBRi94GBjV4AaABAg","https://www.youtube.com/watch?v=L48LASyoHuE&amp;lc=UgxF2jcjJSBRi94GBjV4AaABAg")</f>
        <v>https://www.youtube.com/watch?v=L48LASyoHuE&amp;lc=UgxF2jcjJSBRi94GBjV4AaABAg</v>
      </c>
      <c r="O3562">
        <v>0</v>
      </c>
      <c r="P3562">
        <v>0</v>
      </c>
      <c r="Q3562">
        <v>0</v>
      </c>
      <c r="S3562">
        <v>0</v>
      </c>
      <c r="T3562">
        <v>0</v>
      </c>
      <c r="U3562">
        <v>0</v>
      </c>
      <c r="W3562" t="s">
        <v>52</v>
      </c>
    </row>
    <row r="3563" spans="1:23" x14ac:dyDescent="0.35">
      <c r="A3563" t="s">
        <v>45</v>
      </c>
      <c r="B3563" t="s">
        <v>6974</v>
      </c>
      <c r="C3563" t="s">
        <v>47</v>
      </c>
      <c r="D3563" t="s">
        <v>7172</v>
      </c>
      <c r="E3563" t="s">
        <v>7172</v>
      </c>
      <c r="F3563" t="s">
        <v>49</v>
      </c>
      <c r="G3563" t="s">
        <v>7173</v>
      </c>
      <c r="H3563" t="s">
        <v>7174</v>
      </c>
      <c r="J3563" t="str">
        <f>HYPERLINK("https://www.youtube.com/watch?v=L48LASyoHuE&amp;lc=UgxplJToHqhXef3X62t4AaABAg","https://www.youtube.com/watch?v=L48LASyoHuE&amp;lc=UgxplJToHqhXef3X62t4AaABAg")</f>
        <v>https://www.youtube.com/watch?v=L48LASyoHuE&amp;lc=UgxplJToHqhXef3X62t4AaABAg</v>
      </c>
      <c r="O3563">
        <v>0</v>
      </c>
      <c r="P3563">
        <v>0</v>
      </c>
      <c r="Q3563">
        <v>0</v>
      </c>
      <c r="S3563">
        <v>0</v>
      </c>
      <c r="T3563">
        <v>0</v>
      </c>
      <c r="U3563">
        <v>0</v>
      </c>
      <c r="W3563" t="s">
        <v>52</v>
      </c>
    </row>
    <row r="3564" spans="1:23" x14ac:dyDescent="0.35">
      <c r="A3564" t="s">
        <v>45</v>
      </c>
      <c r="B3564" t="s">
        <v>6974</v>
      </c>
      <c r="C3564" t="s">
        <v>47</v>
      </c>
      <c r="D3564" t="s">
        <v>5125</v>
      </c>
      <c r="E3564" t="s">
        <v>5125</v>
      </c>
      <c r="F3564" t="s">
        <v>54</v>
      </c>
      <c r="G3564" t="s">
        <v>7175</v>
      </c>
      <c r="H3564" t="s">
        <v>7176</v>
      </c>
      <c r="J3564" t="str">
        <f>HYPERLINK("https://www.youtube.com/watch?v=L48LASyoHuE&amp;lc=UgxI2MXUzZKCZVVAPAN4AaABAg","https://www.youtube.com/watch?v=L48LASyoHuE&amp;lc=UgxI2MXUzZKCZVVAPAN4AaABAg")</f>
        <v>https://www.youtube.com/watch?v=L48LASyoHuE&amp;lc=UgxI2MXUzZKCZVVAPAN4AaABAg</v>
      </c>
      <c r="O3564">
        <v>0</v>
      </c>
      <c r="P3564">
        <v>0</v>
      </c>
      <c r="Q3564">
        <v>0</v>
      </c>
      <c r="S3564">
        <v>0</v>
      </c>
      <c r="T3564">
        <v>0</v>
      </c>
      <c r="U3564">
        <v>0</v>
      </c>
      <c r="W3564" t="s">
        <v>52</v>
      </c>
    </row>
    <row r="3565" spans="1:23" x14ac:dyDescent="0.35">
      <c r="A3565" t="s">
        <v>45</v>
      </c>
      <c r="B3565" t="s">
        <v>6974</v>
      </c>
      <c r="C3565" t="s">
        <v>47</v>
      </c>
      <c r="D3565" t="s">
        <v>7177</v>
      </c>
      <c r="E3565" t="s">
        <v>7177</v>
      </c>
      <c r="F3565" t="s">
        <v>49</v>
      </c>
      <c r="G3565" t="s">
        <v>7178</v>
      </c>
      <c r="H3565" t="s">
        <v>7179</v>
      </c>
      <c r="J3565" t="str">
        <f>HYPERLINK("https://www.youtube.com/watch?v=L48LASyoHuE&amp;lc=UgzzXW2_L2f8lAkkAQt4AaABAg","https://www.youtube.com/watch?v=L48LASyoHuE&amp;lc=UgzzXW2_L2f8lAkkAQt4AaABAg")</f>
        <v>https://www.youtube.com/watch?v=L48LASyoHuE&amp;lc=UgzzXW2_L2f8lAkkAQt4AaABAg</v>
      </c>
      <c r="O3565">
        <v>0</v>
      </c>
      <c r="P3565">
        <v>0</v>
      </c>
      <c r="Q3565">
        <v>0</v>
      </c>
      <c r="S3565">
        <v>0</v>
      </c>
      <c r="T3565">
        <v>0</v>
      </c>
      <c r="U3565">
        <v>0</v>
      </c>
      <c r="W3565" t="s">
        <v>52</v>
      </c>
    </row>
    <row r="3566" spans="1:23" x14ac:dyDescent="0.35">
      <c r="A3566" t="s">
        <v>45</v>
      </c>
      <c r="B3566" t="s">
        <v>6974</v>
      </c>
      <c r="C3566" t="s">
        <v>93</v>
      </c>
      <c r="D3566" t="s">
        <v>94</v>
      </c>
      <c r="E3566" t="s">
        <v>45</v>
      </c>
      <c r="F3566" t="s">
        <v>49</v>
      </c>
      <c r="G3566" t="s">
        <v>7180</v>
      </c>
      <c r="H3566" t="s">
        <v>7181</v>
      </c>
      <c r="J3566" t="str">
        <f>HYPERLINK("https://twitter.com/SpiceMoneyIndia/status/1748186016891158566","https://twitter.com/SpiceMoneyIndia/status/1748186016891158566")</f>
        <v>https://twitter.com/SpiceMoneyIndia/status/1748186016891158566</v>
      </c>
      <c r="K3566" t="s">
        <v>67</v>
      </c>
      <c r="O3566">
        <v>0</v>
      </c>
      <c r="P3566">
        <v>0</v>
      </c>
      <c r="Q3566">
        <v>6002</v>
      </c>
      <c r="R3566" t="s">
        <v>97</v>
      </c>
      <c r="S3566">
        <v>0</v>
      </c>
      <c r="T3566">
        <v>0</v>
      </c>
      <c r="U3566">
        <v>0</v>
      </c>
      <c r="V3566" t="s">
        <v>98</v>
      </c>
      <c r="W3566" t="s">
        <v>99</v>
      </c>
    </row>
    <row r="3567" spans="1:23" x14ac:dyDescent="0.35">
      <c r="A3567" t="s">
        <v>45</v>
      </c>
      <c r="B3567" t="s">
        <v>6974</v>
      </c>
      <c r="C3567" t="s">
        <v>47</v>
      </c>
      <c r="D3567" t="s">
        <v>7182</v>
      </c>
      <c r="E3567" t="s">
        <v>7182</v>
      </c>
      <c r="F3567" t="s">
        <v>49</v>
      </c>
      <c r="G3567" t="s">
        <v>7183</v>
      </c>
      <c r="H3567" t="s">
        <v>7184</v>
      </c>
      <c r="J3567" t="str">
        <f>HYPERLINK("https://www.youtube.com/watch?v=L48LASyoHuE&amp;lc=UgyyYz12XAUgG6TdyG54AaABAg","https://www.youtube.com/watch?v=L48LASyoHuE&amp;lc=UgyyYz12XAUgG6TdyG54AaABAg")</f>
        <v>https://www.youtube.com/watch?v=L48LASyoHuE&amp;lc=UgyyYz12XAUgG6TdyG54AaABAg</v>
      </c>
      <c r="O3567">
        <v>0</v>
      </c>
      <c r="P3567">
        <v>0</v>
      </c>
      <c r="Q3567">
        <v>0</v>
      </c>
      <c r="S3567">
        <v>0</v>
      </c>
      <c r="T3567">
        <v>0</v>
      </c>
      <c r="U3567">
        <v>0</v>
      </c>
      <c r="W3567" t="s">
        <v>52</v>
      </c>
    </row>
    <row r="3568" spans="1:23" x14ac:dyDescent="0.35">
      <c r="A3568" t="s">
        <v>45</v>
      </c>
      <c r="B3568" t="s">
        <v>6974</v>
      </c>
      <c r="C3568" t="s">
        <v>60</v>
      </c>
      <c r="D3568" t="s">
        <v>61</v>
      </c>
      <c r="E3568" t="s">
        <v>61</v>
      </c>
      <c r="F3568" t="s">
        <v>193</v>
      </c>
      <c r="G3568" t="s">
        <v>7185</v>
      </c>
      <c r="H3568" t="s">
        <v>7186</v>
      </c>
      <c r="J3568" t="str">
        <f>HYPERLINK("https://www.facebook.com/634639855377280/posts/774412801399984?comment_id=860667649168853","https://www.facebook.com/634639855377280/posts/774412801399984?comment_id=860667649168853")</f>
        <v>https://www.facebook.com/634639855377280/posts/774412801399984?comment_id=860667649168853</v>
      </c>
      <c r="O3568">
        <v>0</v>
      </c>
      <c r="P3568">
        <v>0</v>
      </c>
      <c r="Q3568">
        <v>0</v>
      </c>
      <c r="S3568">
        <v>0</v>
      </c>
      <c r="T3568">
        <v>0</v>
      </c>
      <c r="U3568">
        <v>0</v>
      </c>
      <c r="W3568" t="s">
        <v>52</v>
      </c>
    </row>
    <row r="3569" spans="1:23" x14ac:dyDescent="0.35">
      <c r="A3569" t="s">
        <v>45</v>
      </c>
      <c r="B3569" t="s">
        <v>6974</v>
      </c>
      <c r="C3569" t="s">
        <v>60</v>
      </c>
      <c r="D3569" t="s">
        <v>61</v>
      </c>
      <c r="E3569" t="s">
        <v>61</v>
      </c>
      <c r="F3569" t="s">
        <v>49</v>
      </c>
      <c r="G3569" t="s">
        <v>7187</v>
      </c>
      <c r="H3569" t="s">
        <v>7188</v>
      </c>
      <c r="J3569" t="str">
        <f>HYPERLINK("https://www.facebook.com/634639855377280/posts/774412801399984?comment_id=704543991810949","https://www.facebook.com/634639855377280/posts/774412801399984?comment_id=704543991810949")</f>
        <v>https://www.facebook.com/634639855377280/posts/774412801399984?comment_id=704543991810949</v>
      </c>
      <c r="O3569">
        <v>0</v>
      </c>
      <c r="P3569">
        <v>0</v>
      </c>
      <c r="Q3569">
        <v>0</v>
      </c>
      <c r="S3569">
        <v>0</v>
      </c>
      <c r="T3569">
        <v>0</v>
      </c>
      <c r="U3569">
        <v>0</v>
      </c>
      <c r="W3569" t="s">
        <v>52</v>
      </c>
    </row>
    <row r="3570" spans="1:23" x14ac:dyDescent="0.35">
      <c r="A3570" t="s">
        <v>45</v>
      </c>
      <c r="B3570" t="s">
        <v>6974</v>
      </c>
      <c r="C3570" t="s">
        <v>47</v>
      </c>
      <c r="D3570" t="s">
        <v>7189</v>
      </c>
      <c r="E3570" t="s">
        <v>7189</v>
      </c>
      <c r="F3570" t="s">
        <v>54</v>
      </c>
      <c r="G3570" t="s">
        <v>2712</v>
      </c>
      <c r="H3570" t="s">
        <v>7190</v>
      </c>
      <c r="J3570" t="str">
        <f>HYPERLINK("https://www.youtube.com/watch?v=L48LASyoHuE&amp;lc=UgyBq4aUrqS4HY7baiR4AaABAg","https://www.youtube.com/watch?v=L48LASyoHuE&amp;lc=UgyBq4aUrqS4HY7baiR4AaABAg")</f>
        <v>https://www.youtube.com/watch?v=L48LASyoHuE&amp;lc=UgyBq4aUrqS4HY7baiR4AaABAg</v>
      </c>
      <c r="O3570">
        <v>0</v>
      </c>
      <c r="P3570">
        <v>0</v>
      </c>
      <c r="Q3570">
        <v>0</v>
      </c>
      <c r="S3570">
        <v>0</v>
      </c>
      <c r="T3570">
        <v>0</v>
      </c>
      <c r="U3570">
        <v>0</v>
      </c>
      <c r="W3570" t="s">
        <v>52</v>
      </c>
    </row>
    <row r="3571" spans="1:23" x14ac:dyDescent="0.35">
      <c r="A3571" t="s">
        <v>45</v>
      </c>
      <c r="B3571" t="s">
        <v>6974</v>
      </c>
      <c r="C3571" t="s">
        <v>47</v>
      </c>
      <c r="D3571" t="s">
        <v>45</v>
      </c>
      <c r="E3571" t="s">
        <v>45</v>
      </c>
      <c r="F3571" t="s">
        <v>49</v>
      </c>
      <c r="G3571" t="s">
        <v>7191</v>
      </c>
      <c r="H3571" t="s">
        <v>7192</v>
      </c>
      <c r="J3571" t="str">
        <f>HYPERLINK("https://www.youtube.com/watch?v=L48LASyoHuE","https://www.youtube.com/watch?v=L48LASyoHuE")</f>
        <v>https://www.youtube.com/watch?v=L48LASyoHuE</v>
      </c>
      <c r="O3571">
        <v>0</v>
      </c>
      <c r="P3571">
        <v>0</v>
      </c>
      <c r="Q3571">
        <v>0</v>
      </c>
      <c r="S3571">
        <v>0</v>
      </c>
      <c r="T3571">
        <v>0</v>
      </c>
      <c r="U3571">
        <v>0</v>
      </c>
      <c r="W3571" t="s">
        <v>346</v>
      </c>
    </row>
    <row r="3572" spans="1:23" x14ac:dyDescent="0.35">
      <c r="A3572" t="s">
        <v>45</v>
      </c>
      <c r="B3572" t="s">
        <v>6974</v>
      </c>
      <c r="C3572" t="s">
        <v>60</v>
      </c>
      <c r="D3572" t="s">
        <v>61</v>
      </c>
      <c r="E3572" t="s">
        <v>61</v>
      </c>
      <c r="F3572" t="s">
        <v>49</v>
      </c>
      <c r="G3572" t="s">
        <v>7193</v>
      </c>
      <c r="H3572" t="s">
        <v>7194</v>
      </c>
      <c r="J3572" t="str">
        <f>HYPERLINK("https://www.facebook.com/634639855377280/posts/774412801399984?comment_id=366536942789512&amp;reply_comment_id=680885487587195","https://www.facebook.com/634639855377280/posts/774412801399984?comment_id=366536942789512&amp;reply_comment_id=680885487587195")</f>
        <v>https://www.facebook.com/634639855377280/posts/774412801399984?comment_id=366536942789512&amp;reply_comment_id=680885487587195</v>
      </c>
      <c r="O3572">
        <v>0</v>
      </c>
      <c r="P3572">
        <v>0</v>
      </c>
      <c r="Q3572">
        <v>0</v>
      </c>
      <c r="S3572">
        <v>0</v>
      </c>
      <c r="T3572">
        <v>0</v>
      </c>
      <c r="U3572">
        <v>0</v>
      </c>
      <c r="W3572" t="s">
        <v>52</v>
      </c>
    </row>
    <row r="3573" spans="1:23" x14ac:dyDescent="0.35">
      <c r="A3573" t="s">
        <v>45</v>
      </c>
      <c r="B3573" t="s">
        <v>6974</v>
      </c>
      <c r="C3573" t="s">
        <v>60</v>
      </c>
      <c r="D3573" t="s">
        <v>61</v>
      </c>
      <c r="E3573" t="s">
        <v>61</v>
      </c>
      <c r="F3573" t="s">
        <v>49</v>
      </c>
      <c r="G3573" t="s">
        <v>7195</v>
      </c>
      <c r="H3573" t="s">
        <v>7196</v>
      </c>
      <c r="J3573" t="str">
        <f>HYPERLINK("https://www.facebook.com/634639855377280/posts/773764291464835?comment_id=319542361082742","https://www.facebook.com/634639855377280/posts/773764291464835?comment_id=319542361082742")</f>
        <v>https://www.facebook.com/634639855377280/posts/773764291464835?comment_id=319542361082742</v>
      </c>
      <c r="O3573">
        <v>0</v>
      </c>
      <c r="P3573">
        <v>0</v>
      </c>
      <c r="Q3573">
        <v>0</v>
      </c>
      <c r="S3573">
        <v>0</v>
      </c>
      <c r="T3573">
        <v>0</v>
      </c>
      <c r="U3573">
        <v>0</v>
      </c>
      <c r="W3573" t="s">
        <v>52</v>
      </c>
    </row>
    <row r="3574" spans="1:23" x14ac:dyDescent="0.35">
      <c r="A3574" t="s">
        <v>45</v>
      </c>
      <c r="B3574" t="s">
        <v>6974</v>
      </c>
      <c r="C3574" t="s">
        <v>60</v>
      </c>
      <c r="D3574" t="s">
        <v>64</v>
      </c>
      <c r="E3574" t="s">
        <v>64</v>
      </c>
      <c r="F3574" t="s">
        <v>49</v>
      </c>
      <c r="G3574" t="s">
        <v>7197</v>
      </c>
      <c r="H3574" t="s">
        <v>7198</v>
      </c>
      <c r="J3574" t="str">
        <f>HYPERLINK("https://www.facebook.com/634639855377280/posts/774881771353087","https://www.facebook.com/634639855377280/posts/774881771353087")</f>
        <v>https://www.facebook.com/634639855377280/posts/774881771353087</v>
      </c>
      <c r="O3574">
        <v>0</v>
      </c>
      <c r="P3574">
        <v>0</v>
      </c>
      <c r="Q3574">
        <v>0</v>
      </c>
      <c r="S3574">
        <v>22</v>
      </c>
      <c r="T3574">
        <v>93</v>
      </c>
      <c r="U3574">
        <v>4</v>
      </c>
      <c r="W3574" t="s">
        <v>346</v>
      </c>
    </row>
    <row r="3575" spans="1:23" x14ac:dyDescent="0.35">
      <c r="A3575" t="s">
        <v>45</v>
      </c>
      <c r="B3575" t="s">
        <v>6974</v>
      </c>
      <c r="C3575" t="s">
        <v>93</v>
      </c>
      <c r="D3575" t="s">
        <v>94</v>
      </c>
      <c r="E3575" t="s">
        <v>45</v>
      </c>
      <c r="F3575" t="s">
        <v>49</v>
      </c>
      <c r="G3575" t="s">
        <v>7199</v>
      </c>
      <c r="H3575" t="s">
        <v>7200</v>
      </c>
      <c r="J3575" t="str">
        <f>HYPERLINK("https://twitter.com/SpiceMoneyIndia/status/1748170915882607071","https://twitter.com/SpiceMoneyIndia/status/1748170915882607071")</f>
        <v>https://twitter.com/SpiceMoneyIndia/status/1748170915882607071</v>
      </c>
      <c r="K3575" t="s">
        <v>67</v>
      </c>
      <c r="O3575">
        <v>0</v>
      </c>
      <c r="P3575">
        <v>0</v>
      </c>
      <c r="Q3575">
        <v>6002</v>
      </c>
      <c r="R3575" t="s">
        <v>97</v>
      </c>
      <c r="S3575">
        <v>0</v>
      </c>
      <c r="T3575">
        <v>0</v>
      </c>
      <c r="U3575">
        <v>0</v>
      </c>
      <c r="V3575" t="s">
        <v>98</v>
      </c>
      <c r="W3575" t="s">
        <v>99</v>
      </c>
    </row>
    <row r="3576" spans="1:23" x14ac:dyDescent="0.35">
      <c r="A3576" t="s">
        <v>45</v>
      </c>
      <c r="B3576" t="s">
        <v>6974</v>
      </c>
      <c r="C3576" t="s">
        <v>60</v>
      </c>
      <c r="D3576" t="s">
        <v>61</v>
      </c>
      <c r="E3576" t="s">
        <v>61</v>
      </c>
      <c r="F3576" t="s">
        <v>49</v>
      </c>
      <c r="G3576" t="s">
        <v>7201</v>
      </c>
      <c r="H3576" t="s">
        <v>7202</v>
      </c>
      <c r="J3576" t="str">
        <f>HYPERLINK("https://www.facebook.com/634639855377280/posts/774483894726208?comment_id=903890917873827","https://www.facebook.com/634639855377280/posts/774483894726208?comment_id=903890917873827")</f>
        <v>https://www.facebook.com/634639855377280/posts/774483894726208?comment_id=903890917873827</v>
      </c>
      <c r="O3576">
        <v>0</v>
      </c>
      <c r="P3576">
        <v>0</v>
      </c>
      <c r="Q3576">
        <v>0</v>
      </c>
      <c r="S3576">
        <v>0</v>
      </c>
      <c r="T3576">
        <v>0</v>
      </c>
      <c r="U3576">
        <v>0</v>
      </c>
      <c r="W3576" t="s">
        <v>52</v>
      </c>
    </row>
    <row r="3577" spans="1:23" x14ac:dyDescent="0.35">
      <c r="A3577" t="s">
        <v>45</v>
      </c>
      <c r="B3577" t="s">
        <v>6974</v>
      </c>
      <c r="C3577" t="s">
        <v>60</v>
      </c>
      <c r="D3577" t="s">
        <v>61</v>
      </c>
      <c r="E3577" t="s">
        <v>61</v>
      </c>
      <c r="F3577" t="s">
        <v>49</v>
      </c>
      <c r="G3577" t="s">
        <v>7203</v>
      </c>
      <c r="H3577" t="s">
        <v>7204</v>
      </c>
      <c r="J3577" t="str">
        <f>HYPERLINK("https://www.facebook.com/634639855377280/posts/774483894726208?comment_id=918143269393568","https://www.facebook.com/634639855377280/posts/774483894726208?comment_id=918143269393568")</f>
        <v>https://www.facebook.com/634639855377280/posts/774483894726208?comment_id=918143269393568</v>
      </c>
      <c r="O3577">
        <v>0</v>
      </c>
      <c r="P3577">
        <v>0</v>
      </c>
      <c r="Q3577">
        <v>0</v>
      </c>
      <c r="S3577">
        <v>0</v>
      </c>
      <c r="T3577">
        <v>0</v>
      </c>
      <c r="U3577">
        <v>0</v>
      </c>
      <c r="W3577" t="s">
        <v>52</v>
      </c>
    </row>
    <row r="3578" spans="1:23" x14ac:dyDescent="0.35">
      <c r="A3578" t="s">
        <v>45</v>
      </c>
      <c r="B3578" t="s">
        <v>6974</v>
      </c>
      <c r="C3578" t="s">
        <v>60</v>
      </c>
      <c r="D3578" t="s">
        <v>61</v>
      </c>
      <c r="E3578" t="s">
        <v>61</v>
      </c>
      <c r="F3578" t="s">
        <v>49</v>
      </c>
      <c r="G3578" t="s">
        <v>7205</v>
      </c>
      <c r="H3578" t="s">
        <v>7206</v>
      </c>
      <c r="J3578" t="str">
        <f>HYPERLINK("https://www.facebook.com/634639855377280/posts/773764291464835?comment_id=2603993789765609","https://www.facebook.com/634639855377280/posts/773764291464835?comment_id=2603993789765609")</f>
        <v>https://www.facebook.com/634639855377280/posts/773764291464835?comment_id=2603993789765609</v>
      </c>
      <c r="O3578">
        <v>0</v>
      </c>
      <c r="P3578">
        <v>0</v>
      </c>
      <c r="Q3578">
        <v>0</v>
      </c>
      <c r="S3578">
        <v>0</v>
      </c>
      <c r="T3578">
        <v>0</v>
      </c>
      <c r="U3578">
        <v>0</v>
      </c>
      <c r="W3578" t="s">
        <v>52</v>
      </c>
    </row>
    <row r="3579" spans="1:23" x14ac:dyDescent="0.35">
      <c r="A3579" t="s">
        <v>45</v>
      </c>
      <c r="B3579" t="s">
        <v>6974</v>
      </c>
      <c r="C3579" t="s">
        <v>47</v>
      </c>
      <c r="D3579" t="s">
        <v>7207</v>
      </c>
      <c r="E3579" t="s">
        <v>7207</v>
      </c>
      <c r="F3579" t="s">
        <v>49</v>
      </c>
      <c r="G3579" t="s">
        <v>7208</v>
      </c>
      <c r="H3579" t="s">
        <v>7209</v>
      </c>
      <c r="J3579" t="str">
        <f>HYPERLINK("https://www.youtube.com/watch?v=gIyuJbshDBM&amp;lc=UgwT0mvrWLeeIv0Ypq14AaABAg","https://www.youtube.com/watch?v=gIyuJbshDBM&amp;lc=UgwT0mvrWLeeIv0Ypq14AaABAg")</f>
        <v>https://www.youtube.com/watch?v=gIyuJbshDBM&amp;lc=UgwT0mvrWLeeIv0Ypq14AaABAg</v>
      </c>
      <c r="O3579">
        <v>0</v>
      </c>
      <c r="P3579">
        <v>0</v>
      </c>
      <c r="Q3579">
        <v>0</v>
      </c>
      <c r="S3579">
        <v>0</v>
      </c>
      <c r="T3579">
        <v>0</v>
      </c>
      <c r="U3579">
        <v>0</v>
      </c>
      <c r="W3579" t="s">
        <v>52</v>
      </c>
    </row>
    <row r="3580" spans="1:23" x14ac:dyDescent="0.35">
      <c r="A3580" t="s">
        <v>45</v>
      </c>
      <c r="B3580" t="s">
        <v>6974</v>
      </c>
      <c r="C3580" t="s">
        <v>60</v>
      </c>
      <c r="D3580" t="s">
        <v>61</v>
      </c>
      <c r="E3580" t="s">
        <v>61</v>
      </c>
      <c r="F3580" t="s">
        <v>49</v>
      </c>
      <c r="G3580" t="s">
        <v>7210</v>
      </c>
      <c r="H3580" t="s">
        <v>7211</v>
      </c>
      <c r="J3580" t="str">
        <f>HYPERLINK("https://www.facebook.com/634639855377280/posts/773392231502041?comment_id=249673904822980","https://www.facebook.com/634639855377280/posts/773392231502041?comment_id=249673904822980")</f>
        <v>https://www.facebook.com/634639855377280/posts/773392231502041?comment_id=249673904822980</v>
      </c>
      <c r="O3580">
        <v>0</v>
      </c>
      <c r="P3580">
        <v>0</v>
      </c>
      <c r="Q3580">
        <v>0</v>
      </c>
      <c r="S3580">
        <v>0</v>
      </c>
      <c r="T3580">
        <v>0</v>
      </c>
      <c r="U3580">
        <v>0</v>
      </c>
      <c r="W3580" t="s">
        <v>52</v>
      </c>
    </row>
    <row r="3581" spans="1:23" x14ac:dyDescent="0.35">
      <c r="A3581" t="s">
        <v>45</v>
      </c>
      <c r="B3581" t="s">
        <v>6974</v>
      </c>
      <c r="C3581" t="s">
        <v>60</v>
      </c>
      <c r="D3581" t="s">
        <v>61</v>
      </c>
      <c r="E3581" t="s">
        <v>61</v>
      </c>
      <c r="F3581" t="s">
        <v>49</v>
      </c>
      <c r="G3581" t="s">
        <v>7212</v>
      </c>
      <c r="H3581" t="s">
        <v>7213</v>
      </c>
      <c r="J3581" t="str">
        <f>HYPERLINK("https://www.facebook.com/634639855377280/posts/771990234975574?comment_id=387937193899868","https://www.facebook.com/634639855377280/posts/771990234975574?comment_id=387937193899868")</f>
        <v>https://www.facebook.com/634639855377280/posts/771990234975574?comment_id=387937193899868</v>
      </c>
      <c r="O3581">
        <v>0</v>
      </c>
      <c r="P3581">
        <v>0</v>
      </c>
      <c r="Q3581">
        <v>0</v>
      </c>
      <c r="S3581">
        <v>0</v>
      </c>
      <c r="T3581">
        <v>0</v>
      </c>
      <c r="U3581">
        <v>0</v>
      </c>
      <c r="W3581" t="s">
        <v>52</v>
      </c>
    </row>
    <row r="3582" spans="1:23" x14ac:dyDescent="0.35">
      <c r="A3582" t="s">
        <v>45</v>
      </c>
      <c r="B3582" t="s">
        <v>6974</v>
      </c>
      <c r="C3582" t="s">
        <v>60</v>
      </c>
      <c r="D3582" t="s">
        <v>61</v>
      </c>
      <c r="E3582" t="s">
        <v>61</v>
      </c>
      <c r="F3582" t="s">
        <v>54</v>
      </c>
      <c r="G3582" t="s">
        <v>7214</v>
      </c>
      <c r="H3582" t="s">
        <v>7215</v>
      </c>
      <c r="J3582" t="str">
        <f>HYPERLINK("https://www.facebook.com/634639855377280/posts/774412801399984?comment_id=255844270866537","https://www.facebook.com/634639855377280/posts/774412801399984?comment_id=255844270866537")</f>
        <v>https://www.facebook.com/634639855377280/posts/774412801399984?comment_id=255844270866537</v>
      </c>
      <c r="O3582">
        <v>0</v>
      </c>
      <c r="P3582">
        <v>0</v>
      </c>
      <c r="Q3582">
        <v>0</v>
      </c>
      <c r="S3582">
        <v>0</v>
      </c>
      <c r="T3582">
        <v>0</v>
      </c>
      <c r="U3582">
        <v>0</v>
      </c>
      <c r="W3582" t="s">
        <v>52</v>
      </c>
    </row>
    <row r="3583" spans="1:23" x14ac:dyDescent="0.35">
      <c r="A3583" t="s">
        <v>45</v>
      </c>
      <c r="B3583" t="s">
        <v>6974</v>
      </c>
      <c r="C3583" t="s">
        <v>60</v>
      </c>
      <c r="D3583" t="s">
        <v>61</v>
      </c>
      <c r="E3583" t="s">
        <v>61</v>
      </c>
      <c r="F3583" t="s">
        <v>49</v>
      </c>
      <c r="G3583" t="s">
        <v>7216</v>
      </c>
      <c r="H3583" t="s">
        <v>7217</v>
      </c>
      <c r="J3583" t="str">
        <f>HYPERLINK("https://www.facebook.com/634639855377280/posts/774412801399984?comment_id=647655277408628","https://www.facebook.com/634639855377280/posts/774412801399984?comment_id=647655277408628")</f>
        <v>https://www.facebook.com/634639855377280/posts/774412801399984?comment_id=647655277408628</v>
      </c>
      <c r="O3583">
        <v>0</v>
      </c>
      <c r="P3583">
        <v>0</v>
      </c>
      <c r="Q3583">
        <v>0</v>
      </c>
      <c r="S3583">
        <v>0</v>
      </c>
      <c r="T3583">
        <v>0</v>
      </c>
      <c r="U3583">
        <v>0</v>
      </c>
      <c r="W3583" t="s">
        <v>52</v>
      </c>
    </row>
    <row r="3584" spans="1:23" x14ac:dyDescent="0.35">
      <c r="A3584" t="s">
        <v>45</v>
      </c>
      <c r="B3584" t="s">
        <v>7218</v>
      </c>
      <c r="C3584" t="s">
        <v>60</v>
      </c>
      <c r="D3584" t="s">
        <v>61</v>
      </c>
      <c r="E3584" t="s">
        <v>61</v>
      </c>
      <c r="F3584" t="s">
        <v>49</v>
      </c>
      <c r="G3584" t="s">
        <v>7219</v>
      </c>
      <c r="H3584" t="s">
        <v>7220</v>
      </c>
      <c r="J3584" t="str">
        <f>HYPERLINK("https://www.facebook.com/634639855377280/posts/774483894726208?comment_id=3600410763560514","https://www.facebook.com/634639855377280/posts/774483894726208?comment_id=3600410763560514")</f>
        <v>https://www.facebook.com/634639855377280/posts/774483894726208?comment_id=3600410763560514</v>
      </c>
      <c r="O3584">
        <v>0</v>
      </c>
      <c r="P3584">
        <v>0</v>
      </c>
      <c r="Q3584">
        <v>0</v>
      </c>
      <c r="S3584">
        <v>0</v>
      </c>
      <c r="T3584">
        <v>0</v>
      </c>
      <c r="U3584">
        <v>0</v>
      </c>
      <c r="W3584" t="s">
        <v>52</v>
      </c>
    </row>
    <row r="3585" spans="1:23" x14ac:dyDescent="0.35">
      <c r="A3585" t="s">
        <v>45</v>
      </c>
      <c r="B3585" t="s">
        <v>7218</v>
      </c>
      <c r="C3585" t="s">
        <v>60</v>
      </c>
      <c r="D3585" t="s">
        <v>61</v>
      </c>
      <c r="E3585" t="s">
        <v>61</v>
      </c>
      <c r="F3585" t="s">
        <v>49</v>
      </c>
      <c r="G3585" t="s">
        <v>7221</v>
      </c>
      <c r="H3585" t="s">
        <v>7222</v>
      </c>
      <c r="J3585" t="str">
        <f>HYPERLINK("https://www.facebook.com/634639855377280/posts/774412801399984?comment_id=766797288650669","https://www.facebook.com/634639855377280/posts/774412801399984?comment_id=766797288650669")</f>
        <v>https://www.facebook.com/634639855377280/posts/774412801399984?comment_id=766797288650669</v>
      </c>
      <c r="O3585">
        <v>0</v>
      </c>
      <c r="P3585">
        <v>0</v>
      </c>
      <c r="Q3585">
        <v>0</v>
      </c>
      <c r="S3585">
        <v>0</v>
      </c>
      <c r="T3585">
        <v>0</v>
      </c>
      <c r="U3585">
        <v>0</v>
      </c>
      <c r="W3585" t="s">
        <v>52</v>
      </c>
    </row>
    <row r="3586" spans="1:23" x14ac:dyDescent="0.35">
      <c r="A3586" t="s">
        <v>45</v>
      </c>
      <c r="B3586" t="s">
        <v>7218</v>
      </c>
      <c r="C3586" t="s">
        <v>60</v>
      </c>
      <c r="D3586" t="s">
        <v>61</v>
      </c>
      <c r="E3586" t="s">
        <v>61</v>
      </c>
      <c r="F3586" t="s">
        <v>193</v>
      </c>
      <c r="G3586" t="s">
        <v>7223</v>
      </c>
      <c r="H3586" t="s">
        <v>7224</v>
      </c>
      <c r="J3586" t="str">
        <f>HYPERLINK("https://www.facebook.com/634639855377280/posts/773780211463243?comment_id=919824509652939","https://www.facebook.com/634639855377280/posts/773780211463243?comment_id=919824509652939")</f>
        <v>https://www.facebook.com/634639855377280/posts/773780211463243?comment_id=919824509652939</v>
      </c>
      <c r="O3586">
        <v>0</v>
      </c>
      <c r="P3586">
        <v>0</v>
      </c>
      <c r="Q3586">
        <v>0</v>
      </c>
      <c r="S3586">
        <v>0</v>
      </c>
      <c r="T3586">
        <v>0</v>
      </c>
      <c r="U3586">
        <v>0</v>
      </c>
      <c r="W3586" t="s">
        <v>52</v>
      </c>
    </row>
    <row r="3587" spans="1:23" x14ac:dyDescent="0.35">
      <c r="A3587" t="s">
        <v>45</v>
      </c>
      <c r="B3587" t="s">
        <v>7218</v>
      </c>
      <c r="C3587" t="s">
        <v>60</v>
      </c>
      <c r="D3587" t="s">
        <v>61</v>
      </c>
      <c r="E3587" t="s">
        <v>61</v>
      </c>
      <c r="F3587" t="s">
        <v>49</v>
      </c>
      <c r="G3587" t="s">
        <v>7225</v>
      </c>
      <c r="H3587" t="s">
        <v>7226</v>
      </c>
      <c r="J3587" t="str">
        <f>HYPERLINK("https://www.facebook.com/634639855377280/posts/773780211463243?comment_id=893626928907849","https://www.facebook.com/634639855377280/posts/773780211463243?comment_id=893626928907849")</f>
        <v>https://www.facebook.com/634639855377280/posts/773780211463243?comment_id=893626928907849</v>
      </c>
      <c r="O3587">
        <v>0</v>
      </c>
      <c r="P3587">
        <v>0</v>
      </c>
      <c r="Q3587">
        <v>0</v>
      </c>
      <c r="S3587">
        <v>0</v>
      </c>
      <c r="T3587">
        <v>0</v>
      </c>
      <c r="U3587">
        <v>0</v>
      </c>
      <c r="W3587" t="s">
        <v>52</v>
      </c>
    </row>
    <row r="3588" spans="1:23" x14ac:dyDescent="0.35">
      <c r="A3588" t="s">
        <v>45</v>
      </c>
      <c r="B3588" t="s">
        <v>7218</v>
      </c>
      <c r="C3588" t="s">
        <v>93</v>
      </c>
      <c r="D3588" t="s">
        <v>6259</v>
      </c>
      <c r="E3588" t="s">
        <v>6260</v>
      </c>
      <c r="F3588" t="s">
        <v>49</v>
      </c>
      <c r="G3588" t="s">
        <v>7227</v>
      </c>
      <c r="H3588" t="s">
        <v>7228</v>
      </c>
      <c r="J3588" t="str">
        <f>HYPERLINK("https://twitter.com/dineshsahu0202/status/1748029229508526135","https://twitter.com/dineshsahu0202/status/1748029229508526135")</f>
        <v>https://twitter.com/dineshsahu0202/status/1748029229508526135</v>
      </c>
      <c r="K3588" t="s">
        <v>67</v>
      </c>
      <c r="O3588">
        <v>0</v>
      </c>
      <c r="P3588">
        <v>0</v>
      </c>
      <c r="Q3588">
        <v>2</v>
      </c>
      <c r="S3588">
        <v>0</v>
      </c>
      <c r="T3588">
        <v>0</v>
      </c>
      <c r="U3588">
        <v>0</v>
      </c>
      <c r="W3588" t="s">
        <v>99</v>
      </c>
    </row>
    <row r="3589" spans="1:23" x14ac:dyDescent="0.35">
      <c r="A3589" t="s">
        <v>45</v>
      </c>
      <c r="B3589" t="s">
        <v>7218</v>
      </c>
      <c r="C3589" t="s">
        <v>60</v>
      </c>
      <c r="D3589" t="s">
        <v>61</v>
      </c>
      <c r="E3589" t="s">
        <v>61</v>
      </c>
      <c r="F3589" t="s">
        <v>49</v>
      </c>
      <c r="G3589" t="s">
        <v>7229</v>
      </c>
      <c r="H3589" t="s">
        <v>7230</v>
      </c>
      <c r="J3589" t="str">
        <f>HYPERLINK("https://www.facebook.com/634639855377280/posts/771990234975574?comment_id=235989189547450","https://www.facebook.com/634639855377280/posts/771990234975574?comment_id=235989189547450")</f>
        <v>https://www.facebook.com/634639855377280/posts/771990234975574?comment_id=235989189547450</v>
      </c>
      <c r="O3589">
        <v>0</v>
      </c>
      <c r="P3589">
        <v>0</v>
      </c>
      <c r="Q3589">
        <v>0</v>
      </c>
      <c r="S3589">
        <v>0</v>
      </c>
      <c r="T3589">
        <v>0</v>
      </c>
      <c r="U3589">
        <v>0</v>
      </c>
      <c r="W3589" t="s">
        <v>52</v>
      </c>
    </row>
    <row r="3590" spans="1:23" x14ac:dyDescent="0.35">
      <c r="A3590" t="s">
        <v>45</v>
      </c>
      <c r="B3590" t="s">
        <v>7218</v>
      </c>
      <c r="C3590" t="s">
        <v>60</v>
      </c>
      <c r="D3590" t="s">
        <v>61</v>
      </c>
      <c r="E3590" t="s">
        <v>61</v>
      </c>
      <c r="F3590" t="s">
        <v>49</v>
      </c>
      <c r="G3590" t="s">
        <v>7231</v>
      </c>
      <c r="H3590" t="s">
        <v>7232</v>
      </c>
      <c r="J3590" t="str">
        <f>HYPERLINK("https://www.facebook.com/634639855377280/posts/774412801399984?comment_id=749745416651850","https://www.facebook.com/634639855377280/posts/774412801399984?comment_id=749745416651850")</f>
        <v>https://www.facebook.com/634639855377280/posts/774412801399984?comment_id=749745416651850</v>
      </c>
      <c r="O3590">
        <v>0</v>
      </c>
      <c r="P3590">
        <v>0</v>
      </c>
      <c r="Q3590">
        <v>0</v>
      </c>
      <c r="S3590">
        <v>0</v>
      </c>
      <c r="T3590">
        <v>0</v>
      </c>
      <c r="U3590">
        <v>0</v>
      </c>
      <c r="W3590" t="s">
        <v>52</v>
      </c>
    </row>
    <row r="3591" spans="1:23" x14ac:dyDescent="0.35">
      <c r="A3591" t="s">
        <v>45</v>
      </c>
      <c r="B3591" t="s">
        <v>7218</v>
      </c>
      <c r="C3591" t="s">
        <v>60</v>
      </c>
      <c r="D3591" t="s">
        <v>61</v>
      </c>
      <c r="E3591" t="s">
        <v>61</v>
      </c>
      <c r="F3591" t="s">
        <v>49</v>
      </c>
      <c r="G3591" t="s">
        <v>7233</v>
      </c>
      <c r="H3591" t="s">
        <v>7234</v>
      </c>
      <c r="J3591" t="str">
        <f>HYPERLINK("https://www.facebook.com/634639855377280/posts/774483894726208?comment_id=907931110746826&amp;reply_comment_id=1062853828168835","https://www.facebook.com/634639855377280/posts/774483894726208?comment_id=907931110746826&amp;reply_comment_id=1062853828168835")</f>
        <v>https://www.facebook.com/634639855377280/posts/774483894726208?comment_id=907931110746826&amp;reply_comment_id=1062853828168835</v>
      </c>
      <c r="O3591">
        <v>0</v>
      </c>
      <c r="P3591">
        <v>0</v>
      </c>
      <c r="Q3591">
        <v>0</v>
      </c>
      <c r="S3591">
        <v>0</v>
      </c>
      <c r="T3591">
        <v>0</v>
      </c>
      <c r="U3591">
        <v>0</v>
      </c>
      <c r="W3591" t="s">
        <v>52</v>
      </c>
    </row>
    <row r="3592" spans="1:23" x14ac:dyDescent="0.35">
      <c r="A3592" t="s">
        <v>45</v>
      </c>
      <c r="B3592" t="s">
        <v>7218</v>
      </c>
      <c r="C3592" t="s">
        <v>60</v>
      </c>
      <c r="D3592" t="s">
        <v>61</v>
      </c>
      <c r="E3592" t="s">
        <v>61</v>
      </c>
      <c r="F3592" t="s">
        <v>193</v>
      </c>
      <c r="G3592" t="s">
        <v>7235</v>
      </c>
      <c r="H3592" t="s">
        <v>7236</v>
      </c>
      <c r="J3592" t="str">
        <f>HYPERLINK("https://www.facebook.com/634639855377280/posts/774483894726208?comment_id=907931110746826&amp;reply_comment_id=312045155136044","https://www.facebook.com/634639855377280/posts/774483894726208?comment_id=907931110746826&amp;reply_comment_id=312045155136044")</f>
        <v>https://www.facebook.com/634639855377280/posts/774483894726208?comment_id=907931110746826&amp;reply_comment_id=312045155136044</v>
      </c>
      <c r="O3592">
        <v>0</v>
      </c>
      <c r="P3592">
        <v>0</v>
      </c>
      <c r="Q3592">
        <v>0</v>
      </c>
      <c r="S3592">
        <v>0</v>
      </c>
      <c r="T3592">
        <v>0</v>
      </c>
      <c r="U3592">
        <v>0</v>
      </c>
      <c r="W3592" t="s">
        <v>52</v>
      </c>
    </row>
    <row r="3593" spans="1:23" x14ac:dyDescent="0.35">
      <c r="A3593" t="s">
        <v>45</v>
      </c>
      <c r="B3593" t="s">
        <v>7218</v>
      </c>
      <c r="C3593" t="s">
        <v>60</v>
      </c>
      <c r="D3593" t="s">
        <v>61</v>
      </c>
      <c r="E3593" t="s">
        <v>61</v>
      </c>
      <c r="F3593" t="s">
        <v>49</v>
      </c>
      <c r="G3593" t="s">
        <v>7237</v>
      </c>
      <c r="H3593" t="s">
        <v>7238</v>
      </c>
      <c r="J3593" t="str">
        <f>HYPERLINK("https://www.facebook.com/634639855377280/posts/771990234975574?comment_id=2083716168647899","https://www.facebook.com/634639855377280/posts/771990234975574?comment_id=2083716168647899")</f>
        <v>https://www.facebook.com/634639855377280/posts/771990234975574?comment_id=2083716168647899</v>
      </c>
      <c r="O3593">
        <v>0</v>
      </c>
      <c r="P3593">
        <v>0</v>
      </c>
      <c r="Q3593">
        <v>0</v>
      </c>
      <c r="S3593">
        <v>0</v>
      </c>
      <c r="T3593">
        <v>0</v>
      </c>
      <c r="U3593">
        <v>0</v>
      </c>
      <c r="W3593" t="s">
        <v>52</v>
      </c>
    </row>
    <row r="3594" spans="1:23" x14ac:dyDescent="0.35">
      <c r="A3594" t="s">
        <v>45</v>
      </c>
      <c r="B3594" t="s">
        <v>7218</v>
      </c>
      <c r="C3594" t="s">
        <v>60</v>
      </c>
      <c r="D3594" t="s">
        <v>61</v>
      </c>
      <c r="E3594" t="s">
        <v>61</v>
      </c>
      <c r="F3594" t="s">
        <v>49</v>
      </c>
      <c r="G3594" t="s">
        <v>7239</v>
      </c>
      <c r="H3594" t="s">
        <v>7240</v>
      </c>
      <c r="J3594" t="str">
        <f>HYPERLINK("https://www.facebook.com/634639855377280/posts/774412801399984?comment_id=288657310873952","https://www.facebook.com/634639855377280/posts/774412801399984?comment_id=288657310873952")</f>
        <v>https://www.facebook.com/634639855377280/posts/774412801399984?comment_id=288657310873952</v>
      </c>
      <c r="O3594">
        <v>0</v>
      </c>
      <c r="P3594">
        <v>0</v>
      </c>
      <c r="Q3594">
        <v>0</v>
      </c>
      <c r="S3594">
        <v>0</v>
      </c>
      <c r="T3594">
        <v>0</v>
      </c>
      <c r="U3594">
        <v>0</v>
      </c>
      <c r="W3594" t="s">
        <v>52</v>
      </c>
    </row>
    <row r="3595" spans="1:23" x14ac:dyDescent="0.35">
      <c r="A3595" t="s">
        <v>45</v>
      </c>
      <c r="B3595" t="s">
        <v>7218</v>
      </c>
      <c r="C3595" t="s">
        <v>60</v>
      </c>
      <c r="D3595" t="s">
        <v>61</v>
      </c>
      <c r="E3595" t="s">
        <v>61</v>
      </c>
      <c r="F3595" t="s">
        <v>49</v>
      </c>
      <c r="G3595" t="s">
        <v>7241</v>
      </c>
      <c r="H3595" t="s">
        <v>7242</v>
      </c>
      <c r="J3595" t="str">
        <f>HYPERLINK("https://www.facebook.com/634639855377280/posts/774412801399984?comment_id=400093505875002","https://www.facebook.com/634639855377280/posts/774412801399984?comment_id=400093505875002")</f>
        <v>https://www.facebook.com/634639855377280/posts/774412801399984?comment_id=400093505875002</v>
      </c>
      <c r="O3595">
        <v>0</v>
      </c>
      <c r="P3595">
        <v>0</v>
      </c>
      <c r="Q3595">
        <v>0</v>
      </c>
      <c r="S3595">
        <v>0</v>
      </c>
      <c r="T3595">
        <v>0</v>
      </c>
      <c r="U3595">
        <v>0</v>
      </c>
      <c r="W3595" t="s">
        <v>52</v>
      </c>
    </row>
    <row r="3596" spans="1:23" x14ac:dyDescent="0.35">
      <c r="A3596" t="s">
        <v>45</v>
      </c>
      <c r="B3596" t="s">
        <v>7218</v>
      </c>
      <c r="C3596" t="s">
        <v>60</v>
      </c>
      <c r="D3596" t="s">
        <v>61</v>
      </c>
      <c r="E3596" t="s">
        <v>61</v>
      </c>
      <c r="F3596" t="s">
        <v>49</v>
      </c>
      <c r="G3596" t="s">
        <v>7243</v>
      </c>
      <c r="H3596" t="s">
        <v>7244</v>
      </c>
      <c r="J3596" t="str">
        <f>HYPERLINK("https://www.facebook.com/634639855377280/posts/774483894726208?comment_id=719315196971050","https://www.facebook.com/634639855377280/posts/774483894726208?comment_id=719315196971050")</f>
        <v>https://www.facebook.com/634639855377280/posts/774483894726208?comment_id=719315196971050</v>
      </c>
      <c r="O3596">
        <v>0</v>
      </c>
      <c r="P3596">
        <v>0</v>
      </c>
      <c r="Q3596">
        <v>0</v>
      </c>
      <c r="S3596">
        <v>0</v>
      </c>
      <c r="T3596">
        <v>0</v>
      </c>
      <c r="U3596">
        <v>0</v>
      </c>
      <c r="W3596" t="s">
        <v>52</v>
      </c>
    </row>
    <row r="3597" spans="1:23" x14ac:dyDescent="0.35">
      <c r="A3597" t="s">
        <v>45</v>
      </c>
      <c r="B3597" t="s">
        <v>7218</v>
      </c>
      <c r="C3597" t="s">
        <v>60</v>
      </c>
      <c r="D3597" t="s">
        <v>61</v>
      </c>
      <c r="E3597" t="s">
        <v>61</v>
      </c>
      <c r="F3597" t="s">
        <v>49</v>
      </c>
      <c r="G3597" t="s">
        <v>7245</v>
      </c>
      <c r="H3597" t="s">
        <v>7246</v>
      </c>
      <c r="J3597" t="str">
        <f>HYPERLINK("https://www.facebook.com/634639855377280/posts/774483894726208?comment_id=746980447315449","https://www.facebook.com/634639855377280/posts/774483894726208?comment_id=746980447315449")</f>
        <v>https://www.facebook.com/634639855377280/posts/774483894726208?comment_id=746980447315449</v>
      </c>
      <c r="O3597">
        <v>0</v>
      </c>
      <c r="P3597">
        <v>0</v>
      </c>
      <c r="Q3597">
        <v>0</v>
      </c>
      <c r="S3597">
        <v>0</v>
      </c>
      <c r="T3597">
        <v>0</v>
      </c>
      <c r="U3597">
        <v>0</v>
      </c>
      <c r="W3597" t="s">
        <v>52</v>
      </c>
    </row>
    <row r="3598" spans="1:23" x14ac:dyDescent="0.35">
      <c r="A3598" t="s">
        <v>45</v>
      </c>
      <c r="B3598" t="s">
        <v>7218</v>
      </c>
      <c r="C3598" t="s">
        <v>60</v>
      </c>
      <c r="D3598" t="s">
        <v>61</v>
      </c>
      <c r="E3598" t="s">
        <v>61</v>
      </c>
      <c r="F3598" t="s">
        <v>54</v>
      </c>
      <c r="G3598" t="s">
        <v>7247</v>
      </c>
      <c r="H3598" t="s">
        <v>7248</v>
      </c>
      <c r="J3598" t="str">
        <f>HYPERLINK("https://www.facebook.com/634639855377280/posts/774483894726208?comment_id=6729565970503626","https://www.facebook.com/634639855377280/posts/774483894726208?comment_id=6729565970503626")</f>
        <v>https://www.facebook.com/634639855377280/posts/774483894726208?comment_id=6729565970503626</v>
      </c>
      <c r="O3598">
        <v>0</v>
      </c>
      <c r="P3598">
        <v>0</v>
      </c>
      <c r="Q3598">
        <v>0</v>
      </c>
      <c r="S3598">
        <v>0</v>
      </c>
      <c r="T3598">
        <v>0</v>
      </c>
      <c r="U3598">
        <v>0</v>
      </c>
      <c r="W3598" t="s">
        <v>52</v>
      </c>
    </row>
    <row r="3599" spans="1:23" x14ac:dyDescent="0.35">
      <c r="A3599" t="s">
        <v>45</v>
      </c>
      <c r="B3599" t="s">
        <v>7218</v>
      </c>
      <c r="C3599" t="s">
        <v>60</v>
      </c>
      <c r="D3599" t="s">
        <v>61</v>
      </c>
      <c r="E3599" t="s">
        <v>61</v>
      </c>
      <c r="F3599" t="s">
        <v>49</v>
      </c>
      <c r="G3599" t="s">
        <v>7249</v>
      </c>
      <c r="H3599" t="s">
        <v>7250</v>
      </c>
      <c r="J3599" t="str">
        <f>HYPERLINK("https://www.facebook.com/634639855377280/posts/774483894726208?comment_id=1321807498482399","https://www.facebook.com/634639855377280/posts/774483894726208?comment_id=1321807498482399")</f>
        <v>https://www.facebook.com/634639855377280/posts/774483894726208?comment_id=1321807498482399</v>
      </c>
      <c r="O3599">
        <v>0</v>
      </c>
      <c r="P3599">
        <v>0</v>
      </c>
      <c r="Q3599">
        <v>0</v>
      </c>
      <c r="S3599">
        <v>0</v>
      </c>
      <c r="T3599">
        <v>0</v>
      </c>
      <c r="U3599">
        <v>0</v>
      </c>
      <c r="W3599" t="s">
        <v>52</v>
      </c>
    </row>
    <row r="3600" spans="1:23" x14ac:dyDescent="0.35">
      <c r="A3600" t="s">
        <v>45</v>
      </c>
      <c r="B3600" t="s">
        <v>7218</v>
      </c>
      <c r="C3600" t="s">
        <v>60</v>
      </c>
      <c r="D3600" t="s">
        <v>61</v>
      </c>
      <c r="E3600" t="s">
        <v>61</v>
      </c>
      <c r="F3600" t="s">
        <v>49</v>
      </c>
      <c r="G3600" t="s">
        <v>7251</v>
      </c>
      <c r="H3600" t="s">
        <v>7252</v>
      </c>
      <c r="J3600" t="str">
        <f>HYPERLINK("https://www.facebook.com/634639855377280/posts/774412801399984?comment_id=311998964604277","https://www.facebook.com/634639855377280/posts/774412801399984?comment_id=311998964604277")</f>
        <v>https://www.facebook.com/634639855377280/posts/774412801399984?comment_id=311998964604277</v>
      </c>
      <c r="O3600">
        <v>0</v>
      </c>
      <c r="P3600">
        <v>0</v>
      </c>
      <c r="Q3600">
        <v>0</v>
      </c>
      <c r="S3600">
        <v>0</v>
      </c>
      <c r="T3600">
        <v>0</v>
      </c>
      <c r="U3600">
        <v>0</v>
      </c>
      <c r="W3600" t="s">
        <v>52</v>
      </c>
    </row>
    <row r="3601" spans="1:23" x14ac:dyDescent="0.35">
      <c r="A3601" t="s">
        <v>45</v>
      </c>
      <c r="B3601" t="s">
        <v>7218</v>
      </c>
      <c r="C3601" t="s">
        <v>60</v>
      </c>
      <c r="D3601" t="s">
        <v>61</v>
      </c>
      <c r="E3601" t="s">
        <v>61</v>
      </c>
      <c r="F3601" t="s">
        <v>49</v>
      </c>
      <c r="G3601" t="s">
        <v>7253</v>
      </c>
      <c r="H3601" t="s">
        <v>7254</v>
      </c>
      <c r="J3601" t="str">
        <f>HYPERLINK("https://www.facebook.com/634639855377280/posts/773392231502041?comment_id=771372935012778&amp;reply_comment_id=694817586161995","https://www.facebook.com/634639855377280/posts/773392231502041?comment_id=771372935012778&amp;reply_comment_id=694817586161995")</f>
        <v>https://www.facebook.com/634639855377280/posts/773392231502041?comment_id=771372935012778&amp;reply_comment_id=694817586161995</v>
      </c>
      <c r="O3601">
        <v>0</v>
      </c>
      <c r="P3601">
        <v>0</v>
      </c>
      <c r="Q3601">
        <v>0</v>
      </c>
      <c r="S3601">
        <v>0</v>
      </c>
      <c r="T3601">
        <v>0</v>
      </c>
      <c r="U3601">
        <v>0</v>
      </c>
      <c r="W3601" t="s">
        <v>52</v>
      </c>
    </row>
    <row r="3602" spans="1:23" x14ac:dyDescent="0.35">
      <c r="A3602" t="s">
        <v>45</v>
      </c>
      <c r="B3602" t="s">
        <v>7218</v>
      </c>
      <c r="C3602" t="s">
        <v>60</v>
      </c>
      <c r="D3602" t="s">
        <v>61</v>
      </c>
      <c r="E3602" t="s">
        <v>61</v>
      </c>
      <c r="F3602" t="s">
        <v>49</v>
      </c>
      <c r="G3602" t="s">
        <v>7255</v>
      </c>
      <c r="H3602" t="s">
        <v>7256</v>
      </c>
      <c r="J3602" t="str">
        <f>HYPERLINK("https://www.facebook.com/634639855377280/posts/774483894726208?comment_id=315674071467159","https://www.facebook.com/634639855377280/posts/774483894726208?comment_id=315674071467159")</f>
        <v>https://www.facebook.com/634639855377280/posts/774483894726208?comment_id=315674071467159</v>
      </c>
      <c r="O3602">
        <v>0</v>
      </c>
      <c r="P3602">
        <v>0</v>
      </c>
      <c r="Q3602">
        <v>0</v>
      </c>
      <c r="S3602">
        <v>0</v>
      </c>
      <c r="T3602">
        <v>0</v>
      </c>
      <c r="U3602">
        <v>0</v>
      </c>
      <c r="W3602" t="s">
        <v>52</v>
      </c>
    </row>
    <row r="3603" spans="1:23" x14ac:dyDescent="0.35">
      <c r="A3603" t="s">
        <v>45</v>
      </c>
      <c r="B3603" t="s">
        <v>7218</v>
      </c>
      <c r="C3603" t="s">
        <v>60</v>
      </c>
      <c r="D3603" t="s">
        <v>61</v>
      </c>
      <c r="E3603" t="s">
        <v>61</v>
      </c>
      <c r="F3603" t="s">
        <v>49</v>
      </c>
      <c r="G3603" t="s">
        <v>7257</v>
      </c>
      <c r="H3603" t="s">
        <v>7258</v>
      </c>
      <c r="J3603" t="str">
        <f>HYPERLINK("https://www.facebook.com/634639855377280/posts/774412801399984?comment_id=223073434198836","https://www.facebook.com/634639855377280/posts/774412801399984?comment_id=223073434198836")</f>
        <v>https://www.facebook.com/634639855377280/posts/774412801399984?comment_id=223073434198836</v>
      </c>
      <c r="O3603">
        <v>0</v>
      </c>
      <c r="P3603">
        <v>0</v>
      </c>
      <c r="Q3603">
        <v>0</v>
      </c>
      <c r="S3603">
        <v>0</v>
      </c>
      <c r="T3603">
        <v>0</v>
      </c>
      <c r="U3603">
        <v>0</v>
      </c>
      <c r="W3603" t="s">
        <v>52</v>
      </c>
    </row>
    <row r="3604" spans="1:23" x14ac:dyDescent="0.35">
      <c r="A3604" t="s">
        <v>45</v>
      </c>
      <c r="B3604" t="s">
        <v>7218</v>
      </c>
      <c r="C3604" t="s">
        <v>60</v>
      </c>
      <c r="D3604" t="s">
        <v>61</v>
      </c>
      <c r="E3604" t="s">
        <v>61</v>
      </c>
      <c r="F3604" t="s">
        <v>193</v>
      </c>
      <c r="G3604" t="s">
        <v>7259</v>
      </c>
      <c r="H3604" t="s">
        <v>7260</v>
      </c>
      <c r="J3604" t="str">
        <f>HYPERLINK("https://www.facebook.com/634639855377280/posts/774412801399984?comment_id=366536942789512&amp;reply_comment_id=3285005991801457","https://www.facebook.com/634639855377280/posts/774412801399984?comment_id=366536942789512&amp;reply_comment_id=3285005991801457")</f>
        <v>https://www.facebook.com/634639855377280/posts/774412801399984?comment_id=366536942789512&amp;reply_comment_id=3285005991801457</v>
      </c>
      <c r="O3604">
        <v>0</v>
      </c>
      <c r="P3604">
        <v>0</v>
      </c>
      <c r="Q3604">
        <v>0</v>
      </c>
      <c r="S3604">
        <v>0</v>
      </c>
      <c r="T3604">
        <v>0</v>
      </c>
      <c r="U3604">
        <v>0</v>
      </c>
      <c r="W3604" t="s">
        <v>52</v>
      </c>
    </row>
    <row r="3605" spans="1:23" x14ac:dyDescent="0.35">
      <c r="A3605" t="s">
        <v>45</v>
      </c>
      <c r="B3605" t="s">
        <v>7218</v>
      </c>
      <c r="C3605" t="s">
        <v>60</v>
      </c>
      <c r="D3605" t="s">
        <v>61</v>
      </c>
      <c r="E3605" t="s">
        <v>61</v>
      </c>
      <c r="F3605" t="s">
        <v>49</v>
      </c>
      <c r="G3605" t="s">
        <v>7261</v>
      </c>
      <c r="H3605" t="s">
        <v>7262</v>
      </c>
      <c r="J3605" t="str">
        <f>HYPERLINK("https://www.facebook.com/634639855377280/posts/774412801399984?comment_id=1095087665007316&amp;reply_comment_id=1667087363818205","https://www.facebook.com/634639855377280/posts/774412801399984?comment_id=1095087665007316&amp;reply_comment_id=1667087363818205")</f>
        <v>https://www.facebook.com/634639855377280/posts/774412801399984?comment_id=1095087665007316&amp;reply_comment_id=1667087363818205</v>
      </c>
      <c r="O3605">
        <v>0</v>
      </c>
      <c r="P3605">
        <v>0</v>
      </c>
      <c r="Q3605">
        <v>0</v>
      </c>
      <c r="S3605">
        <v>0</v>
      </c>
      <c r="T3605">
        <v>0</v>
      </c>
      <c r="U3605">
        <v>0</v>
      </c>
      <c r="W3605" t="s">
        <v>52</v>
      </c>
    </row>
    <row r="3606" spans="1:23" x14ac:dyDescent="0.35">
      <c r="A3606" t="s">
        <v>45</v>
      </c>
      <c r="B3606" t="s">
        <v>7218</v>
      </c>
      <c r="C3606" t="s">
        <v>60</v>
      </c>
      <c r="D3606" t="s">
        <v>61</v>
      </c>
      <c r="E3606" t="s">
        <v>61</v>
      </c>
      <c r="F3606" t="s">
        <v>49</v>
      </c>
      <c r="G3606" t="s">
        <v>7263</v>
      </c>
      <c r="H3606" t="s">
        <v>7264</v>
      </c>
      <c r="J3606" t="str">
        <f>HYPERLINK("https://www.facebook.com/634639855377280/posts/774483894726208?comment_id=338116062453982","https://www.facebook.com/634639855377280/posts/774483894726208?comment_id=338116062453982")</f>
        <v>https://www.facebook.com/634639855377280/posts/774483894726208?comment_id=338116062453982</v>
      </c>
      <c r="O3606">
        <v>0</v>
      </c>
      <c r="P3606">
        <v>0</v>
      </c>
      <c r="Q3606">
        <v>0</v>
      </c>
      <c r="S3606">
        <v>0</v>
      </c>
      <c r="T3606">
        <v>0</v>
      </c>
      <c r="U3606">
        <v>0</v>
      </c>
      <c r="W3606" t="s">
        <v>52</v>
      </c>
    </row>
    <row r="3607" spans="1:23" x14ac:dyDescent="0.35">
      <c r="A3607" t="s">
        <v>45</v>
      </c>
      <c r="B3607" t="s">
        <v>7218</v>
      </c>
      <c r="C3607" t="s">
        <v>60</v>
      </c>
      <c r="D3607" t="s">
        <v>61</v>
      </c>
      <c r="E3607" t="s">
        <v>61</v>
      </c>
      <c r="F3607" t="s">
        <v>54</v>
      </c>
      <c r="G3607" t="s">
        <v>7265</v>
      </c>
      <c r="H3607" t="s">
        <v>7266</v>
      </c>
      <c r="J3607" t="str">
        <f>HYPERLINK("https://www.facebook.com/634639855377280/posts/774483894726208?comment_id=759585619564834&amp;reply_comment_id=658147356354132","https://www.facebook.com/634639855377280/posts/774483894726208?comment_id=759585619564834&amp;reply_comment_id=658147356354132")</f>
        <v>https://www.facebook.com/634639855377280/posts/774483894726208?comment_id=759585619564834&amp;reply_comment_id=658147356354132</v>
      </c>
      <c r="O3607">
        <v>0</v>
      </c>
      <c r="P3607">
        <v>0</v>
      </c>
      <c r="Q3607">
        <v>0</v>
      </c>
      <c r="S3607">
        <v>0</v>
      </c>
      <c r="T3607">
        <v>0</v>
      </c>
      <c r="U3607">
        <v>0</v>
      </c>
      <c r="W3607" t="s">
        <v>52</v>
      </c>
    </row>
    <row r="3608" spans="1:23" x14ac:dyDescent="0.35">
      <c r="A3608" t="s">
        <v>45</v>
      </c>
      <c r="B3608" t="s">
        <v>7218</v>
      </c>
      <c r="C3608" t="s">
        <v>60</v>
      </c>
      <c r="D3608" t="s">
        <v>61</v>
      </c>
      <c r="E3608" t="s">
        <v>61</v>
      </c>
      <c r="F3608" t="s">
        <v>54</v>
      </c>
      <c r="G3608" t="s">
        <v>7267</v>
      </c>
      <c r="H3608" t="s">
        <v>7268</v>
      </c>
      <c r="J3608" t="str">
        <f>HYPERLINK("https://www.facebook.com/634639855377280/posts/774483894726208?comment_id=1390242061591380","https://www.facebook.com/634639855377280/posts/774483894726208?comment_id=1390242061591380")</f>
        <v>https://www.facebook.com/634639855377280/posts/774483894726208?comment_id=1390242061591380</v>
      </c>
      <c r="O3608">
        <v>0</v>
      </c>
      <c r="P3608">
        <v>0</v>
      </c>
      <c r="Q3608">
        <v>0</v>
      </c>
      <c r="S3608">
        <v>0</v>
      </c>
      <c r="T3608">
        <v>0</v>
      </c>
      <c r="U3608">
        <v>0</v>
      </c>
      <c r="W3608" t="s">
        <v>52</v>
      </c>
    </row>
    <row r="3609" spans="1:23" x14ac:dyDescent="0.35">
      <c r="A3609" t="s">
        <v>45</v>
      </c>
      <c r="B3609" t="s">
        <v>7218</v>
      </c>
      <c r="C3609" t="s">
        <v>60</v>
      </c>
      <c r="D3609" t="s">
        <v>61</v>
      </c>
      <c r="E3609" t="s">
        <v>61</v>
      </c>
      <c r="F3609" t="s">
        <v>49</v>
      </c>
      <c r="G3609" t="s">
        <v>7269</v>
      </c>
      <c r="H3609" t="s">
        <v>7270</v>
      </c>
      <c r="J3609" t="str">
        <f>HYPERLINK("https://www.facebook.com/634639855377280/posts/774412801399984?comment_id=947184750364614","https://www.facebook.com/634639855377280/posts/774412801399984?comment_id=947184750364614")</f>
        <v>https://www.facebook.com/634639855377280/posts/774412801399984?comment_id=947184750364614</v>
      </c>
      <c r="O3609">
        <v>0</v>
      </c>
      <c r="P3609">
        <v>0</v>
      </c>
      <c r="Q3609">
        <v>0</v>
      </c>
      <c r="S3609">
        <v>0</v>
      </c>
      <c r="T3609">
        <v>0</v>
      </c>
      <c r="U3609">
        <v>0</v>
      </c>
      <c r="W3609" t="s">
        <v>52</v>
      </c>
    </row>
    <row r="3610" spans="1:23" x14ac:dyDescent="0.35">
      <c r="A3610" t="s">
        <v>45</v>
      </c>
      <c r="B3610" t="s">
        <v>7218</v>
      </c>
      <c r="C3610" t="s">
        <v>60</v>
      </c>
      <c r="D3610" t="s">
        <v>61</v>
      </c>
      <c r="E3610" t="s">
        <v>61</v>
      </c>
      <c r="F3610" t="s">
        <v>49</v>
      </c>
      <c r="G3610" t="s">
        <v>7271</v>
      </c>
      <c r="H3610" t="s">
        <v>7272</v>
      </c>
      <c r="J3610" t="str">
        <f>HYPERLINK("https://www.facebook.com/634639855377280/posts/774412801399984?comment_id=266483972937987","https://www.facebook.com/634639855377280/posts/774412801399984?comment_id=266483972937987")</f>
        <v>https://www.facebook.com/634639855377280/posts/774412801399984?comment_id=266483972937987</v>
      </c>
      <c r="O3610">
        <v>0</v>
      </c>
      <c r="P3610">
        <v>0</v>
      </c>
      <c r="Q3610">
        <v>0</v>
      </c>
      <c r="S3610">
        <v>0</v>
      </c>
      <c r="T3610">
        <v>0</v>
      </c>
      <c r="U3610">
        <v>0</v>
      </c>
      <c r="W3610" t="s">
        <v>52</v>
      </c>
    </row>
    <row r="3611" spans="1:23" x14ac:dyDescent="0.35">
      <c r="A3611" t="s">
        <v>45</v>
      </c>
      <c r="B3611" t="s">
        <v>7218</v>
      </c>
      <c r="C3611" t="s">
        <v>60</v>
      </c>
      <c r="D3611" t="s">
        <v>61</v>
      </c>
      <c r="E3611" t="s">
        <v>61</v>
      </c>
      <c r="F3611" t="s">
        <v>49</v>
      </c>
      <c r="G3611" t="s">
        <v>7273</v>
      </c>
      <c r="H3611" t="s">
        <v>7274</v>
      </c>
      <c r="J3611" t="str">
        <f>HYPERLINK("https://www.facebook.com/634639855377280/posts/774412801399984?comment_id=1095087665007316","https://www.facebook.com/634639855377280/posts/774412801399984?comment_id=1095087665007316")</f>
        <v>https://www.facebook.com/634639855377280/posts/774412801399984?comment_id=1095087665007316</v>
      </c>
      <c r="O3611">
        <v>0</v>
      </c>
      <c r="P3611">
        <v>0</v>
      </c>
      <c r="Q3611">
        <v>0</v>
      </c>
      <c r="S3611">
        <v>0</v>
      </c>
      <c r="T3611">
        <v>0</v>
      </c>
      <c r="U3611">
        <v>0</v>
      </c>
      <c r="W3611" t="s">
        <v>52</v>
      </c>
    </row>
    <row r="3612" spans="1:23" x14ac:dyDescent="0.35">
      <c r="A3612" t="s">
        <v>45</v>
      </c>
      <c r="B3612" t="s">
        <v>7218</v>
      </c>
      <c r="C3612" t="s">
        <v>60</v>
      </c>
      <c r="D3612" t="s">
        <v>61</v>
      </c>
      <c r="E3612" t="s">
        <v>61</v>
      </c>
      <c r="F3612" t="s">
        <v>54</v>
      </c>
      <c r="G3612" t="s">
        <v>7275</v>
      </c>
      <c r="H3612" t="s">
        <v>7276</v>
      </c>
      <c r="J3612" t="str">
        <f>HYPERLINK("https://www.facebook.com/634639855377280/posts/774483894726208?comment_id=806379441502338","https://www.facebook.com/634639855377280/posts/774483894726208?comment_id=806379441502338")</f>
        <v>https://www.facebook.com/634639855377280/posts/774483894726208?comment_id=806379441502338</v>
      </c>
      <c r="O3612">
        <v>0</v>
      </c>
      <c r="P3612">
        <v>0</v>
      </c>
      <c r="Q3612">
        <v>0</v>
      </c>
      <c r="S3612">
        <v>0</v>
      </c>
      <c r="T3612">
        <v>0</v>
      </c>
      <c r="U3612">
        <v>0</v>
      </c>
      <c r="W3612" t="s">
        <v>52</v>
      </c>
    </row>
    <row r="3613" spans="1:23" x14ac:dyDescent="0.35">
      <c r="A3613" t="s">
        <v>45</v>
      </c>
      <c r="B3613" t="s">
        <v>7218</v>
      </c>
      <c r="C3613" t="s">
        <v>60</v>
      </c>
      <c r="D3613" t="s">
        <v>61</v>
      </c>
      <c r="E3613" t="s">
        <v>61</v>
      </c>
      <c r="F3613" t="s">
        <v>49</v>
      </c>
      <c r="G3613" t="s">
        <v>7277</v>
      </c>
      <c r="H3613" t="s">
        <v>7278</v>
      </c>
      <c r="J3613" t="str">
        <f>HYPERLINK("https://www.facebook.com/634639855377280/posts/774483894726208?comment_id=759585619564834","https://www.facebook.com/634639855377280/posts/774483894726208?comment_id=759585619564834")</f>
        <v>https://www.facebook.com/634639855377280/posts/774483894726208?comment_id=759585619564834</v>
      </c>
      <c r="O3613">
        <v>0</v>
      </c>
      <c r="P3613">
        <v>0</v>
      </c>
      <c r="Q3613">
        <v>0</v>
      </c>
      <c r="S3613">
        <v>0</v>
      </c>
      <c r="T3613">
        <v>0</v>
      </c>
      <c r="U3613">
        <v>0</v>
      </c>
      <c r="W3613" t="s">
        <v>52</v>
      </c>
    </row>
    <row r="3614" spans="1:23" x14ac:dyDescent="0.35">
      <c r="A3614" t="s">
        <v>45</v>
      </c>
      <c r="B3614" t="s">
        <v>7218</v>
      </c>
      <c r="C3614" t="s">
        <v>60</v>
      </c>
      <c r="D3614" t="s">
        <v>61</v>
      </c>
      <c r="E3614" t="s">
        <v>61</v>
      </c>
      <c r="F3614" t="s">
        <v>54</v>
      </c>
      <c r="G3614" t="s">
        <v>7279</v>
      </c>
      <c r="H3614" t="s">
        <v>7280</v>
      </c>
      <c r="J3614" t="str">
        <f>HYPERLINK("https://www.facebook.com/634639855377280/posts/774412801399984?comment_id=1454189205508317&amp;reply_comment_id=186727147833147","https://www.facebook.com/634639855377280/posts/774412801399984?comment_id=1454189205508317&amp;reply_comment_id=186727147833147")</f>
        <v>https://www.facebook.com/634639855377280/posts/774412801399984?comment_id=1454189205508317&amp;reply_comment_id=186727147833147</v>
      </c>
      <c r="O3614">
        <v>0</v>
      </c>
      <c r="P3614">
        <v>0</v>
      </c>
      <c r="Q3614">
        <v>0</v>
      </c>
      <c r="S3614">
        <v>0</v>
      </c>
      <c r="T3614">
        <v>0</v>
      </c>
      <c r="U3614">
        <v>0</v>
      </c>
      <c r="W3614" t="s">
        <v>52</v>
      </c>
    </row>
    <row r="3615" spans="1:23" x14ac:dyDescent="0.35">
      <c r="A3615" t="s">
        <v>45</v>
      </c>
      <c r="B3615" t="s">
        <v>7218</v>
      </c>
      <c r="C3615" t="s">
        <v>60</v>
      </c>
      <c r="D3615" t="s">
        <v>61</v>
      </c>
      <c r="E3615" t="s">
        <v>61</v>
      </c>
      <c r="F3615" t="s">
        <v>49</v>
      </c>
      <c r="G3615" t="s">
        <v>7281</v>
      </c>
      <c r="H3615" t="s">
        <v>7282</v>
      </c>
      <c r="J3615" t="str">
        <f>HYPERLINK("https://www.facebook.com/634639855377280/posts/773392231502041?comment_id=1289985901642635","https://www.facebook.com/634639855377280/posts/773392231502041?comment_id=1289985901642635")</f>
        <v>https://www.facebook.com/634639855377280/posts/773392231502041?comment_id=1289985901642635</v>
      </c>
      <c r="O3615">
        <v>0</v>
      </c>
      <c r="P3615">
        <v>0</v>
      </c>
      <c r="Q3615">
        <v>0</v>
      </c>
      <c r="S3615">
        <v>0</v>
      </c>
      <c r="T3615">
        <v>0</v>
      </c>
      <c r="U3615">
        <v>0</v>
      </c>
      <c r="W3615" t="s">
        <v>52</v>
      </c>
    </row>
    <row r="3616" spans="1:23" x14ac:dyDescent="0.35">
      <c r="A3616" t="s">
        <v>45</v>
      </c>
      <c r="B3616" t="s">
        <v>7218</v>
      </c>
      <c r="C3616" t="s">
        <v>60</v>
      </c>
      <c r="D3616" t="s">
        <v>61</v>
      </c>
      <c r="E3616" t="s">
        <v>61</v>
      </c>
      <c r="F3616" t="s">
        <v>49</v>
      </c>
      <c r="G3616" t="s">
        <v>7283</v>
      </c>
      <c r="H3616" t="s">
        <v>7284</v>
      </c>
      <c r="J3616" t="str">
        <f>HYPERLINK("https://www.facebook.com/634639855377280/posts/774483894726208?comment_id=1608008319961093","https://www.facebook.com/634639855377280/posts/774483894726208?comment_id=1608008319961093")</f>
        <v>https://www.facebook.com/634639855377280/posts/774483894726208?comment_id=1608008319961093</v>
      </c>
      <c r="O3616">
        <v>0</v>
      </c>
      <c r="P3616">
        <v>0</v>
      </c>
      <c r="Q3616">
        <v>0</v>
      </c>
      <c r="S3616">
        <v>0</v>
      </c>
      <c r="T3616">
        <v>0</v>
      </c>
      <c r="U3616">
        <v>0</v>
      </c>
      <c r="W3616" t="s">
        <v>52</v>
      </c>
    </row>
    <row r="3617" spans="1:23" x14ac:dyDescent="0.35">
      <c r="A3617" t="s">
        <v>45</v>
      </c>
      <c r="B3617" t="s">
        <v>7218</v>
      </c>
      <c r="C3617" t="s">
        <v>60</v>
      </c>
      <c r="D3617" t="s">
        <v>61</v>
      </c>
      <c r="E3617" t="s">
        <v>61</v>
      </c>
      <c r="F3617" t="s">
        <v>193</v>
      </c>
      <c r="G3617" t="s">
        <v>7285</v>
      </c>
      <c r="H3617" t="s">
        <v>7286</v>
      </c>
      <c r="J3617" t="str">
        <f>HYPERLINK("https://www.facebook.com/634639855377280/posts/774483894726208?comment_id=750425983627786","https://www.facebook.com/634639855377280/posts/774483894726208?comment_id=750425983627786")</f>
        <v>https://www.facebook.com/634639855377280/posts/774483894726208?comment_id=750425983627786</v>
      </c>
      <c r="O3617">
        <v>0</v>
      </c>
      <c r="P3617">
        <v>0</v>
      </c>
      <c r="Q3617">
        <v>0</v>
      </c>
      <c r="S3617">
        <v>0</v>
      </c>
      <c r="T3617">
        <v>0</v>
      </c>
      <c r="U3617">
        <v>0</v>
      </c>
      <c r="W3617" t="s">
        <v>52</v>
      </c>
    </row>
    <row r="3618" spans="1:23" x14ac:dyDescent="0.35">
      <c r="A3618" t="s">
        <v>45</v>
      </c>
      <c r="B3618" t="s">
        <v>7218</v>
      </c>
      <c r="C3618" t="s">
        <v>60</v>
      </c>
      <c r="D3618" t="s">
        <v>61</v>
      </c>
      <c r="E3618" t="s">
        <v>61</v>
      </c>
      <c r="F3618" t="s">
        <v>49</v>
      </c>
      <c r="G3618" t="s">
        <v>7287</v>
      </c>
      <c r="H3618" t="s">
        <v>7288</v>
      </c>
      <c r="J3618" t="str">
        <f>HYPERLINK("https://www.facebook.com/634639855377280/posts/774483894726208?comment_id=1031782627898709&amp;reply_comment_id=7072189759533022","https://www.facebook.com/634639855377280/posts/774483894726208?comment_id=1031782627898709&amp;reply_comment_id=7072189759533022")</f>
        <v>https://www.facebook.com/634639855377280/posts/774483894726208?comment_id=1031782627898709&amp;reply_comment_id=7072189759533022</v>
      </c>
      <c r="O3618">
        <v>0</v>
      </c>
      <c r="P3618">
        <v>0</v>
      </c>
      <c r="Q3618">
        <v>0</v>
      </c>
      <c r="S3618">
        <v>0</v>
      </c>
      <c r="T3618">
        <v>0</v>
      </c>
      <c r="U3618">
        <v>0</v>
      </c>
      <c r="W3618" t="s">
        <v>52</v>
      </c>
    </row>
    <row r="3619" spans="1:23" x14ac:dyDescent="0.35">
      <c r="A3619" t="s">
        <v>45</v>
      </c>
      <c r="B3619" t="s">
        <v>7218</v>
      </c>
      <c r="C3619" t="s">
        <v>60</v>
      </c>
      <c r="D3619" t="s">
        <v>61</v>
      </c>
      <c r="E3619" t="s">
        <v>61</v>
      </c>
      <c r="F3619" t="s">
        <v>49</v>
      </c>
      <c r="G3619" t="s">
        <v>7289</v>
      </c>
      <c r="H3619" t="s">
        <v>7290</v>
      </c>
      <c r="J3619" t="str">
        <f>HYPERLINK("https://www.facebook.com/634639855377280/posts/774483894726208?comment_id=737460438325756","https://www.facebook.com/634639855377280/posts/774483894726208?comment_id=737460438325756")</f>
        <v>https://www.facebook.com/634639855377280/posts/774483894726208?comment_id=737460438325756</v>
      </c>
      <c r="O3619">
        <v>0</v>
      </c>
      <c r="P3619">
        <v>0</v>
      </c>
      <c r="Q3619">
        <v>0</v>
      </c>
      <c r="S3619">
        <v>0</v>
      </c>
      <c r="T3619">
        <v>0</v>
      </c>
      <c r="U3619">
        <v>0</v>
      </c>
      <c r="W3619" t="s">
        <v>52</v>
      </c>
    </row>
    <row r="3620" spans="1:23" x14ac:dyDescent="0.35">
      <c r="A3620" t="s">
        <v>45</v>
      </c>
      <c r="B3620" t="s">
        <v>7218</v>
      </c>
      <c r="C3620" t="s">
        <v>60</v>
      </c>
      <c r="D3620" t="s">
        <v>61</v>
      </c>
      <c r="E3620" t="s">
        <v>61</v>
      </c>
      <c r="F3620" t="s">
        <v>49</v>
      </c>
      <c r="G3620" t="s">
        <v>7131</v>
      </c>
      <c r="H3620" t="s">
        <v>7291</v>
      </c>
      <c r="J3620" t="str">
        <f>HYPERLINK("https://www.facebook.com/634639855377280/posts/774483894726208?comment_id=369869668983860","https://www.facebook.com/634639855377280/posts/774483894726208?comment_id=369869668983860")</f>
        <v>https://www.facebook.com/634639855377280/posts/774483894726208?comment_id=369869668983860</v>
      </c>
      <c r="O3620">
        <v>0</v>
      </c>
      <c r="P3620">
        <v>0</v>
      </c>
      <c r="Q3620">
        <v>0</v>
      </c>
      <c r="S3620">
        <v>0</v>
      </c>
      <c r="T3620">
        <v>0</v>
      </c>
      <c r="U3620">
        <v>0</v>
      </c>
      <c r="W3620" t="s">
        <v>52</v>
      </c>
    </row>
    <row r="3621" spans="1:23" x14ac:dyDescent="0.35">
      <c r="A3621" t="s">
        <v>45</v>
      </c>
      <c r="B3621" t="s">
        <v>7218</v>
      </c>
      <c r="C3621" t="s">
        <v>60</v>
      </c>
      <c r="D3621" t="s">
        <v>61</v>
      </c>
      <c r="E3621" t="s">
        <v>61</v>
      </c>
      <c r="F3621" t="s">
        <v>49</v>
      </c>
      <c r="G3621" t="s">
        <v>7292</v>
      </c>
      <c r="H3621" t="s">
        <v>7293</v>
      </c>
      <c r="J3621" t="str">
        <f>HYPERLINK("https://www.facebook.com/634639855377280/posts/774483894726208?comment_id=954882512725327","https://www.facebook.com/634639855377280/posts/774483894726208?comment_id=954882512725327")</f>
        <v>https://www.facebook.com/634639855377280/posts/774483894726208?comment_id=954882512725327</v>
      </c>
      <c r="O3621">
        <v>0</v>
      </c>
      <c r="P3621">
        <v>0</v>
      </c>
      <c r="Q3621">
        <v>0</v>
      </c>
      <c r="S3621">
        <v>0</v>
      </c>
      <c r="T3621">
        <v>0</v>
      </c>
      <c r="U3621">
        <v>0</v>
      </c>
      <c r="W3621" t="s">
        <v>52</v>
      </c>
    </row>
    <row r="3622" spans="1:23" x14ac:dyDescent="0.35">
      <c r="A3622" t="s">
        <v>45</v>
      </c>
      <c r="B3622" t="s">
        <v>7218</v>
      </c>
      <c r="C3622" t="s">
        <v>60</v>
      </c>
      <c r="D3622" t="s">
        <v>61</v>
      </c>
      <c r="E3622" t="s">
        <v>61</v>
      </c>
      <c r="F3622" t="s">
        <v>49</v>
      </c>
      <c r="G3622" t="s">
        <v>7294</v>
      </c>
      <c r="H3622" t="s">
        <v>7295</v>
      </c>
      <c r="J3622" t="str">
        <f>HYPERLINK("https://www.facebook.com/634639855377280/posts/774483894726208?comment_id=1031782627898709&amp;reply_comment_id=3531710843806102","https://www.facebook.com/634639855377280/posts/774483894726208?comment_id=1031782627898709&amp;reply_comment_id=3531710843806102")</f>
        <v>https://www.facebook.com/634639855377280/posts/774483894726208?comment_id=1031782627898709&amp;reply_comment_id=3531710843806102</v>
      </c>
      <c r="O3622">
        <v>0</v>
      </c>
      <c r="P3622">
        <v>0</v>
      </c>
      <c r="Q3622">
        <v>0</v>
      </c>
      <c r="S3622">
        <v>0</v>
      </c>
      <c r="T3622">
        <v>0</v>
      </c>
      <c r="U3622">
        <v>0</v>
      </c>
      <c r="W3622" t="s">
        <v>52</v>
      </c>
    </row>
    <row r="3623" spans="1:23" x14ac:dyDescent="0.35">
      <c r="A3623" t="s">
        <v>45</v>
      </c>
      <c r="B3623" t="s">
        <v>7218</v>
      </c>
      <c r="C3623" t="s">
        <v>60</v>
      </c>
      <c r="D3623" t="s">
        <v>61</v>
      </c>
      <c r="E3623" t="s">
        <v>61</v>
      </c>
      <c r="F3623" t="s">
        <v>49</v>
      </c>
      <c r="G3623" t="s">
        <v>7296</v>
      </c>
      <c r="H3623" t="s">
        <v>7297</v>
      </c>
      <c r="J3623" t="str">
        <f>HYPERLINK("https://www.facebook.com/634639855377280/posts/774412801399984?comment_id=1125637758624247","https://www.facebook.com/634639855377280/posts/774412801399984?comment_id=1125637758624247")</f>
        <v>https://www.facebook.com/634639855377280/posts/774412801399984?comment_id=1125637758624247</v>
      </c>
      <c r="O3623">
        <v>0</v>
      </c>
      <c r="P3623">
        <v>0</v>
      </c>
      <c r="Q3623">
        <v>0</v>
      </c>
      <c r="S3623">
        <v>0</v>
      </c>
      <c r="T3623">
        <v>0</v>
      </c>
      <c r="U3623">
        <v>0</v>
      </c>
      <c r="W3623" t="s">
        <v>52</v>
      </c>
    </row>
    <row r="3624" spans="1:23" x14ac:dyDescent="0.35">
      <c r="A3624" t="s">
        <v>45</v>
      </c>
      <c r="B3624" t="s">
        <v>7218</v>
      </c>
      <c r="C3624" t="s">
        <v>60</v>
      </c>
      <c r="D3624" t="s">
        <v>61</v>
      </c>
      <c r="E3624" t="s">
        <v>61</v>
      </c>
      <c r="F3624" t="s">
        <v>49</v>
      </c>
      <c r="G3624" t="s">
        <v>7298</v>
      </c>
      <c r="H3624" t="s">
        <v>7299</v>
      </c>
      <c r="J3624" t="str">
        <f>HYPERLINK("https://www.facebook.com/634639855377280/posts/774483894726208?comment_id=903068198493608","https://www.facebook.com/634639855377280/posts/774483894726208?comment_id=903068198493608")</f>
        <v>https://www.facebook.com/634639855377280/posts/774483894726208?comment_id=903068198493608</v>
      </c>
      <c r="O3624">
        <v>0</v>
      </c>
      <c r="P3624">
        <v>0</v>
      </c>
      <c r="Q3624">
        <v>0</v>
      </c>
      <c r="S3624">
        <v>0</v>
      </c>
      <c r="T3624">
        <v>0</v>
      </c>
      <c r="U3624">
        <v>0</v>
      </c>
      <c r="W3624" t="s">
        <v>52</v>
      </c>
    </row>
    <row r="3625" spans="1:23" x14ac:dyDescent="0.35">
      <c r="A3625" t="s">
        <v>45</v>
      </c>
      <c r="B3625" t="s">
        <v>7218</v>
      </c>
      <c r="C3625" t="s">
        <v>60</v>
      </c>
      <c r="D3625" t="s">
        <v>61</v>
      </c>
      <c r="E3625" t="s">
        <v>61</v>
      </c>
      <c r="F3625" t="s">
        <v>49</v>
      </c>
      <c r="G3625" t="s">
        <v>7300</v>
      </c>
      <c r="H3625" t="s">
        <v>7301</v>
      </c>
      <c r="J3625" t="str">
        <f>HYPERLINK("https://www.facebook.com/634639855377280/posts/774483894726208?comment_id=288718490855880","https://www.facebook.com/634639855377280/posts/774483894726208?comment_id=288718490855880")</f>
        <v>https://www.facebook.com/634639855377280/posts/774483894726208?comment_id=288718490855880</v>
      </c>
      <c r="O3625">
        <v>0</v>
      </c>
      <c r="P3625">
        <v>0</v>
      </c>
      <c r="Q3625">
        <v>0</v>
      </c>
      <c r="S3625">
        <v>0</v>
      </c>
      <c r="T3625">
        <v>0</v>
      </c>
      <c r="U3625">
        <v>0</v>
      </c>
      <c r="W3625" t="s">
        <v>52</v>
      </c>
    </row>
    <row r="3626" spans="1:23" x14ac:dyDescent="0.35">
      <c r="A3626" t="s">
        <v>45</v>
      </c>
      <c r="B3626" t="s">
        <v>7218</v>
      </c>
      <c r="C3626" t="s">
        <v>60</v>
      </c>
      <c r="D3626" t="s">
        <v>61</v>
      </c>
      <c r="E3626" t="s">
        <v>61</v>
      </c>
      <c r="F3626" t="s">
        <v>49</v>
      </c>
      <c r="G3626" t="s">
        <v>7302</v>
      </c>
      <c r="H3626" t="s">
        <v>7303</v>
      </c>
      <c r="J3626" t="str">
        <f>HYPERLINK("https://www.facebook.com/634639855377280/posts/774412801399984?comment_id=897284868437816&amp;reply_comment_id=1055801685678399","https://www.facebook.com/634639855377280/posts/774412801399984?comment_id=897284868437816&amp;reply_comment_id=1055801685678399")</f>
        <v>https://www.facebook.com/634639855377280/posts/774412801399984?comment_id=897284868437816&amp;reply_comment_id=1055801685678399</v>
      </c>
      <c r="O3626">
        <v>0</v>
      </c>
      <c r="P3626">
        <v>0</v>
      </c>
      <c r="Q3626">
        <v>0</v>
      </c>
      <c r="S3626">
        <v>0</v>
      </c>
      <c r="T3626">
        <v>0</v>
      </c>
      <c r="U3626">
        <v>0</v>
      </c>
      <c r="W3626" t="s">
        <v>52</v>
      </c>
    </row>
    <row r="3627" spans="1:23" x14ac:dyDescent="0.35">
      <c r="A3627" t="s">
        <v>45</v>
      </c>
      <c r="B3627" t="s">
        <v>7218</v>
      </c>
      <c r="C3627" t="s">
        <v>60</v>
      </c>
      <c r="D3627" t="s">
        <v>61</v>
      </c>
      <c r="E3627" t="s">
        <v>61</v>
      </c>
      <c r="F3627" t="s">
        <v>49</v>
      </c>
      <c r="G3627" t="s">
        <v>7298</v>
      </c>
      <c r="H3627" t="s">
        <v>7304</v>
      </c>
      <c r="J3627" t="str">
        <f>HYPERLINK("https://www.facebook.com/634639855377280/posts/774483894726208?comment_id=1135184754513648","https://www.facebook.com/634639855377280/posts/774483894726208?comment_id=1135184754513648")</f>
        <v>https://www.facebook.com/634639855377280/posts/774483894726208?comment_id=1135184754513648</v>
      </c>
      <c r="O3627">
        <v>0</v>
      </c>
      <c r="P3627">
        <v>0</v>
      </c>
      <c r="Q3627">
        <v>0</v>
      </c>
      <c r="S3627">
        <v>0</v>
      </c>
      <c r="T3627">
        <v>0</v>
      </c>
      <c r="U3627">
        <v>0</v>
      </c>
      <c r="W3627" t="s">
        <v>52</v>
      </c>
    </row>
    <row r="3628" spans="1:23" x14ac:dyDescent="0.35">
      <c r="A3628" t="s">
        <v>45</v>
      </c>
      <c r="B3628" t="s">
        <v>7218</v>
      </c>
      <c r="C3628" t="s">
        <v>60</v>
      </c>
      <c r="D3628" t="s">
        <v>61</v>
      </c>
      <c r="E3628" t="s">
        <v>61</v>
      </c>
      <c r="F3628" t="s">
        <v>49</v>
      </c>
      <c r="G3628" t="s">
        <v>7305</v>
      </c>
      <c r="H3628" t="s">
        <v>7306</v>
      </c>
      <c r="J3628" t="str">
        <f>HYPERLINK("https://www.facebook.com/634639855377280/posts/774483894726208?comment_id=1654479835086349","https://www.facebook.com/634639855377280/posts/774483894726208?comment_id=1654479835086349")</f>
        <v>https://www.facebook.com/634639855377280/posts/774483894726208?comment_id=1654479835086349</v>
      </c>
      <c r="O3628">
        <v>0</v>
      </c>
      <c r="P3628">
        <v>0</v>
      </c>
      <c r="Q3628">
        <v>0</v>
      </c>
      <c r="S3628">
        <v>0</v>
      </c>
      <c r="T3628">
        <v>0</v>
      </c>
      <c r="U3628">
        <v>0</v>
      </c>
      <c r="W3628" t="s">
        <v>52</v>
      </c>
    </row>
    <row r="3629" spans="1:23" x14ac:dyDescent="0.35">
      <c r="A3629" t="s">
        <v>45</v>
      </c>
      <c r="B3629" t="s">
        <v>7218</v>
      </c>
      <c r="C3629" t="s">
        <v>60</v>
      </c>
      <c r="D3629" t="s">
        <v>61</v>
      </c>
      <c r="E3629" t="s">
        <v>61</v>
      </c>
      <c r="F3629" t="s">
        <v>49</v>
      </c>
      <c r="G3629" t="s">
        <v>7307</v>
      </c>
      <c r="H3629" t="s">
        <v>7308</v>
      </c>
      <c r="J3629" t="str">
        <f>HYPERLINK("https://www.facebook.com/634639855377280/posts/774483894726208?comment_id=883924896770409","https://www.facebook.com/634639855377280/posts/774483894726208?comment_id=883924896770409")</f>
        <v>https://www.facebook.com/634639855377280/posts/774483894726208?comment_id=883924896770409</v>
      </c>
      <c r="O3629">
        <v>0</v>
      </c>
      <c r="P3629">
        <v>0</v>
      </c>
      <c r="Q3629">
        <v>0</v>
      </c>
      <c r="S3629">
        <v>0</v>
      </c>
      <c r="T3629">
        <v>0</v>
      </c>
      <c r="U3629">
        <v>0</v>
      </c>
      <c r="W3629" t="s">
        <v>52</v>
      </c>
    </row>
    <row r="3630" spans="1:23" x14ac:dyDescent="0.35">
      <c r="A3630" t="s">
        <v>45</v>
      </c>
      <c r="B3630" t="s">
        <v>7218</v>
      </c>
      <c r="C3630" t="s">
        <v>60</v>
      </c>
      <c r="D3630" t="s">
        <v>61</v>
      </c>
      <c r="E3630" t="s">
        <v>61</v>
      </c>
      <c r="F3630" t="s">
        <v>49</v>
      </c>
      <c r="G3630" t="s">
        <v>7309</v>
      </c>
      <c r="H3630" t="s">
        <v>7310</v>
      </c>
      <c r="J3630" t="str">
        <f>HYPERLINK("https://www.facebook.com/634639855377280/posts/774412801399984?comment_id=366536942789512","https://www.facebook.com/634639855377280/posts/774412801399984?comment_id=366536942789512")</f>
        <v>https://www.facebook.com/634639855377280/posts/774412801399984?comment_id=366536942789512</v>
      </c>
      <c r="O3630">
        <v>0</v>
      </c>
      <c r="P3630">
        <v>0</v>
      </c>
      <c r="Q3630">
        <v>0</v>
      </c>
      <c r="S3630">
        <v>0</v>
      </c>
      <c r="T3630">
        <v>0</v>
      </c>
      <c r="U3630">
        <v>0</v>
      </c>
      <c r="W3630" t="s">
        <v>52</v>
      </c>
    </row>
    <row r="3631" spans="1:23" x14ac:dyDescent="0.35">
      <c r="A3631" t="s">
        <v>45</v>
      </c>
      <c r="B3631" t="s">
        <v>7218</v>
      </c>
      <c r="C3631" t="s">
        <v>60</v>
      </c>
      <c r="D3631" t="s">
        <v>64</v>
      </c>
      <c r="E3631" t="s">
        <v>64</v>
      </c>
      <c r="F3631" t="s">
        <v>49</v>
      </c>
      <c r="G3631" t="s">
        <v>100</v>
      </c>
      <c r="H3631" t="s">
        <v>7311</v>
      </c>
      <c r="J3631" t="str">
        <f>HYPERLINK("https://www.facebook.com/634639855377280/posts/771990234975574?comment_id=1028392611565724&amp;reply_comment_id=403911635390926","https://www.facebook.com/634639855377280/posts/771990234975574?comment_id=1028392611565724&amp;reply_comment_id=403911635390926")</f>
        <v>https://www.facebook.com/634639855377280/posts/771990234975574?comment_id=1028392611565724&amp;reply_comment_id=403911635390926</v>
      </c>
      <c r="K3631" t="s">
        <v>67</v>
      </c>
      <c r="O3631">
        <v>0</v>
      </c>
      <c r="P3631">
        <v>0</v>
      </c>
      <c r="Q3631">
        <v>0</v>
      </c>
      <c r="S3631">
        <v>0</v>
      </c>
      <c r="T3631">
        <v>0</v>
      </c>
      <c r="U3631">
        <v>0</v>
      </c>
      <c r="W3631" t="s">
        <v>52</v>
      </c>
    </row>
    <row r="3632" spans="1:23" x14ac:dyDescent="0.35">
      <c r="A3632" t="s">
        <v>45</v>
      </c>
      <c r="B3632" t="s">
        <v>7218</v>
      </c>
      <c r="C3632" t="s">
        <v>60</v>
      </c>
      <c r="D3632" t="s">
        <v>64</v>
      </c>
      <c r="E3632" t="s">
        <v>64</v>
      </c>
      <c r="F3632" t="s">
        <v>49</v>
      </c>
      <c r="G3632" t="s">
        <v>3773</v>
      </c>
      <c r="H3632" t="s">
        <v>7312</v>
      </c>
      <c r="J3632" t="str">
        <f>HYPERLINK("https://www.facebook.com/634639855377280/posts/774412801399984?comment_id=1056918898950408&amp;reply_comment_id=947830603613462","https://www.facebook.com/634639855377280/posts/774412801399984?comment_id=1056918898950408&amp;reply_comment_id=947830603613462")</f>
        <v>https://www.facebook.com/634639855377280/posts/774412801399984?comment_id=1056918898950408&amp;reply_comment_id=947830603613462</v>
      </c>
      <c r="K3632" t="s">
        <v>67</v>
      </c>
      <c r="O3632">
        <v>0</v>
      </c>
      <c r="P3632">
        <v>0</v>
      </c>
      <c r="Q3632">
        <v>0</v>
      </c>
      <c r="S3632">
        <v>0</v>
      </c>
      <c r="T3632">
        <v>0</v>
      </c>
      <c r="U3632">
        <v>0</v>
      </c>
      <c r="W3632" t="s">
        <v>52</v>
      </c>
    </row>
    <row r="3633" spans="1:23" x14ac:dyDescent="0.35">
      <c r="A3633" t="s">
        <v>45</v>
      </c>
      <c r="B3633" t="s">
        <v>7218</v>
      </c>
      <c r="C3633" t="s">
        <v>93</v>
      </c>
      <c r="D3633" t="s">
        <v>94</v>
      </c>
      <c r="E3633" t="s">
        <v>45</v>
      </c>
      <c r="F3633" t="s">
        <v>49</v>
      </c>
      <c r="G3633" t="s">
        <v>7313</v>
      </c>
      <c r="H3633" t="s">
        <v>7314</v>
      </c>
      <c r="J3633" t="str">
        <f>HYPERLINK("https://twitter.com/SpiceMoneyIndia/status/1747961658398376000","https://twitter.com/SpiceMoneyIndia/status/1747961658398376000")</f>
        <v>https://twitter.com/SpiceMoneyIndia/status/1747961658398376000</v>
      </c>
      <c r="K3633" t="s">
        <v>67</v>
      </c>
      <c r="O3633">
        <v>0</v>
      </c>
      <c r="P3633">
        <v>0</v>
      </c>
      <c r="Q3633">
        <v>6002</v>
      </c>
      <c r="R3633" t="s">
        <v>97</v>
      </c>
      <c r="S3633">
        <v>0</v>
      </c>
      <c r="T3633">
        <v>0</v>
      </c>
      <c r="U3633">
        <v>0</v>
      </c>
      <c r="V3633" t="s">
        <v>98</v>
      </c>
      <c r="W3633" t="s">
        <v>99</v>
      </c>
    </row>
    <row r="3634" spans="1:23" x14ac:dyDescent="0.35">
      <c r="A3634" t="s">
        <v>45</v>
      </c>
      <c r="B3634" t="s">
        <v>7218</v>
      </c>
      <c r="C3634" t="s">
        <v>60</v>
      </c>
      <c r="D3634" t="s">
        <v>61</v>
      </c>
      <c r="E3634" t="s">
        <v>61</v>
      </c>
      <c r="F3634" t="s">
        <v>49</v>
      </c>
      <c r="G3634" t="s">
        <v>7315</v>
      </c>
      <c r="H3634" t="s">
        <v>7316</v>
      </c>
      <c r="J3634" t="str">
        <f>HYPERLINK("https://www.facebook.com/634639855377280/posts/774412801399984?comment_id=1056918898950408","https://www.facebook.com/634639855377280/posts/774412801399984?comment_id=1056918898950408")</f>
        <v>https://www.facebook.com/634639855377280/posts/774412801399984?comment_id=1056918898950408</v>
      </c>
      <c r="O3634">
        <v>0</v>
      </c>
      <c r="P3634">
        <v>0</v>
      </c>
      <c r="Q3634">
        <v>0</v>
      </c>
      <c r="S3634">
        <v>0</v>
      </c>
      <c r="T3634">
        <v>0</v>
      </c>
      <c r="U3634">
        <v>0</v>
      </c>
      <c r="W3634" t="s">
        <v>52</v>
      </c>
    </row>
    <row r="3635" spans="1:23" x14ac:dyDescent="0.35">
      <c r="A3635" t="s">
        <v>45</v>
      </c>
      <c r="B3635" t="s">
        <v>7218</v>
      </c>
      <c r="C3635" t="s">
        <v>60</v>
      </c>
      <c r="D3635" t="s">
        <v>64</v>
      </c>
      <c r="E3635" t="s">
        <v>64</v>
      </c>
      <c r="F3635" t="s">
        <v>49</v>
      </c>
      <c r="G3635" t="s">
        <v>83</v>
      </c>
      <c r="H3635" t="s">
        <v>7317</v>
      </c>
      <c r="J3635" t="str">
        <f>HYPERLINK("https://www.facebook.com/634639855377280/posts/771990234975574?comment_id=3408740329456751&amp;reply_comment_id=372540522047804","https://www.facebook.com/634639855377280/posts/771990234975574?comment_id=3408740329456751&amp;reply_comment_id=372540522047804")</f>
        <v>https://www.facebook.com/634639855377280/posts/771990234975574?comment_id=3408740329456751&amp;reply_comment_id=372540522047804</v>
      </c>
      <c r="K3635" t="s">
        <v>67</v>
      </c>
      <c r="O3635">
        <v>0</v>
      </c>
      <c r="P3635">
        <v>0</v>
      </c>
      <c r="Q3635">
        <v>0</v>
      </c>
      <c r="S3635">
        <v>0</v>
      </c>
      <c r="T3635">
        <v>0</v>
      </c>
      <c r="U3635">
        <v>0</v>
      </c>
      <c r="W3635" t="s">
        <v>52</v>
      </c>
    </row>
    <row r="3636" spans="1:23" x14ac:dyDescent="0.35">
      <c r="A3636" t="s">
        <v>45</v>
      </c>
      <c r="B3636" t="s">
        <v>7218</v>
      </c>
      <c r="C3636" t="s">
        <v>60</v>
      </c>
      <c r="D3636" t="s">
        <v>64</v>
      </c>
      <c r="E3636" t="s">
        <v>64</v>
      </c>
      <c r="F3636" t="s">
        <v>49</v>
      </c>
      <c r="G3636" t="s">
        <v>270</v>
      </c>
      <c r="H3636" t="s">
        <v>7318</v>
      </c>
      <c r="J3636" t="str">
        <f>HYPERLINK("https://www.facebook.com/634639855377280/posts/771990234975574?comment_id=217800328068738&amp;reply_comment_id=2030589920661189","https://www.facebook.com/634639855377280/posts/771990234975574?comment_id=217800328068738&amp;reply_comment_id=2030589920661189")</f>
        <v>https://www.facebook.com/634639855377280/posts/771990234975574?comment_id=217800328068738&amp;reply_comment_id=2030589920661189</v>
      </c>
      <c r="K3636" t="s">
        <v>67</v>
      </c>
      <c r="O3636">
        <v>0</v>
      </c>
      <c r="P3636">
        <v>0</v>
      </c>
      <c r="Q3636">
        <v>0</v>
      </c>
      <c r="S3636">
        <v>0</v>
      </c>
      <c r="T3636">
        <v>0</v>
      </c>
      <c r="U3636">
        <v>0</v>
      </c>
      <c r="W3636" t="s">
        <v>52</v>
      </c>
    </row>
    <row r="3637" spans="1:23" x14ac:dyDescent="0.35">
      <c r="A3637" t="s">
        <v>45</v>
      </c>
      <c r="B3637" t="s">
        <v>7218</v>
      </c>
      <c r="C3637" t="s">
        <v>60</v>
      </c>
      <c r="D3637" t="s">
        <v>64</v>
      </c>
      <c r="E3637" t="s">
        <v>64</v>
      </c>
      <c r="F3637" t="s">
        <v>49</v>
      </c>
      <c r="G3637" t="s">
        <v>3357</v>
      </c>
      <c r="H3637" t="s">
        <v>7319</v>
      </c>
      <c r="J3637" t="str">
        <f>HYPERLINK("https://www.facebook.com/634639855377280/posts/774412801399984?comment_id=1454189205508317&amp;reply_comment_id=1767849907011804","https://www.facebook.com/634639855377280/posts/774412801399984?comment_id=1454189205508317&amp;reply_comment_id=1767849907011804")</f>
        <v>https://www.facebook.com/634639855377280/posts/774412801399984?comment_id=1454189205508317&amp;reply_comment_id=1767849907011804</v>
      </c>
      <c r="K3637" t="s">
        <v>67</v>
      </c>
      <c r="O3637">
        <v>0</v>
      </c>
      <c r="P3637">
        <v>0</v>
      </c>
      <c r="Q3637">
        <v>0</v>
      </c>
      <c r="S3637">
        <v>0</v>
      </c>
      <c r="T3637">
        <v>0</v>
      </c>
      <c r="U3637">
        <v>0</v>
      </c>
      <c r="W3637" t="s">
        <v>52</v>
      </c>
    </row>
    <row r="3638" spans="1:23" x14ac:dyDescent="0.35">
      <c r="A3638" t="s">
        <v>45</v>
      </c>
      <c r="B3638" t="s">
        <v>7218</v>
      </c>
      <c r="C3638" t="s">
        <v>60</v>
      </c>
      <c r="D3638" t="s">
        <v>64</v>
      </c>
      <c r="E3638" t="s">
        <v>64</v>
      </c>
      <c r="F3638" t="s">
        <v>49</v>
      </c>
      <c r="G3638" t="s">
        <v>3773</v>
      </c>
      <c r="H3638" t="s">
        <v>7320</v>
      </c>
      <c r="J3638" t="str">
        <f>HYPERLINK("https://www.facebook.com/634639855377280/posts/774412801399984?comment_id=897284868437816&amp;reply_comment_id=709991657573867","https://www.facebook.com/634639855377280/posts/774412801399984?comment_id=897284868437816&amp;reply_comment_id=709991657573867")</f>
        <v>https://www.facebook.com/634639855377280/posts/774412801399984?comment_id=897284868437816&amp;reply_comment_id=709991657573867</v>
      </c>
      <c r="K3638" t="s">
        <v>67</v>
      </c>
      <c r="O3638">
        <v>0</v>
      </c>
      <c r="P3638">
        <v>0</v>
      </c>
      <c r="Q3638">
        <v>0</v>
      </c>
      <c r="S3638">
        <v>0</v>
      </c>
      <c r="T3638">
        <v>0</v>
      </c>
      <c r="U3638">
        <v>0</v>
      </c>
      <c r="W3638" t="s">
        <v>52</v>
      </c>
    </row>
    <row r="3639" spans="1:23" x14ac:dyDescent="0.35">
      <c r="A3639" t="s">
        <v>45</v>
      </c>
      <c r="B3639" t="s">
        <v>7218</v>
      </c>
      <c r="C3639" t="s">
        <v>60</v>
      </c>
      <c r="D3639" t="s">
        <v>64</v>
      </c>
      <c r="E3639" t="s">
        <v>64</v>
      </c>
      <c r="F3639" t="s">
        <v>49</v>
      </c>
      <c r="G3639" t="s">
        <v>6601</v>
      </c>
      <c r="H3639" t="s">
        <v>7321</v>
      </c>
      <c r="J3639" t="str">
        <f>HYPERLINK("https://www.facebook.com/634639855377280/posts/774412801399984?comment_id=1101485567540550&amp;reply_comment_id=365358896201223","https://www.facebook.com/634639855377280/posts/774412801399984?comment_id=1101485567540550&amp;reply_comment_id=365358896201223")</f>
        <v>https://www.facebook.com/634639855377280/posts/774412801399984?comment_id=1101485567540550&amp;reply_comment_id=365358896201223</v>
      </c>
      <c r="K3639" t="s">
        <v>67</v>
      </c>
      <c r="O3639">
        <v>0</v>
      </c>
      <c r="P3639">
        <v>0</v>
      </c>
      <c r="Q3639">
        <v>0</v>
      </c>
      <c r="S3639">
        <v>0</v>
      </c>
      <c r="T3639">
        <v>0</v>
      </c>
      <c r="U3639">
        <v>0</v>
      </c>
      <c r="W3639" t="s">
        <v>52</v>
      </c>
    </row>
    <row r="3640" spans="1:23" x14ac:dyDescent="0.35">
      <c r="A3640" t="s">
        <v>45</v>
      </c>
      <c r="B3640" t="s">
        <v>7218</v>
      </c>
      <c r="C3640" t="s">
        <v>60</v>
      </c>
      <c r="D3640" t="s">
        <v>64</v>
      </c>
      <c r="E3640" t="s">
        <v>64</v>
      </c>
      <c r="F3640" t="s">
        <v>49</v>
      </c>
      <c r="G3640" t="s">
        <v>3773</v>
      </c>
      <c r="H3640" t="s">
        <v>7322</v>
      </c>
      <c r="J3640" t="str">
        <f>HYPERLINK("https://www.facebook.com/634639855377280/posts/774412801399984?comment_id=1112125470145084&amp;reply_comment_id=1802103106929688","https://www.facebook.com/634639855377280/posts/774412801399984?comment_id=1112125470145084&amp;reply_comment_id=1802103106929688")</f>
        <v>https://www.facebook.com/634639855377280/posts/774412801399984?comment_id=1112125470145084&amp;reply_comment_id=1802103106929688</v>
      </c>
      <c r="K3640" t="s">
        <v>67</v>
      </c>
      <c r="O3640">
        <v>0</v>
      </c>
      <c r="P3640">
        <v>0</v>
      </c>
      <c r="Q3640">
        <v>0</v>
      </c>
      <c r="S3640">
        <v>0</v>
      </c>
      <c r="T3640">
        <v>0</v>
      </c>
      <c r="U3640">
        <v>0</v>
      </c>
      <c r="W3640" t="s">
        <v>52</v>
      </c>
    </row>
    <row r="3641" spans="1:23" x14ac:dyDescent="0.35">
      <c r="A3641" t="s">
        <v>45</v>
      </c>
      <c r="B3641" t="s">
        <v>7218</v>
      </c>
      <c r="C3641" t="s">
        <v>60</v>
      </c>
      <c r="D3641" t="s">
        <v>64</v>
      </c>
      <c r="E3641" t="s">
        <v>64</v>
      </c>
      <c r="F3641" t="s">
        <v>49</v>
      </c>
      <c r="G3641" t="s">
        <v>3138</v>
      </c>
      <c r="H3641" t="s">
        <v>7323</v>
      </c>
      <c r="J3641" t="str">
        <f>HYPERLINK("https://www.facebook.com/634639855377280/posts/774483894726208?comment_id=1031782627898709&amp;reply_comment_id=939578584392364","https://www.facebook.com/634639855377280/posts/774483894726208?comment_id=1031782627898709&amp;reply_comment_id=939578584392364")</f>
        <v>https://www.facebook.com/634639855377280/posts/774483894726208?comment_id=1031782627898709&amp;reply_comment_id=939578584392364</v>
      </c>
      <c r="K3641" t="s">
        <v>67</v>
      </c>
      <c r="O3641">
        <v>0</v>
      </c>
      <c r="P3641">
        <v>0</v>
      </c>
      <c r="Q3641">
        <v>0</v>
      </c>
      <c r="S3641">
        <v>0</v>
      </c>
      <c r="T3641">
        <v>0</v>
      </c>
      <c r="U3641">
        <v>0</v>
      </c>
      <c r="W3641" t="s">
        <v>52</v>
      </c>
    </row>
    <row r="3642" spans="1:23" x14ac:dyDescent="0.35">
      <c r="A3642" t="s">
        <v>45</v>
      </c>
      <c r="B3642" t="s">
        <v>7218</v>
      </c>
      <c r="C3642" t="s">
        <v>60</v>
      </c>
      <c r="D3642" t="s">
        <v>64</v>
      </c>
      <c r="E3642" t="s">
        <v>64</v>
      </c>
      <c r="F3642" t="s">
        <v>49</v>
      </c>
      <c r="G3642" t="s">
        <v>380</v>
      </c>
      <c r="H3642" t="s">
        <v>7324</v>
      </c>
      <c r="J3642" t="str">
        <f>HYPERLINK("https://www.facebook.com/634639855377280/posts/774483894726208?comment_id=907931110746826&amp;reply_comment_id=752784620105002","https://www.facebook.com/634639855377280/posts/774483894726208?comment_id=907931110746826&amp;reply_comment_id=752784620105002")</f>
        <v>https://www.facebook.com/634639855377280/posts/774483894726208?comment_id=907931110746826&amp;reply_comment_id=752784620105002</v>
      </c>
      <c r="K3642" t="s">
        <v>67</v>
      </c>
      <c r="O3642">
        <v>0</v>
      </c>
      <c r="P3642">
        <v>0</v>
      </c>
      <c r="Q3642">
        <v>0</v>
      </c>
      <c r="S3642">
        <v>0</v>
      </c>
      <c r="T3642">
        <v>0</v>
      </c>
      <c r="U3642">
        <v>0</v>
      </c>
      <c r="W3642" t="s">
        <v>52</v>
      </c>
    </row>
    <row r="3643" spans="1:23" x14ac:dyDescent="0.35">
      <c r="A3643" t="s">
        <v>45</v>
      </c>
      <c r="B3643" t="s">
        <v>7218</v>
      </c>
      <c r="C3643" t="s">
        <v>60</v>
      </c>
      <c r="D3643" t="s">
        <v>64</v>
      </c>
      <c r="E3643" t="s">
        <v>64</v>
      </c>
      <c r="F3643" t="s">
        <v>49</v>
      </c>
      <c r="G3643" t="s">
        <v>3537</v>
      </c>
      <c r="H3643" t="s">
        <v>7325</v>
      </c>
      <c r="J3643" t="str">
        <f>HYPERLINK("https://www.facebook.com/634639855377280/posts/774483894726208?comment_id=371450405494423&amp;reply_comment_id=938607047855008","https://www.facebook.com/634639855377280/posts/774483894726208?comment_id=371450405494423&amp;reply_comment_id=938607047855008")</f>
        <v>https://www.facebook.com/634639855377280/posts/774483894726208?comment_id=371450405494423&amp;reply_comment_id=938607047855008</v>
      </c>
      <c r="K3643" t="s">
        <v>67</v>
      </c>
      <c r="O3643">
        <v>0</v>
      </c>
      <c r="P3643">
        <v>0</v>
      </c>
      <c r="Q3643">
        <v>0</v>
      </c>
      <c r="S3643">
        <v>0</v>
      </c>
      <c r="T3643">
        <v>0</v>
      </c>
      <c r="U3643">
        <v>0</v>
      </c>
      <c r="W3643" t="s">
        <v>52</v>
      </c>
    </row>
    <row r="3644" spans="1:23" x14ac:dyDescent="0.35">
      <c r="A3644" t="s">
        <v>45</v>
      </c>
      <c r="B3644" t="s">
        <v>7218</v>
      </c>
      <c r="C3644" t="s">
        <v>93</v>
      </c>
      <c r="D3644" t="s">
        <v>94</v>
      </c>
      <c r="E3644" t="s">
        <v>45</v>
      </c>
      <c r="F3644" t="s">
        <v>49</v>
      </c>
      <c r="G3644" t="s">
        <v>7326</v>
      </c>
      <c r="H3644" t="s">
        <v>7327</v>
      </c>
      <c r="J3644" t="str">
        <f>HYPERLINK("https://twitter.com/SpiceMoneyIndia/status/1747958227889729543","https://twitter.com/SpiceMoneyIndia/status/1747958227889729543")</f>
        <v>https://twitter.com/SpiceMoneyIndia/status/1747958227889729543</v>
      </c>
      <c r="K3644" t="s">
        <v>67</v>
      </c>
      <c r="O3644">
        <v>0</v>
      </c>
      <c r="P3644">
        <v>0</v>
      </c>
      <c r="Q3644">
        <v>6002</v>
      </c>
      <c r="R3644" t="s">
        <v>97</v>
      </c>
      <c r="S3644">
        <v>0</v>
      </c>
      <c r="T3644">
        <v>0</v>
      </c>
      <c r="U3644">
        <v>0</v>
      </c>
      <c r="V3644" t="s">
        <v>98</v>
      </c>
      <c r="W3644" t="s">
        <v>99</v>
      </c>
    </row>
    <row r="3645" spans="1:23" x14ac:dyDescent="0.35">
      <c r="A3645" t="s">
        <v>45</v>
      </c>
      <c r="B3645" t="s">
        <v>7218</v>
      </c>
      <c r="C3645" t="s">
        <v>93</v>
      </c>
      <c r="D3645" t="s">
        <v>94</v>
      </c>
      <c r="E3645" t="s">
        <v>45</v>
      </c>
      <c r="F3645" t="s">
        <v>49</v>
      </c>
      <c r="G3645" t="s">
        <v>7328</v>
      </c>
      <c r="H3645" t="s">
        <v>7329</v>
      </c>
      <c r="J3645" t="str">
        <f>HYPERLINK("https://twitter.com/SpiceMoneyIndia/status/1747957684681290054","https://twitter.com/SpiceMoneyIndia/status/1747957684681290054")</f>
        <v>https://twitter.com/SpiceMoneyIndia/status/1747957684681290054</v>
      </c>
      <c r="K3645" t="s">
        <v>67</v>
      </c>
      <c r="O3645">
        <v>0</v>
      </c>
      <c r="P3645">
        <v>0</v>
      </c>
      <c r="Q3645">
        <v>6002</v>
      </c>
      <c r="R3645" t="s">
        <v>97</v>
      </c>
      <c r="S3645">
        <v>0</v>
      </c>
      <c r="T3645">
        <v>0</v>
      </c>
      <c r="U3645">
        <v>0</v>
      </c>
      <c r="V3645" t="s">
        <v>98</v>
      </c>
      <c r="W3645" t="s">
        <v>99</v>
      </c>
    </row>
    <row r="3646" spans="1:23" x14ac:dyDescent="0.35">
      <c r="A3646" t="s">
        <v>45</v>
      </c>
      <c r="B3646" t="s">
        <v>7218</v>
      </c>
      <c r="C3646" t="s">
        <v>60</v>
      </c>
      <c r="D3646" t="s">
        <v>61</v>
      </c>
      <c r="E3646" t="s">
        <v>61</v>
      </c>
      <c r="F3646" t="s">
        <v>54</v>
      </c>
      <c r="G3646" t="s">
        <v>7330</v>
      </c>
      <c r="H3646" t="s">
        <v>7331</v>
      </c>
      <c r="J3646" t="str">
        <f>HYPERLINK("https://www.facebook.com/634639855377280/posts/774483894726208?comment_id=24496270260016841","https://www.facebook.com/634639855377280/posts/774483894726208?comment_id=24496270260016841")</f>
        <v>https://www.facebook.com/634639855377280/posts/774483894726208?comment_id=24496270260016841</v>
      </c>
      <c r="O3646">
        <v>0</v>
      </c>
      <c r="P3646">
        <v>0</v>
      </c>
      <c r="Q3646">
        <v>0</v>
      </c>
      <c r="S3646">
        <v>0</v>
      </c>
      <c r="T3646">
        <v>0</v>
      </c>
      <c r="U3646">
        <v>0</v>
      </c>
      <c r="W3646" t="s">
        <v>52</v>
      </c>
    </row>
    <row r="3647" spans="1:23" x14ac:dyDescent="0.35">
      <c r="A3647" t="s">
        <v>45</v>
      </c>
      <c r="B3647" t="s">
        <v>7218</v>
      </c>
      <c r="C3647" t="s">
        <v>60</v>
      </c>
      <c r="D3647" t="s">
        <v>61</v>
      </c>
      <c r="E3647" t="s">
        <v>61</v>
      </c>
      <c r="F3647" t="s">
        <v>49</v>
      </c>
      <c r="G3647" t="s">
        <v>7332</v>
      </c>
      <c r="H3647" t="s">
        <v>7333</v>
      </c>
      <c r="J3647" t="str">
        <f>HYPERLINK("https://www.facebook.com/634639855377280/posts/774412801399984?comment_id=912349286907115","https://www.facebook.com/634639855377280/posts/774412801399984?comment_id=912349286907115")</f>
        <v>https://www.facebook.com/634639855377280/posts/774412801399984?comment_id=912349286907115</v>
      </c>
      <c r="O3647">
        <v>0</v>
      </c>
      <c r="P3647">
        <v>0</v>
      </c>
      <c r="Q3647">
        <v>0</v>
      </c>
      <c r="S3647">
        <v>0</v>
      </c>
      <c r="T3647">
        <v>0</v>
      </c>
      <c r="U3647">
        <v>0</v>
      </c>
      <c r="W3647" t="s">
        <v>52</v>
      </c>
    </row>
    <row r="3648" spans="1:23" x14ac:dyDescent="0.35">
      <c r="A3648" t="s">
        <v>45</v>
      </c>
      <c r="B3648" t="s">
        <v>7218</v>
      </c>
      <c r="C3648" t="s">
        <v>60</v>
      </c>
      <c r="D3648" t="s">
        <v>61</v>
      </c>
      <c r="E3648" t="s">
        <v>61</v>
      </c>
      <c r="F3648" t="s">
        <v>49</v>
      </c>
      <c r="G3648" t="s">
        <v>7243</v>
      </c>
      <c r="H3648" t="s">
        <v>7334</v>
      </c>
      <c r="J3648" t="str">
        <f>HYPERLINK("https://www.facebook.com/634639855377280/posts/774483894726208?comment_id=371450405494423","https://www.facebook.com/634639855377280/posts/774483894726208?comment_id=371450405494423")</f>
        <v>https://www.facebook.com/634639855377280/posts/774483894726208?comment_id=371450405494423</v>
      </c>
      <c r="O3648">
        <v>0</v>
      </c>
      <c r="P3648">
        <v>0</v>
      </c>
      <c r="Q3648">
        <v>0</v>
      </c>
      <c r="S3648">
        <v>0</v>
      </c>
      <c r="T3648">
        <v>0</v>
      </c>
      <c r="U3648">
        <v>0</v>
      </c>
      <c r="W3648" t="s">
        <v>52</v>
      </c>
    </row>
    <row r="3649" spans="1:23" x14ac:dyDescent="0.35">
      <c r="A3649" t="s">
        <v>45</v>
      </c>
      <c r="B3649" t="s">
        <v>7218</v>
      </c>
      <c r="C3649" t="s">
        <v>60</v>
      </c>
      <c r="D3649" t="s">
        <v>61</v>
      </c>
      <c r="E3649" t="s">
        <v>61</v>
      </c>
      <c r="F3649" t="s">
        <v>49</v>
      </c>
      <c r="G3649" t="s">
        <v>7243</v>
      </c>
      <c r="H3649" t="s">
        <v>7335</v>
      </c>
      <c r="J3649" t="str">
        <f>HYPERLINK("https://www.facebook.com/634639855377280/posts/774483894726208?comment_id=907931110746826","https://www.facebook.com/634639855377280/posts/774483894726208?comment_id=907931110746826")</f>
        <v>https://www.facebook.com/634639855377280/posts/774483894726208?comment_id=907931110746826</v>
      </c>
      <c r="O3649">
        <v>0</v>
      </c>
      <c r="P3649">
        <v>0</v>
      </c>
      <c r="Q3649">
        <v>0</v>
      </c>
      <c r="S3649">
        <v>0</v>
      </c>
      <c r="T3649">
        <v>0</v>
      </c>
      <c r="U3649">
        <v>0</v>
      </c>
      <c r="W3649" t="s">
        <v>52</v>
      </c>
    </row>
    <row r="3650" spans="1:23" x14ac:dyDescent="0.35">
      <c r="A3650" t="s">
        <v>45</v>
      </c>
      <c r="B3650" t="s">
        <v>7218</v>
      </c>
      <c r="C3650" t="s">
        <v>60</v>
      </c>
      <c r="D3650" t="s">
        <v>61</v>
      </c>
      <c r="E3650" t="s">
        <v>61</v>
      </c>
      <c r="F3650" t="s">
        <v>49</v>
      </c>
      <c r="G3650" t="s">
        <v>7336</v>
      </c>
      <c r="H3650" t="s">
        <v>7337</v>
      </c>
      <c r="J3650" t="str">
        <f>HYPERLINK("https://www.facebook.com/634639855377280/posts/774483894726208?comment_id=1031782627898709&amp;reply_comment_id=1074467420464517","https://www.facebook.com/634639855377280/posts/774483894726208?comment_id=1031782627898709&amp;reply_comment_id=1074467420464517")</f>
        <v>https://www.facebook.com/634639855377280/posts/774483894726208?comment_id=1031782627898709&amp;reply_comment_id=1074467420464517</v>
      </c>
      <c r="O3650">
        <v>0</v>
      </c>
      <c r="P3650">
        <v>0</v>
      </c>
      <c r="Q3650">
        <v>0</v>
      </c>
      <c r="S3650">
        <v>0</v>
      </c>
      <c r="T3650">
        <v>0</v>
      </c>
      <c r="U3650">
        <v>0</v>
      </c>
      <c r="W3650" t="s">
        <v>52</v>
      </c>
    </row>
    <row r="3651" spans="1:23" x14ac:dyDescent="0.35">
      <c r="A3651" t="s">
        <v>45</v>
      </c>
      <c r="B3651" t="s">
        <v>7218</v>
      </c>
      <c r="C3651" t="s">
        <v>60</v>
      </c>
      <c r="D3651" t="s">
        <v>61</v>
      </c>
      <c r="E3651" t="s">
        <v>61</v>
      </c>
      <c r="F3651" t="s">
        <v>49</v>
      </c>
      <c r="G3651" t="s">
        <v>6979</v>
      </c>
      <c r="H3651" t="s">
        <v>7338</v>
      </c>
      <c r="J3651" t="str">
        <f>HYPERLINK("https://www.facebook.com/634639855377280/posts/774483894726208?comment_id=1031782627898709","https://www.facebook.com/634639855377280/posts/774483894726208?comment_id=1031782627898709")</f>
        <v>https://www.facebook.com/634639855377280/posts/774483894726208?comment_id=1031782627898709</v>
      </c>
      <c r="O3651">
        <v>0</v>
      </c>
      <c r="P3651">
        <v>0</v>
      </c>
      <c r="Q3651">
        <v>0</v>
      </c>
      <c r="S3651">
        <v>0</v>
      </c>
      <c r="T3651">
        <v>0</v>
      </c>
      <c r="U3651">
        <v>0</v>
      </c>
      <c r="W3651" t="s">
        <v>52</v>
      </c>
    </row>
    <row r="3652" spans="1:23" x14ac:dyDescent="0.35">
      <c r="A3652" t="s">
        <v>45</v>
      </c>
      <c r="B3652" t="s">
        <v>7218</v>
      </c>
      <c r="C3652" t="s">
        <v>93</v>
      </c>
      <c r="D3652" t="s">
        <v>94</v>
      </c>
      <c r="E3652" t="s">
        <v>45</v>
      </c>
      <c r="F3652" t="s">
        <v>49</v>
      </c>
      <c r="G3652" t="s">
        <v>7339</v>
      </c>
      <c r="H3652" t="s">
        <v>7340</v>
      </c>
      <c r="J3652" t="str">
        <f>HYPERLINK("https://twitter.com/SpiceMoneyIndia/status/1747939728354410601","https://twitter.com/SpiceMoneyIndia/status/1747939728354410601")</f>
        <v>https://twitter.com/SpiceMoneyIndia/status/1747939728354410601</v>
      </c>
      <c r="K3652" t="s">
        <v>67</v>
      </c>
      <c r="O3652">
        <v>0</v>
      </c>
      <c r="P3652">
        <v>0</v>
      </c>
      <c r="Q3652">
        <v>6001</v>
      </c>
      <c r="R3652" t="s">
        <v>97</v>
      </c>
      <c r="S3652">
        <v>0</v>
      </c>
      <c r="T3652">
        <v>0</v>
      </c>
      <c r="U3652">
        <v>0</v>
      </c>
      <c r="V3652" t="s">
        <v>98</v>
      </c>
      <c r="W3652" t="s">
        <v>99</v>
      </c>
    </row>
    <row r="3653" spans="1:23" x14ac:dyDescent="0.35">
      <c r="A3653" t="s">
        <v>45</v>
      </c>
      <c r="B3653" t="s">
        <v>7218</v>
      </c>
      <c r="C3653" t="s">
        <v>60</v>
      </c>
      <c r="D3653" t="s">
        <v>64</v>
      </c>
      <c r="E3653" t="s">
        <v>64</v>
      </c>
      <c r="F3653" t="s">
        <v>49</v>
      </c>
      <c r="G3653" t="s">
        <v>7341</v>
      </c>
      <c r="H3653" t="s">
        <v>7342</v>
      </c>
      <c r="J3653" t="str">
        <f>HYPERLINK("https://www.facebook.com/634639855377280/posts/774483894726208","https://www.facebook.com/634639855377280/posts/774483894726208")</f>
        <v>https://www.facebook.com/634639855377280/posts/774483894726208</v>
      </c>
      <c r="O3653">
        <v>0</v>
      </c>
      <c r="P3653">
        <v>0</v>
      </c>
      <c r="Q3653">
        <v>0</v>
      </c>
      <c r="S3653">
        <v>71</v>
      </c>
      <c r="T3653">
        <v>254</v>
      </c>
      <c r="U3653">
        <v>9</v>
      </c>
      <c r="W3653" t="s">
        <v>346</v>
      </c>
    </row>
    <row r="3654" spans="1:23" x14ac:dyDescent="0.35">
      <c r="A3654" t="s">
        <v>45</v>
      </c>
      <c r="B3654" t="s">
        <v>7218</v>
      </c>
      <c r="C3654" t="s">
        <v>60</v>
      </c>
      <c r="D3654" t="s">
        <v>61</v>
      </c>
      <c r="E3654" t="s">
        <v>61</v>
      </c>
      <c r="F3654" t="s">
        <v>49</v>
      </c>
      <c r="G3654" t="s">
        <v>7343</v>
      </c>
      <c r="H3654" t="s">
        <v>7344</v>
      </c>
      <c r="J3654" t="str">
        <f>HYPERLINK("https://www.facebook.com/634639855377280/posts/774412801399984?comment_id=1112125470145084","https://www.facebook.com/634639855377280/posts/774412801399984?comment_id=1112125470145084")</f>
        <v>https://www.facebook.com/634639855377280/posts/774412801399984?comment_id=1112125470145084</v>
      </c>
      <c r="O3654">
        <v>0</v>
      </c>
      <c r="P3654">
        <v>0</v>
      </c>
      <c r="Q3654">
        <v>0</v>
      </c>
      <c r="S3654">
        <v>0</v>
      </c>
      <c r="T3654">
        <v>0</v>
      </c>
      <c r="U3654">
        <v>0</v>
      </c>
      <c r="W3654" t="s">
        <v>52</v>
      </c>
    </row>
    <row r="3655" spans="1:23" x14ac:dyDescent="0.35">
      <c r="A3655" t="s">
        <v>45</v>
      </c>
      <c r="B3655" t="s">
        <v>7218</v>
      </c>
      <c r="C3655" t="s">
        <v>60</v>
      </c>
      <c r="D3655" t="s">
        <v>61</v>
      </c>
      <c r="E3655" t="s">
        <v>61</v>
      </c>
      <c r="F3655" t="s">
        <v>49</v>
      </c>
      <c r="G3655" t="s">
        <v>7345</v>
      </c>
      <c r="H3655" t="s">
        <v>7346</v>
      </c>
      <c r="J3655" t="str">
        <f>HYPERLINK("https://www.facebook.com/634639855377280/posts/774412801399984?comment_id=929639971503823","https://www.facebook.com/634639855377280/posts/774412801399984?comment_id=929639971503823")</f>
        <v>https://www.facebook.com/634639855377280/posts/774412801399984?comment_id=929639971503823</v>
      </c>
      <c r="O3655">
        <v>0</v>
      </c>
      <c r="P3655">
        <v>0</v>
      </c>
      <c r="Q3655">
        <v>0</v>
      </c>
      <c r="S3655">
        <v>0</v>
      </c>
      <c r="T3655">
        <v>0</v>
      </c>
      <c r="U3655">
        <v>0</v>
      </c>
      <c r="W3655" t="s">
        <v>52</v>
      </c>
    </row>
    <row r="3656" spans="1:23" x14ac:dyDescent="0.35">
      <c r="A3656" t="s">
        <v>45</v>
      </c>
      <c r="B3656" t="s">
        <v>7218</v>
      </c>
      <c r="C3656" t="s">
        <v>60</v>
      </c>
      <c r="D3656" t="s">
        <v>61</v>
      </c>
      <c r="E3656" t="s">
        <v>61</v>
      </c>
      <c r="F3656" t="s">
        <v>54</v>
      </c>
      <c r="G3656" t="s">
        <v>7347</v>
      </c>
      <c r="H3656" t="s">
        <v>7348</v>
      </c>
      <c r="J3656" t="str">
        <f>HYPERLINK("https://www.facebook.com/634639855377280/posts/774412801399984?comment_id=1101485567540550","https://www.facebook.com/634639855377280/posts/774412801399984?comment_id=1101485567540550")</f>
        <v>https://www.facebook.com/634639855377280/posts/774412801399984?comment_id=1101485567540550</v>
      </c>
      <c r="O3656">
        <v>0</v>
      </c>
      <c r="P3656">
        <v>0</v>
      </c>
      <c r="Q3656">
        <v>0</v>
      </c>
      <c r="S3656">
        <v>0</v>
      </c>
      <c r="T3656">
        <v>0</v>
      </c>
      <c r="U3656">
        <v>0</v>
      </c>
      <c r="W3656" t="s">
        <v>52</v>
      </c>
    </row>
    <row r="3657" spans="1:23" x14ac:dyDescent="0.35">
      <c r="A3657" t="s">
        <v>45</v>
      </c>
      <c r="B3657" t="s">
        <v>7218</v>
      </c>
      <c r="C3657" t="s">
        <v>60</v>
      </c>
      <c r="D3657" t="s">
        <v>61</v>
      </c>
      <c r="E3657" t="s">
        <v>61</v>
      </c>
      <c r="F3657" t="s">
        <v>49</v>
      </c>
      <c r="G3657" t="s">
        <v>7349</v>
      </c>
      <c r="H3657" t="s">
        <v>7350</v>
      </c>
      <c r="J3657" t="str">
        <f>HYPERLINK("https://www.facebook.com/634639855377280/posts/771990234975574?comment_id=276160925480980","https://www.facebook.com/634639855377280/posts/771990234975574?comment_id=276160925480980")</f>
        <v>https://www.facebook.com/634639855377280/posts/771990234975574?comment_id=276160925480980</v>
      </c>
      <c r="O3657">
        <v>0</v>
      </c>
      <c r="P3657">
        <v>0</v>
      </c>
      <c r="Q3657">
        <v>0</v>
      </c>
      <c r="S3657">
        <v>0</v>
      </c>
      <c r="T3657">
        <v>0</v>
      </c>
      <c r="U3657">
        <v>0</v>
      </c>
      <c r="W3657" t="s">
        <v>52</v>
      </c>
    </row>
    <row r="3658" spans="1:23" x14ac:dyDescent="0.35">
      <c r="A3658" t="s">
        <v>45</v>
      </c>
      <c r="B3658" t="s">
        <v>7218</v>
      </c>
      <c r="C3658" t="s">
        <v>60</v>
      </c>
      <c r="D3658" t="s">
        <v>61</v>
      </c>
      <c r="E3658" t="s">
        <v>61</v>
      </c>
      <c r="F3658" t="s">
        <v>49</v>
      </c>
      <c r="G3658" t="s">
        <v>7351</v>
      </c>
      <c r="H3658" t="s">
        <v>7352</v>
      </c>
      <c r="J3658" t="str">
        <f>HYPERLINK("https://www.facebook.com/634639855377280/posts/774412801399984?comment_id=396499009415005","https://www.facebook.com/634639855377280/posts/774412801399984?comment_id=396499009415005")</f>
        <v>https://www.facebook.com/634639855377280/posts/774412801399984?comment_id=396499009415005</v>
      </c>
      <c r="O3658">
        <v>0</v>
      </c>
      <c r="P3658">
        <v>0</v>
      </c>
      <c r="Q3658">
        <v>0</v>
      </c>
      <c r="S3658">
        <v>0</v>
      </c>
      <c r="T3658">
        <v>0</v>
      </c>
      <c r="U3658">
        <v>0</v>
      </c>
      <c r="W3658" t="s">
        <v>52</v>
      </c>
    </row>
    <row r="3659" spans="1:23" x14ac:dyDescent="0.35">
      <c r="A3659" t="s">
        <v>45</v>
      </c>
      <c r="B3659" t="s">
        <v>7218</v>
      </c>
      <c r="C3659" t="s">
        <v>60</v>
      </c>
      <c r="D3659" t="s">
        <v>61</v>
      </c>
      <c r="E3659" t="s">
        <v>61</v>
      </c>
      <c r="F3659" t="s">
        <v>49</v>
      </c>
      <c r="G3659" t="s">
        <v>7353</v>
      </c>
      <c r="H3659" t="s">
        <v>7354</v>
      </c>
      <c r="J3659" t="str">
        <f>HYPERLINK("https://www.facebook.com/634639855377280/posts/774412801399984?comment_id=897284868437816","https://www.facebook.com/634639855377280/posts/774412801399984?comment_id=897284868437816")</f>
        <v>https://www.facebook.com/634639855377280/posts/774412801399984?comment_id=897284868437816</v>
      </c>
      <c r="O3659">
        <v>0</v>
      </c>
      <c r="P3659">
        <v>0</v>
      </c>
      <c r="Q3659">
        <v>0</v>
      </c>
      <c r="S3659">
        <v>0</v>
      </c>
      <c r="T3659">
        <v>0</v>
      </c>
      <c r="U3659">
        <v>0</v>
      </c>
      <c r="W3659" t="s">
        <v>52</v>
      </c>
    </row>
    <row r="3660" spans="1:23" x14ac:dyDescent="0.35">
      <c r="A3660" t="s">
        <v>45</v>
      </c>
      <c r="B3660" t="s">
        <v>7218</v>
      </c>
      <c r="C3660" t="s">
        <v>60</v>
      </c>
      <c r="D3660" t="s">
        <v>61</v>
      </c>
      <c r="E3660" t="s">
        <v>61</v>
      </c>
      <c r="F3660" t="s">
        <v>54</v>
      </c>
      <c r="G3660" t="s">
        <v>7355</v>
      </c>
      <c r="H3660" t="s">
        <v>7356</v>
      </c>
      <c r="J3660" t="str">
        <f>HYPERLINK("https://www.facebook.com/634639855377280/posts/774412801399984?comment_id=1454189205508317","https://www.facebook.com/634639855377280/posts/774412801399984?comment_id=1454189205508317")</f>
        <v>https://www.facebook.com/634639855377280/posts/774412801399984?comment_id=1454189205508317</v>
      </c>
      <c r="O3660">
        <v>0</v>
      </c>
      <c r="P3660">
        <v>0</v>
      </c>
      <c r="Q3660">
        <v>0</v>
      </c>
      <c r="S3660">
        <v>0</v>
      </c>
      <c r="T3660">
        <v>0</v>
      </c>
      <c r="U3660">
        <v>0</v>
      </c>
      <c r="W3660" t="s">
        <v>52</v>
      </c>
    </row>
    <row r="3661" spans="1:23" x14ac:dyDescent="0.35">
      <c r="A3661" t="s">
        <v>45</v>
      </c>
      <c r="B3661" t="s">
        <v>7218</v>
      </c>
      <c r="C3661" t="s">
        <v>93</v>
      </c>
      <c r="D3661" t="s">
        <v>94</v>
      </c>
      <c r="E3661" t="s">
        <v>45</v>
      </c>
      <c r="F3661" t="s">
        <v>49</v>
      </c>
      <c r="G3661" t="s">
        <v>7357</v>
      </c>
      <c r="H3661" t="s">
        <v>7358</v>
      </c>
      <c r="J3661" t="str">
        <f>HYPERLINK("https://twitter.com/SpiceMoneyIndia/status/1747895068244189265","https://twitter.com/SpiceMoneyIndia/status/1747895068244189265")</f>
        <v>https://twitter.com/SpiceMoneyIndia/status/1747895068244189265</v>
      </c>
      <c r="K3661" t="s">
        <v>67</v>
      </c>
      <c r="O3661">
        <v>0</v>
      </c>
      <c r="P3661">
        <v>0</v>
      </c>
      <c r="Q3661">
        <v>5999</v>
      </c>
      <c r="R3661" t="s">
        <v>97</v>
      </c>
      <c r="S3661">
        <v>0</v>
      </c>
      <c r="T3661">
        <v>0</v>
      </c>
      <c r="U3661">
        <v>0</v>
      </c>
      <c r="V3661" t="s">
        <v>98</v>
      </c>
      <c r="W3661" t="s">
        <v>99</v>
      </c>
    </row>
    <row r="3662" spans="1:23" x14ac:dyDescent="0.35">
      <c r="A3662" t="s">
        <v>45</v>
      </c>
      <c r="B3662" t="s">
        <v>7218</v>
      </c>
      <c r="C3662" t="s">
        <v>60</v>
      </c>
      <c r="D3662" t="s">
        <v>64</v>
      </c>
      <c r="E3662" t="s">
        <v>64</v>
      </c>
      <c r="F3662" t="s">
        <v>49</v>
      </c>
      <c r="G3662" t="s">
        <v>7359</v>
      </c>
      <c r="H3662" t="s">
        <v>7360</v>
      </c>
      <c r="J3662" t="str">
        <f>HYPERLINK("https://www.facebook.com/634639855377280/posts/774412801399984","https://www.facebook.com/634639855377280/posts/774412801399984")</f>
        <v>https://www.facebook.com/634639855377280/posts/774412801399984</v>
      </c>
      <c r="O3662">
        <v>0</v>
      </c>
      <c r="P3662">
        <v>0</v>
      </c>
      <c r="Q3662">
        <v>0</v>
      </c>
      <c r="S3662">
        <v>47</v>
      </c>
      <c r="T3662">
        <v>208</v>
      </c>
      <c r="U3662">
        <v>9</v>
      </c>
      <c r="W3662" t="s">
        <v>346</v>
      </c>
    </row>
    <row r="3663" spans="1:23" x14ac:dyDescent="0.35">
      <c r="A3663" t="s">
        <v>45</v>
      </c>
      <c r="B3663" t="s">
        <v>7218</v>
      </c>
      <c r="C3663" t="s">
        <v>93</v>
      </c>
      <c r="D3663" t="s">
        <v>752</v>
      </c>
      <c r="E3663" t="s">
        <v>753</v>
      </c>
      <c r="F3663" t="s">
        <v>49</v>
      </c>
      <c r="G3663" t="s">
        <v>7361</v>
      </c>
      <c r="H3663" t="s">
        <v>7362</v>
      </c>
      <c r="J3663" t="str">
        <f>HYPERLINK("https://twitter.com/PayNearby/status/1747877110469804267","https://twitter.com/PayNearby/status/1747877110469804267")</f>
        <v>https://twitter.com/PayNearby/status/1747877110469804267</v>
      </c>
      <c r="O3663">
        <v>0</v>
      </c>
      <c r="P3663">
        <v>0</v>
      </c>
      <c r="Q3663">
        <v>5944</v>
      </c>
      <c r="R3663" t="s">
        <v>756</v>
      </c>
      <c r="S3663">
        <v>0</v>
      </c>
      <c r="T3663">
        <v>0</v>
      </c>
      <c r="U3663">
        <v>0</v>
      </c>
      <c r="W3663" t="s">
        <v>99</v>
      </c>
    </row>
    <row r="3664" spans="1:23" x14ac:dyDescent="0.35">
      <c r="A3664" t="s">
        <v>45</v>
      </c>
      <c r="B3664" t="s">
        <v>7218</v>
      </c>
      <c r="C3664" t="s">
        <v>93</v>
      </c>
      <c r="D3664" t="s">
        <v>752</v>
      </c>
      <c r="E3664" t="s">
        <v>753</v>
      </c>
      <c r="F3664" t="s">
        <v>49</v>
      </c>
      <c r="G3664" t="s">
        <v>7363</v>
      </c>
      <c r="H3664" t="s">
        <v>7364</v>
      </c>
      <c r="J3664" t="str">
        <f>HYPERLINK("https://twitter.com/PayNearby/status/1747877106262933563","https://twitter.com/PayNearby/status/1747877106262933563")</f>
        <v>https://twitter.com/PayNearby/status/1747877106262933563</v>
      </c>
      <c r="O3664">
        <v>0</v>
      </c>
      <c r="P3664">
        <v>0</v>
      </c>
      <c r="Q3664">
        <v>5944</v>
      </c>
      <c r="R3664" t="s">
        <v>756</v>
      </c>
      <c r="S3664">
        <v>0</v>
      </c>
      <c r="T3664">
        <v>0</v>
      </c>
      <c r="U3664">
        <v>0</v>
      </c>
      <c r="W3664" t="s">
        <v>99</v>
      </c>
    </row>
    <row r="3665" spans="1:23" x14ac:dyDescent="0.35">
      <c r="A3665" t="s">
        <v>45</v>
      </c>
      <c r="B3665" t="s">
        <v>7218</v>
      </c>
      <c r="C3665" t="s">
        <v>93</v>
      </c>
      <c r="D3665" t="s">
        <v>5147</v>
      </c>
      <c r="E3665" t="s">
        <v>5148</v>
      </c>
      <c r="F3665" t="s">
        <v>49</v>
      </c>
      <c r="G3665" t="s">
        <v>7365</v>
      </c>
      <c r="H3665" t="s">
        <v>7366</v>
      </c>
      <c r="J3665" t="str">
        <f>HYPERLINK("https://twitter.com/BIJAY2050/status/1747874131729908050","https://twitter.com/BIJAY2050/status/1747874131729908050")</f>
        <v>https://twitter.com/BIJAY2050/status/1747874131729908050</v>
      </c>
      <c r="K3665" t="s">
        <v>67</v>
      </c>
      <c r="O3665">
        <v>0</v>
      </c>
      <c r="P3665">
        <v>0</v>
      </c>
      <c r="Q3665">
        <v>21</v>
      </c>
      <c r="R3665" t="s">
        <v>5151</v>
      </c>
      <c r="S3665">
        <v>0</v>
      </c>
      <c r="T3665">
        <v>0</v>
      </c>
      <c r="U3665">
        <v>0</v>
      </c>
      <c r="W3665" t="s">
        <v>99</v>
      </c>
    </row>
    <row r="3666" spans="1:23" x14ac:dyDescent="0.35">
      <c r="A3666" t="s">
        <v>45</v>
      </c>
      <c r="B3666" t="s">
        <v>7218</v>
      </c>
      <c r="C3666" t="s">
        <v>93</v>
      </c>
      <c r="D3666" t="s">
        <v>7004</v>
      </c>
      <c r="E3666" t="s">
        <v>7005</v>
      </c>
      <c r="F3666" t="s">
        <v>49</v>
      </c>
      <c r="G3666" t="s">
        <v>7367</v>
      </c>
      <c r="H3666" t="s">
        <v>7368</v>
      </c>
      <c r="J3666" t="str">
        <f>HYPERLINK("https://twitter.com/Prakash_sahoo07/status/1747871092470137024","https://twitter.com/Prakash_sahoo07/status/1747871092470137024")</f>
        <v>https://twitter.com/Prakash_sahoo07/status/1747871092470137024</v>
      </c>
      <c r="K3666" t="s">
        <v>67</v>
      </c>
      <c r="O3666">
        <v>0</v>
      </c>
      <c r="P3666">
        <v>0</v>
      </c>
      <c r="Q3666">
        <v>1</v>
      </c>
      <c r="S3666">
        <v>0</v>
      </c>
      <c r="T3666">
        <v>0</v>
      </c>
      <c r="U3666">
        <v>0</v>
      </c>
      <c r="W3666" t="s">
        <v>99</v>
      </c>
    </row>
    <row r="3667" spans="1:23" x14ac:dyDescent="0.35">
      <c r="A3667" t="s">
        <v>45</v>
      </c>
      <c r="B3667" t="s">
        <v>7218</v>
      </c>
      <c r="C3667" t="s">
        <v>93</v>
      </c>
      <c r="D3667" t="s">
        <v>1319</v>
      </c>
      <c r="E3667" t="s">
        <v>1320</v>
      </c>
      <c r="F3667" t="s">
        <v>49</v>
      </c>
      <c r="G3667" t="s">
        <v>7369</v>
      </c>
      <c r="H3667" t="s">
        <v>7370</v>
      </c>
      <c r="J3667" t="str">
        <f>HYPERLINK("https://twitter.com/ashukm/status/1747861838149362125","https://twitter.com/ashukm/status/1747861838149362125")</f>
        <v>https://twitter.com/ashukm/status/1747861838149362125</v>
      </c>
      <c r="K3667" t="s">
        <v>67</v>
      </c>
      <c r="O3667">
        <v>0</v>
      </c>
      <c r="P3667">
        <v>0</v>
      </c>
      <c r="Q3667">
        <v>173</v>
      </c>
      <c r="S3667">
        <v>0</v>
      </c>
      <c r="T3667">
        <v>0</v>
      </c>
      <c r="U3667">
        <v>0</v>
      </c>
      <c r="W3667" t="s">
        <v>99</v>
      </c>
    </row>
    <row r="3668" spans="1:23" x14ac:dyDescent="0.35">
      <c r="A3668" t="s">
        <v>45</v>
      </c>
      <c r="B3668" t="s">
        <v>7218</v>
      </c>
      <c r="C3668" t="s">
        <v>47</v>
      </c>
      <c r="D3668" t="s">
        <v>7371</v>
      </c>
      <c r="E3668" t="s">
        <v>7371</v>
      </c>
      <c r="F3668" t="s">
        <v>49</v>
      </c>
      <c r="G3668" t="s">
        <v>7372</v>
      </c>
      <c r="H3668" t="s">
        <v>7373</v>
      </c>
      <c r="J3668" t="str">
        <f>HYPERLINK("https://www.youtube.com/watch?v=2FEM1kunPCQ&amp;lc=UgzOzpffqElbo7Chm6F4AaABAg.9zYMewy4PnO9zhFksnZH9j","https://www.youtube.com/watch?v=2FEM1kunPCQ&amp;lc=UgzOzpffqElbo7Chm6F4AaABAg.9zYMewy4PnO9zhFksnZH9j")</f>
        <v>https://www.youtube.com/watch?v=2FEM1kunPCQ&amp;lc=UgzOzpffqElbo7Chm6F4AaABAg.9zYMewy4PnO9zhFksnZH9j</v>
      </c>
      <c r="O3668">
        <v>0</v>
      </c>
      <c r="P3668">
        <v>0</v>
      </c>
      <c r="Q3668">
        <v>0</v>
      </c>
      <c r="S3668">
        <v>0</v>
      </c>
      <c r="T3668">
        <v>0</v>
      </c>
      <c r="U3668">
        <v>0</v>
      </c>
      <c r="W3668" t="s">
        <v>52</v>
      </c>
    </row>
    <row r="3669" spans="1:23" x14ac:dyDescent="0.35">
      <c r="A3669" t="s">
        <v>45</v>
      </c>
      <c r="B3669" t="s">
        <v>7218</v>
      </c>
      <c r="C3669" t="s">
        <v>47</v>
      </c>
      <c r="D3669" t="s">
        <v>68</v>
      </c>
      <c r="E3669" t="s">
        <v>68</v>
      </c>
      <c r="F3669" t="s">
        <v>49</v>
      </c>
      <c r="G3669" t="s">
        <v>270</v>
      </c>
      <c r="H3669" t="s">
        <v>7374</v>
      </c>
      <c r="J3669" t="str">
        <f>HYPERLINK("https://www.youtube.com/watch?v=2FEM1kunPCQ&amp;lc=UgzOzpffqElbo7Chm6F4AaABAg.9zYMewy4PnO9zhFLdWz00g","https://www.youtube.com/watch?v=2FEM1kunPCQ&amp;lc=UgzOzpffqElbo7Chm6F4AaABAg.9zYMewy4PnO9zhFLdWz00g")</f>
        <v>https://www.youtube.com/watch?v=2FEM1kunPCQ&amp;lc=UgzOzpffqElbo7Chm6F4AaABAg.9zYMewy4PnO9zhFLdWz00g</v>
      </c>
      <c r="O3669">
        <v>0</v>
      </c>
      <c r="P3669">
        <v>0</v>
      </c>
      <c r="Q3669">
        <v>0</v>
      </c>
      <c r="S3669">
        <v>0</v>
      </c>
      <c r="T3669">
        <v>0</v>
      </c>
      <c r="U3669">
        <v>0</v>
      </c>
      <c r="W3669" t="s">
        <v>52</v>
      </c>
    </row>
    <row r="3670" spans="1:23" x14ac:dyDescent="0.35">
      <c r="A3670" t="s">
        <v>45</v>
      </c>
      <c r="B3670" t="s">
        <v>7218</v>
      </c>
      <c r="C3670" t="s">
        <v>47</v>
      </c>
      <c r="D3670" t="s">
        <v>68</v>
      </c>
      <c r="E3670" t="s">
        <v>68</v>
      </c>
      <c r="F3670" t="s">
        <v>49</v>
      </c>
      <c r="G3670" t="s">
        <v>270</v>
      </c>
      <c r="H3670" t="s">
        <v>7375</v>
      </c>
      <c r="J3670" t="str">
        <f>HYPERLINK("https://www.youtube.com/watch?v=dqPqFJSj1VA&amp;lc=UgxHTWhqBlT_mmJUtMx4AaABAg.9zc7G-bpTpB9zhFHToKYc3","https://www.youtube.com/watch?v=dqPqFJSj1VA&amp;lc=UgxHTWhqBlT_mmJUtMx4AaABAg.9zc7G-bpTpB9zhFHToKYc3")</f>
        <v>https://www.youtube.com/watch?v=dqPqFJSj1VA&amp;lc=UgxHTWhqBlT_mmJUtMx4AaABAg.9zc7G-bpTpB9zhFHToKYc3</v>
      </c>
      <c r="O3670">
        <v>0</v>
      </c>
      <c r="P3670">
        <v>0</v>
      </c>
      <c r="Q3670">
        <v>0</v>
      </c>
      <c r="S3670">
        <v>0</v>
      </c>
      <c r="T3670">
        <v>0</v>
      </c>
      <c r="U3670">
        <v>0</v>
      </c>
      <c r="W3670" t="s">
        <v>52</v>
      </c>
    </row>
    <row r="3671" spans="1:23" x14ac:dyDescent="0.35">
      <c r="A3671" t="s">
        <v>45</v>
      </c>
      <c r="B3671" t="s">
        <v>7218</v>
      </c>
      <c r="C3671" t="s">
        <v>47</v>
      </c>
      <c r="D3671" t="s">
        <v>68</v>
      </c>
      <c r="E3671" t="s">
        <v>68</v>
      </c>
      <c r="F3671" t="s">
        <v>49</v>
      </c>
      <c r="G3671" t="s">
        <v>270</v>
      </c>
      <c r="H3671" t="s">
        <v>7376</v>
      </c>
      <c r="J3671" t="str">
        <f>HYPERLINK("https://www.youtube.com/watch?v=nw5NSk5mPF8&amp;lc=UgwINoU5goi75SPM3n94AaABAg.9zeR4gxPtLI9zhFEQoUrYt","https://www.youtube.com/watch?v=nw5NSk5mPF8&amp;lc=UgwINoU5goi75SPM3n94AaABAg.9zeR4gxPtLI9zhFEQoUrYt")</f>
        <v>https://www.youtube.com/watch?v=nw5NSk5mPF8&amp;lc=UgwINoU5goi75SPM3n94AaABAg.9zeR4gxPtLI9zhFEQoUrYt</v>
      </c>
      <c r="O3671">
        <v>0</v>
      </c>
      <c r="P3671">
        <v>0</v>
      </c>
      <c r="Q3671">
        <v>0</v>
      </c>
      <c r="S3671">
        <v>0</v>
      </c>
      <c r="T3671">
        <v>0</v>
      </c>
      <c r="U3671">
        <v>0</v>
      </c>
      <c r="W3671" t="s">
        <v>52</v>
      </c>
    </row>
    <row r="3672" spans="1:23" x14ac:dyDescent="0.35">
      <c r="A3672" t="s">
        <v>45</v>
      </c>
      <c r="B3672" t="s">
        <v>7218</v>
      </c>
      <c r="C3672" t="s">
        <v>47</v>
      </c>
      <c r="D3672" t="s">
        <v>68</v>
      </c>
      <c r="E3672" t="s">
        <v>68</v>
      </c>
      <c r="F3672" t="s">
        <v>49</v>
      </c>
      <c r="G3672" t="s">
        <v>270</v>
      </c>
      <c r="H3672" t="s">
        <v>7377</v>
      </c>
      <c r="J3672" t="str">
        <f>HYPERLINK("https://www.youtube.com/watch?v=nw5NSk5mPF8&amp;lc=Ugz5_EciMlx8ng7TgyV4AaABAg.9zeQyCAFEqw9zhFDlrUYGl","https://www.youtube.com/watch?v=nw5NSk5mPF8&amp;lc=Ugz5_EciMlx8ng7TgyV4AaABAg.9zeQyCAFEqw9zhFDlrUYGl")</f>
        <v>https://www.youtube.com/watch?v=nw5NSk5mPF8&amp;lc=Ugz5_EciMlx8ng7TgyV4AaABAg.9zeQyCAFEqw9zhFDlrUYGl</v>
      </c>
      <c r="O3672">
        <v>0</v>
      </c>
      <c r="P3672">
        <v>0</v>
      </c>
      <c r="Q3672">
        <v>0</v>
      </c>
      <c r="S3672">
        <v>0</v>
      </c>
      <c r="T3672">
        <v>0</v>
      </c>
      <c r="U3672">
        <v>0</v>
      </c>
      <c r="W3672" t="s">
        <v>52</v>
      </c>
    </row>
    <row r="3673" spans="1:23" x14ac:dyDescent="0.35">
      <c r="A3673" t="s">
        <v>45</v>
      </c>
      <c r="B3673" t="s">
        <v>7218</v>
      </c>
      <c r="C3673" t="s">
        <v>93</v>
      </c>
      <c r="D3673" t="s">
        <v>2706</v>
      </c>
      <c r="E3673" t="s">
        <v>2707</v>
      </c>
      <c r="F3673" t="s">
        <v>49</v>
      </c>
      <c r="G3673" t="s">
        <v>7378</v>
      </c>
      <c r="H3673" t="s">
        <v>7379</v>
      </c>
      <c r="J3673" t="str">
        <f>HYPERLINK("https://twitter.com/Tanveer50190409/status/1747844525647609879","https://twitter.com/Tanveer50190409/status/1747844525647609879")</f>
        <v>https://twitter.com/Tanveer50190409/status/1747844525647609879</v>
      </c>
      <c r="K3673" t="s">
        <v>67</v>
      </c>
      <c r="O3673">
        <v>0</v>
      </c>
      <c r="P3673">
        <v>0</v>
      </c>
      <c r="Q3673">
        <v>9</v>
      </c>
      <c r="R3673" t="s">
        <v>2710</v>
      </c>
      <c r="S3673">
        <v>0</v>
      </c>
      <c r="T3673">
        <v>0</v>
      </c>
      <c r="U3673">
        <v>0</v>
      </c>
      <c r="W3673" t="s">
        <v>99</v>
      </c>
    </row>
    <row r="3674" spans="1:23" x14ac:dyDescent="0.35">
      <c r="A3674" t="s">
        <v>45</v>
      </c>
      <c r="B3674" t="s">
        <v>7218</v>
      </c>
      <c r="C3674" t="s">
        <v>60</v>
      </c>
      <c r="D3674" t="s">
        <v>61</v>
      </c>
      <c r="E3674" t="s">
        <v>61</v>
      </c>
      <c r="F3674" t="s">
        <v>49</v>
      </c>
      <c r="G3674" t="s">
        <v>7380</v>
      </c>
      <c r="H3674" t="s">
        <v>7381</v>
      </c>
      <c r="J3674" t="str">
        <f>HYPERLINK("https://www.facebook.com/634639855377280/posts/771990234975574?comment_id=217800328068738","https://www.facebook.com/634639855377280/posts/771990234975574?comment_id=217800328068738")</f>
        <v>https://www.facebook.com/634639855377280/posts/771990234975574?comment_id=217800328068738</v>
      </c>
      <c r="O3674">
        <v>0</v>
      </c>
      <c r="P3674">
        <v>0</v>
      </c>
      <c r="Q3674">
        <v>0</v>
      </c>
      <c r="S3674">
        <v>0</v>
      </c>
      <c r="T3674">
        <v>0</v>
      </c>
      <c r="U3674">
        <v>0</v>
      </c>
      <c r="W3674" t="s">
        <v>52</v>
      </c>
    </row>
    <row r="3675" spans="1:23" x14ac:dyDescent="0.35">
      <c r="A3675" t="s">
        <v>45</v>
      </c>
      <c r="B3675" t="s">
        <v>7218</v>
      </c>
      <c r="C3675" t="s">
        <v>60</v>
      </c>
      <c r="D3675" t="s">
        <v>61</v>
      </c>
      <c r="E3675" t="s">
        <v>61</v>
      </c>
      <c r="F3675" t="s">
        <v>49</v>
      </c>
      <c r="G3675" t="s">
        <v>7382</v>
      </c>
      <c r="H3675" t="s">
        <v>7383</v>
      </c>
      <c r="J3675" t="str">
        <f>HYPERLINK("https://www.facebook.com/634639855377280/posts/771990234975574?comment_id=3408740329456751","https://www.facebook.com/634639855377280/posts/771990234975574?comment_id=3408740329456751")</f>
        <v>https://www.facebook.com/634639855377280/posts/771990234975574?comment_id=3408740329456751</v>
      </c>
      <c r="O3675">
        <v>0</v>
      </c>
      <c r="P3675">
        <v>0</v>
      </c>
      <c r="Q3675">
        <v>0</v>
      </c>
      <c r="S3675">
        <v>0</v>
      </c>
      <c r="T3675">
        <v>0</v>
      </c>
      <c r="U3675">
        <v>0</v>
      </c>
      <c r="W3675" t="s">
        <v>52</v>
      </c>
    </row>
    <row r="3676" spans="1:23" x14ac:dyDescent="0.35">
      <c r="A3676" t="s">
        <v>45</v>
      </c>
      <c r="B3676" t="s">
        <v>7218</v>
      </c>
      <c r="C3676" t="s">
        <v>47</v>
      </c>
      <c r="D3676" t="s">
        <v>3634</v>
      </c>
      <c r="E3676" t="s">
        <v>3634</v>
      </c>
      <c r="F3676" t="s">
        <v>49</v>
      </c>
      <c r="G3676" t="s">
        <v>7384</v>
      </c>
      <c r="H3676" t="s">
        <v>7385</v>
      </c>
      <c r="J3676" t="str">
        <f>HYPERLINK("https://www.youtube.com/watch?v=nw5NSk5mPF8&amp;lc=UgwrO4jlTGy5r7_djid4AaABAg.9zfnt9vmjLK9zh4RwmkHap","https://www.youtube.com/watch?v=nw5NSk5mPF8&amp;lc=UgwrO4jlTGy5r7_djid4AaABAg.9zfnt9vmjLK9zh4RwmkHap")</f>
        <v>https://www.youtube.com/watch?v=nw5NSk5mPF8&amp;lc=UgwrO4jlTGy5r7_djid4AaABAg.9zfnt9vmjLK9zh4RwmkHap</v>
      </c>
      <c r="O3676">
        <v>0</v>
      </c>
      <c r="P3676">
        <v>0</v>
      </c>
      <c r="Q3676">
        <v>0</v>
      </c>
      <c r="S3676">
        <v>0</v>
      </c>
      <c r="T3676">
        <v>0</v>
      </c>
      <c r="U3676">
        <v>0</v>
      </c>
      <c r="W3676" t="s">
        <v>52</v>
      </c>
    </row>
    <row r="3677" spans="1:23" x14ac:dyDescent="0.35">
      <c r="A3677" t="s">
        <v>45</v>
      </c>
      <c r="B3677" t="s">
        <v>7218</v>
      </c>
      <c r="C3677" t="s">
        <v>60</v>
      </c>
      <c r="D3677" t="s">
        <v>61</v>
      </c>
      <c r="E3677" t="s">
        <v>61</v>
      </c>
      <c r="F3677" t="s">
        <v>49</v>
      </c>
      <c r="G3677" t="s">
        <v>7386</v>
      </c>
      <c r="H3677" t="s">
        <v>7387</v>
      </c>
      <c r="J3677" t="str">
        <f>HYPERLINK("https://www.facebook.com/634639855377280/posts/771990234975574?comment_id=1357902374849546","https://www.facebook.com/634639855377280/posts/771990234975574?comment_id=1357902374849546")</f>
        <v>https://www.facebook.com/634639855377280/posts/771990234975574?comment_id=1357902374849546</v>
      </c>
      <c r="O3677">
        <v>0</v>
      </c>
      <c r="P3677">
        <v>0</v>
      </c>
      <c r="Q3677">
        <v>0</v>
      </c>
      <c r="S3677">
        <v>0</v>
      </c>
      <c r="T3677">
        <v>0</v>
      </c>
      <c r="U3677">
        <v>0</v>
      </c>
      <c r="W3677" t="s">
        <v>52</v>
      </c>
    </row>
    <row r="3678" spans="1:23" x14ac:dyDescent="0.35">
      <c r="A3678" t="s">
        <v>45</v>
      </c>
      <c r="B3678" t="s">
        <v>7218</v>
      </c>
      <c r="C3678" t="s">
        <v>60</v>
      </c>
      <c r="D3678" t="s">
        <v>61</v>
      </c>
      <c r="E3678" t="s">
        <v>61</v>
      </c>
      <c r="F3678" t="s">
        <v>49</v>
      </c>
      <c r="G3678" t="s">
        <v>7388</v>
      </c>
      <c r="H3678" t="s">
        <v>7389</v>
      </c>
      <c r="J3678" t="str">
        <f>HYPERLINK("https://www.facebook.com/634639855377280/posts/771990234975574?comment_id=1028392611565724&amp;reply_comment_id=912951913532671","https://www.facebook.com/634639855377280/posts/771990234975574?comment_id=1028392611565724&amp;reply_comment_id=912951913532671")</f>
        <v>https://www.facebook.com/634639855377280/posts/771990234975574?comment_id=1028392611565724&amp;reply_comment_id=912951913532671</v>
      </c>
      <c r="O3678">
        <v>0</v>
      </c>
      <c r="P3678">
        <v>0</v>
      </c>
      <c r="Q3678">
        <v>0</v>
      </c>
      <c r="S3678">
        <v>0</v>
      </c>
      <c r="T3678">
        <v>0</v>
      </c>
      <c r="U3678">
        <v>0</v>
      </c>
      <c r="W3678" t="s">
        <v>52</v>
      </c>
    </row>
    <row r="3679" spans="1:23" x14ac:dyDescent="0.35">
      <c r="A3679" t="s">
        <v>45</v>
      </c>
      <c r="B3679" t="s">
        <v>7218</v>
      </c>
      <c r="C3679" t="s">
        <v>60</v>
      </c>
      <c r="D3679" t="s">
        <v>64</v>
      </c>
      <c r="E3679" t="s">
        <v>64</v>
      </c>
      <c r="F3679" t="s">
        <v>49</v>
      </c>
      <c r="G3679" t="s">
        <v>2528</v>
      </c>
      <c r="H3679" t="s">
        <v>7390</v>
      </c>
      <c r="J3679" t="str">
        <f>HYPERLINK("https://www.facebook.com/634639855377280/posts/771990234975574?comment_id=1028392611565724&amp;reply_comment_id=6948044735249705","https://www.facebook.com/634639855377280/posts/771990234975574?comment_id=1028392611565724&amp;reply_comment_id=6948044735249705")</f>
        <v>https://www.facebook.com/634639855377280/posts/771990234975574?comment_id=1028392611565724&amp;reply_comment_id=6948044735249705</v>
      </c>
      <c r="K3679" t="s">
        <v>67</v>
      </c>
      <c r="O3679">
        <v>0</v>
      </c>
      <c r="P3679">
        <v>0</v>
      </c>
      <c r="Q3679">
        <v>0</v>
      </c>
      <c r="S3679">
        <v>0</v>
      </c>
      <c r="T3679">
        <v>0</v>
      </c>
      <c r="U3679">
        <v>0</v>
      </c>
      <c r="W3679" t="s">
        <v>52</v>
      </c>
    </row>
    <row r="3680" spans="1:23" x14ac:dyDescent="0.35">
      <c r="A3680" t="s">
        <v>45</v>
      </c>
      <c r="B3680" t="s">
        <v>7218</v>
      </c>
      <c r="C3680" t="s">
        <v>60</v>
      </c>
      <c r="D3680" t="s">
        <v>61</v>
      </c>
      <c r="E3680" t="s">
        <v>61</v>
      </c>
      <c r="F3680" t="s">
        <v>49</v>
      </c>
      <c r="G3680" t="s">
        <v>7391</v>
      </c>
      <c r="H3680" t="s">
        <v>7392</v>
      </c>
      <c r="J3680" t="str">
        <f>HYPERLINK("https://www.facebook.com/634639855377280/posts/771990234975574?comment_id=1028392611565724","https://www.facebook.com/634639855377280/posts/771990234975574?comment_id=1028392611565724")</f>
        <v>https://www.facebook.com/634639855377280/posts/771990234975574?comment_id=1028392611565724</v>
      </c>
      <c r="O3680">
        <v>0</v>
      </c>
      <c r="P3680">
        <v>0</v>
      </c>
      <c r="Q3680">
        <v>0</v>
      </c>
      <c r="S3680">
        <v>0</v>
      </c>
      <c r="T3680">
        <v>0</v>
      </c>
      <c r="U3680">
        <v>0</v>
      </c>
      <c r="W3680" t="s">
        <v>52</v>
      </c>
    </row>
    <row r="3681" spans="1:23" x14ac:dyDescent="0.35">
      <c r="A3681" t="s">
        <v>45</v>
      </c>
      <c r="B3681" t="s">
        <v>7218</v>
      </c>
      <c r="C3681" t="s">
        <v>93</v>
      </c>
      <c r="D3681" t="s">
        <v>94</v>
      </c>
      <c r="E3681" t="s">
        <v>45</v>
      </c>
      <c r="F3681" t="s">
        <v>49</v>
      </c>
      <c r="G3681" t="s">
        <v>7393</v>
      </c>
      <c r="H3681" t="s">
        <v>7394</v>
      </c>
      <c r="J3681" t="str">
        <f>HYPERLINK("https://twitter.com/SpiceMoneyIndia/status/1747821169930088757","https://twitter.com/SpiceMoneyIndia/status/1747821169930088757")</f>
        <v>https://twitter.com/SpiceMoneyIndia/status/1747821169930088757</v>
      </c>
      <c r="K3681" t="s">
        <v>67</v>
      </c>
      <c r="O3681">
        <v>0</v>
      </c>
      <c r="P3681">
        <v>0</v>
      </c>
      <c r="Q3681">
        <v>6000</v>
      </c>
      <c r="R3681" t="s">
        <v>97</v>
      </c>
      <c r="S3681">
        <v>0</v>
      </c>
      <c r="T3681">
        <v>0</v>
      </c>
      <c r="U3681">
        <v>0</v>
      </c>
      <c r="V3681" t="s">
        <v>98</v>
      </c>
      <c r="W3681" t="s">
        <v>99</v>
      </c>
    </row>
    <row r="3682" spans="1:23" x14ac:dyDescent="0.35">
      <c r="A3682" t="s">
        <v>45</v>
      </c>
      <c r="B3682" t="s">
        <v>7218</v>
      </c>
      <c r="C3682" t="s">
        <v>93</v>
      </c>
      <c r="D3682" t="s">
        <v>7395</v>
      </c>
      <c r="E3682" t="s">
        <v>7396</v>
      </c>
      <c r="F3682" t="s">
        <v>49</v>
      </c>
      <c r="G3682" t="s">
        <v>7397</v>
      </c>
      <c r="H3682" t="s">
        <v>7398</v>
      </c>
      <c r="J3682" t="str">
        <f>HYPERLINK("https://twitter.com/PunitSr51902640/status/1747820797077680533","https://twitter.com/PunitSr51902640/status/1747820797077680533")</f>
        <v>https://twitter.com/PunitSr51902640/status/1747820797077680533</v>
      </c>
      <c r="K3682" t="s">
        <v>67</v>
      </c>
      <c r="O3682">
        <v>0</v>
      </c>
      <c r="P3682">
        <v>0</v>
      </c>
      <c r="Q3682">
        <v>38</v>
      </c>
      <c r="R3682" t="s">
        <v>7399</v>
      </c>
      <c r="S3682">
        <v>0</v>
      </c>
      <c r="T3682">
        <v>0</v>
      </c>
      <c r="U3682">
        <v>0</v>
      </c>
      <c r="W3682" t="s">
        <v>99</v>
      </c>
    </row>
    <row r="3683" spans="1:23" x14ac:dyDescent="0.35">
      <c r="A3683" t="s">
        <v>45</v>
      </c>
      <c r="B3683" t="s">
        <v>7218</v>
      </c>
      <c r="C3683" t="s">
        <v>60</v>
      </c>
      <c r="D3683" t="s">
        <v>64</v>
      </c>
      <c r="E3683" t="s">
        <v>64</v>
      </c>
      <c r="F3683" t="s">
        <v>49</v>
      </c>
      <c r="G3683" t="s">
        <v>100</v>
      </c>
      <c r="H3683" t="s">
        <v>7400</v>
      </c>
      <c r="J3683" t="str">
        <f>HYPERLINK("https://www.facebook.com/634639855377280/posts/771990234975574?comment_id=749207596718942&amp;reply_comment_id=1593801064489473","https://www.facebook.com/634639855377280/posts/771990234975574?comment_id=749207596718942&amp;reply_comment_id=1593801064489473")</f>
        <v>https://www.facebook.com/634639855377280/posts/771990234975574?comment_id=749207596718942&amp;reply_comment_id=1593801064489473</v>
      </c>
      <c r="K3683" t="s">
        <v>67</v>
      </c>
      <c r="O3683">
        <v>0</v>
      </c>
      <c r="P3683">
        <v>0</v>
      </c>
      <c r="Q3683">
        <v>0</v>
      </c>
      <c r="S3683">
        <v>0</v>
      </c>
      <c r="T3683">
        <v>0</v>
      </c>
      <c r="U3683">
        <v>0</v>
      </c>
      <c r="W3683" t="s">
        <v>52</v>
      </c>
    </row>
    <row r="3684" spans="1:23" x14ac:dyDescent="0.35">
      <c r="A3684" t="s">
        <v>45</v>
      </c>
      <c r="B3684" t="s">
        <v>7218</v>
      </c>
      <c r="C3684" t="s">
        <v>60</v>
      </c>
      <c r="D3684" t="s">
        <v>64</v>
      </c>
      <c r="E3684" t="s">
        <v>64</v>
      </c>
      <c r="F3684" t="s">
        <v>49</v>
      </c>
      <c r="G3684" t="s">
        <v>270</v>
      </c>
      <c r="H3684" t="s">
        <v>7401</v>
      </c>
      <c r="J3684" t="str">
        <f>HYPERLINK("https://www.facebook.com/634639855377280/posts/773392231502041?comment_id=1124021632269201&amp;reply_comment_id=383417534232532","https://www.facebook.com/634639855377280/posts/773392231502041?comment_id=1124021632269201&amp;reply_comment_id=383417534232532")</f>
        <v>https://www.facebook.com/634639855377280/posts/773392231502041?comment_id=1124021632269201&amp;reply_comment_id=383417534232532</v>
      </c>
      <c r="K3684" t="s">
        <v>67</v>
      </c>
      <c r="O3684">
        <v>0</v>
      </c>
      <c r="P3684">
        <v>0</v>
      </c>
      <c r="Q3684">
        <v>0</v>
      </c>
      <c r="S3684">
        <v>0</v>
      </c>
      <c r="T3684">
        <v>0</v>
      </c>
      <c r="U3684">
        <v>0</v>
      </c>
      <c r="W3684" t="s">
        <v>52</v>
      </c>
    </row>
    <row r="3685" spans="1:23" x14ac:dyDescent="0.35">
      <c r="A3685" t="s">
        <v>45</v>
      </c>
      <c r="B3685" t="s">
        <v>7218</v>
      </c>
      <c r="C3685" t="s">
        <v>60</v>
      </c>
      <c r="D3685" t="s">
        <v>64</v>
      </c>
      <c r="E3685" t="s">
        <v>64</v>
      </c>
      <c r="F3685" t="s">
        <v>49</v>
      </c>
      <c r="G3685" t="s">
        <v>266</v>
      </c>
      <c r="H3685" t="s">
        <v>7402</v>
      </c>
      <c r="J3685" t="str">
        <f>HYPERLINK("https://www.facebook.com/634639855377280/posts/773392231502041?comment_id=369485839036647&amp;reply_comment_id=420328913661841","https://www.facebook.com/634639855377280/posts/773392231502041?comment_id=369485839036647&amp;reply_comment_id=420328913661841")</f>
        <v>https://www.facebook.com/634639855377280/posts/773392231502041?comment_id=369485839036647&amp;reply_comment_id=420328913661841</v>
      </c>
      <c r="K3685" t="s">
        <v>67</v>
      </c>
      <c r="O3685">
        <v>0</v>
      </c>
      <c r="P3685">
        <v>0</v>
      </c>
      <c r="Q3685">
        <v>0</v>
      </c>
      <c r="S3685">
        <v>0</v>
      </c>
      <c r="T3685">
        <v>0</v>
      </c>
      <c r="U3685">
        <v>0</v>
      </c>
      <c r="W3685" t="s">
        <v>52</v>
      </c>
    </row>
    <row r="3686" spans="1:23" x14ac:dyDescent="0.35">
      <c r="A3686" t="s">
        <v>45</v>
      </c>
      <c r="B3686" t="s">
        <v>7218</v>
      </c>
      <c r="C3686" t="s">
        <v>60</v>
      </c>
      <c r="D3686" t="s">
        <v>64</v>
      </c>
      <c r="E3686" t="s">
        <v>64</v>
      </c>
      <c r="F3686" t="s">
        <v>49</v>
      </c>
      <c r="G3686" t="s">
        <v>83</v>
      </c>
      <c r="H3686" t="s">
        <v>7403</v>
      </c>
      <c r="J3686" t="str">
        <f>HYPERLINK("https://www.facebook.com/634639855377280/posts/771990234975574?comment_id=282498628175766&amp;reply_comment_id=341195798745494","https://www.facebook.com/634639855377280/posts/771990234975574?comment_id=282498628175766&amp;reply_comment_id=341195798745494")</f>
        <v>https://www.facebook.com/634639855377280/posts/771990234975574?comment_id=282498628175766&amp;reply_comment_id=341195798745494</v>
      </c>
      <c r="K3686" t="s">
        <v>67</v>
      </c>
      <c r="O3686">
        <v>0</v>
      </c>
      <c r="P3686">
        <v>0</v>
      </c>
      <c r="Q3686">
        <v>0</v>
      </c>
      <c r="S3686">
        <v>0</v>
      </c>
      <c r="T3686">
        <v>0</v>
      </c>
      <c r="U3686">
        <v>0</v>
      </c>
      <c r="W3686" t="s">
        <v>52</v>
      </c>
    </row>
    <row r="3687" spans="1:23" x14ac:dyDescent="0.35">
      <c r="A3687" t="s">
        <v>45</v>
      </c>
      <c r="B3687" t="s">
        <v>7218</v>
      </c>
      <c r="C3687" t="s">
        <v>60</v>
      </c>
      <c r="D3687" t="s">
        <v>64</v>
      </c>
      <c r="E3687" t="s">
        <v>64</v>
      </c>
      <c r="F3687" t="s">
        <v>49</v>
      </c>
      <c r="G3687" t="s">
        <v>266</v>
      </c>
      <c r="H3687" t="s">
        <v>7404</v>
      </c>
      <c r="J3687" t="str">
        <f>HYPERLINK("https://www.facebook.com/634639855377280/posts/772618101579454?comment_id=4136375919922161&amp;reply_comment_id=927643192315721","https://www.facebook.com/634639855377280/posts/772618101579454?comment_id=4136375919922161&amp;reply_comment_id=927643192315721")</f>
        <v>https://www.facebook.com/634639855377280/posts/772618101579454?comment_id=4136375919922161&amp;reply_comment_id=927643192315721</v>
      </c>
      <c r="K3687" t="s">
        <v>67</v>
      </c>
      <c r="O3687">
        <v>0</v>
      </c>
      <c r="P3687">
        <v>0</v>
      </c>
      <c r="Q3687">
        <v>0</v>
      </c>
      <c r="S3687">
        <v>0</v>
      </c>
      <c r="T3687">
        <v>0</v>
      </c>
      <c r="U3687">
        <v>0</v>
      </c>
      <c r="W3687" t="s">
        <v>52</v>
      </c>
    </row>
    <row r="3688" spans="1:23" x14ac:dyDescent="0.35">
      <c r="A3688" t="s">
        <v>45</v>
      </c>
      <c r="B3688" t="s">
        <v>7218</v>
      </c>
      <c r="C3688" t="s">
        <v>93</v>
      </c>
      <c r="D3688" t="s">
        <v>94</v>
      </c>
      <c r="E3688" t="s">
        <v>45</v>
      </c>
      <c r="F3688" t="s">
        <v>49</v>
      </c>
      <c r="G3688" t="s">
        <v>7405</v>
      </c>
      <c r="H3688" t="s">
        <v>7406</v>
      </c>
      <c r="J3688" t="str">
        <f>HYPERLINK("https://twitter.com/SpiceMoneyIndia/status/1747815947623178444","https://twitter.com/SpiceMoneyIndia/status/1747815947623178444")</f>
        <v>https://twitter.com/SpiceMoneyIndia/status/1747815947623178444</v>
      </c>
      <c r="K3688" t="s">
        <v>67</v>
      </c>
      <c r="O3688">
        <v>0</v>
      </c>
      <c r="P3688">
        <v>0</v>
      </c>
      <c r="Q3688">
        <v>6000</v>
      </c>
      <c r="R3688" t="s">
        <v>97</v>
      </c>
      <c r="S3688">
        <v>0</v>
      </c>
      <c r="T3688">
        <v>0</v>
      </c>
      <c r="U3688">
        <v>0</v>
      </c>
      <c r="V3688" t="s">
        <v>98</v>
      </c>
      <c r="W3688" t="s">
        <v>99</v>
      </c>
    </row>
    <row r="3689" spans="1:23" x14ac:dyDescent="0.35">
      <c r="A3689" t="s">
        <v>45</v>
      </c>
      <c r="B3689" t="s">
        <v>7218</v>
      </c>
      <c r="C3689" t="s">
        <v>47</v>
      </c>
      <c r="D3689" t="s">
        <v>68</v>
      </c>
      <c r="E3689" t="s">
        <v>68</v>
      </c>
      <c r="F3689" t="s">
        <v>49</v>
      </c>
      <c r="G3689" t="s">
        <v>102</v>
      </c>
      <c r="H3689" t="s">
        <v>7407</v>
      </c>
      <c r="J3689" t="str">
        <f>HYPERLINK("https://www.youtube.com/watch?v=WFhlOwAtEvE&amp;lc=UgwYvgNNORRkTeD04Uh4AaABAg.9zRqP-KOZxy9zgxC38IKmq","https://www.youtube.com/watch?v=WFhlOwAtEvE&amp;lc=UgwYvgNNORRkTeD04Uh4AaABAg.9zRqP-KOZxy9zgxC38IKmq")</f>
        <v>https://www.youtube.com/watch?v=WFhlOwAtEvE&amp;lc=UgwYvgNNORRkTeD04Uh4AaABAg.9zRqP-KOZxy9zgxC38IKmq</v>
      </c>
      <c r="O3689">
        <v>0</v>
      </c>
      <c r="P3689">
        <v>0</v>
      </c>
      <c r="Q3689">
        <v>0</v>
      </c>
      <c r="S3689">
        <v>0</v>
      </c>
      <c r="T3689">
        <v>0</v>
      </c>
      <c r="U3689">
        <v>0</v>
      </c>
      <c r="W3689" t="s">
        <v>52</v>
      </c>
    </row>
    <row r="3690" spans="1:23" x14ac:dyDescent="0.35">
      <c r="A3690" t="s">
        <v>45</v>
      </c>
      <c r="B3690" t="s">
        <v>7218</v>
      </c>
      <c r="C3690" t="s">
        <v>60</v>
      </c>
      <c r="D3690" t="s">
        <v>64</v>
      </c>
      <c r="E3690" t="s">
        <v>64</v>
      </c>
      <c r="F3690" t="s">
        <v>49</v>
      </c>
      <c r="G3690" t="s">
        <v>454</v>
      </c>
      <c r="H3690" t="s">
        <v>7408</v>
      </c>
      <c r="J3690" t="str">
        <f>HYPERLINK("https://www.facebook.com/634639855377280/posts/771990234975574?comment_id=1133643614477384&amp;reply_comment_id=1088281865719456","https://www.facebook.com/634639855377280/posts/771990234975574?comment_id=1133643614477384&amp;reply_comment_id=1088281865719456")</f>
        <v>https://www.facebook.com/634639855377280/posts/771990234975574?comment_id=1133643614477384&amp;reply_comment_id=1088281865719456</v>
      </c>
      <c r="K3690" t="s">
        <v>67</v>
      </c>
      <c r="O3690">
        <v>0</v>
      </c>
      <c r="P3690">
        <v>0</v>
      </c>
      <c r="Q3690">
        <v>0</v>
      </c>
      <c r="S3690">
        <v>0</v>
      </c>
      <c r="T3690">
        <v>0</v>
      </c>
      <c r="U3690">
        <v>0</v>
      </c>
      <c r="W3690" t="s">
        <v>52</v>
      </c>
    </row>
    <row r="3691" spans="1:23" x14ac:dyDescent="0.35">
      <c r="A3691" t="s">
        <v>45</v>
      </c>
      <c r="B3691" t="s">
        <v>7218</v>
      </c>
      <c r="C3691" t="s">
        <v>60</v>
      </c>
      <c r="D3691" t="s">
        <v>64</v>
      </c>
      <c r="E3691" t="s">
        <v>64</v>
      </c>
      <c r="F3691" t="s">
        <v>49</v>
      </c>
      <c r="G3691" t="s">
        <v>100</v>
      </c>
      <c r="H3691" t="s">
        <v>7409</v>
      </c>
      <c r="J3691" t="str">
        <f>HYPERLINK("https://www.facebook.com/634639855377280/posts/773392231502041?comment_id=907290637548988&amp;reply_comment_id=1087672425989018","https://www.facebook.com/634639855377280/posts/773392231502041?comment_id=907290637548988&amp;reply_comment_id=1087672425989018")</f>
        <v>https://www.facebook.com/634639855377280/posts/773392231502041?comment_id=907290637548988&amp;reply_comment_id=1087672425989018</v>
      </c>
      <c r="K3691" t="s">
        <v>67</v>
      </c>
      <c r="O3691">
        <v>0</v>
      </c>
      <c r="P3691">
        <v>0</v>
      </c>
      <c r="Q3691">
        <v>0</v>
      </c>
      <c r="S3691">
        <v>0</v>
      </c>
      <c r="T3691">
        <v>0</v>
      </c>
      <c r="U3691">
        <v>0</v>
      </c>
      <c r="W3691" t="s">
        <v>52</v>
      </c>
    </row>
    <row r="3692" spans="1:23" x14ac:dyDescent="0.35">
      <c r="A3692" t="s">
        <v>45</v>
      </c>
      <c r="B3692" t="s">
        <v>7218</v>
      </c>
      <c r="C3692" t="s">
        <v>93</v>
      </c>
      <c r="D3692" t="s">
        <v>94</v>
      </c>
      <c r="E3692" t="s">
        <v>45</v>
      </c>
      <c r="F3692" t="s">
        <v>49</v>
      </c>
      <c r="G3692" t="s">
        <v>7410</v>
      </c>
      <c r="H3692" t="s">
        <v>7411</v>
      </c>
      <c r="J3692" t="str">
        <f>HYPERLINK("https://twitter.com/SpiceMoneyIndia/status/1747814608201502849","https://twitter.com/SpiceMoneyIndia/status/1747814608201502849")</f>
        <v>https://twitter.com/SpiceMoneyIndia/status/1747814608201502849</v>
      </c>
      <c r="K3692" t="s">
        <v>67</v>
      </c>
      <c r="O3692">
        <v>0</v>
      </c>
      <c r="P3692">
        <v>0</v>
      </c>
      <c r="Q3692">
        <v>6000</v>
      </c>
      <c r="R3692" t="s">
        <v>97</v>
      </c>
      <c r="S3692">
        <v>0</v>
      </c>
      <c r="T3692">
        <v>0</v>
      </c>
      <c r="U3692">
        <v>0</v>
      </c>
      <c r="V3692" t="s">
        <v>98</v>
      </c>
      <c r="W3692" t="s">
        <v>99</v>
      </c>
    </row>
    <row r="3693" spans="1:23" x14ac:dyDescent="0.35">
      <c r="A3693" t="s">
        <v>45</v>
      </c>
      <c r="B3693" t="s">
        <v>7218</v>
      </c>
      <c r="C3693" t="s">
        <v>47</v>
      </c>
      <c r="D3693" t="s">
        <v>68</v>
      </c>
      <c r="E3693" t="s">
        <v>68</v>
      </c>
      <c r="F3693" t="s">
        <v>49</v>
      </c>
      <c r="G3693" t="s">
        <v>1276</v>
      </c>
      <c r="H3693" t="s">
        <v>7412</v>
      </c>
      <c r="J3693" t="str">
        <f>HYPERLINK("https://www.youtube.com/watch?v=nw5NSk5mPF8&amp;lc=UgwrO4jlTGy5r7_djid4AaABAg.9zfnt9vmjLK9zgwaRiESHL","https://www.youtube.com/watch?v=nw5NSk5mPF8&amp;lc=UgwrO4jlTGy5r7_djid4AaABAg.9zfnt9vmjLK9zgwaRiESHL")</f>
        <v>https://www.youtube.com/watch?v=nw5NSk5mPF8&amp;lc=UgwrO4jlTGy5r7_djid4AaABAg.9zfnt9vmjLK9zgwaRiESHL</v>
      </c>
      <c r="O3693">
        <v>0</v>
      </c>
      <c r="P3693">
        <v>0</v>
      </c>
      <c r="Q3693">
        <v>0</v>
      </c>
      <c r="S3693">
        <v>0</v>
      </c>
      <c r="T3693">
        <v>0</v>
      </c>
      <c r="U3693">
        <v>0</v>
      </c>
      <c r="W3693" t="s">
        <v>52</v>
      </c>
    </row>
    <row r="3694" spans="1:23" x14ac:dyDescent="0.35">
      <c r="A3694" t="s">
        <v>45</v>
      </c>
      <c r="B3694" t="s">
        <v>7218</v>
      </c>
      <c r="C3694" t="s">
        <v>93</v>
      </c>
      <c r="D3694" t="s">
        <v>7413</v>
      </c>
      <c r="E3694" t="s">
        <v>7414</v>
      </c>
      <c r="F3694" t="s">
        <v>49</v>
      </c>
      <c r="G3694" t="s">
        <v>7415</v>
      </c>
      <c r="H3694" t="s">
        <v>7416</v>
      </c>
      <c r="J3694" t="str">
        <f>HYPERLINK("https://twitter.com/BadalKu32709639/status/1747809091333062713","https://twitter.com/BadalKu32709639/status/1747809091333062713")</f>
        <v>https://twitter.com/BadalKu32709639/status/1747809091333062713</v>
      </c>
      <c r="K3694" t="s">
        <v>67</v>
      </c>
      <c r="O3694">
        <v>0</v>
      </c>
      <c r="P3694">
        <v>0</v>
      </c>
      <c r="Q3694">
        <v>3</v>
      </c>
      <c r="S3694">
        <v>0</v>
      </c>
      <c r="T3694">
        <v>0</v>
      </c>
      <c r="U3694">
        <v>0</v>
      </c>
      <c r="W3694" t="s">
        <v>99</v>
      </c>
    </row>
    <row r="3695" spans="1:23" x14ac:dyDescent="0.35">
      <c r="A3695" t="s">
        <v>45</v>
      </c>
      <c r="B3695" t="s">
        <v>7218</v>
      </c>
      <c r="C3695" t="s">
        <v>93</v>
      </c>
      <c r="D3695" t="s">
        <v>7417</v>
      </c>
      <c r="E3695" t="s">
        <v>7418</v>
      </c>
      <c r="F3695" t="s">
        <v>49</v>
      </c>
      <c r="G3695" t="s">
        <v>7419</v>
      </c>
      <c r="H3695" t="s">
        <v>7420</v>
      </c>
      <c r="J3695" t="str">
        <f>HYPERLINK("https://twitter.com/Shobhitvar97831/status/1747794655155200214","https://twitter.com/Shobhitvar97831/status/1747794655155200214")</f>
        <v>https://twitter.com/Shobhitvar97831/status/1747794655155200214</v>
      </c>
      <c r="K3695" t="s">
        <v>67</v>
      </c>
      <c r="O3695">
        <v>0</v>
      </c>
      <c r="P3695">
        <v>0</v>
      </c>
      <c r="Q3695">
        <v>2</v>
      </c>
      <c r="S3695">
        <v>0</v>
      </c>
      <c r="T3695">
        <v>0</v>
      </c>
      <c r="U3695">
        <v>0</v>
      </c>
      <c r="W3695" t="s">
        <v>99</v>
      </c>
    </row>
    <row r="3696" spans="1:23" x14ac:dyDescent="0.35">
      <c r="A3696" t="s">
        <v>45</v>
      </c>
      <c r="B3696" t="s">
        <v>7218</v>
      </c>
      <c r="C3696" t="s">
        <v>93</v>
      </c>
      <c r="D3696" t="s">
        <v>7417</v>
      </c>
      <c r="E3696" t="s">
        <v>7418</v>
      </c>
      <c r="F3696" t="s">
        <v>49</v>
      </c>
      <c r="G3696" t="s">
        <v>7421</v>
      </c>
      <c r="H3696" t="s">
        <v>7422</v>
      </c>
      <c r="J3696" t="str">
        <f>HYPERLINK("https://twitter.com/Shobhitvar97831/status/1747794317211754939","https://twitter.com/Shobhitvar97831/status/1747794317211754939")</f>
        <v>https://twitter.com/Shobhitvar97831/status/1747794317211754939</v>
      </c>
      <c r="K3696" t="s">
        <v>67</v>
      </c>
      <c r="O3696">
        <v>0</v>
      </c>
      <c r="P3696">
        <v>0</v>
      </c>
      <c r="Q3696">
        <v>2</v>
      </c>
      <c r="S3696">
        <v>0</v>
      </c>
      <c r="T3696">
        <v>0</v>
      </c>
      <c r="U3696">
        <v>0</v>
      </c>
      <c r="W3696" t="s">
        <v>99</v>
      </c>
    </row>
    <row r="3697" spans="1:23" x14ac:dyDescent="0.35">
      <c r="A3697" t="s">
        <v>45</v>
      </c>
      <c r="B3697" t="s">
        <v>7218</v>
      </c>
      <c r="C3697" t="s">
        <v>60</v>
      </c>
      <c r="D3697" t="s">
        <v>61</v>
      </c>
      <c r="E3697" t="s">
        <v>61</v>
      </c>
      <c r="F3697" t="s">
        <v>49</v>
      </c>
      <c r="G3697" t="s">
        <v>4915</v>
      </c>
      <c r="H3697" t="s">
        <v>7423</v>
      </c>
      <c r="J3697" t="str">
        <f>HYPERLINK("https://www.facebook.com/634639855377280/posts/773392231502041?comment_id=907290637548988&amp;reply_comment_id=940464557724442","https://www.facebook.com/634639855377280/posts/773392231502041?comment_id=907290637548988&amp;reply_comment_id=940464557724442")</f>
        <v>https://www.facebook.com/634639855377280/posts/773392231502041?comment_id=907290637548988&amp;reply_comment_id=940464557724442</v>
      </c>
      <c r="O3697">
        <v>0</v>
      </c>
      <c r="P3697">
        <v>0</v>
      </c>
      <c r="Q3697">
        <v>0</v>
      </c>
      <c r="S3697">
        <v>0</v>
      </c>
      <c r="T3697">
        <v>0</v>
      </c>
      <c r="U3697">
        <v>0</v>
      </c>
      <c r="W3697" t="s">
        <v>52</v>
      </c>
    </row>
    <row r="3698" spans="1:23" x14ac:dyDescent="0.35">
      <c r="A3698" t="s">
        <v>45</v>
      </c>
      <c r="B3698" t="s">
        <v>7424</v>
      </c>
      <c r="C3698" t="s">
        <v>47</v>
      </c>
      <c r="D3698" t="s">
        <v>3634</v>
      </c>
      <c r="E3698" t="s">
        <v>3634</v>
      </c>
      <c r="F3698" t="s">
        <v>49</v>
      </c>
      <c r="G3698" t="s">
        <v>7425</v>
      </c>
      <c r="H3698" t="s">
        <v>7426</v>
      </c>
      <c r="J3698" t="str">
        <f>HYPERLINK("https://www.youtube.com/watch?v=nw5NSk5mPF8&amp;lc=UgwrO4jlTGy5r7_djid4AaABAg","https://www.youtube.com/watch?v=nw5NSk5mPF8&amp;lc=UgwrO4jlTGy5r7_djid4AaABAg")</f>
        <v>https://www.youtube.com/watch?v=nw5NSk5mPF8&amp;lc=UgwrO4jlTGy5r7_djid4AaABAg</v>
      </c>
      <c r="O3698">
        <v>0</v>
      </c>
      <c r="P3698">
        <v>0</v>
      </c>
      <c r="Q3698">
        <v>0</v>
      </c>
      <c r="S3698">
        <v>0</v>
      </c>
      <c r="T3698">
        <v>0</v>
      </c>
      <c r="U3698">
        <v>0</v>
      </c>
      <c r="W3698" t="s">
        <v>52</v>
      </c>
    </row>
    <row r="3699" spans="1:23" x14ac:dyDescent="0.35">
      <c r="A3699" t="s">
        <v>45</v>
      </c>
      <c r="B3699" t="s">
        <v>7424</v>
      </c>
      <c r="C3699" t="s">
        <v>93</v>
      </c>
      <c r="D3699" t="s">
        <v>7395</v>
      </c>
      <c r="E3699" t="s">
        <v>7396</v>
      </c>
      <c r="F3699" t="s">
        <v>193</v>
      </c>
      <c r="G3699" t="s">
        <v>7427</v>
      </c>
      <c r="H3699" t="s">
        <v>7428</v>
      </c>
      <c r="J3699" t="str">
        <f>HYPERLINK("https://twitter.com/PunitSr51902640/status/1747644768770044049","https://twitter.com/PunitSr51902640/status/1747644768770044049")</f>
        <v>https://twitter.com/PunitSr51902640/status/1747644768770044049</v>
      </c>
      <c r="K3699" t="s">
        <v>67</v>
      </c>
      <c r="O3699">
        <v>0</v>
      </c>
      <c r="P3699">
        <v>0</v>
      </c>
      <c r="Q3699">
        <v>38</v>
      </c>
      <c r="R3699" t="s">
        <v>7399</v>
      </c>
      <c r="S3699">
        <v>0</v>
      </c>
      <c r="T3699">
        <v>0</v>
      </c>
      <c r="U3699">
        <v>0</v>
      </c>
      <c r="W3699" t="s">
        <v>99</v>
      </c>
    </row>
    <row r="3700" spans="1:23" x14ac:dyDescent="0.35">
      <c r="A3700" t="s">
        <v>45</v>
      </c>
      <c r="B3700" t="s">
        <v>7424</v>
      </c>
      <c r="C3700" t="s">
        <v>47</v>
      </c>
      <c r="D3700" t="s">
        <v>6009</v>
      </c>
      <c r="E3700" t="s">
        <v>6009</v>
      </c>
      <c r="F3700" t="s">
        <v>49</v>
      </c>
      <c r="G3700" t="s">
        <v>7429</v>
      </c>
      <c r="H3700" t="s">
        <v>7430</v>
      </c>
      <c r="J3700" t="str">
        <f>HYPERLINK("https://www.youtube.com/watch?v=WFhlOwAtEvE&amp;lc=UgwYvgNNORRkTeD04Uh4AaABAg.9zRqP-KOZxy9zfbqoqQDXj","https://www.youtube.com/watch?v=WFhlOwAtEvE&amp;lc=UgwYvgNNORRkTeD04Uh4AaABAg.9zRqP-KOZxy9zfbqoqQDXj")</f>
        <v>https://www.youtube.com/watch?v=WFhlOwAtEvE&amp;lc=UgwYvgNNORRkTeD04Uh4AaABAg.9zRqP-KOZxy9zfbqoqQDXj</v>
      </c>
      <c r="O3700">
        <v>0</v>
      </c>
      <c r="P3700">
        <v>0</v>
      </c>
      <c r="Q3700">
        <v>0</v>
      </c>
      <c r="S3700">
        <v>0</v>
      </c>
      <c r="T3700">
        <v>0</v>
      </c>
      <c r="U3700">
        <v>0</v>
      </c>
      <c r="W3700" t="s">
        <v>52</v>
      </c>
    </row>
    <row r="3701" spans="1:23" x14ac:dyDescent="0.35">
      <c r="A3701" t="s">
        <v>45</v>
      </c>
      <c r="B3701" t="s">
        <v>7424</v>
      </c>
      <c r="C3701" t="s">
        <v>47</v>
      </c>
      <c r="D3701" t="s">
        <v>6009</v>
      </c>
      <c r="E3701" t="s">
        <v>6009</v>
      </c>
      <c r="F3701" t="s">
        <v>49</v>
      </c>
      <c r="G3701" t="s">
        <v>7431</v>
      </c>
      <c r="H3701" t="s">
        <v>7432</v>
      </c>
      <c r="J3701" t="str">
        <f>HYPERLINK("https://www.youtube.com/watch?v=WFhlOwAtEvE&amp;lc=UgwYvgNNORRkTeD04Uh4AaABAg.9zRqP-KOZxy9zfboYepiE4","https://www.youtube.com/watch?v=WFhlOwAtEvE&amp;lc=UgwYvgNNORRkTeD04Uh4AaABAg.9zRqP-KOZxy9zfboYepiE4")</f>
        <v>https://www.youtube.com/watch?v=WFhlOwAtEvE&amp;lc=UgwYvgNNORRkTeD04Uh4AaABAg.9zRqP-KOZxy9zfboYepiE4</v>
      </c>
      <c r="O3701">
        <v>0</v>
      </c>
      <c r="P3701">
        <v>0</v>
      </c>
      <c r="Q3701">
        <v>0</v>
      </c>
      <c r="S3701">
        <v>0</v>
      </c>
      <c r="T3701">
        <v>0</v>
      </c>
      <c r="U3701">
        <v>0</v>
      </c>
      <c r="W3701" t="s">
        <v>52</v>
      </c>
    </row>
    <row r="3702" spans="1:23" x14ac:dyDescent="0.35">
      <c r="A3702" t="s">
        <v>45</v>
      </c>
      <c r="B3702" t="s">
        <v>7424</v>
      </c>
      <c r="C3702" t="s">
        <v>47</v>
      </c>
      <c r="D3702" t="s">
        <v>7433</v>
      </c>
      <c r="E3702" t="s">
        <v>7433</v>
      </c>
      <c r="F3702" t="s">
        <v>49</v>
      </c>
      <c r="G3702" t="s">
        <v>7434</v>
      </c>
      <c r="H3702" t="s">
        <v>7435</v>
      </c>
      <c r="J3702" t="str">
        <f>HYPERLINK("https://www.youtube.com/watch?v=WFhlOwAtEvE&amp;lc=UgwYvgNNORRkTeD04Uh4AaABAg.9zRqP-KOZxy9zfaXXSwXmy","https://www.youtube.com/watch?v=WFhlOwAtEvE&amp;lc=UgwYvgNNORRkTeD04Uh4AaABAg.9zRqP-KOZxy9zfaXXSwXmy")</f>
        <v>https://www.youtube.com/watch?v=WFhlOwAtEvE&amp;lc=UgwYvgNNORRkTeD04Uh4AaABAg.9zRqP-KOZxy9zfaXXSwXmy</v>
      </c>
      <c r="O3702">
        <v>0</v>
      </c>
      <c r="P3702">
        <v>0</v>
      </c>
      <c r="Q3702">
        <v>0</v>
      </c>
      <c r="S3702">
        <v>0</v>
      </c>
      <c r="T3702">
        <v>0</v>
      </c>
      <c r="U3702">
        <v>0</v>
      </c>
      <c r="W3702" t="s">
        <v>52</v>
      </c>
    </row>
    <row r="3703" spans="1:23" x14ac:dyDescent="0.35">
      <c r="A3703" t="s">
        <v>45</v>
      </c>
      <c r="B3703" t="s">
        <v>7424</v>
      </c>
      <c r="C3703" t="s">
        <v>47</v>
      </c>
      <c r="D3703" t="s">
        <v>68</v>
      </c>
      <c r="E3703" t="s">
        <v>68</v>
      </c>
      <c r="F3703" t="s">
        <v>49</v>
      </c>
      <c r="G3703" t="s">
        <v>102</v>
      </c>
      <c r="H3703" t="s">
        <v>7436</v>
      </c>
      <c r="J3703" t="str">
        <f>HYPERLINK("https://www.youtube.com/watch?v=nw5NSk5mPF8&amp;lc=UgzIcu7-t1n-Mx9SX5d4AaABAg.9zeGOuwMmLF9zfN3ZpAQrI","https://www.youtube.com/watch?v=nw5NSk5mPF8&amp;lc=UgzIcu7-t1n-Mx9SX5d4AaABAg.9zeGOuwMmLF9zfN3ZpAQrI")</f>
        <v>https://www.youtube.com/watch?v=nw5NSk5mPF8&amp;lc=UgzIcu7-t1n-Mx9SX5d4AaABAg.9zeGOuwMmLF9zfN3ZpAQrI</v>
      </c>
      <c r="O3703">
        <v>0</v>
      </c>
      <c r="P3703">
        <v>0</v>
      </c>
      <c r="Q3703">
        <v>0</v>
      </c>
      <c r="S3703">
        <v>0</v>
      </c>
      <c r="T3703">
        <v>0</v>
      </c>
      <c r="U3703">
        <v>0</v>
      </c>
      <c r="W3703" t="s">
        <v>52</v>
      </c>
    </row>
    <row r="3704" spans="1:23" x14ac:dyDescent="0.35">
      <c r="A3704" t="s">
        <v>45</v>
      </c>
      <c r="B3704" t="s">
        <v>7424</v>
      </c>
      <c r="C3704" t="s">
        <v>93</v>
      </c>
      <c r="D3704" t="s">
        <v>94</v>
      </c>
      <c r="E3704" t="s">
        <v>45</v>
      </c>
      <c r="F3704" t="s">
        <v>49</v>
      </c>
      <c r="G3704" t="s">
        <v>7437</v>
      </c>
      <c r="H3704" t="s">
        <v>7438</v>
      </c>
      <c r="J3704" t="str">
        <f>HYPERLINK("https://twitter.com/SpiceMoneyIndia/status/1747592016064614803","https://twitter.com/SpiceMoneyIndia/status/1747592016064614803")</f>
        <v>https://twitter.com/SpiceMoneyIndia/status/1747592016064614803</v>
      </c>
      <c r="K3704" t="s">
        <v>67</v>
      </c>
      <c r="O3704">
        <v>0</v>
      </c>
      <c r="P3704">
        <v>0</v>
      </c>
      <c r="Q3704">
        <v>6001</v>
      </c>
      <c r="R3704" t="s">
        <v>97</v>
      </c>
      <c r="S3704">
        <v>0</v>
      </c>
      <c r="T3704">
        <v>0</v>
      </c>
      <c r="U3704">
        <v>0</v>
      </c>
      <c r="V3704" t="s">
        <v>98</v>
      </c>
      <c r="W3704" t="s">
        <v>99</v>
      </c>
    </row>
    <row r="3705" spans="1:23" x14ac:dyDescent="0.35">
      <c r="A3705" t="s">
        <v>45</v>
      </c>
      <c r="B3705" t="s">
        <v>7424</v>
      </c>
      <c r="C3705" t="s">
        <v>93</v>
      </c>
      <c r="D3705" t="s">
        <v>94</v>
      </c>
      <c r="E3705" t="s">
        <v>45</v>
      </c>
      <c r="F3705" t="s">
        <v>49</v>
      </c>
      <c r="G3705" t="s">
        <v>6927</v>
      </c>
      <c r="H3705" t="s">
        <v>7439</v>
      </c>
      <c r="J3705" t="str">
        <f>HYPERLINK("https://twitter.com/SpiceMoneyIndia/status/1747591207767675042","https://twitter.com/SpiceMoneyIndia/status/1747591207767675042")</f>
        <v>https://twitter.com/SpiceMoneyIndia/status/1747591207767675042</v>
      </c>
      <c r="K3705" t="s">
        <v>67</v>
      </c>
      <c r="O3705">
        <v>0</v>
      </c>
      <c r="P3705">
        <v>0</v>
      </c>
      <c r="Q3705">
        <v>6001</v>
      </c>
      <c r="R3705" t="s">
        <v>97</v>
      </c>
      <c r="S3705">
        <v>0</v>
      </c>
      <c r="T3705">
        <v>0</v>
      </c>
      <c r="U3705">
        <v>0</v>
      </c>
      <c r="V3705" t="s">
        <v>98</v>
      </c>
      <c r="W3705" t="s">
        <v>99</v>
      </c>
    </row>
    <row r="3706" spans="1:23" x14ac:dyDescent="0.35">
      <c r="A3706" t="s">
        <v>45</v>
      </c>
      <c r="B3706" t="s">
        <v>7424</v>
      </c>
      <c r="C3706" t="s">
        <v>93</v>
      </c>
      <c r="D3706" t="s">
        <v>94</v>
      </c>
      <c r="E3706" t="s">
        <v>45</v>
      </c>
      <c r="F3706" t="s">
        <v>49</v>
      </c>
      <c r="G3706" t="s">
        <v>7440</v>
      </c>
      <c r="H3706" t="s">
        <v>7441</v>
      </c>
      <c r="J3706" t="str">
        <f>HYPERLINK("https://twitter.com/SpiceMoneyIndia/status/1747590783501222373","https://twitter.com/SpiceMoneyIndia/status/1747590783501222373")</f>
        <v>https://twitter.com/SpiceMoneyIndia/status/1747590783501222373</v>
      </c>
      <c r="K3706" t="s">
        <v>67</v>
      </c>
      <c r="O3706">
        <v>0</v>
      </c>
      <c r="P3706">
        <v>0</v>
      </c>
      <c r="Q3706">
        <v>6001</v>
      </c>
      <c r="R3706" t="s">
        <v>97</v>
      </c>
      <c r="S3706">
        <v>0</v>
      </c>
      <c r="T3706">
        <v>0</v>
      </c>
      <c r="U3706">
        <v>0</v>
      </c>
      <c r="V3706" t="s">
        <v>98</v>
      </c>
      <c r="W3706" t="s">
        <v>99</v>
      </c>
    </row>
    <row r="3707" spans="1:23" x14ac:dyDescent="0.35">
      <c r="A3707" t="s">
        <v>45</v>
      </c>
      <c r="B3707" t="s">
        <v>7424</v>
      </c>
      <c r="C3707" t="s">
        <v>93</v>
      </c>
      <c r="D3707" t="s">
        <v>94</v>
      </c>
      <c r="E3707" t="s">
        <v>45</v>
      </c>
      <c r="F3707" t="s">
        <v>49</v>
      </c>
      <c r="G3707" t="s">
        <v>7442</v>
      </c>
      <c r="H3707" t="s">
        <v>7443</v>
      </c>
      <c r="J3707" t="str">
        <f>HYPERLINK("https://twitter.com/SpiceMoneyIndia/status/1747586190050467972","https://twitter.com/SpiceMoneyIndia/status/1747586190050467972")</f>
        <v>https://twitter.com/SpiceMoneyIndia/status/1747586190050467972</v>
      </c>
      <c r="K3707" t="s">
        <v>67</v>
      </c>
      <c r="O3707">
        <v>0</v>
      </c>
      <c r="P3707">
        <v>0</v>
      </c>
      <c r="Q3707">
        <v>6001</v>
      </c>
      <c r="R3707" t="s">
        <v>97</v>
      </c>
      <c r="S3707">
        <v>0</v>
      </c>
      <c r="T3707">
        <v>0</v>
      </c>
      <c r="U3707">
        <v>0</v>
      </c>
      <c r="V3707" t="s">
        <v>98</v>
      </c>
      <c r="W3707" t="s">
        <v>99</v>
      </c>
    </row>
    <row r="3708" spans="1:23" x14ac:dyDescent="0.35">
      <c r="A3708" t="s">
        <v>45</v>
      </c>
      <c r="B3708" t="s">
        <v>7424</v>
      </c>
      <c r="C3708" t="s">
        <v>93</v>
      </c>
      <c r="D3708" t="s">
        <v>7444</v>
      </c>
      <c r="E3708" t="s">
        <v>7445</v>
      </c>
      <c r="F3708" t="s">
        <v>49</v>
      </c>
      <c r="G3708" t="s">
        <v>7446</v>
      </c>
      <c r="H3708" t="s">
        <v>7447</v>
      </c>
      <c r="J3708" t="str">
        <f>HYPERLINK("https://twitter.com/ig_ronyyyy/status/1747585561144197266","https://twitter.com/ig_ronyyyy/status/1747585561144197266")</f>
        <v>https://twitter.com/ig_ronyyyy/status/1747585561144197266</v>
      </c>
      <c r="K3708" t="s">
        <v>67</v>
      </c>
      <c r="O3708">
        <v>0</v>
      </c>
      <c r="P3708">
        <v>0</v>
      </c>
      <c r="Q3708">
        <v>3</v>
      </c>
      <c r="R3708" t="s">
        <v>7448</v>
      </c>
      <c r="S3708">
        <v>0</v>
      </c>
      <c r="T3708">
        <v>0</v>
      </c>
      <c r="U3708">
        <v>0</v>
      </c>
      <c r="W3708" t="s">
        <v>99</v>
      </c>
    </row>
    <row r="3709" spans="1:23" x14ac:dyDescent="0.35">
      <c r="A3709" t="s">
        <v>45</v>
      </c>
      <c r="B3709" t="s">
        <v>7424</v>
      </c>
      <c r="C3709" t="s">
        <v>47</v>
      </c>
      <c r="D3709" t="s">
        <v>7449</v>
      </c>
      <c r="E3709" t="s">
        <v>7449</v>
      </c>
      <c r="F3709" t="s">
        <v>49</v>
      </c>
      <c r="G3709" t="s">
        <v>7450</v>
      </c>
      <c r="H3709" t="s">
        <v>7451</v>
      </c>
      <c r="J3709" t="str">
        <f>HYPERLINK("https://www.youtube.com/watch?v=nw5NSk5mPF8&amp;lc=UgzIcu7-t1n-Mx9SX5d4AaABAg.9zeGOuwMmLF9zfIwJrHMDV","https://www.youtube.com/watch?v=nw5NSk5mPF8&amp;lc=UgzIcu7-t1n-Mx9SX5d4AaABAg.9zeGOuwMmLF9zfIwJrHMDV")</f>
        <v>https://www.youtube.com/watch?v=nw5NSk5mPF8&amp;lc=UgzIcu7-t1n-Mx9SX5d4AaABAg.9zeGOuwMmLF9zfIwJrHMDV</v>
      </c>
      <c r="O3709">
        <v>0</v>
      </c>
      <c r="P3709">
        <v>0</v>
      </c>
      <c r="Q3709">
        <v>0</v>
      </c>
      <c r="S3709">
        <v>0</v>
      </c>
      <c r="T3709">
        <v>0</v>
      </c>
      <c r="U3709">
        <v>0</v>
      </c>
      <c r="W3709" t="s">
        <v>52</v>
      </c>
    </row>
    <row r="3710" spans="1:23" x14ac:dyDescent="0.35">
      <c r="A3710" t="s">
        <v>45</v>
      </c>
      <c r="B3710" t="s">
        <v>7424</v>
      </c>
      <c r="C3710" t="s">
        <v>93</v>
      </c>
      <c r="D3710" t="s">
        <v>94</v>
      </c>
      <c r="E3710" t="s">
        <v>45</v>
      </c>
      <c r="F3710" t="s">
        <v>49</v>
      </c>
      <c r="G3710" t="s">
        <v>7452</v>
      </c>
      <c r="H3710" t="s">
        <v>7453</v>
      </c>
      <c r="J3710" t="str">
        <f>HYPERLINK("https://twitter.com/SpiceMoneyIndia/status/1747582197861691653","https://twitter.com/SpiceMoneyIndia/status/1747582197861691653")</f>
        <v>https://twitter.com/SpiceMoneyIndia/status/1747582197861691653</v>
      </c>
      <c r="K3710" t="s">
        <v>67</v>
      </c>
      <c r="O3710">
        <v>0</v>
      </c>
      <c r="P3710">
        <v>0</v>
      </c>
      <c r="Q3710">
        <v>6001</v>
      </c>
      <c r="R3710" t="s">
        <v>97</v>
      </c>
      <c r="S3710">
        <v>0</v>
      </c>
      <c r="T3710">
        <v>0</v>
      </c>
      <c r="U3710">
        <v>0</v>
      </c>
      <c r="V3710" t="s">
        <v>98</v>
      </c>
      <c r="W3710" t="s">
        <v>99</v>
      </c>
    </row>
    <row r="3711" spans="1:23" x14ac:dyDescent="0.35">
      <c r="A3711" t="s">
        <v>45</v>
      </c>
      <c r="B3711" t="s">
        <v>7424</v>
      </c>
      <c r="C3711" t="s">
        <v>47</v>
      </c>
      <c r="D3711" t="s">
        <v>68</v>
      </c>
      <c r="E3711" t="s">
        <v>68</v>
      </c>
      <c r="F3711" t="s">
        <v>49</v>
      </c>
      <c r="G3711" t="s">
        <v>102</v>
      </c>
      <c r="H3711" t="s">
        <v>7454</v>
      </c>
      <c r="J3711" t="str">
        <f>HYPERLINK("https://www.youtube.com/watch?v=nw5NSk5mPF8&amp;lc=UgxplHqLTwZ91jF-jj14AaABAg.9zeGAbhES_W9zfHcJcLEew","https://www.youtube.com/watch?v=nw5NSk5mPF8&amp;lc=UgxplHqLTwZ91jF-jj14AaABAg.9zeGAbhES_W9zfHcJcLEew")</f>
        <v>https://www.youtube.com/watch?v=nw5NSk5mPF8&amp;lc=UgxplHqLTwZ91jF-jj14AaABAg.9zeGAbhES_W9zfHcJcLEew</v>
      </c>
      <c r="O3711">
        <v>0</v>
      </c>
      <c r="P3711">
        <v>0</v>
      </c>
      <c r="Q3711">
        <v>0</v>
      </c>
      <c r="S3711">
        <v>0</v>
      </c>
      <c r="T3711">
        <v>0</v>
      </c>
      <c r="U3711">
        <v>0</v>
      </c>
      <c r="W3711" t="s">
        <v>52</v>
      </c>
    </row>
    <row r="3712" spans="1:23" x14ac:dyDescent="0.35">
      <c r="A3712" t="s">
        <v>45</v>
      </c>
      <c r="B3712" t="s">
        <v>7424</v>
      </c>
      <c r="C3712" t="s">
        <v>47</v>
      </c>
      <c r="D3712" t="s">
        <v>68</v>
      </c>
      <c r="E3712" t="s">
        <v>68</v>
      </c>
      <c r="F3712" t="s">
        <v>49</v>
      </c>
      <c r="G3712" t="s">
        <v>102</v>
      </c>
      <c r="H3712" t="s">
        <v>7455</v>
      </c>
      <c r="J3712" t="str">
        <f>HYPERLINK("https://www.youtube.com/watch?v=nw5NSk5mPF8&amp;lc=Ugw-yoWOJVQ8P8_HlJN4AaABAg.9zeUnLdfHFY9zfH_HVxDDv","https://www.youtube.com/watch?v=nw5NSk5mPF8&amp;lc=Ugw-yoWOJVQ8P8_HlJN4AaABAg.9zeUnLdfHFY9zfH_HVxDDv")</f>
        <v>https://www.youtube.com/watch?v=nw5NSk5mPF8&amp;lc=Ugw-yoWOJVQ8P8_HlJN4AaABAg.9zeUnLdfHFY9zfH_HVxDDv</v>
      </c>
      <c r="O3712">
        <v>0</v>
      </c>
      <c r="P3712">
        <v>0</v>
      </c>
      <c r="Q3712">
        <v>0</v>
      </c>
      <c r="S3712">
        <v>0</v>
      </c>
      <c r="T3712">
        <v>0</v>
      </c>
      <c r="U3712">
        <v>0</v>
      </c>
      <c r="W3712" t="s">
        <v>52</v>
      </c>
    </row>
    <row r="3713" spans="1:23" x14ac:dyDescent="0.35">
      <c r="A3713" t="s">
        <v>45</v>
      </c>
      <c r="B3713" t="s">
        <v>7424</v>
      </c>
      <c r="C3713" t="s">
        <v>47</v>
      </c>
      <c r="D3713" t="s">
        <v>68</v>
      </c>
      <c r="E3713" t="s">
        <v>68</v>
      </c>
      <c r="F3713" t="s">
        <v>49</v>
      </c>
      <c r="G3713" t="s">
        <v>102</v>
      </c>
      <c r="H3713" t="s">
        <v>7456</v>
      </c>
      <c r="J3713" t="str">
        <f>HYPERLINK("https://www.youtube.com/watch?v=nw5NSk5mPF8&amp;lc=UgyS32ODCwigJ6UfVPh4AaABAg.9zeYHTW9mR89zfHXMnjtzv","https://www.youtube.com/watch?v=nw5NSk5mPF8&amp;lc=UgyS32ODCwigJ6UfVPh4AaABAg.9zeYHTW9mR89zfHXMnjtzv")</f>
        <v>https://www.youtube.com/watch?v=nw5NSk5mPF8&amp;lc=UgyS32ODCwigJ6UfVPh4AaABAg.9zeYHTW9mR89zfHXMnjtzv</v>
      </c>
      <c r="O3713">
        <v>0</v>
      </c>
      <c r="P3713">
        <v>0</v>
      </c>
      <c r="Q3713">
        <v>0</v>
      </c>
      <c r="S3713">
        <v>0</v>
      </c>
      <c r="T3713">
        <v>0</v>
      </c>
      <c r="U3713">
        <v>0</v>
      </c>
      <c r="W3713" t="s">
        <v>52</v>
      </c>
    </row>
    <row r="3714" spans="1:23" x14ac:dyDescent="0.35">
      <c r="A3714" t="s">
        <v>45</v>
      </c>
      <c r="B3714" t="s">
        <v>7424</v>
      </c>
      <c r="C3714" t="s">
        <v>47</v>
      </c>
      <c r="D3714" t="s">
        <v>68</v>
      </c>
      <c r="E3714" t="s">
        <v>68</v>
      </c>
      <c r="F3714" t="s">
        <v>49</v>
      </c>
      <c r="G3714" t="s">
        <v>100</v>
      </c>
      <c r="H3714" t="s">
        <v>7457</v>
      </c>
      <c r="J3714" t="str">
        <f>HYPERLINK("https://www.youtube.com/watch?v=nw5NSk5mPF8&amp;lc=UgzbKgmj4f3e5bZ3lTt4AaABAg.9zeMoK3msvb9zfHMYGJwuY","https://www.youtube.com/watch?v=nw5NSk5mPF8&amp;lc=UgzbKgmj4f3e5bZ3lTt4AaABAg.9zeMoK3msvb9zfHMYGJwuY")</f>
        <v>https://www.youtube.com/watch?v=nw5NSk5mPF8&amp;lc=UgzbKgmj4f3e5bZ3lTt4AaABAg.9zeMoK3msvb9zfHMYGJwuY</v>
      </c>
      <c r="O3714">
        <v>0</v>
      </c>
      <c r="P3714">
        <v>0</v>
      </c>
      <c r="Q3714">
        <v>0</v>
      </c>
      <c r="S3714">
        <v>0</v>
      </c>
      <c r="T3714">
        <v>0</v>
      </c>
      <c r="U3714">
        <v>0</v>
      </c>
      <c r="W3714" t="s">
        <v>52</v>
      </c>
    </row>
    <row r="3715" spans="1:23" x14ac:dyDescent="0.35">
      <c r="A3715" t="s">
        <v>45</v>
      </c>
      <c r="B3715" t="s">
        <v>7424</v>
      </c>
      <c r="C3715" t="s">
        <v>93</v>
      </c>
      <c r="D3715" t="s">
        <v>4683</v>
      </c>
      <c r="E3715" t="s">
        <v>4684</v>
      </c>
      <c r="F3715" t="s">
        <v>49</v>
      </c>
      <c r="G3715" t="s">
        <v>7458</v>
      </c>
      <c r="H3715" t="s">
        <v>7459</v>
      </c>
      <c r="J3715" t="str">
        <f>HYPERLINK("https://twitter.com/deepakhulde/status/1747526448985034899","https://twitter.com/deepakhulde/status/1747526448985034899")</f>
        <v>https://twitter.com/deepakhulde/status/1747526448985034899</v>
      </c>
      <c r="K3715" t="s">
        <v>67</v>
      </c>
      <c r="O3715">
        <v>0</v>
      </c>
      <c r="P3715">
        <v>0</v>
      </c>
      <c r="Q3715">
        <v>0</v>
      </c>
      <c r="R3715" t="s">
        <v>4687</v>
      </c>
      <c r="S3715">
        <v>0</v>
      </c>
      <c r="T3715">
        <v>0</v>
      </c>
      <c r="U3715">
        <v>0</v>
      </c>
      <c r="W3715" t="s">
        <v>99</v>
      </c>
    </row>
    <row r="3716" spans="1:23" x14ac:dyDescent="0.35">
      <c r="A3716" t="s">
        <v>45</v>
      </c>
      <c r="B3716" t="s">
        <v>7424</v>
      </c>
      <c r="C3716" t="s">
        <v>60</v>
      </c>
      <c r="D3716" t="s">
        <v>61</v>
      </c>
      <c r="E3716" t="s">
        <v>61</v>
      </c>
      <c r="F3716" t="s">
        <v>49</v>
      </c>
      <c r="G3716" t="s">
        <v>7460</v>
      </c>
      <c r="H3716" t="s">
        <v>7461</v>
      </c>
      <c r="J3716" t="str">
        <f>HYPERLINK("https://www.facebook.com/634639855377280/posts/772618101579454?comment_id=1526390581547723&amp;reply_comment_id=417118560649751","https://www.facebook.com/634639855377280/posts/772618101579454?comment_id=1526390581547723&amp;reply_comment_id=417118560649751")</f>
        <v>https://www.facebook.com/634639855377280/posts/772618101579454?comment_id=1526390581547723&amp;reply_comment_id=417118560649751</v>
      </c>
      <c r="O3716">
        <v>0</v>
      </c>
      <c r="P3716">
        <v>0</v>
      </c>
      <c r="Q3716">
        <v>0</v>
      </c>
      <c r="S3716">
        <v>0</v>
      </c>
      <c r="T3716">
        <v>0</v>
      </c>
      <c r="U3716">
        <v>0</v>
      </c>
      <c r="W3716" t="s">
        <v>52</v>
      </c>
    </row>
    <row r="3717" spans="1:23" x14ac:dyDescent="0.35">
      <c r="A3717" t="s">
        <v>45</v>
      </c>
      <c r="B3717" t="s">
        <v>7424</v>
      </c>
      <c r="C3717" t="s">
        <v>93</v>
      </c>
      <c r="D3717" t="s">
        <v>94</v>
      </c>
      <c r="E3717" t="s">
        <v>45</v>
      </c>
      <c r="F3717" t="s">
        <v>49</v>
      </c>
      <c r="G3717" t="s">
        <v>7462</v>
      </c>
      <c r="H3717" t="s">
        <v>7463</v>
      </c>
      <c r="J3717" t="str">
        <f>HYPERLINK("https://twitter.com/SpiceMoneyIndia/status/1747512179333697974","https://twitter.com/SpiceMoneyIndia/status/1747512179333697974")</f>
        <v>https://twitter.com/SpiceMoneyIndia/status/1747512179333697974</v>
      </c>
      <c r="K3717" t="s">
        <v>67</v>
      </c>
      <c r="O3717">
        <v>0</v>
      </c>
      <c r="P3717">
        <v>0</v>
      </c>
      <c r="Q3717">
        <v>6004</v>
      </c>
      <c r="R3717" t="s">
        <v>97</v>
      </c>
      <c r="S3717">
        <v>0</v>
      </c>
      <c r="T3717">
        <v>0</v>
      </c>
      <c r="U3717">
        <v>0</v>
      </c>
      <c r="V3717" t="s">
        <v>98</v>
      </c>
      <c r="W3717" t="s">
        <v>99</v>
      </c>
    </row>
    <row r="3718" spans="1:23" x14ac:dyDescent="0.35">
      <c r="A3718" t="s">
        <v>45</v>
      </c>
      <c r="B3718" t="s">
        <v>7424</v>
      </c>
      <c r="C3718" t="s">
        <v>60</v>
      </c>
      <c r="D3718" t="s">
        <v>64</v>
      </c>
      <c r="E3718" t="s">
        <v>64</v>
      </c>
      <c r="F3718" t="s">
        <v>49</v>
      </c>
      <c r="G3718" t="s">
        <v>7464</v>
      </c>
      <c r="H3718" t="s">
        <v>7465</v>
      </c>
      <c r="J3718" t="str">
        <f>HYPERLINK("https://www.facebook.com/634639855377280/posts/773780211463243","https://www.facebook.com/634639855377280/posts/773780211463243")</f>
        <v>https://www.facebook.com/634639855377280/posts/773780211463243</v>
      </c>
      <c r="O3718">
        <v>0</v>
      </c>
      <c r="P3718">
        <v>0</v>
      </c>
      <c r="Q3718">
        <v>0</v>
      </c>
      <c r="S3718">
        <v>5</v>
      </c>
      <c r="T3718">
        <v>19</v>
      </c>
      <c r="U3718">
        <v>1</v>
      </c>
      <c r="W3718" t="s">
        <v>346</v>
      </c>
    </row>
    <row r="3719" spans="1:23" x14ac:dyDescent="0.35">
      <c r="A3719" t="s">
        <v>45</v>
      </c>
      <c r="B3719" t="s">
        <v>7424</v>
      </c>
      <c r="C3719" t="s">
        <v>93</v>
      </c>
      <c r="D3719" t="s">
        <v>2706</v>
      </c>
      <c r="E3719" t="s">
        <v>2707</v>
      </c>
      <c r="F3719" t="s">
        <v>49</v>
      </c>
      <c r="G3719" t="s">
        <v>7466</v>
      </c>
      <c r="H3719" t="s">
        <v>7467</v>
      </c>
      <c r="J3719" t="str">
        <f>HYPERLINK("https://twitter.com/Tanveer50190409/status/1747506094547579009","https://twitter.com/Tanveer50190409/status/1747506094547579009")</f>
        <v>https://twitter.com/Tanveer50190409/status/1747506094547579009</v>
      </c>
      <c r="K3719" t="s">
        <v>67</v>
      </c>
      <c r="O3719">
        <v>0</v>
      </c>
      <c r="P3719">
        <v>0</v>
      </c>
      <c r="Q3719">
        <v>9</v>
      </c>
      <c r="R3719" t="s">
        <v>2710</v>
      </c>
      <c r="S3719">
        <v>0</v>
      </c>
      <c r="T3719">
        <v>0</v>
      </c>
      <c r="U3719">
        <v>0</v>
      </c>
      <c r="W3719" t="s">
        <v>99</v>
      </c>
    </row>
    <row r="3720" spans="1:23" x14ac:dyDescent="0.35">
      <c r="A3720" t="s">
        <v>45</v>
      </c>
      <c r="B3720" t="s">
        <v>7424</v>
      </c>
      <c r="C3720" t="s">
        <v>60</v>
      </c>
      <c r="D3720" t="s">
        <v>61</v>
      </c>
      <c r="E3720" t="s">
        <v>61</v>
      </c>
      <c r="F3720" t="s">
        <v>49</v>
      </c>
      <c r="G3720" t="s">
        <v>7468</v>
      </c>
      <c r="H3720" t="s">
        <v>7469</v>
      </c>
      <c r="J3720" t="str">
        <f>HYPERLINK("https://www.facebook.com/634639855377280/posts/773764291464835?comment_id=7086847628077615","https://www.facebook.com/634639855377280/posts/773764291464835?comment_id=7086847628077615")</f>
        <v>https://www.facebook.com/634639855377280/posts/773764291464835?comment_id=7086847628077615</v>
      </c>
      <c r="O3720">
        <v>0</v>
      </c>
      <c r="P3720">
        <v>0</v>
      </c>
      <c r="Q3720">
        <v>0</v>
      </c>
      <c r="S3720">
        <v>0</v>
      </c>
      <c r="T3720">
        <v>0</v>
      </c>
      <c r="U3720">
        <v>0</v>
      </c>
      <c r="W3720" t="s">
        <v>52</v>
      </c>
    </row>
    <row r="3721" spans="1:23" x14ac:dyDescent="0.35">
      <c r="A3721" t="s">
        <v>45</v>
      </c>
      <c r="B3721" t="s">
        <v>7424</v>
      </c>
      <c r="C3721" t="s">
        <v>60</v>
      </c>
      <c r="D3721" t="s">
        <v>7470</v>
      </c>
      <c r="E3721" t="s">
        <v>7470</v>
      </c>
      <c r="F3721" t="s">
        <v>49</v>
      </c>
      <c r="G3721" t="s">
        <v>7471</v>
      </c>
      <c r="H3721" t="s">
        <v>7472</v>
      </c>
      <c r="J3721" t="str">
        <f>HYPERLINK("https://www.facebook.com/634639855377280/posts/773764291464835?comment_id=1366813140620334","https://www.facebook.com/634639855377280/posts/773764291464835?comment_id=1366813140620334")</f>
        <v>https://www.facebook.com/634639855377280/posts/773764291464835?comment_id=1366813140620334</v>
      </c>
      <c r="K3721" t="s">
        <v>67</v>
      </c>
      <c r="O3721">
        <v>0</v>
      </c>
      <c r="P3721">
        <v>0</v>
      </c>
      <c r="Q3721">
        <v>0</v>
      </c>
      <c r="S3721">
        <v>0</v>
      </c>
      <c r="T3721">
        <v>0</v>
      </c>
      <c r="U3721">
        <v>0</v>
      </c>
      <c r="W3721" t="s">
        <v>52</v>
      </c>
    </row>
    <row r="3722" spans="1:23" x14ac:dyDescent="0.35">
      <c r="A3722" t="s">
        <v>45</v>
      </c>
      <c r="B3722" t="s">
        <v>7424</v>
      </c>
      <c r="C3722" t="s">
        <v>60</v>
      </c>
      <c r="D3722" t="s">
        <v>61</v>
      </c>
      <c r="E3722" t="s">
        <v>61</v>
      </c>
      <c r="F3722" t="s">
        <v>49</v>
      </c>
      <c r="G3722" t="s">
        <v>7473</v>
      </c>
      <c r="H3722" t="s">
        <v>7474</v>
      </c>
      <c r="J3722" t="str">
        <f>HYPERLINK("https://www.facebook.com/634639855377280/posts/773764291464835?comment_id=748054740182421","https://www.facebook.com/634639855377280/posts/773764291464835?comment_id=748054740182421")</f>
        <v>https://www.facebook.com/634639855377280/posts/773764291464835?comment_id=748054740182421</v>
      </c>
      <c r="O3722">
        <v>0</v>
      </c>
      <c r="P3722">
        <v>0</v>
      </c>
      <c r="Q3722">
        <v>0</v>
      </c>
      <c r="S3722">
        <v>0</v>
      </c>
      <c r="T3722">
        <v>0</v>
      </c>
      <c r="U3722">
        <v>0</v>
      </c>
      <c r="W3722" t="s">
        <v>52</v>
      </c>
    </row>
    <row r="3723" spans="1:23" x14ac:dyDescent="0.35">
      <c r="A3723" t="s">
        <v>45</v>
      </c>
      <c r="B3723" t="s">
        <v>7424</v>
      </c>
      <c r="C3723" t="s">
        <v>93</v>
      </c>
      <c r="D3723" t="s">
        <v>7475</v>
      </c>
      <c r="E3723" t="s">
        <v>7476</v>
      </c>
      <c r="F3723" t="s">
        <v>49</v>
      </c>
      <c r="G3723" t="s">
        <v>7477</v>
      </c>
      <c r="H3723" t="s">
        <v>7478</v>
      </c>
      <c r="J3723" t="str">
        <f>HYPERLINK("https://twitter.com/MurphhEth54142/status/1747499980279906545","https://twitter.com/MurphhEth54142/status/1747499980279906545")</f>
        <v>https://twitter.com/MurphhEth54142/status/1747499980279906545</v>
      </c>
      <c r="O3723">
        <v>0</v>
      </c>
      <c r="P3723">
        <v>0</v>
      </c>
      <c r="Q3723">
        <v>0</v>
      </c>
      <c r="S3723">
        <v>0</v>
      </c>
      <c r="T3723">
        <v>0</v>
      </c>
      <c r="U3723">
        <v>0</v>
      </c>
      <c r="W3723" t="s">
        <v>99</v>
      </c>
    </row>
    <row r="3724" spans="1:23" x14ac:dyDescent="0.35">
      <c r="A3724" t="s">
        <v>45</v>
      </c>
      <c r="B3724" t="s">
        <v>7424</v>
      </c>
      <c r="C3724" t="s">
        <v>93</v>
      </c>
      <c r="D3724" t="s">
        <v>94</v>
      </c>
      <c r="E3724" t="s">
        <v>45</v>
      </c>
      <c r="F3724" t="s">
        <v>49</v>
      </c>
      <c r="G3724" t="s">
        <v>7479</v>
      </c>
      <c r="H3724" t="s">
        <v>7480</v>
      </c>
      <c r="J3724" t="str">
        <f>HYPERLINK("https://twitter.com/SpiceMoneyIndia/status/1747499957484151262","https://twitter.com/SpiceMoneyIndia/status/1747499957484151262")</f>
        <v>https://twitter.com/SpiceMoneyIndia/status/1747499957484151262</v>
      </c>
      <c r="K3724" t="s">
        <v>67</v>
      </c>
      <c r="O3724">
        <v>0</v>
      </c>
      <c r="P3724">
        <v>0</v>
      </c>
      <c r="Q3724">
        <v>6004</v>
      </c>
      <c r="R3724" t="s">
        <v>97</v>
      </c>
      <c r="S3724">
        <v>0</v>
      </c>
      <c r="T3724">
        <v>0</v>
      </c>
      <c r="U3724">
        <v>0</v>
      </c>
      <c r="V3724" t="s">
        <v>98</v>
      </c>
      <c r="W3724" t="s">
        <v>99</v>
      </c>
    </row>
    <row r="3725" spans="1:23" x14ac:dyDescent="0.35">
      <c r="A3725" t="s">
        <v>45</v>
      </c>
      <c r="B3725" t="s">
        <v>7424</v>
      </c>
      <c r="C3725" t="s">
        <v>60</v>
      </c>
      <c r="D3725" t="s">
        <v>64</v>
      </c>
      <c r="E3725" t="s">
        <v>64</v>
      </c>
      <c r="F3725" t="s">
        <v>49</v>
      </c>
      <c r="G3725" t="s">
        <v>7481</v>
      </c>
      <c r="H3725" t="s">
        <v>7482</v>
      </c>
      <c r="J3725" t="str">
        <f>HYPERLINK("https://www.facebook.com/634639855377280/posts/773764291464835","https://www.facebook.com/634639855377280/posts/773764291464835")</f>
        <v>https://www.facebook.com/634639855377280/posts/773764291464835</v>
      </c>
      <c r="O3725">
        <v>0</v>
      </c>
      <c r="P3725">
        <v>0</v>
      </c>
      <c r="Q3725">
        <v>0</v>
      </c>
      <c r="S3725">
        <v>11</v>
      </c>
      <c r="T3725">
        <v>68</v>
      </c>
      <c r="U3725">
        <v>5</v>
      </c>
      <c r="W3725" t="s">
        <v>346</v>
      </c>
    </row>
    <row r="3726" spans="1:23" x14ac:dyDescent="0.35">
      <c r="A3726" t="s">
        <v>45</v>
      </c>
      <c r="B3726" t="s">
        <v>7424</v>
      </c>
      <c r="C3726" t="s">
        <v>93</v>
      </c>
      <c r="D3726" t="s">
        <v>7483</v>
      </c>
      <c r="E3726" t="s">
        <v>7484</v>
      </c>
      <c r="F3726" t="s">
        <v>193</v>
      </c>
      <c r="G3726" t="s">
        <v>7485</v>
      </c>
      <c r="H3726" t="s">
        <v>7486</v>
      </c>
      <c r="J3726" t="str">
        <f>HYPERLINK("https://twitter.com/Abhisheksa44246/status/1747493739755376665","https://twitter.com/Abhisheksa44246/status/1747493739755376665")</f>
        <v>https://twitter.com/Abhisheksa44246/status/1747493739755376665</v>
      </c>
      <c r="K3726" t="s">
        <v>67</v>
      </c>
      <c r="O3726">
        <v>0</v>
      </c>
      <c r="P3726">
        <v>0</v>
      </c>
      <c r="Q3726">
        <v>0</v>
      </c>
      <c r="S3726">
        <v>0</v>
      </c>
      <c r="T3726">
        <v>0</v>
      </c>
      <c r="U3726">
        <v>0</v>
      </c>
      <c r="W3726" t="s">
        <v>99</v>
      </c>
    </row>
    <row r="3727" spans="1:23" x14ac:dyDescent="0.35">
      <c r="A3727" t="s">
        <v>45</v>
      </c>
      <c r="B3727" t="s">
        <v>7424</v>
      </c>
      <c r="C3727" t="s">
        <v>47</v>
      </c>
      <c r="D3727" t="s">
        <v>7487</v>
      </c>
      <c r="E3727" t="s">
        <v>7487</v>
      </c>
      <c r="F3727" t="s">
        <v>49</v>
      </c>
      <c r="G3727" t="s">
        <v>7488</v>
      </c>
      <c r="H3727" t="s">
        <v>7489</v>
      </c>
      <c r="J3727" t="str">
        <f>HYPERLINK("https://www.youtube.com/watch?v=nw5NSk5mPF8&amp;lc=UgzlxnBPAsjTHa1I3jl4AaABAg","https://www.youtube.com/watch?v=nw5NSk5mPF8&amp;lc=UgzlxnBPAsjTHa1I3jl4AaABAg")</f>
        <v>https://www.youtube.com/watch?v=nw5NSk5mPF8&amp;lc=UgzlxnBPAsjTHa1I3jl4AaABAg</v>
      </c>
      <c r="O3727">
        <v>0</v>
      </c>
      <c r="P3727">
        <v>0</v>
      </c>
      <c r="Q3727">
        <v>0</v>
      </c>
      <c r="S3727">
        <v>0</v>
      </c>
      <c r="T3727">
        <v>0</v>
      </c>
      <c r="U3727">
        <v>0</v>
      </c>
      <c r="W3727" t="s">
        <v>52</v>
      </c>
    </row>
    <row r="3728" spans="1:23" x14ac:dyDescent="0.35">
      <c r="A3728" t="s">
        <v>45</v>
      </c>
      <c r="B3728" t="s">
        <v>7424</v>
      </c>
      <c r="C3728" t="s">
        <v>47</v>
      </c>
      <c r="D3728" t="s">
        <v>7487</v>
      </c>
      <c r="E3728" t="s">
        <v>7487</v>
      </c>
      <c r="F3728" t="s">
        <v>49</v>
      </c>
      <c r="G3728" t="s">
        <v>7490</v>
      </c>
      <c r="H3728" t="s">
        <v>7491</v>
      </c>
      <c r="J3728" t="str">
        <f>HYPERLINK("https://www.youtube.com/watch?v=nw5NSk5mPF8&amp;lc=UgyS32ODCwigJ6UfVPh4AaABAg","https://www.youtube.com/watch?v=nw5NSk5mPF8&amp;lc=UgyS32ODCwigJ6UfVPh4AaABAg")</f>
        <v>https://www.youtube.com/watch?v=nw5NSk5mPF8&amp;lc=UgyS32ODCwigJ6UfVPh4AaABAg</v>
      </c>
      <c r="O3728">
        <v>0</v>
      </c>
      <c r="P3728">
        <v>0</v>
      </c>
      <c r="Q3728">
        <v>0</v>
      </c>
      <c r="S3728">
        <v>0</v>
      </c>
      <c r="T3728">
        <v>0</v>
      </c>
      <c r="U3728">
        <v>0</v>
      </c>
      <c r="W3728" t="s">
        <v>52</v>
      </c>
    </row>
    <row r="3729" spans="1:23" x14ac:dyDescent="0.35">
      <c r="A3729" t="s">
        <v>45</v>
      </c>
      <c r="B3729" t="s">
        <v>7424</v>
      </c>
      <c r="C3729" t="s">
        <v>47</v>
      </c>
      <c r="D3729" t="s">
        <v>7492</v>
      </c>
      <c r="E3729" t="s">
        <v>7492</v>
      </c>
      <c r="F3729" t="s">
        <v>49</v>
      </c>
      <c r="G3729" t="s">
        <v>7493</v>
      </c>
      <c r="H3729" t="s">
        <v>7494</v>
      </c>
      <c r="J3729" t="str">
        <f>HYPERLINK("https://www.youtube.com/watch?v=nw5NSk5mPF8&amp;lc=Ugw-yoWOJVQ8P8_HlJN4AaABAg","https://www.youtube.com/watch?v=nw5NSk5mPF8&amp;lc=Ugw-yoWOJVQ8P8_HlJN4AaABAg")</f>
        <v>https://www.youtube.com/watch?v=nw5NSk5mPF8&amp;lc=Ugw-yoWOJVQ8P8_HlJN4AaABAg</v>
      </c>
      <c r="O3729">
        <v>0</v>
      </c>
      <c r="P3729">
        <v>0</v>
      </c>
      <c r="Q3729">
        <v>0</v>
      </c>
      <c r="S3729">
        <v>0</v>
      </c>
      <c r="T3729">
        <v>0</v>
      </c>
      <c r="U3729">
        <v>0</v>
      </c>
      <c r="W3729" t="s">
        <v>52</v>
      </c>
    </row>
    <row r="3730" spans="1:23" x14ac:dyDescent="0.35">
      <c r="A3730" t="s">
        <v>45</v>
      </c>
      <c r="B3730" t="s">
        <v>7424</v>
      </c>
      <c r="C3730" t="s">
        <v>60</v>
      </c>
      <c r="D3730" t="s">
        <v>61</v>
      </c>
      <c r="E3730" t="s">
        <v>61</v>
      </c>
      <c r="F3730" t="s">
        <v>54</v>
      </c>
      <c r="G3730" t="s">
        <v>7495</v>
      </c>
      <c r="H3730" t="s">
        <v>7496</v>
      </c>
      <c r="J3730" t="str">
        <f>HYPERLINK("https://www.facebook.com/634639855377280/posts/773392231502041?comment_id=913597500301510","https://www.facebook.com/634639855377280/posts/773392231502041?comment_id=913597500301510")</f>
        <v>https://www.facebook.com/634639855377280/posts/773392231502041?comment_id=913597500301510</v>
      </c>
      <c r="O3730">
        <v>0</v>
      </c>
      <c r="P3730">
        <v>0</v>
      </c>
      <c r="Q3730">
        <v>0</v>
      </c>
      <c r="S3730">
        <v>0</v>
      </c>
      <c r="T3730">
        <v>0</v>
      </c>
      <c r="U3730">
        <v>0</v>
      </c>
      <c r="W3730" t="s">
        <v>52</v>
      </c>
    </row>
    <row r="3731" spans="1:23" x14ac:dyDescent="0.35">
      <c r="A3731" t="s">
        <v>45</v>
      </c>
      <c r="B3731" t="s">
        <v>7424</v>
      </c>
      <c r="C3731" t="s">
        <v>60</v>
      </c>
      <c r="D3731" t="s">
        <v>61</v>
      </c>
      <c r="E3731" t="s">
        <v>61</v>
      </c>
      <c r="F3731" t="s">
        <v>54</v>
      </c>
      <c r="G3731" t="s">
        <v>7497</v>
      </c>
      <c r="H3731" t="s">
        <v>7498</v>
      </c>
      <c r="J3731" t="str">
        <f>HYPERLINK("https://www.facebook.com/634639855377280/posts/773392231502041?comment_id=1578393476266744","https://www.facebook.com/634639855377280/posts/773392231502041?comment_id=1578393476266744")</f>
        <v>https://www.facebook.com/634639855377280/posts/773392231502041?comment_id=1578393476266744</v>
      </c>
      <c r="O3731">
        <v>0</v>
      </c>
      <c r="P3731">
        <v>0</v>
      </c>
      <c r="Q3731">
        <v>0</v>
      </c>
      <c r="S3731">
        <v>0</v>
      </c>
      <c r="T3731">
        <v>0</v>
      </c>
      <c r="U3731">
        <v>0</v>
      </c>
      <c r="W3731" t="s">
        <v>52</v>
      </c>
    </row>
    <row r="3732" spans="1:23" x14ac:dyDescent="0.35">
      <c r="A3732" t="s">
        <v>45</v>
      </c>
      <c r="B3732" t="s">
        <v>7424</v>
      </c>
      <c r="C3732" t="s">
        <v>47</v>
      </c>
      <c r="D3732" t="s">
        <v>68</v>
      </c>
      <c r="E3732" t="s">
        <v>68</v>
      </c>
      <c r="F3732" t="s">
        <v>49</v>
      </c>
      <c r="G3732" t="s">
        <v>102</v>
      </c>
      <c r="H3732" t="s">
        <v>7499</v>
      </c>
      <c r="J3732" t="str">
        <f>HYPERLINK("https://www.youtube.com/watch?v=--SsTSqIa-4&amp;lc=UgxqJUYRcUSctuNoywt4AaABAg.9zd0hFhCe909zeT_WjnCX7","https://www.youtube.com/watch?v=--SsTSqIa-4&amp;lc=UgxqJUYRcUSctuNoywt4AaABAg.9zd0hFhCe909zeT_WjnCX7")</f>
        <v>https://www.youtube.com/watch?v=--SsTSqIa-4&amp;lc=UgxqJUYRcUSctuNoywt4AaABAg.9zd0hFhCe909zeT_WjnCX7</v>
      </c>
      <c r="O3732">
        <v>0</v>
      </c>
      <c r="P3732">
        <v>0</v>
      </c>
      <c r="Q3732">
        <v>0</v>
      </c>
      <c r="S3732">
        <v>0</v>
      </c>
      <c r="T3732">
        <v>0</v>
      </c>
      <c r="U3732">
        <v>0</v>
      </c>
      <c r="W3732" t="s">
        <v>52</v>
      </c>
    </row>
    <row r="3733" spans="1:23" x14ac:dyDescent="0.35">
      <c r="A3733" t="s">
        <v>45</v>
      </c>
      <c r="B3733" t="s">
        <v>7424</v>
      </c>
      <c r="C3733" t="s">
        <v>47</v>
      </c>
      <c r="D3733" t="s">
        <v>68</v>
      </c>
      <c r="E3733" t="s">
        <v>68</v>
      </c>
      <c r="F3733" t="s">
        <v>49</v>
      </c>
      <c r="G3733" t="s">
        <v>102</v>
      </c>
      <c r="H3733" t="s">
        <v>7500</v>
      </c>
      <c r="J3733" t="str">
        <f>HYPERLINK("https://www.youtube.com/watch?v=z58WzdIZIO8&amp;lc=Ugy5FpKUAOeEdZ6PHuR4AaABAg.9zd1hyvbEQD9zeTZ4nzqgh","https://www.youtube.com/watch?v=z58WzdIZIO8&amp;lc=Ugy5FpKUAOeEdZ6PHuR4AaABAg.9zd1hyvbEQD9zeTZ4nzqgh")</f>
        <v>https://www.youtube.com/watch?v=z58WzdIZIO8&amp;lc=Ugy5FpKUAOeEdZ6PHuR4AaABAg.9zd1hyvbEQD9zeTZ4nzqgh</v>
      </c>
      <c r="O3733">
        <v>0</v>
      </c>
      <c r="P3733">
        <v>0</v>
      </c>
      <c r="Q3733">
        <v>0</v>
      </c>
      <c r="S3733">
        <v>0</v>
      </c>
      <c r="T3733">
        <v>0</v>
      </c>
      <c r="U3733">
        <v>0</v>
      </c>
      <c r="W3733" t="s">
        <v>52</v>
      </c>
    </row>
    <row r="3734" spans="1:23" x14ac:dyDescent="0.35">
      <c r="A3734" t="s">
        <v>45</v>
      </c>
      <c r="B3734" t="s">
        <v>7424</v>
      </c>
      <c r="C3734" t="s">
        <v>47</v>
      </c>
      <c r="D3734" t="s">
        <v>68</v>
      </c>
      <c r="E3734" t="s">
        <v>68</v>
      </c>
      <c r="F3734" t="s">
        <v>49</v>
      </c>
      <c r="G3734" t="s">
        <v>102</v>
      </c>
      <c r="H3734" t="s">
        <v>7501</v>
      </c>
      <c r="J3734" t="str">
        <f>HYPERLINK("https://www.youtube.com/watch?v=dqPqFJSj1VA&amp;lc=UgyF1ueCCpz4AFjwGZp4AaABAg.9zdCtAhrt-n9zeTVPMTfnM","https://www.youtube.com/watch?v=dqPqFJSj1VA&amp;lc=UgyF1ueCCpz4AFjwGZp4AaABAg.9zdCtAhrt-n9zeTVPMTfnM")</f>
        <v>https://www.youtube.com/watch?v=dqPqFJSj1VA&amp;lc=UgyF1ueCCpz4AFjwGZp4AaABAg.9zdCtAhrt-n9zeTVPMTfnM</v>
      </c>
      <c r="O3734">
        <v>0</v>
      </c>
      <c r="P3734">
        <v>0</v>
      </c>
      <c r="Q3734">
        <v>0</v>
      </c>
      <c r="S3734">
        <v>0</v>
      </c>
      <c r="T3734">
        <v>0</v>
      </c>
      <c r="U3734">
        <v>0</v>
      </c>
      <c r="W3734" t="s">
        <v>52</v>
      </c>
    </row>
    <row r="3735" spans="1:23" x14ac:dyDescent="0.35">
      <c r="A3735" t="s">
        <v>45</v>
      </c>
      <c r="B3735" t="s">
        <v>7424</v>
      </c>
      <c r="C3735" t="s">
        <v>47</v>
      </c>
      <c r="D3735" t="s">
        <v>68</v>
      </c>
      <c r="E3735" t="s">
        <v>68</v>
      </c>
      <c r="F3735" t="s">
        <v>49</v>
      </c>
      <c r="G3735" t="s">
        <v>102</v>
      </c>
      <c r="H3735" t="s">
        <v>7502</v>
      </c>
      <c r="J3735" t="str">
        <f>HYPERLINK("https://www.youtube.com/watch?v=nw5NSk5mPF8&amp;lc=UgzIcu7-t1n-Mx9SX5d4AaABAg.9zeGOuwMmLF9zeT7sDot7G","https://www.youtube.com/watch?v=nw5NSk5mPF8&amp;lc=UgzIcu7-t1n-Mx9SX5d4AaABAg.9zeGOuwMmLF9zeT7sDot7G")</f>
        <v>https://www.youtube.com/watch?v=nw5NSk5mPF8&amp;lc=UgzIcu7-t1n-Mx9SX5d4AaABAg.9zeGOuwMmLF9zeT7sDot7G</v>
      </c>
      <c r="O3735">
        <v>0</v>
      </c>
      <c r="P3735">
        <v>0</v>
      </c>
      <c r="Q3735">
        <v>0</v>
      </c>
      <c r="S3735">
        <v>0</v>
      </c>
      <c r="T3735">
        <v>0</v>
      </c>
      <c r="U3735">
        <v>0</v>
      </c>
      <c r="W3735" t="s">
        <v>52</v>
      </c>
    </row>
    <row r="3736" spans="1:23" x14ac:dyDescent="0.35">
      <c r="A3736" t="s">
        <v>45</v>
      </c>
      <c r="B3736" t="s">
        <v>7424</v>
      </c>
      <c r="C3736" t="s">
        <v>47</v>
      </c>
      <c r="D3736" t="s">
        <v>68</v>
      </c>
      <c r="E3736" t="s">
        <v>68</v>
      </c>
      <c r="F3736" t="s">
        <v>49</v>
      </c>
      <c r="G3736" t="s">
        <v>102</v>
      </c>
      <c r="H3736" t="s">
        <v>7503</v>
      </c>
      <c r="J3736" t="str">
        <f>HYPERLINK("https://www.youtube.com/watch?v=nw5NSk5mPF8&amp;lc=UgzbKgmj4f3e5bZ3lTt4AaABAg.9zeMoK3msvb9zeT64sW6Fl","https://www.youtube.com/watch?v=nw5NSk5mPF8&amp;lc=UgzbKgmj4f3e5bZ3lTt4AaABAg.9zeMoK3msvb9zeT64sW6Fl")</f>
        <v>https://www.youtube.com/watch?v=nw5NSk5mPF8&amp;lc=UgzbKgmj4f3e5bZ3lTt4AaABAg.9zeMoK3msvb9zeT64sW6Fl</v>
      </c>
      <c r="O3736">
        <v>0</v>
      </c>
      <c r="P3736">
        <v>0</v>
      </c>
      <c r="Q3736">
        <v>0</v>
      </c>
      <c r="S3736">
        <v>0</v>
      </c>
      <c r="T3736">
        <v>0</v>
      </c>
      <c r="U3736">
        <v>0</v>
      </c>
      <c r="W3736" t="s">
        <v>52</v>
      </c>
    </row>
    <row r="3737" spans="1:23" x14ac:dyDescent="0.35">
      <c r="A3737" t="s">
        <v>45</v>
      </c>
      <c r="B3737" t="s">
        <v>7424</v>
      </c>
      <c r="C3737" t="s">
        <v>60</v>
      </c>
      <c r="D3737" t="s">
        <v>61</v>
      </c>
      <c r="E3737" t="s">
        <v>61</v>
      </c>
      <c r="F3737" t="s">
        <v>49</v>
      </c>
      <c r="G3737" t="s">
        <v>7504</v>
      </c>
      <c r="H3737" t="s">
        <v>7505</v>
      </c>
      <c r="J3737" t="str">
        <f>HYPERLINK("https://www.facebook.com/634639855377280/posts/772618101579454?comment_id=1526390581547723","https://www.facebook.com/634639855377280/posts/772618101579454?comment_id=1526390581547723")</f>
        <v>https://www.facebook.com/634639855377280/posts/772618101579454?comment_id=1526390581547723</v>
      </c>
      <c r="O3737">
        <v>0</v>
      </c>
      <c r="P3737">
        <v>0</v>
      </c>
      <c r="Q3737">
        <v>0</v>
      </c>
      <c r="S3737">
        <v>0</v>
      </c>
      <c r="T3737">
        <v>0</v>
      </c>
      <c r="U3737">
        <v>0</v>
      </c>
      <c r="W3737" t="s">
        <v>52</v>
      </c>
    </row>
    <row r="3738" spans="1:23" x14ac:dyDescent="0.35">
      <c r="A3738" t="s">
        <v>45</v>
      </c>
      <c r="B3738" t="s">
        <v>7424</v>
      </c>
      <c r="C3738" t="s">
        <v>93</v>
      </c>
      <c r="D3738" t="s">
        <v>94</v>
      </c>
      <c r="E3738" t="s">
        <v>45</v>
      </c>
      <c r="F3738" t="s">
        <v>49</v>
      </c>
      <c r="G3738" t="s">
        <v>7506</v>
      </c>
      <c r="H3738" t="s">
        <v>7507</v>
      </c>
      <c r="J3738" t="str">
        <f>HYPERLINK("https://twitter.com/SpiceMoneyIndia/status/1747465454677831809","https://twitter.com/SpiceMoneyIndia/status/1747465454677831809")</f>
        <v>https://twitter.com/SpiceMoneyIndia/status/1747465454677831809</v>
      </c>
      <c r="K3738" t="s">
        <v>67</v>
      </c>
      <c r="O3738">
        <v>0</v>
      </c>
      <c r="P3738">
        <v>0</v>
      </c>
      <c r="Q3738">
        <v>6003</v>
      </c>
      <c r="R3738" t="s">
        <v>97</v>
      </c>
      <c r="S3738">
        <v>0</v>
      </c>
      <c r="T3738">
        <v>0</v>
      </c>
      <c r="U3738">
        <v>0</v>
      </c>
      <c r="V3738" t="s">
        <v>98</v>
      </c>
      <c r="W3738" t="s">
        <v>99</v>
      </c>
    </row>
    <row r="3739" spans="1:23" x14ac:dyDescent="0.35">
      <c r="A3739" t="s">
        <v>45</v>
      </c>
      <c r="B3739" t="s">
        <v>7424</v>
      </c>
      <c r="C3739" t="s">
        <v>47</v>
      </c>
      <c r="D3739" t="s">
        <v>68</v>
      </c>
      <c r="E3739" t="s">
        <v>68</v>
      </c>
      <c r="F3739" t="s">
        <v>49</v>
      </c>
      <c r="G3739" t="s">
        <v>270</v>
      </c>
      <c r="H3739" t="s">
        <v>7508</v>
      </c>
      <c r="J3739" t="str">
        <f>HYPERLINK("https://www.youtube.com/watch?v=nw5NSk5mPF8&amp;lc=Ugw_O_LwnyorroyaK9p4AaABAg.9zeKQBT5G-G9zeSu28UJjl","https://www.youtube.com/watch?v=nw5NSk5mPF8&amp;lc=Ugw_O_LwnyorroyaK9p4AaABAg.9zeKQBT5G-G9zeSu28UJjl")</f>
        <v>https://www.youtube.com/watch?v=nw5NSk5mPF8&amp;lc=Ugw_O_LwnyorroyaK9p4AaABAg.9zeKQBT5G-G9zeSu28UJjl</v>
      </c>
      <c r="O3739">
        <v>0</v>
      </c>
      <c r="P3739">
        <v>0</v>
      </c>
      <c r="Q3739">
        <v>0</v>
      </c>
      <c r="S3739">
        <v>0</v>
      </c>
      <c r="T3739">
        <v>0</v>
      </c>
      <c r="U3739">
        <v>0</v>
      </c>
      <c r="W3739" t="s">
        <v>52</v>
      </c>
    </row>
    <row r="3740" spans="1:23" x14ac:dyDescent="0.35">
      <c r="A3740" t="s">
        <v>45</v>
      </c>
      <c r="B3740" t="s">
        <v>7424</v>
      </c>
      <c r="C3740" t="s">
        <v>47</v>
      </c>
      <c r="D3740" t="s">
        <v>68</v>
      </c>
      <c r="E3740" t="s">
        <v>68</v>
      </c>
      <c r="F3740" t="s">
        <v>49</v>
      </c>
      <c r="G3740" t="s">
        <v>492</v>
      </c>
      <c r="H3740" t="s">
        <v>7509</v>
      </c>
      <c r="J3740" t="str">
        <f>HYPERLINK("https://www.youtube.com/watch?v=nw5NSk5mPF8&amp;lc=Ugwe90S5SUx_krDDBr54AaABAg.9zeK4cABUCP9zeSpf60dgv","https://www.youtube.com/watch?v=nw5NSk5mPF8&amp;lc=Ugwe90S5SUx_krDDBr54AaABAg.9zeK4cABUCP9zeSpf60dgv")</f>
        <v>https://www.youtube.com/watch?v=nw5NSk5mPF8&amp;lc=Ugwe90S5SUx_krDDBr54AaABAg.9zeK4cABUCP9zeSpf60dgv</v>
      </c>
      <c r="O3740">
        <v>0</v>
      </c>
      <c r="P3740">
        <v>0</v>
      </c>
      <c r="Q3740">
        <v>0</v>
      </c>
      <c r="S3740">
        <v>0</v>
      </c>
      <c r="T3740">
        <v>0</v>
      </c>
      <c r="U3740">
        <v>0</v>
      </c>
      <c r="W3740" t="s">
        <v>52</v>
      </c>
    </row>
    <row r="3741" spans="1:23" x14ac:dyDescent="0.35">
      <c r="A3741" t="s">
        <v>45</v>
      </c>
      <c r="B3741" t="s">
        <v>7424</v>
      </c>
      <c r="C3741" t="s">
        <v>47</v>
      </c>
      <c r="D3741" t="s">
        <v>6100</v>
      </c>
      <c r="E3741" t="s">
        <v>6100</v>
      </c>
      <c r="F3741" t="s">
        <v>49</v>
      </c>
      <c r="G3741" t="s">
        <v>7510</v>
      </c>
      <c r="H3741" t="s">
        <v>7511</v>
      </c>
      <c r="J3741" t="str">
        <f>HYPERLINK("https://www.youtube.com/watch?v=nw5NSk5mPF8&amp;lc=UgwINoU5goi75SPM3n94AaABAg","https://www.youtube.com/watch?v=nw5NSk5mPF8&amp;lc=UgwINoU5goi75SPM3n94AaABAg")</f>
        <v>https://www.youtube.com/watch?v=nw5NSk5mPF8&amp;lc=UgwINoU5goi75SPM3n94AaABAg</v>
      </c>
      <c r="O3741">
        <v>0</v>
      </c>
      <c r="P3741">
        <v>0</v>
      </c>
      <c r="Q3741">
        <v>0</v>
      </c>
      <c r="S3741">
        <v>0</v>
      </c>
      <c r="T3741">
        <v>0</v>
      </c>
      <c r="U3741">
        <v>0</v>
      </c>
      <c r="W3741" t="s">
        <v>52</v>
      </c>
    </row>
    <row r="3742" spans="1:23" x14ac:dyDescent="0.35">
      <c r="A3742" t="s">
        <v>45</v>
      </c>
      <c r="B3742" t="s">
        <v>7424</v>
      </c>
      <c r="C3742" t="s">
        <v>47</v>
      </c>
      <c r="D3742" t="s">
        <v>6100</v>
      </c>
      <c r="E3742" t="s">
        <v>6100</v>
      </c>
      <c r="F3742" t="s">
        <v>49</v>
      </c>
      <c r="G3742" t="s">
        <v>7512</v>
      </c>
      <c r="H3742" t="s">
        <v>7513</v>
      </c>
      <c r="J3742" t="str">
        <f>HYPERLINK("https://www.youtube.com/watch?v=nw5NSk5mPF8&amp;lc=Ugz5_EciMlx8ng7TgyV4AaABAg","https://www.youtube.com/watch?v=nw5NSk5mPF8&amp;lc=Ugz5_EciMlx8ng7TgyV4AaABAg")</f>
        <v>https://www.youtube.com/watch?v=nw5NSk5mPF8&amp;lc=Ugz5_EciMlx8ng7TgyV4AaABAg</v>
      </c>
      <c r="O3742">
        <v>0</v>
      </c>
      <c r="P3742">
        <v>0</v>
      </c>
      <c r="Q3742">
        <v>0</v>
      </c>
      <c r="S3742">
        <v>0</v>
      </c>
      <c r="T3742">
        <v>0</v>
      </c>
      <c r="U3742">
        <v>0</v>
      </c>
      <c r="W3742" t="s">
        <v>52</v>
      </c>
    </row>
    <row r="3743" spans="1:23" x14ac:dyDescent="0.35">
      <c r="A3743" t="s">
        <v>45</v>
      </c>
      <c r="B3743" t="s">
        <v>7424</v>
      </c>
      <c r="C3743" t="s">
        <v>47</v>
      </c>
      <c r="D3743" t="s">
        <v>7514</v>
      </c>
      <c r="E3743" t="s">
        <v>7514</v>
      </c>
      <c r="F3743" t="s">
        <v>49</v>
      </c>
      <c r="G3743" t="s">
        <v>7515</v>
      </c>
      <c r="H3743" t="s">
        <v>7516</v>
      </c>
      <c r="J3743" t="str">
        <f>HYPERLINK("https://www.youtube.com/watch?v=nw5NSk5mPF8&amp;lc=UgyZU1R2H5ZK2smdWeJ4AaABAg","https://www.youtube.com/watch?v=nw5NSk5mPF8&amp;lc=UgyZU1R2H5ZK2smdWeJ4AaABAg")</f>
        <v>https://www.youtube.com/watch?v=nw5NSk5mPF8&amp;lc=UgyZU1R2H5ZK2smdWeJ4AaABAg</v>
      </c>
      <c r="O3743">
        <v>0</v>
      </c>
      <c r="P3743">
        <v>0</v>
      </c>
      <c r="Q3743">
        <v>0</v>
      </c>
      <c r="S3743">
        <v>0</v>
      </c>
      <c r="T3743">
        <v>0</v>
      </c>
      <c r="U3743">
        <v>0</v>
      </c>
      <c r="W3743" t="s">
        <v>52</v>
      </c>
    </row>
    <row r="3744" spans="1:23" x14ac:dyDescent="0.35">
      <c r="A3744" t="s">
        <v>45</v>
      </c>
      <c r="B3744" t="s">
        <v>7424</v>
      </c>
      <c r="C3744" t="s">
        <v>47</v>
      </c>
      <c r="D3744" t="s">
        <v>7514</v>
      </c>
      <c r="E3744" t="s">
        <v>7514</v>
      </c>
      <c r="F3744" t="s">
        <v>49</v>
      </c>
      <c r="G3744" t="s">
        <v>7517</v>
      </c>
      <c r="H3744" t="s">
        <v>7518</v>
      </c>
      <c r="J3744" t="str">
        <f>HYPERLINK("https://www.youtube.com/watch?v=nw5NSk5mPF8&amp;lc=UgzbKgmj4f3e5bZ3lTt4AaABAg","https://www.youtube.com/watch?v=nw5NSk5mPF8&amp;lc=UgzbKgmj4f3e5bZ3lTt4AaABAg")</f>
        <v>https://www.youtube.com/watch?v=nw5NSk5mPF8&amp;lc=UgzbKgmj4f3e5bZ3lTt4AaABAg</v>
      </c>
      <c r="O3744">
        <v>0</v>
      </c>
      <c r="P3744">
        <v>0</v>
      </c>
      <c r="Q3744">
        <v>0</v>
      </c>
      <c r="S3744">
        <v>0</v>
      </c>
      <c r="T3744">
        <v>0</v>
      </c>
      <c r="U3744">
        <v>0</v>
      </c>
      <c r="W3744" t="s">
        <v>52</v>
      </c>
    </row>
    <row r="3745" spans="1:23" x14ac:dyDescent="0.35">
      <c r="A3745" t="s">
        <v>45</v>
      </c>
      <c r="B3745" t="s">
        <v>7424</v>
      </c>
      <c r="C3745" t="s">
        <v>47</v>
      </c>
      <c r="D3745" t="s">
        <v>4031</v>
      </c>
      <c r="E3745" t="s">
        <v>4031</v>
      </c>
      <c r="F3745" t="s">
        <v>54</v>
      </c>
      <c r="G3745" t="s">
        <v>4034</v>
      </c>
      <c r="H3745" t="s">
        <v>7519</v>
      </c>
      <c r="J3745" t="str">
        <f>HYPERLINK("https://www.youtube.com/watch?v=nw5NSk5mPF8&amp;lc=UgxoBV9FRSUcjxGtdvZ4AaABAg","https://www.youtube.com/watch?v=nw5NSk5mPF8&amp;lc=UgxoBV9FRSUcjxGtdvZ4AaABAg")</f>
        <v>https://www.youtube.com/watch?v=nw5NSk5mPF8&amp;lc=UgxoBV9FRSUcjxGtdvZ4AaABAg</v>
      </c>
      <c r="O3745">
        <v>0</v>
      </c>
      <c r="P3745">
        <v>0</v>
      </c>
      <c r="Q3745">
        <v>0</v>
      </c>
      <c r="S3745">
        <v>0</v>
      </c>
      <c r="T3745">
        <v>0</v>
      </c>
      <c r="U3745">
        <v>0</v>
      </c>
      <c r="W3745" t="s">
        <v>52</v>
      </c>
    </row>
    <row r="3746" spans="1:23" x14ac:dyDescent="0.35">
      <c r="A3746" t="s">
        <v>45</v>
      </c>
      <c r="B3746" t="s">
        <v>7424</v>
      </c>
      <c r="C3746" t="s">
        <v>47</v>
      </c>
      <c r="D3746" t="s">
        <v>2003</v>
      </c>
      <c r="E3746" t="s">
        <v>2003</v>
      </c>
      <c r="F3746" t="s">
        <v>49</v>
      </c>
      <c r="G3746" t="s">
        <v>7520</v>
      </c>
      <c r="H3746" t="s">
        <v>7521</v>
      </c>
      <c r="J3746" t="str">
        <f>HYPERLINK("https://www.youtube.com/watch?v=nw5NSk5mPF8&amp;lc=Ugw_O_LwnyorroyaK9p4AaABAg","https://www.youtube.com/watch?v=nw5NSk5mPF8&amp;lc=Ugw_O_LwnyorroyaK9p4AaABAg")</f>
        <v>https://www.youtube.com/watch?v=nw5NSk5mPF8&amp;lc=Ugw_O_LwnyorroyaK9p4AaABAg</v>
      </c>
      <c r="O3746">
        <v>0</v>
      </c>
      <c r="P3746">
        <v>0</v>
      </c>
      <c r="Q3746">
        <v>0</v>
      </c>
      <c r="S3746">
        <v>0</v>
      </c>
      <c r="T3746">
        <v>0</v>
      </c>
      <c r="U3746">
        <v>0</v>
      </c>
      <c r="W3746" t="s">
        <v>52</v>
      </c>
    </row>
    <row r="3747" spans="1:23" x14ac:dyDescent="0.35">
      <c r="A3747" t="s">
        <v>45</v>
      </c>
      <c r="B3747" t="s">
        <v>7424</v>
      </c>
      <c r="C3747" t="s">
        <v>47</v>
      </c>
      <c r="D3747" t="s">
        <v>7522</v>
      </c>
      <c r="E3747" t="s">
        <v>7522</v>
      </c>
      <c r="F3747" t="s">
        <v>49</v>
      </c>
      <c r="G3747" t="s">
        <v>7523</v>
      </c>
      <c r="H3747" t="s">
        <v>7524</v>
      </c>
      <c r="J3747" t="str">
        <f>HYPERLINK("https://www.youtube.com/watch?v=nw5NSk5mPF8&amp;lc=Ugwe90S5SUx_krDDBr54AaABAg","https://www.youtube.com/watch?v=nw5NSk5mPF8&amp;lc=Ugwe90S5SUx_krDDBr54AaABAg")</f>
        <v>https://www.youtube.com/watch?v=nw5NSk5mPF8&amp;lc=Ugwe90S5SUx_krDDBr54AaABAg</v>
      </c>
      <c r="O3747">
        <v>0</v>
      </c>
      <c r="P3747">
        <v>0</v>
      </c>
      <c r="Q3747">
        <v>0</v>
      </c>
      <c r="S3747">
        <v>0</v>
      </c>
      <c r="T3747">
        <v>0</v>
      </c>
      <c r="U3747">
        <v>0</v>
      </c>
      <c r="W3747" t="s">
        <v>52</v>
      </c>
    </row>
    <row r="3748" spans="1:23" x14ac:dyDescent="0.35">
      <c r="A3748" t="s">
        <v>45</v>
      </c>
      <c r="B3748" t="s">
        <v>7424</v>
      </c>
      <c r="C3748" t="s">
        <v>47</v>
      </c>
      <c r="D3748" t="s">
        <v>7525</v>
      </c>
      <c r="E3748" t="s">
        <v>7525</v>
      </c>
      <c r="F3748" t="s">
        <v>49</v>
      </c>
      <c r="G3748" t="s">
        <v>7526</v>
      </c>
      <c r="H3748" t="s">
        <v>7527</v>
      </c>
      <c r="J3748" t="str">
        <f>HYPERLINK("https://www.youtube.com/watch?v=nw5NSk5mPF8&amp;lc=UgzIcu7-t1n-Mx9SX5d4AaABAg","https://www.youtube.com/watch?v=nw5NSk5mPF8&amp;lc=UgzIcu7-t1n-Mx9SX5d4AaABAg")</f>
        <v>https://www.youtube.com/watch?v=nw5NSk5mPF8&amp;lc=UgzIcu7-t1n-Mx9SX5d4AaABAg</v>
      </c>
      <c r="O3748">
        <v>0</v>
      </c>
      <c r="P3748">
        <v>0</v>
      </c>
      <c r="Q3748">
        <v>0</v>
      </c>
      <c r="S3748">
        <v>0</v>
      </c>
      <c r="T3748">
        <v>0</v>
      </c>
      <c r="U3748">
        <v>0</v>
      </c>
      <c r="W3748" t="s">
        <v>52</v>
      </c>
    </row>
    <row r="3749" spans="1:23" x14ac:dyDescent="0.35">
      <c r="A3749" t="s">
        <v>45</v>
      </c>
      <c r="B3749" t="s">
        <v>7424</v>
      </c>
      <c r="C3749" t="s">
        <v>47</v>
      </c>
      <c r="D3749" t="s">
        <v>4077</v>
      </c>
      <c r="E3749" t="s">
        <v>4077</v>
      </c>
      <c r="F3749" t="s">
        <v>49</v>
      </c>
      <c r="G3749" t="s">
        <v>7528</v>
      </c>
      <c r="H3749" t="s">
        <v>7529</v>
      </c>
      <c r="J3749" t="str">
        <f>HYPERLINK("https://www.youtube.com/watch?v=nw5NSk5mPF8&amp;lc=UgxplHqLTwZ91jF-jj14AaABAg","https://www.youtube.com/watch?v=nw5NSk5mPF8&amp;lc=UgxplHqLTwZ91jF-jj14AaABAg")</f>
        <v>https://www.youtube.com/watch?v=nw5NSk5mPF8&amp;lc=UgxplHqLTwZ91jF-jj14AaABAg</v>
      </c>
      <c r="O3749">
        <v>0</v>
      </c>
      <c r="P3749">
        <v>0</v>
      </c>
      <c r="Q3749">
        <v>0</v>
      </c>
      <c r="S3749">
        <v>0</v>
      </c>
      <c r="T3749">
        <v>0</v>
      </c>
      <c r="U3749">
        <v>0</v>
      </c>
      <c r="W3749" t="s">
        <v>52</v>
      </c>
    </row>
    <row r="3750" spans="1:23" x14ac:dyDescent="0.35">
      <c r="A3750" t="s">
        <v>45</v>
      </c>
      <c r="B3750" t="s">
        <v>7424</v>
      </c>
      <c r="C3750" t="s">
        <v>47</v>
      </c>
      <c r="D3750" t="s">
        <v>45</v>
      </c>
      <c r="E3750" t="s">
        <v>45</v>
      </c>
      <c r="F3750" t="s">
        <v>49</v>
      </c>
      <c r="G3750" t="s">
        <v>7530</v>
      </c>
      <c r="H3750" t="s">
        <v>7531</v>
      </c>
      <c r="J3750" t="str">
        <f>HYPERLINK("https://www.youtube.com/watch?v=nw5NSk5mPF8","https://www.youtube.com/watch?v=nw5NSk5mPF8")</f>
        <v>https://www.youtube.com/watch?v=nw5NSk5mPF8</v>
      </c>
      <c r="O3750">
        <v>0</v>
      </c>
      <c r="P3750">
        <v>0</v>
      </c>
      <c r="Q3750">
        <v>0</v>
      </c>
      <c r="S3750">
        <v>0</v>
      </c>
      <c r="T3750">
        <v>0</v>
      </c>
      <c r="U3750">
        <v>0</v>
      </c>
      <c r="W3750" t="s">
        <v>346</v>
      </c>
    </row>
    <row r="3751" spans="1:23" x14ac:dyDescent="0.35">
      <c r="A3751" t="s">
        <v>45</v>
      </c>
      <c r="B3751" t="s">
        <v>7424</v>
      </c>
      <c r="C3751" t="s">
        <v>60</v>
      </c>
      <c r="D3751" t="s">
        <v>61</v>
      </c>
      <c r="E3751" t="s">
        <v>61</v>
      </c>
      <c r="F3751" t="s">
        <v>49</v>
      </c>
      <c r="G3751" t="s">
        <v>7532</v>
      </c>
      <c r="H3751" t="s">
        <v>7533</v>
      </c>
      <c r="J3751" t="str">
        <f>HYPERLINK("https://www.facebook.com/634639855377280/posts/773392231502041?comment_id=1139929227381678","https://www.facebook.com/634639855377280/posts/773392231502041?comment_id=1139929227381678")</f>
        <v>https://www.facebook.com/634639855377280/posts/773392231502041?comment_id=1139929227381678</v>
      </c>
      <c r="O3751">
        <v>0</v>
      </c>
      <c r="P3751">
        <v>0</v>
      </c>
      <c r="Q3751">
        <v>0</v>
      </c>
      <c r="S3751">
        <v>0</v>
      </c>
      <c r="T3751">
        <v>0</v>
      </c>
      <c r="U3751">
        <v>0</v>
      </c>
      <c r="W3751" t="s">
        <v>52</v>
      </c>
    </row>
    <row r="3752" spans="1:23" x14ac:dyDescent="0.35">
      <c r="A3752" t="s">
        <v>45</v>
      </c>
      <c r="B3752" t="s">
        <v>7424</v>
      </c>
      <c r="C3752" t="s">
        <v>60</v>
      </c>
      <c r="D3752" t="s">
        <v>61</v>
      </c>
      <c r="E3752" t="s">
        <v>61</v>
      </c>
      <c r="F3752" t="s">
        <v>49</v>
      </c>
      <c r="G3752" t="s">
        <v>7534</v>
      </c>
      <c r="H3752" t="s">
        <v>7535</v>
      </c>
      <c r="J3752" t="str">
        <f>HYPERLINK("https://www.facebook.com/634639855377280/posts/773392231502041?comment_id=771372935012778","https://www.facebook.com/634639855377280/posts/773392231502041?comment_id=771372935012778")</f>
        <v>https://www.facebook.com/634639855377280/posts/773392231502041?comment_id=771372935012778</v>
      </c>
      <c r="O3752">
        <v>0</v>
      </c>
      <c r="P3752">
        <v>0</v>
      </c>
      <c r="Q3752">
        <v>0</v>
      </c>
      <c r="S3752">
        <v>0</v>
      </c>
      <c r="T3752">
        <v>0</v>
      </c>
      <c r="U3752">
        <v>0</v>
      </c>
      <c r="W3752" t="s">
        <v>52</v>
      </c>
    </row>
    <row r="3753" spans="1:23" x14ac:dyDescent="0.35">
      <c r="A3753" t="s">
        <v>45</v>
      </c>
      <c r="B3753" t="s">
        <v>7536</v>
      </c>
      <c r="C3753" t="s">
        <v>60</v>
      </c>
      <c r="D3753" t="s">
        <v>61</v>
      </c>
      <c r="E3753" t="s">
        <v>61</v>
      </c>
      <c r="F3753" t="s">
        <v>49</v>
      </c>
      <c r="G3753" t="s">
        <v>7504</v>
      </c>
      <c r="H3753" t="s">
        <v>7537</v>
      </c>
      <c r="J3753" t="str">
        <f>HYPERLINK("https://www.facebook.com/634639855377280/posts/773392231502041?comment_id=1051347086145492","https://www.facebook.com/634639855377280/posts/773392231502041?comment_id=1051347086145492")</f>
        <v>https://www.facebook.com/634639855377280/posts/773392231502041?comment_id=1051347086145492</v>
      </c>
      <c r="O3753">
        <v>0</v>
      </c>
      <c r="P3753">
        <v>0</v>
      </c>
      <c r="Q3753">
        <v>0</v>
      </c>
      <c r="S3753">
        <v>0</v>
      </c>
      <c r="T3753">
        <v>0</v>
      </c>
      <c r="U3753">
        <v>0</v>
      </c>
      <c r="W3753" t="s">
        <v>52</v>
      </c>
    </row>
    <row r="3754" spans="1:23" x14ac:dyDescent="0.35">
      <c r="A3754" t="s">
        <v>45</v>
      </c>
      <c r="B3754" t="s">
        <v>7536</v>
      </c>
      <c r="C3754" t="s">
        <v>60</v>
      </c>
      <c r="D3754" t="s">
        <v>61</v>
      </c>
      <c r="E3754" t="s">
        <v>61</v>
      </c>
      <c r="F3754" t="s">
        <v>49</v>
      </c>
      <c r="G3754" t="s">
        <v>7538</v>
      </c>
      <c r="H3754" t="s">
        <v>7539</v>
      </c>
      <c r="J3754" t="str">
        <f>HYPERLINK("https://www.facebook.com/634639855377280/posts/773392231502041?comment_id=3669557969930939&amp;reply_comment_id=228491576898455","https://www.facebook.com/634639855377280/posts/773392231502041?comment_id=3669557969930939&amp;reply_comment_id=228491576898455")</f>
        <v>https://www.facebook.com/634639855377280/posts/773392231502041?comment_id=3669557969930939&amp;reply_comment_id=228491576898455</v>
      </c>
      <c r="O3754">
        <v>0</v>
      </c>
      <c r="P3754">
        <v>0</v>
      </c>
      <c r="Q3754">
        <v>0</v>
      </c>
      <c r="S3754">
        <v>0</v>
      </c>
      <c r="T3754">
        <v>0</v>
      </c>
      <c r="U3754">
        <v>0</v>
      </c>
      <c r="W3754" t="s">
        <v>52</v>
      </c>
    </row>
    <row r="3755" spans="1:23" x14ac:dyDescent="0.35">
      <c r="A3755" t="s">
        <v>45</v>
      </c>
      <c r="B3755" t="s">
        <v>7536</v>
      </c>
      <c r="C3755" t="s">
        <v>60</v>
      </c>
      <c r="D3755" t="s">
        <v>61</v>
      </c>
      <c r="E3755" t="s">
        <v>61</v>
      </c>
      <c r="F3755" t="s">
        <v>54</v>
      </c>
      <c r="G3755" t="s">
        <v>7540</v>
      </c>
      <c r="H3755" t="s">
        <v>7541</v>
      </c>
      <c r="J3755" t="str">
        <f>HYPERLINK("https://www.facebook.com/634639855377280/posts/773392231502041?comment_id=1176965790346495","https://www.facebook.com/634639855377280/posts/773392231502041?comment_id=1176965790346495")</f>
        <v>https://www.facebook.com/634639855377280/posts/773392231502041?comment_id=1176965790346495</v>
      </c>
      <c r="O3755">
        <v>0</v>
      </c>
      <c r="P3755">
        <v>0</v>
      </c>
      <c r="Q3755">
        <v>0</v>
      </c>
      <c r="S3755">
        <v>0</v>
      </c>
      <c r="T3755">
        <v>0</v>
      </c>
      <c r="U3755">
        <v>0</v>
      </c>
      <c r="W3755" t="s">
        <v>52</v>
      </c>
    </row>
    <row r="3756" spans="1:23" x14ac:dyDescent="0.35">
      <c r="A3756" t="s">
        <v>45</v>
      </c>
      <c r="B3756" t="s">
        <v>7536</v>
      </c>
      <c r="C3756" t="s">
        <v>47</v>
      </c>
      <c r="D3756" t="s">
        <v>7542</v>
      </c>
      <c r="E3756" t="s">
        <v>7542</v>
      </c>
      <c r="F3756" t="s">
        <v>49</v>
      </c>
      <c r="G3756" t="s">
        <v>7543</v>
      </c>
      <c r="H3756" t="s">
        <v>7544</v>
      </c>
      <c r="J3756" t="str">
        <f>HYPERLINK("https://www.youtube.com/watch?v=dqPqFJSj1VA&amp;lc=UgyF1ueCCpz4AFjwGZp4AaABAg","https://www.youtube.com/watch?v=dqPqFJSj1VA&amp;lc=UgyF1ueCCpz4AFjwGZp4AaABAg")</f>
        <v>https://www.youtube.com/watch?v=dqPqFJSj1VA&amp;lc=UgyF1ueCCpz4AFjwGZp4AaABAg</v>
      </c>
      <c r="O3756">
        <v>0</v>
      </c>
      <c r="P3756">
        <v>0</v>
      </c>
      <c r="Q3756">
        <v>0</v>
      </c>
      <c r="S3756">
        <v>0</v>
      </c>
      <c r="T3756">
        <v>0</v>
      </c>
      <c r="U3756">
        <v>0</v>
      </c>
      <c r="W3756" t="s">
        <v>52</v>
      </c>
    </row>
    <row r="3757" spans="1:23" x14ac:dyDescent="0.35">
      <c r="A3757" t="s">
        <v>45</v>
      </c>
      <c r="B3757" t="s">
        <v>7536</v>
      </c>
      <c r="C3757" t="s">
        <v>47</v>
      </c>
      <c r="D3757" t="s">
        <v>7542</v>
      </c>
      <c r="E3757" t="s">
        <v>7542</v>
      </c>
      <c r="F3757" t="s">
        <v>54</v>
      </c>
      <c r="G3757" t="s">
        <v>7545</v>
      </c>
      <c r="H3757" t="s">
        <v>7546</v>
      </c>
      <c r="J3757" t="str">
        <f>HYPERLINK("https://www.youtube.com/watch?v=dqPqFJSj1VA&amp;lc=UgxNqnq1MAk4dxMgETZ4AaABAg","https://www.youtube.com/watch?v=dqPqFJSj1VA&amp;lc=UgxNqnq1MAk4dxMgETZ4AaABAg")</f>
        <v>https://www.youtube.com/watch?v=dqPqFJSj1VA&amp;lc=UgxNqnq1MAk4dxMgETZ4AaABAg</v>
      </c>
      <c r="O3757">
        <v>0</v>
      </c>
      <c r="P3757">
        <v>0</v>
      </c>
      <c r="Q3757">
        <v>0</v>
      </c>
      <c r="S3757">
        <v>0</v>
      </c>
      <c r="T3757">
        <v>0</v>
      </c>
      <c r="U3757">
        <v>0</v>
      </c>
      <c r="W3757" t="s">
        <v>52</v>
      </c>
    </row>
    <row r="3758" spans="1:23" x14ac:dyDescent="0.35">
      <c r="A3758" t="s">
        <v>45</v>
      </c>
      <c r="B3758" t="s">
        <v>7536</v>
      </c>
      <c r="C3758" t="s">
        <v>60</v>
      </c>
      <c r="D3758" t="s">
        <v>61</v>
      </c>
      <c r="E3758" t="s">
        <v>61</v>
      </c>
      <c r="F3758" t="s">
        <v>54</v>
      </c>
      <c r="G3758" t="s">
        <v>7547</v>
      </c>
      <c r="H3758" t="s">
        <v>7548</v>
      </c>
      <c r="J3758" t="str">
        <f>HYPERLINK("https://www.facebook.com/634639855377280/posts/773392231502041?comment_id=947646692949508","https://www.facebook.com/634639855377280/posts/773392231502041?comment_id=947646692949508")</f>
        <v>https://www.facebook.com/634639855377280/posts/773392231502041?comment_id=947646692949508</v>
      </c>
      <c r="O3758">
        <v>0</v>
      </c>
      <c r="P3758">
        <v>0</v>
      </c>
      <c r="Q3758">
        <v>0</v>
      </c>
      <c r="S3758">
        <v>0</v>
      </c>
      <c r="T3758">
        <v>0</v>
      </c>
      <c r="U3758">
        <v>0</v>
      </c>
      <c r="W3758" t="s">
        <v>52</v>
      </c>
    </row>
    <row r="3759" spans="1:23" x14ac:dyDescent="0.35">
      <c r="A3759" t="s">
        <v>45</v>
      </c>
      <c r="B3759" t="s">
        <v>7536</v>
      </c>
      <c r="C3759" t="s">
        <v>93</v>
      </c>
      <c r="D3759" t="s">
        <v>7549</v>
      </c>
      <c r="E3759" t="s">
        <v>7550</v>
      </c>
      <c r="F3759" t="s">
        <v>49</v>
      </c>
      <c r="G3759" t="s">
        <v>7551</v>
      </c>
      <c r="H3759" t="s">
        <v>7552</v>
      </c>
      <c r="J3759" t="str">
        <f>HYPERLINK("https://twitter.com/ankurmishra31/status/1747286736223547826","https://twitter.com/ankurmishra31/status/1747286736223547826")</f>
        <v>https://twitter.com/ankurmishra31/status/1747286736223547826</v>
      </c>
      <c r="K3759" t="s">
        <v>67</v>
      </c>
      <c r="O3759">
        <v>0</v>
      </c>
      <c r="P3759">
        <v>0</v>
      </c>
      <c r="Q3759">
        <v>28</v>
      </c>
      <c r="R3759" t="s">
        <v>7553</v>
      </c>
      <c r="S3759">
        <v>0</v>
      </c>
      <c r="T3759">
        <v>0</v>
      </c>
      <c r="U3759">
        <v>0</v>
      </c>
      <c r="W3759" t="s">
        <v>99</v>
      </c>
    </row>
    <row r="3760" spans="1:23" x14ac:dyDescent="0.35">
      <c r="A3760" t="s">
        <v>45</v>
      </c>
      <c r="B3760" t="s">
        <v>7536</v>
      </c>
      <c r="C3760" t="s">
        <v>60</v>
      </c>
      <c r="D3760" t="s">
        <v>61</v>
      </c>
      <c r="E3760" t="s">
        <v>61</v>
      </c>
      <c r="F3760" t="s">
        <v>49</v>
      </c>
      <c r="G3760" t="s">
        <v>7554</v>
      </c>
      <c r="H3760" t="s">
        <v>7555</v>
      </c>
      <c r="J3760" t="str">
        <f>HYPERLINK("https://www.facebook.com/634639855377280/posts/773392231502041?comment_id=929608021849539","https://www.facebook.com/634639855377280/posts/773392231502041?comment_id=929608021849539")</f>
        <v>https://www.facebook.com/634639855377280/posts/773392231502041?comment_id=929608021849539</v>
      </c>
      <c r="O3760">
        <v>0</v>
      </c>
      <c r="P3760">
        <v>0</v>
      </c>
      <c r="Q3760">
        <v>0</v>
      </c>
      <c r="S3760">
        <v>0</v>
      </c>
      <c r="T3760">
        <v>0</v>
      </c>
      <c r="U3760">
        <v>0</v>
      </c>
      <c r="W3760" t="s">
        <v>52</v>
      </c>
    </row>
    <row r="3761" spans="1:23" x14ac:dyDescent="0.35">
      <c r="A3761" t="s">
        <v>45</v>
      </c>
      <c r="B3761" t="s">
        <v>7536</v>
      </c>
      <c r="C3761" t="s">
        <v>60</v>
      </c>
      <c r="D3761" t="s">
        <v>61</v>
      </c>
      <c r="E3761" t="s">
        <v>61</v>
      </c>
      <c r="F3761" t="s">
        <v>54</v>
      </c>
      <c r="G3761" t="s">
        <v>7556</v>
      </c>
      <c r="H3761" t="s">
        <v>7557</v>
      </c>
      <c r="J3761" t="str">
        <f>HYPERLINK("https://www.facebook.com/634639855377280/posts/773392231502041?comment_id=913517500122107","https://www.facebook.com/634639855377280/posts/773392231502041?comment_id=913517500122107")</f>
        <v>https://www.facebook.com/634639855377280/posts/773392231502041?comment_id=913517500122107</v>
      </c>
      <c r="O3761">
        <v>0</v>
      </c>
      <c r="P3761">
        <v>0</v>
      </c>
      <c r="Q3761">
        <v>0</v>
      </c>
      <c r="S3761">
        <v>0</v>
      </c>
      <c r="T3761">
        <v>0</v>
      </c>
      <c r="U3761">
        <v>0</v>
      </c>
      <c r="W3761" t="s">
        <v>52</v>
      </c>
    </row>
    <row r="3762" spans="1:23" x14ac:dyDescent="0.35">
      <c r="A3762" t="s">
        <v>45</v>
      </c>
      <c r="B3762" t="s">
        <v>7536</v>
      </c>
      <c r="C3762" t="s">
        <v>60</v>
      </c>
      <c r="D3762" t="s">
        <v>61</v>
      </c>
      <c r="E3762" t="s">
        <v>61</v>
      </c>
      <c r="F3762" t="s">
        <v>49</v>
      </c>
      <c r="G3762" t="s">
        <v>7558</v>
      </c>
      <c r="H3762" t="s">
        <v>7559</v>
      </c>
      <c r="J3762" t="str">
        <f>HYPERLINK("https://www.facebook.com/634639855377280/posts/773392231502041?comment_id=395175969620289","https://www.facebook.com/634639855377280/posts/773392231502041?comment_id=395175969620289")</f>
        <v>https://www.facebook.com/634639855377280/posts/773392231502041?comment_id=395175969620289</v>
      </c>
      <c r="O3762">
        <v>0</v>
      </c>
      <c r="P3762">
        <v>0</v>
      </c>
      <c r="Q3762">
        <v>0</v>
      </c>
      <c r="S3762">
        <v>0</v>
      </c>
      <c r="T3762">
        <v>0</v>
      </c>
      <c r="U3762">
        <v>0</v>
      </c>
      <c r="W3762" t="s">
        <v>52</v>
      </c>
    </row>
    <row r="3763" spans="1:23" x14ac:dyDescent="0.35">
      <c r="A3763" t="s">
        <v>45</v>
      </c>
      <c r="B3763" t="s">
        <v>7536</v>
      </c>
      <c r="C3763" t="s">
        <v>60</v>
      </c>
      <c r="D3763" t="s">
        <v>61</v>
      </c>
      <c r="E3763" t="s">
        <v>61</v>
      </c>
      <c r="F3763" t="s">
        <v>49</v>
      </c>
      <c r="G3763" t="s">
        <v>7560</v>
      </c>
      <c r="H3763" t="s">
        <v>7561</v>
      </c>
      <c r="J3763" t="str">
        <f>HYPERLINK("https://www.facebook.com/634639855377280/posts/773392231502041?comment_id=3669557969930939&amp;reply_comment_id=364851859522023","https://www.facebook.com/634639855377280/posts/773392231502041?comment_id=3669557969930939&amp;reply_comment_id=364851859522023")</f>
        <v>https://www.facebook.com/634639855377280/posts/773392231502041?comment_id=3669557969930939&amp;reply_comment_id=364851859522023</v>
      </c>
      <c r="O3763">
        <v>0</v>
      </c>
      <c r="P3763">
        <v>0</v>
      </c>
      <c r="Q3763">
        <v>0</v>
      </c>
      <c r="S3763">
        <v>0</v>
      </c>
      <c r="T3763">
        <v>0</v>
      </c>
      <c r="U3763">
        <v>0</v>
      </c>
      <c r="W3763" t="s">
        <v>52</v>
      </c>
    </row>
    <row r="3764" spans="1:23" x14ac:dyDescent="0.35">
      <c r="A3764" t="s">
        <v>45</v>
      </c>
      <c r="B3764" t="s">
        <v>7536</v>
      </c>
      <c r="C3764" t="s">
        <v>93</v>
      </c>
      <c r="D3764" t="s">
        <v>7004</v>
      </c>
      <c r="E3764" t="s">
        <v>7005</v>
      </c>
      <c r="F3764" t="s">
        <v>49</v>
      </c>
      <c r="G3764" t="s">
        <v>7562</v>
      </c>
      <c r="H3764" t="s">
        <v>7563</v>
      </c>
      <c r="J3764" t="str">
        <f>HYPERLINK("https://twitter.com/Prakash_sahoo07/status/1747275063735517237","https://twitter.com/Prakash_sahoo07/status/1747275063735517237")</f>
        <v>https://twitter.com/Prakash_sahoo07/status/1747275063735517237</v>
      </c>
      <c r="K3764" t="s">
        <v>67</v>
      </c>
      <c r="O3764">
        <v>0</v>
      </c>
      <c r="P3764">
        <v>0</v>
      </c>
      <c r="Q3764">
        <v>1</v>
      </c>
      <c r="S3764">
        <v>0</v>
      </c>
      <c r="T3764">
        <v>0</v>
      </c>
      <c r="U3764">
        <v>0</v>
      </c>
      <c r="W3764" t="s">
        <v>99</v>
      </c>
    </row>
    <row r="3765" spans="1:23" x14ac:dyDescent="0.35">
      <c r="A3765" t="s">
        <v>45</v>
      </c>
      <c r="B3765" t="s">
        <v>7536</v>
      </c>
      <c r="C3765" t="s">
        <v>60</v>
      </c>
      <c r="D3765" t="s">
        <v>61</v>
      </c>
      <c r="E3765" t="s">
        <v>61</v>
      </c>
      <c r="F3765" t="s">
        <v>49</v>
      </c>
      <c r="G3765" t="s">
        <v>7564</v>
      </c>
      <c r="H3765" t="s">
        <v>7565</v>
      </c>
      <c r="J3765" t="str">
        <f>HYPERLINK("https://www.facebook.com/634639855377280/posts/773392231502041?comment_id=3669557969930939&amp;reply_comment_id=279949401438962","https://www.facebook.com/634639855377280/posts/773392231502041?comment_id=3669557969930939&amp;reply_comment_id=279949401438962")</f>
        <v>https://www.facebook.com/634639855377280/posts/773392231502041?comment_id=3669557969930939&amp;reply_comment_id=279949401438962</v>
      </c>
      <c r="O3765">
        <v>0</v>
      </c>
      <c r="P3765">
        <v>0</v>
      </c>
      <c r="Q3765">
        <v>0</v>
      </c>
      <c r="S3765">
        <v>0</v>
      </c>
      <c r="T3765">
        <v>0</v>
      </c>
      <c r="U3765">
        <v>0</v>
      </c>
      <c r="W3765" t="s">
        <v>52</v>
      </c>
    </row>
    <row r="3766" spans="1:23" x14ac:dyDescent="0.35">
      <c r="A3766" t="s">
        <v>45</v>
      </c>
      <c r="B3766" t="s">
        <v>7536</v>
      </c>
      <c r="C3766" t="s">
        <v>60</v>
      </c>
      <c r="D3766" t="s">
        <v>61</v>
      </c>
      <c r="E3766" t="s">
        <v>61</v>
      </c>
      <c r="F3766" t="s">
        <v>49</v>
      </c>
      <c r="G3766" t="s">
        <v>7566</v>
      </c>
      <c r="H3766" t="s">
        <v>7567</v>
      </c>
      <c r="J3766" t="str">
        <f>HYPERLINK("https://www.facebook.com/634639855377280/posts/773392231502041?comment_id=362048049789054","https://www.facebook.com/634639855377280/posts/773392231502041?comment_id=362048049789054")</f>
        <v>https://www.facebook.com/634639855377280/posts/773392231502041?comment_id=362048049789054</v>
      </c>
      <c r="O3766">
        <v>0</v>
      </c>
      <c r="P3766">
        <v>0</v>
      </c>
      <c r="Q3766">
        <v>0</v>
      </c>
      <c r="S3766">
        <v>0</v>
      </c>
      <c r="T3766">
        <v>0</v>
      </c>
      <c r="U3766">
        <v>0</v>
      </c>
      <c r="W3766" t="s">
        <v>52</v>
      </c>
    </row>
    <row r="3767" spans="1:23" x14ac:dyDescent="0.35">
      <c r="A3767" t="s">
        <v>45</v>
      </c>
      <c r="B3767" t="s">
        <v>7536</v>
      </c>
      <c r="C3767" t="s">
        <v>60</v>
      </c>
      <c r="D3767" t="s">
        <v>61</v>
      </c>
      <c r="E3767" t="s">
        <v>61</v>
      </c>
      <c r="F3767" t="s">
        <v>49</v>
      </c>
      <c r="G3767" t="s">
        <v>7568</v>
      </c>
      <c r="H3767" t="s">
        <v>7569</v>
      </c>
      <c r="J3767" t="str">
        <f>HYPERLINK("https://www.facebook.com/634639855377280/posts/773392231502041?comment_id=247232185064059","https://www.facebook.com/634639855377280/posts/773392231502041?comment_id=247232185064059")</f>
        <v>https://www.facebook.com/634639855377280/posts/773392231502041?comment_id=247232185064059</v>
      </c>
      <c r="O3767">
        <v>0</v>
      </c>
      <c r="P3767">
        <v>0</v>
      </c>
      <c r="Q3767">
        <v>0</v>
      </c>
      <c r="S3767">
        <v>0</v>
      </c>
      <c r="T3767">
        <v>0</v>
      </c>
      <c r="U3767">
        <v>0</v>
      </c>
      <c r="W3767" t="s">
        <v>52</v>
      </c>
    </row>
    <row r="3768" spans="1:23" x14ac:dyDescent="0.35">
      <c r="A3768" t="s">
        <v>45</v>
      </c>
      <c r="B3768" t="s">
        <v>7536</v>
      </c>
      <c r="C3768" t="s">
        <v>60</v>
      </c>
      <c r="D3768" t="s">
        <v>61</v>
      </c>
      <c r="E3768" t="s">
        <v>61</v>
      </c>
      <c r="F3768" t="s">
        <v>54</v>
      </c>
      <c r="G3768" t="s">
        <v>7547</v>
      </c>
      <c r="H3768" t="s">
        <v>7570</v>
      </c>
      <c r="J3768" t="str">
        <f>HYPERLINK("https://www.facebook.com/634639855377280/posts/773392231502041?comment_id=346101671641334","https://www.facebook.com/634639855377280/posts/773392231502041?comment_id=346101671641334")</f>
        <v>https://www.facebook.com/634639855377280/posts/773392231502041?comment_id=346101671641334</v>
      </c>
      <c r="O3768">
        <v>0</v>
      </c>
      <c r="P3768">
        <v>0</v>
      </c>
      <c r="Q3768">
        <v>0</v>
      </c>
      <c r="S3768">
        <v>0</v>
      </c>
      <c r="T3768">
        <v>0</v>
      </c>
      <c r="U3768">
        <v>0</v>
      </c>
      <c r="W3768" t="s">
        <v>52</v>
      </c>
    </row>
    <row r="3769" spans="1:23" x14ac:dyDescent="0.35">
      <c r="A3769" t="s">
        <v>45</v>
      </c>
      <c r="B3769" t="s">
        <v>7536</v>
      </c>
      <c r="C3769" t="s">
        <v>60</v>
      </c>
      <c r="D3769" t="s">
        <v>61</v>
      </c>
      <c r="E3769" t="s">
        <v>61</v>
      </c>
      <c r="F3769" t="s">
        <v>49</v>
      </c>
      <c r="G3769" t="s">
        <v>7571</v>
      </c>
      <c r="H3769" t="s">
        <v>7572</v>
      </c>
      <c r="J3769" t="str">
        <f>HYPERLINK("https://www.facebook.com/634639855377280/posts/773392231502041?comment_id=745942020399103","https://www.facebook.com/634639855377280/posts/773392231502041?comment_id=745942020399103")</f>
        <v>https://www.facebook.com/634639855377280/posts/773392231502041?comment_id=745942020399103</v>
      </c>
      <c r="O3769">
        <v>0</v>
      </c>
      <c r="P3769">
        <v>0</v>
      </c>
      <c r="Q3769">
        <v>0</v>
      </c>
      <c r="S3769">
        <v>0</v>
      </c>
      <c r="T3769">
        <v>0</v>
      </c>
      <c r="U3769">
        <v>0</v>
      </c>
      <c r="W3769" t="s">
        <v>52</v>
      </c>
    </row>
    <row r="3770" spans="1:23" x14ac:dyDescent="0.35">
      <c r="A3770" t="s">
        <v>45</v>
      </c>
      <c r="B3770" t="s">
        <v>7536</v>
      </c>
      <c r="C3770" t="s">
        <v>60</v>
      </c>
      <c r="D3770" t="s">
        <v>61</v>
      </c>
      <c r="E3770" t="s">
        <v>61</v>
      </c>
      <c r="F3770" t="s">
        <v>49</v>
      </c>
      <c r="G3770" t="s">
        <v>7573</v>
      </c>
      <c r="H3770" t="s">
        <v>7574</v>
      </c>
      <c r="J3770" t="str">
        <f>HYPERLINK("https://www.facebook.com/634639855377280/posts/773392231502041?comment_id=350157947794621","https://www.facebook.com/634639855377280/posts/773392231502041?comment_id=350157947794621")</f>
        <v>https://www.facebook.com/634639855377280/posts/773392231502041?comment_id=350157947794621</v>
      </c>
      <c r="O3770">
        <v>0</v>
      </c>
      <c r="P3770">
        <v>0</v>
      </c>
      <c r="Q3770">
        <v>0</v>
      </c>
      <c r="S3770">
        <v>0</v>
      </c>
      <c r="T3770">
        <v>0</v>
      </c>
      <c r="U3770">
        <v>0</v>
      </c>
      <c r="W3770" t="s">
        <v>52</v>
      </c>
    </row>
    <row r="3771" spans="1:23" x14ac:dyDescent="0.35">
      <c r="A3771" t="s">
        <v>45</v>
      </c>
      <c r="B3771" t="s">
        <v>7536</v>
      </c>
      <c r="C3771" t="s">
        <v>60</v>
      </c>
      <c r="D3771" t="s">
        <v>61</v>
      </c>
      <c r="E3771" t="s">
        <v>61</v>
      </c>
      <c r="F3771" t="s">
        <v>49</v>
      </c>
      <c r="G3771" t="s">
        <v>7575</v>
      </c>
      <c r="H3771" t="s">
        <v>7576</v>
      </c>
      <c r="J3771" t="str">
        <f>HYPERLINK("https://www.facebook.com/634639855377280/posts/773392231502041?comment_id=725704226326431","https://www.facebook.com/634639855377280/posts/773392231502041?comment_id=725704226326431")</f>
        <v>https://www.facebook.com/634639855377280/posts/773392231502041?comment_id=725704226326431</v>
      </c>
      <c r="O3771">
        <v>0</v>
      </c>
      <c r="P3771">
        <v>0</v>
      </c>
      <c r="Q3771">
        <v>0</v>
      </c>
      <c r="S3771">
        <v>0</v>
      </c>
      <c r="T3771">
        <v>0</v>
      </c>
      <c r="U3771">
        <v>0</v>
      </c>
      <c r="W3771" t="s">
        <v>52</v>
      </c>
    </row>
    <row r="3772" spans="1:23" x14ac:dyDescent="0.35">
      <c r="A3772" t="s">
        <v>45</v>
      </c>
      <c r="B3772" t="s">
        <v>7536</v>
      </c>
      <c r="C3772" t="s">
        <v>47</v>
      </c>
      <c r="D3772" t="s">
        <v>7577</v>
      </c>
      <c r="E3772" t="s">
        <v>7577</v>
      </c>
      <c r="F3772" t="s">
        <v>49</v>
      </c>
      <c r="G3772" t="s">
        <v>7578</v>
      </c>
      <c r="H3772" t="s">
        <v>7579</v>
      </c>
      <c r="J3772" t="str">
        <f>HYPERLINK("https://www.youtube.com/watch?v=z58WzdIZIO8&amp;lc=Ugy5FpKUAOeEdZ6PHuR4AaABAg","https://www.youtube.com/watch?v=z58WzdIZIO8&amp;lc=Ugy5FpKUAOeEdZ6PHuR4AaABAg")</f>
        <v>https://www.youtube.com/watch?v=z58WzdIZIO8&amp;lc=Ugy5FpKUAOeEdZ6PHuR4AaABAg</v>
      </c>
      <c r="O3772">
        <v>0</v>
      </c>
      <c r="P3772">
        <v>0</v>
      </c>
      <c r="Q3772">
        <v>0</v>
      </c>
      <c r="S3772">
        <v>0</v>
      </c>
      <c r="T3772">
        <v>0</v>
      </c>
      <c r="U3772">
        <v>0</v>
      </c>
      <c r="W3772" t="s">
        <v>52</v>
      </c>
    </row>
    <row r="3773" spans="1:23" x14ac:dyDescent="0.35">
      <c r="A3773" t="s">
        <v>45</v>
      </c>
      <c r="B3773" t="s">
        <v>7536</v>
      </c>
      <c r="C3773" t="s">
        <v>47</v>
      </c>
      <c r="D3773" t="s">
        <v>7580</v>
      </c>
      <c r="E3773" t="s">
        <v>7580</v>
      </c>
      <c r="F3773" t="s">
        <v>49</v>
      </c>
      <c r="G3773" t="s">
        <v>7581</v>
      </c>
      <c r="H3773" t="s">
        <v>7582</v>
      </c>
      <c r="J3773" t="str">
        <f>HYPERLINK("https://www.youtube.com/watch?v=--SsTSqIa-4&amp;lc=UgxqJUYRcUSctuNoywt4AaABAg","https://www.youtube.com/watch?v=--SsTSqIa-4&amp;lc=UgxqJUYRcUSctuNoywt4AaABAg")</f>
        <v>https://www.youtube.com/watch?v=--SsTSqIa-4&amp;lc=UgxqJUYRcUSctuNoywt4AaABAg</v>
      </c>
      <c r="O3773">
        <v>0</v>
      </c>
      <c r="P3773">
        <v>0</v>
      </c>
      <c r="Q3773">
        <v>0</v>
      </c>
      <c r="S3773">
        <v>0</v>
      </c>
      <c r="T3773">
        <v>0</v>
      </c>
      <c r="U3773">
        <v>0</v>
      </c>
      <c r="W3773" t="s">
        <v>52</v>
      </c>
    </row>
    <row r="3774" spans="1:23" x14ac:dyDescent="0.35">
      <c r="A3774" t="s">
        <v>45</v>
      </c>
      <c r="B3774" t="s">
        <v>7536</v>
      </c>
      <c r="C3774" t="s">
        <v>60</v>
      </c>
      <c r="D3774" t="s">
        <v>61</v>
      </c>
      <c r="E3774" t="s">
        <v>61</v>
      </c>
      <c r="F3774" t="s">
        <v>49</v>
      </c>
      <c r="G3774" t="s">
        <v>7583</v>
      </c>
      <c r="H3774" t="s">
        <v>7584</v>
      </c>
      <c r="J3774" t="str">
        <f>HYPERLINK("https://www.facebook.com/634639855377280/posts/773392231502041?comment_id=3669557969930939","https://www.facebook.com/634639855377280/posts/773392231502041?comment_id=3669557969930939")</f>
        <v>https://www.facebook.com/634639855377280/posts/773392231502041?comment_id=3669557969930939</v>
      </c>
      <c r="O3774">
        <v>0</v>
      </c>
      <c r="P3774">
        <v>0</v>
      </c>
      <c r="Q3774">
        <v>0</v>
      </c>
      <c r="S3774">
        <v>0</v>
      </c>
      <c r="T3774">
        <v>0</v>
      </c>
      <c r="U3774">
        <v>0</v>
      </c>
      <c r="W3774" t="s">
        <v>52</v>
      </c>
    </row>
    <row r="3775" spans="1:23" x14ac:dyDescent="0.35">
      <c r="A3775" t="s">
        <v>45</v>
      </c>
      <c r="B3775" t="s">
        <v>7536</v>
      </c>
      <c r="C3775" t="s">
        <v>93</v>
      </c>
      <c r="D3775" t="s">
        <v>5951</v>
      </c>
      <c r="E3775" t="s">
        <v>5952</v>
      </c>
      <c r="F3775" t="s">
        <v>49</v>
      </c>
      <c r="G3775" t="s">
        <v>7585</v>
      </c>
      <c r="H3775" t="s">
        <v>7586</v>
      </c>
      <c r="J3775" t="str">
        <f>HYPERLINK("https://twitter.com/sumanprashad/status/1747257736033907151","https://twitter.com/sumanprashad/status/1747257736033907151")</f>
        <v>https://twitter.com/sumanprashad/status/1747257736033907151</v>
      </c>
      <c r="K3775" t="s">
        <v>471</v>
      </c>
      <c r="O3775">
        <v>0</v>
      </c>
      <c r="P3775">
        <v>0</v>
      </c>
      <c r="Q3775">
        <v>134</v>
      </c>
      <c r="R3775" t="s">
        <v>5955</v>
      </c>
      <c r="S3775">
        <v>0</v>
      </c>
      <c r="T3775">
        <v>0</v>
      </c>
      <c r="U3775">
        <v>0</v>
      </c>
      <c r="W3775" t="s">
        <v>99</v>
      </c>
    </row>
    <row r="3776" spans="1:23" x14ac:dyDescent="0.35">
      <c r="A3776" t="s">
        <v>45</v>
      </c>
      <c r="B3776" t="s">
        <v>7536</v>
      </c>
      <c r="C3776" t="s">
        <v>60</v>
      </c>
      <c r="D3776" t="s">
        <v>61</v>
      </c>
      <c r="E3776" t="s">
        <v>61</v>
      </c>
      <c r="F3776" t="s">
        <v>54</v>
      </c>
      <c r="G3776" t="s">
        <v>7587</v>
      </c>
      <c r="H3776" t="s">
        <v>7588</v>
      </c>
      <c r="J3776" t="str">
        <f>HYPERLINK("https://www.facebook.com/634639855377280/posts/773392231502041?comment_id=1188301102147907","https://www.facebook.com/634639855377280/posts/773392231502041?comment_id=1188301102147907")</f>
        <v>https://www.facebook.com/634639855377280/posts/773392231502041?comment_id=1188301102147907</v>
      </c>
      <c r="O3776">
        <v>0</v>
      </c>
      <c r="P3776">
        <v>0</v>
      </c>
      <c r="Q3776">
        <v>0</v>
      </c>
      <c r="S3776">
        <v>0</v>
      </c>
      <c r="T3776">
        <v>0</v>
      </c>
      <c r="U3776">
        <v>0</v>
      </c>
      <c r="W3776" t="s">
        <v>52</v>
      </c>
    </row>
    <row r="3777" spans="1:23" x14ac:dyDescent="0.35">
      <c r="A3777" t="s">
        <v>45</v>
      </c>
      <c r="B3777" t="s">
        <v>7536</v>
      </c>
      <c r="C3777" t="s">
        <v>60</v>
      </c>
      <c r="D3777" t="s">
        <v>61</v>
      </c>
      <c r="E3777" t="s">
        <v>61</v>
      </c>
      <c r="F3777" t="s">
        <v>49</v>
      </c>
      <c r="G3777" t="s">
        <v>7589</v>
      </c>
      <c r="H3777" t="s">
        <v>7590</v>
      </c>
      <c r="J3777" t="str">
        <f>HYPERLINK("https://www.facebook.com/634639855377280/posts/773392231502041?comment_id=907290637548988","https://www.facebook.com/634639855377280/posts/773392231502041?comment_id=907290637548988")</f>
        <v>https://www.facebook.com/634639855377280/posts/773392231502041?comment_id=907290637548988</v>
      </c>
      <c r="O3777">
        <v>0</v>
      </c>
      <c r="P3777">
        <v>0</v>
      </c>
      <c r="Q3777">
        <v>0</v>
      </c>
      <c r="S3777">
        <v>0</v>
      </c>
      <c r="T3777">
        <v>0</v>
      </c>
      <c r="U3777">
        <v>0</v>
      </c>
      <c r="W3777" t="s">
        <v>52</v>
      </c>
    </row>
    <row r="3778" spans="1:23" x14ac:dyDescent="0.35">
      <c r="A3778" t="s">
        <v>45</v>
      </c>
      <c r="B3778" t="s">
        <v>7536</v>
      </c>
      <c r="C3778" t="s">
        <v>93</v>
      </c>
      <c r="D3778" t="s">
        <v>5951</v>
      </c>
      <c r="E3778" t="s">
        <v>5952</v>
      </c>
      <c r="F3778" t="s">
        <v>49</v>
      </c>
      <c r="G3778" t="s">
        <v>7591</v>
      </c>
      <c r="H3778" t="s">
        <v>7592</v>
      </c>
      <c r="J3778" t="str">
        <f>HYPERLINK("https://twitter.com/sumanprashad/status/1747255532891873684","https://twitter.com/sumanprashad/status/1747255532891873684")</f>
        <v>https://twitter.com/sumanprashad/status/1747255532891873684</v>
      </c>
      <c r="K3778" t="s">
        <v>471</v>
      </c>
      <c r="O3778">
        <v>0</v>
      </c>
      <c r="P3778">
        <v>0</v>
      </c>
      <c r="Q3778">
        <v>134</v>
      </c>
      <c r="R3778" t="s">
        <v>5955</v>
      </c>
      <c r="S3778">
        <v>0</v>
      </c>
      <c r="T3778">
        <v>0</v>
      </c>
      <c r="U3778">
        <v>0</v>
      </c>
      <c r="W3778" t="s">
        <v>99</v>
      </c>
    </row>
    <row r="3779" spans="1:23" x14ac:dyDescent="0.35">
      <c r="A3779" t="s">
        <v>45</v>
      </c>
      <c r="B3779" t="s">
        <v>7536</v>
      </c>
      <c r="C3779" t="s">
        <v>93</v>
      </c>
      <c r="D3779" t="s">
        <v>7593</v>
      </c>
      <c r="E3779" t="s">
        <v>7594</v>
      </c>
      <c r="F3779" t="s">
        <v>49</v>
      </c>
      <c r="G3779" t="s">
        <v>7595</v>
      </c>
      <c r="H3779" t="s">
        <v>7596</v>
      </c>
      <c r="J3779" t="str">
        <f>HYPERLINK("https://twitter.com/Surendr41118316/status/1747253958744363244","https://twitter.com/Surendr41118316/status/1747253958744363244")</f>
        <v>https://twitter.com/Surendr41118316/status/1747253958744363244</v>
      </c>
      <c r="K3779" t="s">
        <v>471</v>
      </c>
      <c r="O3779">
        <v>0</v>
      </c>
      <c r="P3779">
        <v>0</v>
      </c>
      <c r="Q3779">
        <v>0</v>
      </c>
      <c r="S3779">
        <v>0</v>
      </c>
      <c r="T3779">
        <v>0</v>
      </c>
      <c r="U3779">
        <v>0</v>
      </c>
      <c r="W3779" t="s">
        <v>99</v>
      </c>
    </row>
    <row r="3780" spans="1:23" x14ac:dyDescent="0.35">
      <c r="A3780" t="s">
        <v>45</v>
      </c>
      <c r="B3780" t="s">
        <v>7536</v>
      </c>
      <c r="C3780" t="s">
        <v>93</v>
      </c>
      <c r="D3780" t="s">
        <v>94</v>
      </c>
      <c r="E3780" t="s">
        <v>45</v>
      </c>
      <c r="F3780" t="s">
        <v>49</v>
      </c>
      <c r="G3780" t="s">
        <v>7597</v>
      </c>
      <c r="H3780" t="s">
        <v>7598</v>
      </c>
      <c r="J3780" t="str">
        <f>HYPERLINK("https://twitter.com/SpiceMoneyIndia/status/1747253468681969792","https://twitter.com/SpiceMoneyIndia/status/1747253468681969792")</f>
        <v>https://twitter.com/SpiceMoneyIndia/status/1747253468681969792</v>
      </c>
      <c r="K3780" t="s">
        <v>67</v>
      </c>
      <c r="O3780">
        <v>0</v>
      </c>
      <c r="P3780">
        <v>0</v>
      </c>
      <c r="Q3780">
        <v>5998</v>
      </c>
      <c r="R3780" t="s">
        <v>97</v>
      </c>
      <c r="S3780">
        <v>0</v>
      </c>
      <c r="T3780">
        <v>0</v>
      </c>
      <c r="U3780">
        <v>0</v>
      </c>
      <c r="V3780" t="s">
        <v>98</v>
      </c>
      <c r="W3780" t="s">
        <v>99</v>
      </c>
    </row>
    <row r="3781" spans="1:23" x14ac:dyDescent="0.35">
      <c r="A3781" t="s">
        <v>45</v>
      </c>
      <c r="B3781" t="s">
        <v>7536</v>
      </c>
      <c r="C3781" t="s">
        <v>93</v>
      </c>
      <c r="D3781" t="s">
        <v>5951</v>
      </c>
      <c r="E3781" t="s">
        <v>5952</v>
      </c>
      <c r="F3781" t="s">
        <v>49</v>
      </c>
      <c r="G3781" t="s">
        <v>7599</v>
      </c>
      <c r="H3781" t="s">
        <v>7600</v>
      </c>
      <c r="J3781" t="str">
        <f>HYPERLINK("https://twitter.com/sumanprashad/status/1747253452538101954","https://twitter.com/sumanprashad/status/1747253452538101954")</f>
        <v>https://twitter.com/sumanprashad/status/1747253452538101954</v>
      </c>
      <c r="K3781" t="s">
        <v>471</v>
      </c>
      <c r="O3781">
        <v>0</v>
      </c>
      <c r="P3781">
        <v>0</v>
      </c>
      <c r="Q3781">
        <v>134</v>
      </c>
      <c r="R3781" t="s">
        <v>5955</v>
      </c>
      <c r="S3781">
        <v>0</v>
      </c>
      <c r="T3781">
        <v>0</v>
      </c>
      <c r="U3781">
        <v>0</v>
      </c>
      <c r="W3781" t="s">
        <v>99</v>
      </c>
    </row>
    <row r="3782" spans="1:23" x14ac:dyDescent="0.35">
      <c r="A3782" t="s">
        <v>45</v>
      </c>
      <c r="B3782" t="s">
        <v>7536</v>
      </c>
      <c r="C3782" t="s">
        <v>60</v>
      </c>
      <c r="D3782" t="s">
        <v>64</v>
      </c>
      <c r="E3782" t="s">
        <v>64</v>
      </c>
      <c r="F3782" t="s">
        <v>49</v>
      </c>
      <c r="G3782" t="s">
        <v>7601</v>
      </c>
      <c r="H3782" t="s">
        <v>7602</v>
      </c>
      <c r="J3782" t="str">
        <f>HYPERLINK("https://www.facebook.com/634639855377280/posts/773392231502041","https://www.facebook.com/634639855377280/posts/773392231502041")</f>
        <v>https://www.facebook.com/634639855377280/posts/773392231502041</v>
      </c>
      <c r="O3782">
        <v>0</v>
      </c>
      <c r="P3782">
        <v>0</v>
      </c>
      <c r="Q3782">
        <v>0</v>
      </c>
      <c r="S3782">
        <v>28</v>
      </c>
      <c r="T3782">
        <v>123</v>
      </c>
      <c r="U3782">
        <v>6</v>
      </c>
      <c r="W3782" t="s">
        <v>346</v>
      </c>
    </row>
    <row r="3783" spans="1:23" x14ac:dyDescent="0.35">
      <c r="A3783" t="s">
        <v>45</v>
      </c>
      <c r="B3783" t="s">
        <v>7536</v>
      </c>
      <c r="C3783" t="s">
        <v>60</v>
      </c>
      <c r="D3783" t="s">
        <v>61</v>
      </c>
      <c r="E3783" t="s">
        <v>61</v>
      </c>
      <c r="F3783" t="s">
        <v>49</v>
      </c>
      <c r="G3783" t="s">
        <v>7603</v>
      </c>
      <c r="H3783" t="s">
        <v>7604</v>
      </c>
      <c r="J3783" t="str">
        <f>HYPERLINK("https://www.facebook.com/634639855377280/posts/771990234975574?comment_id=416813964111173&amp;reply_comment_id=914391183740440","https://www.facebook.com/634639855377280/posts/771990234975574?comment_id=416813964111173&amp;reply_comment_id=914391183740440")</f>
        <v>https://www.facebook.com/634639855377280/posts/771990234975574?comment_id=416813964111173&amp;reply_comment_id=914391183740440</v>
      </c>
      <c r="O3783">
        <v>0</v>
      </c>
      <c r="P3783">
        <v>0</v>
      </c>
      <c r="Q3783">
        <v>0</v>
      </c>
      <c r="S3783">
        <v>0</v>
      </c>
      <c r="T3783">
        <v>0</v>
      </c>
      <c r="U3783">
        <v>0</v>
      </c>
      <c r="W3783" t="s">
        <v>52</v>
      </c>
    </row>
    <row r="3784" spans="1:23" x14ac:dyDescent="0.35">
      <c r="A3784" t="s">
        <v>45</v>
      </c>
      <c r="B3784" t="s">
        <v>7536</v>
      </c>
      <c r="C3784" t="s">
        <v>60</v>
      </c>
      <c r="D3784" t="s">
        <v>64</v>
      </c>
      <c r="E3784" t="s">
        <v>64</v>
      </c>
      <c r="F3784" t="s">
        <v>49</v>
      </c>
      <c r="G3784" t="s">
        <v>270</v>
      </c>
      <c r="H3784" t="s">
        <v>7605</v>
      </c>
      <c r="J3784" t="str">
        <f>HYPERLINK("https://www.facebook.com/634639855377280/posts/772618101579454?comment_id=1080709693246261&amp;reply_comment_id=887170356331082","https://www.facebook.com/634639855377280/posts/772618101579454?comment_id=1080709693246261&amp;reply_comment_id=887170356331082")</f>
        <v>https://www.facebook.com/634639855377280/posts/772618101579454?comment_id=1080709693246261&amp;reply_comment_id=887170356331082</v>
      </c>
      <c r="K3784" t="s">
        <v>67</v>
      </c>
      <c r="O3784">
        <v>0</v>
      </c>
      <c r="P3784">
        <v>0</v>
      </c>
      <c r="Q3784">
        <v>0</v>
      </c>
      <c r="S3784">
        <v>0</v>
      </c>
      <c r="T3784">
        <v>0</v>
      </c>
      <c r="U3784">
        <v>0</v>
      </c>
      <c r="W3784" t="s">
        <v>52</v>
      </c>
    </row>
    <row r="3785" spans="1:23" x14ac:dyDescent="0.35">
      <c r="A3785" t="s">
        <v>45</v>
      </c>
      <c r="B3785" t="s">
        <v>7536</v>
      </c>
      <c r="C3785" t="s">
        <v>93</v>
      </c>
      <c r="D3785" t="s">
        <v>94</v>
      </c>
      <c r="E3785" t="s">
        <v>45</v>
      </c>
      <c r="F3785" t="s">
        <v>49</v>
      </c>
      <c r="G3785" t="s">
        <v>7606</v>
      </c>
      <c r="H3785" t="s">
        <v>7607</v>
      </c>
      <c r="J3785" t="str">
        <f>HYPERLINK("https://twitter.com/SpiceMoneyIndia/status/1747236653939212617","https://twitter.com/SpiceMoneyIndia/status/1747236653939212617")</f>
        <v>https://twitter.com/SpiceMoneyIndia/status/1747236653939212617</v>
      </c>
      <c r="K3785" t="s">
        <v>67</v>
      </c>
      <c r="O3785">
        <v>0</v>
      </c>
      <c r="P3785">
        <v>0</v>
      </c>
      <c r="Q3785">
        <v>5998</v>
      </c>
      <c r="R3785" t="s">
        <v>97</v>
      </c>
      <c r="S3785">
        <v>0</v>
      </c>
      <c r="T3785">
        <v>0</v>
      </c>
      <c r="U3785">
        <v>0</v>
      </c>
      <c r="V3785" t="s">
        <v>98</v>
      </c>
      <c r="W3785" t="s">
        <v>99</v>
      </c>
    </row>
    <row r="3786" spans="1:23" x14ac:dyDescent="0.35">
      <c r="A3786" t="s">
        <v>45</v>
      </c>
      <c r="B3786" t="s">
        <v>7536</v>
      </c>
      <c r="C3786" t="s">
        <v>93</v>
      </c>
      <c r="D3786" t="s">
        <v>94</v>
      </c>
      <c r="E3786" t="s">
        <v>45</v>
      </c>
      <c r="F3786" t="s">
        <v>49</v>
      </c>
      <c r="G3786" t="s">
        <v>7608</v>
      </c>
      <c r="H3786" t="s">
        <v>7609</v>
      </c>
      <c r="J3786" t="str">
        <f>HYPERLINK("https://twitter.com/SpiceMoneyIndia/status/1747235818526187574","https://twitter.com/SpiceMoneyIndia/status/1747235818526187574")</f>
        <v>https://twitter.com/SpiceMoneyIndia/status/1747235818526187574</v>
      </c>
      <c r="K3786" t="s">
        <v>67</v>
      </c>
      <c r="O3786">
        <v>0</v>
      </c>
      <c r="P3786">
        <v>0</v>
      </c>
      <c r="Q3786">
        <v>5998</v>
      </c>
      <c r="R3786" t="s">
        <v>97</v>
      </c>
      <c r="S3786">
        <v>0</v>
      </c>
      <c r="T3786">
        <v>0</v>
      </c>
      <c r="U3786">
        <v>0</v>
      </c>
      <c r="V3786" t="s">
        <v>98</v>
      </c>
      <c r="W3786" t="s">
        <v>99</v>
      </c>
    </row>
    <row r="3787" spans="1:23" x14ac:dyDescent="0.35">
      <c r="A3787" t="s">
        <v>45</v>
      </c>
      <c r="B3787" t="s">
        <v>7536</v>
      </c>
      <c r="C3787" t="s">
        <v>93</v>
      </c>
      <c r="D3787" t="s">
        <v>94</v>
      </c>
      <c r="E3787" t="s">
        <v>45</v>
      </c>
      <c r="F3787" t="s">
        <v>49</v>
      </c>
      <c r="G3787" t="s">
        <v>7610</v>
      </c>
      <c r="H3787" t="s">
        <v>7611</v>
      </c>
      <c r="J3787" t="str">
        <f>HYPERLINK("https://twitter.com/SpiceMoneyIndia/status/1747229279459360952","https://twitter.com/SpiceMoneyIndia/status/1747229279459360952")</f>
        <v>https://twitter.com/SpiceMoneyIndia/status/1747229279459360952</v>
      </c>
      <c r="K3787" t="s">
        <v>67</v>
      </c>
      <c r="O3787">
        <v>0</v>
      </c>
      <c r="P3787">
        <v>0</v>
      </c>
      <c r="Q3787">
        <v>5998</v>
      </c>
      <c r="R3787" t="s">
        <v>97</v>
      </c>
      <c r="S3787">
        <v>0</v>
      </c>
      <c r="T3787">
        <v>0</v>
      </c>
      <c r="U3787">
        <v>0</v>
      </c>
      <c r="V3787" t="s">
        <v>98</v>
      </c>
      <c r="W3787" t="s">
        <v>99</v>
      </c>
    </row>
    <row r="3788" spans="1:23" x14ac:dyDescent="0.35">
      <c r="A3788" t="s">
        <v>45</v>
      </c>
      <c r="B3788" t="s">
        <v>7536</v>
      </c>
      <c r="C3788" t="s">
        <v>60</v>
      </c>
      <c r="D3788" t="s">
        <v>61</v>
      </c>
      <c r="E3788" t="s">
        <v>61</v>
      </c>
      <c r="F3788" t="s">
        <v>49</v>
      </c>
      <c r="G3788" t="s">
        <v>7612</v>
      </c>
      <c r="H3788" t="s">
        <v>7613</v>
      </c>
      <c r="J3788" t="str">
        <f>HYPERLINK("https://www.facebook.com/634639855377280/posts/772618101579454?comment_id=1080709693246261","https://www.facebook.com/634639855377280/posts/772618101579454?comment_id=1080709693246261")</f>
        <v>https://www.facebook.com/634639855377280/posts/772618101579454?comment_id=1080709693246261</v>
      </c>
      <c r="O3788">
        <v>0</v>
      </c>
      <c r="P3788">
        <v>0</v>
      </c>
      <c r="Q3788">
        <v>0</v>
      </c>
      <c r="S3788">
        <v>0</v>
      </c>
      <c r="T3788">
        <v>0</v>
      </c>
      <c r="U3788">
        <v>0</v>
      </c>
      <c r="W3788" t="s">
        <v>52</v>
      </c>
    </row>
    <row r="3789" spans="1:23" x14ac:dyDescent="0.35">
      <c r="A3789" t="s">
        <v>45</v>
      </c>
      <c r="B3789" t="s">
        <v>7536</v>
      </c>
      <c r="C3789" t="s">
        <v>93</v>
      </c>
      <c r="D3789" t="s">
        <v>7004</v>
      </c>
      <c r="E3789" t="s">
        <v>7005</v>
      </c>
      <c r="F3789" t="s">
        <v>49</v>
      </c>
      <c r="G3789" t="s">
        <v>7614</v>
      </c>
      <c r="H3789" t="s">
        <v>7615</v>
      </c>
      <c r="J3789" t="str">
        <f>HYPERLINK("https://twitter.com/Prakash_sahoo07/status/1747201000778440964","https://twitter.com/Prakash_sahoo07/status/1747201000778440964")</f>
        <v>https://twitter.com/Prakash_sahoo07/status/1747201000778440964</v>
      </c>
      <c r="K3789" t="s">
        <v>67</v>
      </c>
      <c r="O3789">
        <v>0</v>
      </c>
      <c r="P3789">
        <v>0</v>
      </c>
      <c r="Q3789">
        <v>1</v>
      </c>
      <c r="S3789">
        <v>0</v>
      </c>
      <c r="T3789">
        <v>0</v>
      </c>
      <c r="U3789">
        <v>0</v>
      </c>
      <c r="W3789" t="s">
        <v>99</v>
      </c>
    </row>
    <row r="3790" spans="1:23" x14ac:dyDescent="0.35">
      <c r="A3790" t="s">
        <v>45</v>
      </c>
      <c r="B3790" t="s">
        <v>7536</v>
      </c>
      <c r="C3790" t="s">
        <v>60</v>
      </c>
      <c r="D3790" t="s">
        <v>64</v>
      </c>
      <c r="E3790" t="s">
        <v>64</v>
      </c>
      <c r="F3790" t="s">
        <v>49</v>
      </c>
      <c r="G3790" t="s">
        <v>100</v>
      </c>
      <c r="H3790" t="s">
        <v>7616</v>
      </c>
      <c r="J3790" t="str">
        <f>HYPERLINK("https://www.facebook.com/634639855377280/posts/771990234975574?comment_id=416813964111173&amp;reply_comment_id=687452426921514","https://www.facebook.com/634639855377280/posts/771990234975574?comment_id=416813964111173&amp;reply_comment_id=687452426921514")</f>
        <v>https://www.facebook.com/634639855377280/posts/771990234975574?comment_id=416813964111173&amp;reply_comment_id=687452426921514</v>
      </c>
      <c r="K3790" t="s">
        <v>67</v>
      </c>
      <c r="O3790">
        <v>0</v>
      </c>
      <c r="P3790">
        <v>0</v>
      </c>
      <c r="Q3790">
        <v>0</v>
      </c>
      <c r="S3790">
        <v>0</v>
      </c>
      <c r="T3790">
        <v>0</v>
      </c>
      <c r="U3790">
        <v>0</v>
      </c>
      <c r="W3790" t="s">
        <v>52</v>
      </c>
    </row>
    <row r="3791" spans="1:23" x14ac:dyDescent="0.35">
      <c r="A3791" t="s">
        <v>45</v>
      </c>
      <c r="B3791" t="s">
        <v>7536</v>
      </c>
      <c r="C3791" t="s">
        <v>60</v>
      </c>
      <c r="D3791" t="s">
        <v>64</v>
      </c>
      <c r="E3791" t="s">
        <v>64</v>
      </c>
      <c r="F3791" t="s">
        <v>49</v>
      </c>
      <c r="G3791" t="s">
        <v>164</v>
      </c>
      <c r="H3791" t="s">
        <v>7617</v>
      </c>
      <c r="J3791" t="str">
        <f>HYPERLINK("https://www.facebook.com/634639855377280/posts/772618101579454?comment_id=986057829544717&amp;reply_comment_id=728547832550145","https://www.facebook.com/634639855377280/posts/772618101579454?comment_id=986057829544717&amp;reply_comment_id=728547832550145")</f>
        <v>https://www.facebook.com/634639855377280/posts/772618101579454?comment_id=986057829544717&amp;reply_comment_id=728547832550145</v>
      </c>
      <c r="K3791" t="s">
        <v>67</v>
      </c>
      <c r="O3791">
        <v>0</v>
      </c>
      <c r="P3791">
        <v>0</v>
      </c>
      <c r="Q3791">
        <v>0</v>
      </c>
      <c r="S3791">
        <v>0</v>
      </c>
      <c r="T3791">
        <v>0</v>
      </c>
      <c r="U3791">
        <v>0</v>
      </c>
      <c r="W3791" t="s">
        <v>52</v>
      </c>
    </row>
    <row r="3792" spans="1:23" x14ac:dyDescent="0.35">
      <c r="A3792" t="s">
        <v>45</v>
      </c>
      <c r="B3792" t="s">
        <v>7536</v>
      </c>
      <c r="C3792" t="s">
        <v>93</v>
      </c>
      <c r="D3792" t="s">
        <v>7004</v>
      </c>
      <c r="E3792" t="s">
        <v>7005</v>
      </c>
      <c r="F3792" t="s">
        <v>49</v>
      </c>
      <c r="G3792" t="s">
        <v>7618</v>
      </c>
      <c r="H3792" t="s">
        <v>7619</v>
      </c>
      <c r="J3792" t="str">
        <f>HYPERLINK("https://twitter.com/Prakash_sahoo07/status/1747200679712825632","https://twitter.com/Prakash_sahoo07/status/1747200679712825632")</f>
        <v>https://twitter.com/Prakash_sahoo07/status/1747200679712825632</v>
      </c>
      <c r="K3792" t="s">
        <v>67</v>
      </c>
      <c r="O3792">
        <v>0</v>
      </c>
      <c r="P3792">
        <v>0</v>
      </c>
      <c r="Q3792">
        <v>1</v>
      </c>
      <c r="S3792">
        <v>0</v>
      </c>
      <c r="T3792">
        <v>0</v>
      </c>
      <c r="U3792">
        <v>0</v>
      </c>
      <c r="W3792" t="s">
        <v>99</v>
      </c>
    </row>
    <row r="3793" spans="1:23" x14ac:dyDescent="0.35">
      <c r="A3793" t="s">
        <v>45</v>
      </c>
      <c r="B3793" t="s">
        <v>7536</v>
      </c>
      <c r="C3793" t="s">
        <v>93</v>
      </c>
      <c r="D3793" t="s">
        <v>94</v>
      </c>
      <c r="E3793" t="s">
        <v>45</v>
      </c>
      <c r="F3793" t="s">
        <v>49</v>
      </c>
      <c r="G3793" t="s">
        <v>7620</v>
      </c>
      <c r="H3793" t="s">
        <v>7621</v>
      </c>
      <c r="J3793" t="str">
        <f>HYPERLINK("https://twitter.com/SpiceMoneyIndia/status/1747200634909032900","https://twitter.com/SpiceMoneyIndia/status/1747200634909032900")</f>
        <v>https://twitter.com/SpiceMoneyIndia/status/1747200634909032900</v>
      </c>
      <c r="K3793" t="s">
        <v>67</v>
      </c>
      <c r="O3793">
        <v>0</v>
      </c>
      <c r="P3793">
        <v>0</v>
      </c>
      <c r="Q3793">
        <v>5999</v>
      </c>
      <c r="R3793" t="s">
        <v>97</v>
      </c>
      <c r="S3793">
        <v>0</v>
      </c>
      <c r="T3793">
        <v>0</v>
      </c>
      <c r="U3793">
        <v>0</v>
      </c>
      <c r="V3793" t="s">
        <v>98</v>
      </c>
      <c r="W3793" t="s">
        <v>99</v>
      </c>
    </row>
    <row r="3794" spans="1:23" x14ac:dyDescent="0.35">
      <c r="A3794" t="s">
        <v>45</v>
      </c>
      <c r="B3794" t="s">
        <v>7536</v>
      </c>
      <c r="C3794" t="s">
        <v>93</v>
      </c>
      <c r="D3794" t="s">
        <v>94</v>
      </c>
      <c r="E3794" t="s">
        <v>45</v>
      </c>
      <c r="F3794" t="s">
        <v>49</v>
      </c>
      <c r="G3794" t="s">
        <v>7622</v>
      </c>
      <c r="H3794" t="s">
        <v>7623</v>
      </c>
      <c r="J3794" t="str">
        <f>HYPERLINK("https://twitter.com/SpiceMoneyIndia/status/1747200420756246860","https://twitter.com/SpiceMoneyIndia/status/1747200420756246860")</f>
        <v>https://twitter.com/SpiceMoneyIndia/status/1747200420756246860</v>
      </c>
      <c r="K3794" t="s">
        <v>67</v>
      </c>
      <c r="O3794">
        <v>0</v>
      </c>
      <c r="P3794">
        <v>0</v>
      </c>
      <c r="Q3794">
        <v>5999</v>
      </c>
      <c r="R3794" t="s">
        <v>97</v>
      </c>
      <c r="S3794">
        <v>0</v>
      </c>
      <c r="T3794">
        <v>0</v>
      </c>
      <c r="U3794">
        <v>0</v>
      </c>
      <c r="V3794" t="s">
        <v>98</v>
      </c>
      <c r="W3794" t="s">
        <v>99</v>
      </c>
    </row>
    <row r="3795" spans="1:23" x14ac:dyDescent="0.35">
      <c r="A3795" t="s">
        <v>45</v>
      </c>
      <c r="B3795" t="s">
        <v>7536</v>
      </c>
      <c r="C3795" t="s">
        <v>60</v>
      </c>
      <c r="D3795" t="s">
        <v>64</v>
      </c>
      <c r="E3795" t="s">
        <v>64</v>
      </c>
      <c r="F3795" t="s">
        <v>49</v>
      </c>
      <c r="G3795" t="s">
        <v>164</v>
      </c>
      <c r="H3795" t="s">
        <v>7624</v>
      </c>
      <c r="J3795" t="str">
        <f>HYPERLINK("https://www.facebook.com/634639855377280/posts/772618101579454?comment_id=256389717337688&amp;reply_comment_id=1437035383826547","https://www.facebook.com/634639855377280/posts/772618101579454?comment_id=256389717337688&amp;reply_comment_id=1437035383826547")</f>
        <v>https://www.facebook.com/634639855377280/posts/772618101579454?comment_id=256389717337688&amp;reply_comment_id=1437035383826547</v>
      </c>
      <c r="K3795" t="s">
        <v>67</v>
      </c>
      <c r="O3795">
        <v>0</v>
      </c>
      <c r="P3795">
        <v>0</v>
      </c>
      <c r="Q3795">
        <v>0</v>
      </c>
      <c r="S3795">
        <v>0</v>
      </c>
      <c r="T3795">
        <v>0</v>
      </c>
      <c r="U3795">
        <v>0</v>
      </c>
      <c r="W3795" t="s">
        <v>52</v>
      </c>
    </row>
    <row r="3796" spans="1:23" x14ac:dyDescent="0.35">
      <c r="A3796" t="s">
        <v>45</v>
      </c>
      <c r="B3796" t="s">
        <v>7536</v>
      </c>
      <c r="C3796" t="s">
        <v>93</v>
      </c>
      <c r="D3796" t="s">
        <v>7625</v>
      </c>
      <c r="E3796" t="s">
        <v>7626</v>
      </c>
      <c r="F3796" t="s">
        <v>49</v>
      </c>
      <c r="G3796" t="s">
        <v>7627</v>
      </c>
      <c r="H3796" t="s">
        <v>7628</v>
      </c>
      <c r="J3796" t="str">
        <f>HYPERLINK("https://twitter.com/ffi_fintechfest/status/1747151701742682569","https://twitter.com/ffi_fintechfest/status/1747151701742682569")</f>
        <v>https://twitter.com/ffi_fintechfest/status/1747151701742682569</v>
      </c>
      <c r="O3796">
        <v>0</v>
      </c>
      <c r="P3796">
        <v>0</v>
      </c>
      <c r="Q3796">
        <v>8497</v>
      </c>
      <c r="R3796" t="s">
        <v>513</v>
      </c>
      <c r="S3796">
        <v>0</v>
      </c>
      <c r="T3796">
        <v>0</v>
      </c>
      <c r="U3796">
        <v>0</v>
      </c>
      <c r="W3796" t="s">
        <v>99</v>
      </c>
    </row>
    <row r="3797" spans="1:23" x14ac:dyDescent="0.35">
      <c r="A3797" t="s">
        <v>45</v>
      </c>
      <c r="B3797" t="s">
        <v>7536</v>
      </c>
      <c r="C3797" t="s">
        <v>60</v>
      </c>
      <c r="D3797" t="s">
        <v>61</v>
      </c>
      <c r="E3797" t="s">
        <v>61</v>
      </c>
      <c r="F3797" t="s">
        <v>49</v>
      </c>
      <c r="G3797" t="s">
        <v>7629</v>
      </c>
      <c r="H3797" t="s">
        <v>7630</v>
      </c>
      <c r="J3797" t="str">
        <f>HYPERLINK("https://www.facebook.com/634639855377280/posts/772618101579454?comment_id=256389717337688&amp;reply_comment_id=793588089476156","https://www.facebook.com/634639855377280/posts/772618101579454?comment_id=256389717337688&amp;reply_comment_id=793588089476156")</f>
        <v>https://www.facebook.com/634639855377280/posts/772618101579454?comment_id=256389717337688&amp;reply_comment_id=793588089476156</v>
      </c>
      <c r="O3797">
        <v>0</v>
      </c>
      <c r="P3797">
        <v>0</v>
      </c>
      <c r="Q3797">
        <v>0</v>
      </c>
      <c r="S3797">
        <v>0</v>
      </c>
      <c r="T3797">
        <v>0</v>
      </c>
      <c r="U3797">
        <v>0</v>
      </c>
      <c r="W3797" t="s">
        <v>52</v>
      </c>
    </row>
    <row r="3798" spans="1:23" x14ac:dyDescent="0.35">
      <c r="A3798" t="s">
        <v>45</v>
      </c>
      <c r="B3798" t="s">
        <v>7536</v>
      </c>
      <c r="C3798" t="s">
        <v>60</v>
      </c>
      <c r="D3798" t="s">
        <v>61</v>
      </c>
      <c r="E3798" t="s">
        <v>61</v>
      </c>
      <c r="F3798" t="s">
        <v>49</v>
      </c>
      <c r="G3798" t="s">
        <v>7631</v>
      </c>
      <c r="H3798" t="s">
        <v>7632</v>
      </c>
      <c r="J3798" t="str">
        <f>HYPERLINK("https://www.facebook.com/634639855377280/posts/772618101579454?comment_id=256389717337688&amp;reply_comment_id=1731602690585656","https://www.facebook.com/634639855377280/posts/772618101579454?comment_id=256389717337688&amp;reply_comment_id=1731602690585656")</f>
        <v>https://www.facebook.com/634639855377280/posts/772618101579454?comment_id=256389717337688&amp;reply_comment_id=1731602690585656</v>
      </c>
      <c r="O3798">
        <v>0</v>
      </c>
      <c r="P3798">
        <v>0</v>
      </c>
      <c r="Q3798">
        <v>0</v>
      </c>
      <c r="S3798">
        <v>0</v>
      </c>
      <c r="T3798">
        <v>0</v>
      </c>
      <c r="U3798">
        <v>0</v>
      </c>
      <c r="W3798" t="s">
        <v>52</v>
      </c>
    </row>
    <row r="3799" spans="1:23" x14ac:dyDescent="0.35">
      <c r="A3799" t="s">
        <v>45</v>
      </c>
      <c r="B3799" t="s">
        <v>7536</v>
      </c>
      <c r="C3799" t="s">
        <v>47</v>
      </c>
      <c r="D3799" t="s">
        <v>7633</v>
      </c>
      <c r="E3799" t="s">
        <v>7633</v>
      </c>
      <c r="F3799" t="s">
        <v>49</v>
      </c>
      <c r="G3799" t="s">
        <v>7634</v>
      </c>
      <c r="H3799" t="s">
        <v>7635</v>
      </c>
      <c r="J3799" t="str">
        <f>HYPERLINK("https://www.youtube.com/watch?v=dqPqFJSj1VA&amp;lc=UgxHTWhqBlT_mmJUtMx4AaABAg","https://www.youtube.com/watch?v=dqPqFJSj1VA&amp;lc=UgxHTWhqBlT_mmJUtMx4AaABAg")</f>
        <v>https://www.youtube.com/watch?v=dqPqFJSj1VA&amp;lc=UgxHTWhqBlT_mmJUtMx4AaABAg</v>
      </c>
      <c r="O3799">
        <v>0</v>
      </c>
      <c r="P3799">
        <v>0</v>
      </c>
      <c r="Q3799">
        <v>0</v>
      </c>
      <c r="S3799">
        <v>0</v>
      </c>
      <c r="T3799">
        <v>0</v>
      </c>
      <c r="U3799">
        <v>0</v>
      </c>
      <c r="W3799" t="s">
        <v>52</v>
      </c>
    </row>
    <row r="3800" spans="1:23" x14ac:dyDescent="0.35">
      <c r="A3800" t="s">
        <v>45</v>
      </c>
      <c r="B3800" t="s">
        <v>7536</v>
      </c>
      <c r="C3800" t="s">
        <v>60</v>
      </c>
      <c r="D3800" t="s">
        <v>61</v>
      </c>
      <c r="E3800" t="s">
        <v>61</v>
      </c>
      <c r="F3800" t="s">
        <v>54</v>
      </c>
      <c r="G3800" t="s">
        <v>7636</v>
      </c>
      <c r="H3800" t="s">
        <v>7637</v>
      </c>
      <c r="J3800" t="str">
        <f>HYPERLINK("https://www.facebook.com/634639855377280/posts/771990234975574?comment_id=3602197196660676","https://www.facebook.com/634639855377280/posts/771990234975574?comment_id=3602197196660676")</f>
        <v>https://www.facebook.com/634639855377280/posts/771990234975574?comment_id=3602197196660676</v>
      </c>
      <c r="O3800">
        <v>0</v>
      </c>
      <c r="P3800">
        <v>0</v>
      </c>
      <c r="Q3800">
        <v>0</v>
      </c>
      <c r="S3800">
        <v>0</v>
      </c>
      <c r="T3800">
        <v>0</v>
      </c>
      <c r="U3800">
        <v>0</v>
      </c>
      <c r="W3800" t="s">
        <v>52</v>
      </c>
    </row>
    <row r="3801" spans="1:23" x14ac:dyDescent="0.35">
      <c r="A3801" t="s">
        <v>45</v>
      </c>
      <c r="B3801" t="s">
        <v>7536</v>
      </c>
      <c r="C3801" t="s">
        <v>60</v>
      </c>
      <c r="D3801" t="s">
        <v>64</v>
      </c>
      <c r="E3801" t="s">
        <v>64</v>
      </c>
      <c r="F3801" t="s">
        <v>49</v>
      </c>
      <c r="G3801" t="s">
        <v>454</v>
      </c>
      <c r="H3801" t="s">
        <v>7638</v>
      </c>
      <c r="J3801" t="str">
        <f>HYPERLINK("https://www.facebook.com/634639855377280/posts/771990234975574?comment_id=1585512675322892&amp;reply_comment_id=1026679145060227","https://www.facebook.com/634639855377280/posts/771990234975574?comment_id=1585512675322892&amp;reply_comment_id=1026679145060227")</f>
        <v>https://www.facebook.com/634639855377280/posts/771990234975574?comment_id=1585512675322892&amp;reply_comment_id=1026679145060227</v>
      </c>
      <c r="K3801" t="s">
        <v>67</v>
      </c>
      <c r="O3801">
        <v>0</v>
      </c>
      <c r="P3801">
        <v>0</v>
      </c>
      <c r="Q3801">
        <v>0</v>
      </c>
      <c r="S3801">
        <v>0</v>
      </c>
      <c r="T3801">
        <v>0</v>
      </c>
      <c r="U3801">
        <v>0</v>
      </c>
      <c r="W3801" t="s">
        <v>52</v>
      </c>
    </row>
    <row r="3802" spans="1:23" x14ac:dyDescent="0.35">
      <c r="A3802" t="s">
        <v>45</v>
      </c>
      <c r="B3802" t="s">
        <v>7536</v>
      </c>
      <c r="C3802" t="s">
        <v>60</v>
      </c>
      <c r="D3802" t="s">
        <v>61</v>
      </c>
      <c r="E3802" t="s">
        <v>61</v>
      </c>
      <c r="F3802" t="s">
        <v>49</v>
      </c>
      <c r="G3802" t="s">
        <v>7639</v>
      </c>
      <c r="H3802" t="s">
        <v>7640</v>
      </c>
      <c r="J3802" t="str">
        <f>HYPERLINK("https://www.facebook.com/634639855377280/posts/772618101579454?comment_id=1037417377488922","https://www.facebook.com/634639855377280/posts/772618101579454?comment_id=1037417377488922")</f>
        <v>https://www.facebook.com/634639855377280/posts/772618101579454?comment_id=1037417377488922</v>
      </c>
      <c r="O3802">
        <v>0</v>
      </c>
      <c r="P3802">
        <v>0</v>
      </c>
      <c r="Q3802">
        <v>0</v>
      </c>
      <c r="S3802">
        <v>0</v>
      </c>
      <c r="T3802">
        <v>0</v>
      </c>
      <c r="U3802">
        <v>0</v>
      </c>
      <c r="W3802" t="s">
        <v>52</v>
      </c>
    </row>
    <row r="3803" spans="1:23" x14ac:dyDescent="0.35">
      <c r="A3803" t="s">
        <v>45</v>
      </c>
      <c r="B3803" t="s">
        <v>7536</v>
      </c>
      <c r="C3803" t="s">
        <v>60</v>
      </c>
      <c r="D3803" t="s">
        <v>64</v>
      </c>
      <c r="E3803" t="s">
        <v>64</v>
      </c>
      <c r="F3803" t="s">
        <v>49</v>
      </c>
      <c r="G3803" t="s">
        <v>6836</v>
      </c>
      <c r="H3803" t="s">
        <v>7641</v>
      </c>
      <c r="J3803" t="str">
        <f>HYPERLINK("https://www.facebook.com/634639855377280/posts/772618101579454?comment_id=256389717337688&amp;reply_comment_id=761300339187103","https://www.facebook.com/634639855377280/posts/772618101579454?comment_id=256389717337688&amp;reply_comment_id=761300339187103")</f>
        <v>https://www.facebook.com/634639855377280/posts/772618101579454?comment_id=256389717337688&amp;reply_comment_id=761300339187103</v>
      </c>
      <c r="K3803" t="s">
        <v>67</v>
      </c>
      <c r="O3803">
        <v>0</v>
      </c>
      <c r="P3803">
        <v>0</v>
      </c>
      <c r="Q3803">
        <v>0</v>
      </c>
      <c r="S3803">
        <v>0</v>
      </c>
      <c r="T3803">
        <v>0</v>
      </c>
      <c r="U3803">
        <v>0</v>
      </c>
      <c r="W3803" t="s">
        <v>52</v>
      </c>
    </row>
    <row r="3804" spans="1:23" x14ac:dyDescent="0.35">
      <c r="A3804" t="s">
        <v>45</v>
      </c>
      <c r="B3804" t="s">
        <v>7536</v>
      </c>
      <c r="C3804" t="s">
        <v>47</v>
      </c>
      <c r="D3804" t="s">
        <v>68</v>
      </c>
      <c r="E3804" t="s">
        <v>68</v>
      </c>
      <c r="F3804" t="s">
        <v>49</v>
      </c>
      <c r="G3804" t="s">
        <v>6836</v>
      </c>
      <c r="H3804" t="s">
        <v>7642</v>
      </c>
      <c r="J3804" t="str">
        <f>HYPERLINK("https://www.youtube.com/watch?v=dqPqFJSj1VA&amp;lc=UgwCUu3ewrkL1SfPfxR4AaABAg.9zaTPN3_qV09zbz2uRKCoP","https://www.youtube.com/watch?v=dqPqFJSj1VA&amp;lc=UgwCUu3ewrkL1SfPfxR4AaABAg.9zaTPN3_qV09zbz2uRKCoP")</f>
        <v>https://www.youtube.com/watch?v=dqPqFJSj1VA&amp;lc=UgwCUu3ewrkL1SfPfxR4AaABAg.9zaTPN3_qV09zbz2uRKCoP</v>
      </c>
      <c r="O3804">
        <v>0</v>
      </c>
      <c r="P3804">
        <v>0</v>
      </c>
      <c r="Q3804">
        <v>0</v>
      </c>
      <c r="S3804">
        <v>0</v>
      </c>
      <c r="T3804">
        <v>0</v>
      </c>
      <c r="U3804">
        <v>0</v>
      </c>
      <c r="W3804" t="s">
        <v>52</v>
      </c>
    </row>
    <row r="3805" spans="1:23" x14ac:dyDescent="0.35">
      <c r="A3805" t="s">
        <v>45</v>
      </c>
      <c r="B3805" t="s">
        <v>7536</v>
      </c>
      <c r="C3805" t="s">
        <v>47</v>
      </c>
      <c r="D3805" t="s">
        <v>68</v>
      </c>
      <c r="E3805" t="s">
        <v>68</v>
      </c>
      <c r="F3805" t="s">
        <v>49</v>
      </c>
      <c r="G3805" t="s">
        <v>492</v>
      </c>
      <c r="H3805" t="s">
        <v>7643</v>
      </c>
      <c r="J3805" t="str">
        <f>HYPERLINK("https://www.youtube.com/watch?v=XJpOhRgEj34&amp;lc=UgzTE5qwqMYYmZ5RohF4AaABAg.9zaeS5JBhEc9zbyy8lt5em","https://www.youtube.com/watch?v=XJpOhRgEj34&amp;lc=UgzTE5qwqMYYmZ5RohF4AaABAg.9zaeS5JBhEc9zbyy8lt5em")</f>
        <v>https://www.youtube.com/watch?v=XJpOhRgEj34&amp;lc=UgzTE5qwqMYYmZ5RohF4AaABAg.9zaeS5JBhEc9zbyy8lt5em</v>
      </c>
      <c r="O3805">
        <v>0</v>
      </c>
      <c r="P3805">
        <v>0</v>
      </c>
      <c r="Q3805">
        <v>0</v>
      </c>
      <c r="S3805">
        <v>0</v>
      </c>
      <c r="T3805">
        <v>0</v>
      </c>
      <c r="U3805">
        <v>0</v>
      </c>
      <c r="W3805" t="s">
        <v>52</v>
      </c>
    </row>
    <row r="3806" spans="1:23" x14ac:dyDescent="0.35">
      <c r="A3806" t="s">
        <v>45</v>
      </c>
      <c r="B3806" t="s">
        <v>7536</v>
      </c>
      <c r="C3806" t="s">
        <v>47</v>
      </c>
      <c r="D3806" t="s">
        <v>68</v>
      </c>
      <c r="E3806" t="s">
        <v>68</v>
      </c>
      <c r="F3806" t="s">
        <v>49</v>
      </c>
      <c r="G3806" t="s">
        <v>1595</v>
      </c>
      <c r="H3806" t="s">
        <v>7644</v>
      </c>
      <c r="J3806" t="str">
        <f>HYPERLINK("https://www.youtube.com/watch?v=dqPqFJSj1VA&amp;lc=UgzcigsPFez7rbtlYKd4AaABAg.9zaZ4slVbX29zbykG5jING","https://www.youtube.com/watch?v=dqPqFJSj1VA&amp;lc=UgzcigsPFez7rbtlYKd4AaABAg.9zaZ4slVbX29zbykG5jING")</f>
        <v>https://www.youtube.com/watch?v=dqPqFJSj1VA&amp;lc=UgzcigsPFez7rbtlYKd4AaABAg.9zaZ4slVbX29zbykG5jING</v>
      </c>
      <c r="O3806">
        <v>0</v>
      </c>
      <c r="P3806">
        <v>0</v>
      </c>
      <c r="Q3806">
        <v>0</v>
      </c>
      <c r="S3806">
        <v>0</v>
      </c>
      <c r="T3806">
        <v>0</v>
      </c>
      <c r="U3806">
        <v>0</v>
      </c>
      <c r="W3806" t="s">
        <v>52</v>
      </c>
    </row>
    <row r="3807" spans="1:23" x14ac:dyDescent="0.35">
      <c r="A3807" t="s">
        <v>45</v>
      </c>
      <c r="B3807" t="s">
        <v>7536</v>
      </c>
      <c r="C3807" t="s">
        <v>93</v>
      </c>
      <c r="D3807" t="s">
        <v>7593</v>
      </c>
      <c r="E3807" t="s">
        <v>7594</v>
      </c>
      <c r="F3807" t="s">
        <v>49</v>
      </c>
      <c r="G3807" t="s">
        <v>7645</v>
      </c>
      <c r="H3807" t="s">
        <v>7646</v>
      </c>
      <c r="J3807" t="str">
        <f>HYPERLINK("https://twitter.com/Surendr41118316/status/1747101735460749485","https://twitter.com/Surendr41118316/status/1747101735460749485")</f>
        <v>https://twitter.com/Surendr41118316/status/1747101735460749485</v>
      </c>
      <c r="K3807" t="s">
        <v>471</v>
      </c>
      <c r="O3807">
        <v>0</v>
      </c>
      <c r="P3807">
        <v>0</v>
      </c>
      <c r="Q3807">
        <v>0</v>
      </c>
      <c r="S3807">
        <v>0</v>
      </c>
      <c r="T3807">
        <v>0</v>
      </c>
      <c r="U3807">
        <v>0</v>
      </c>
      <c r="W3807" t="s">
        <v>99</v>
      </c>
    </row>
    <row r="3808" spans="1:23" x14ac:dyDescent="0.35">
      <c r="A3808" t="s">
        <v>45</v>
      </c>
      <c r="B3808" t="s">
        <v>7536</v>
      </c>
      <c r="C3808" t="s">
        <v>60</v>
      </c>
      <c r="D3808" t="s">
        <v>61</v>
      </c>
      <c r="E3808" t="s">
        <v>61</v>
      </c>
      <c r="F3808" t="s">
        <v>49</v>
      </c>
      <c r="G3808" t="s">
        <v>7647</v>
      </c>
      <c r="H3808" t="s">
        <v>7648</v>
      </c>
      <c r="J3808" t="str">
        <f>HYPERLINK("https://www.facebook.com/634639855377280/posts/772618101579454?comment_id=388129940439957","https://www.facebook.com/634639855377280/posts/772618101579454?comment_id=388129940439957")</f>
        <v>https://www.facebook.com/634639855377280/posts/772618101579454?comment_id=388129940439957</v>
      </c>
      <c r="O3808">
        <v>0</v>
      </c>
      <c r="P3808">
        <v>0</v>
      </c>
      <c r="Q3808">
        <v>0</v>
      </c>
      <c r="S3808">
        <v>0</v>
      </c>
      <c r="T3808">
        <v>0</v>
      </c>
      <c r="U3808">
        <v>0</v>
      </c>
      <c r="W3808" t="s">
        <v>52</v>
      </c>
    </row>
    <row r="3809" spans="1:42" x14ac:dyDescent="0.35">
      <c r="A3809" t="s">
        <v>45</v>
      </c>
      <c r="B3809" t="s">
        <v>7536</v>
      </c>
      <c r="C3809" t="s">
        <v>93</v>
      </c>
      <c r="D3809" t="s">
        <v>7649</v>
      </c>
      <c r="E3809" t="s">
        <v>7650</v>
      </c>
      <c r="F3809" t="s">
        <v>49</v>
      </c>
      <c r="G3809" t="s">
        <v>7651</v>
      </c>
      <c r="H3809" t="s">
        <v>7652</v>
      </c>
      <c r="J3809" t="str">
        <f>HYPERLINK("https://twitter.com/MdHelaludd55272/status/1747092145092309302","https://twitter.com/MdHelaludd55272/status/1747092145092309302")</f>
        <v>https://twitter.com/MdHelaludd55272/status/1747092145092309302</v>
      </c>
      <c r="O3809">
        <v>0</v>
      </c>
      <c r="P3809">
        <v>0</v>
      </c>
      <c r="Q3809">
        <v>4</v>
      </c>
      <c r="R3809" t="s">
        <v>7653</v>
      </c>
      <c r="S3809">
        <v>0</v>
      </c>
      <c r="T3809">
        <v>0</v>
      </c>
      <c r="U3809">
        <v>0</v>
      </c>
      <c r="W3809" t="s">
        <v>99</v>
      </c>
    </row>
    <row r="3810" spans="1:42" x14ac:dyDescent="0.35">
      <c r="A3810" t="s">
        <v>45</v>
      </c>
      <c r="B3810" t="s">
        <v>7536</v>
      </c>
      <c r="C3810" t="s">
        <v>93</v>
      </c>
      <c r="D3810" t="s">
        <v>7654</v>
      </c>
      <c r="E3810" t="s">
        <v>7655</v>
      </c>
      <c r="F3810" t="s">
        <v>49</v>
      </c>
      <c r="G3810" t="s">
        <v>7656</v>
      </c>
      <c r="H3810" t="s">
        <v>7657</v>
      </c>
      <c r="J3810" t="str">
        <f>HYPERLINK("https://twitter.com/Dharmendra8793/status/1747073043019808841","https://twitter.com/Dharmendra8793/status/1747073043019808841")</f>
        <v>https://twitter.com/Dharmendra8793/status/1747073043019808841</v>
      </c>
      <c r="K3810" t="s">
        <v>67</v>
      </c>
      <c r="O3810">
        <v>0</v>
      </c>
      <c r="P3810">
        <v>0</v>
      </c>
      <c r="Q3810">
        <v>1</v>
      </c>
      <c r="S3810">
        <v>0</v>
      </c>
      <c r="T3810">
        <v>0</v>
      </c>
      <c r="U3810">
        <v>0</v>
      </c>
      <c r="W3810" t="s">
        <v>99</v>
      </c>
    </row>
    <row r="3811" spans="1:42" x14ac:dyDescent="0.35">
      <c r="A3811" t="s">
        <v>45</v>
      </c>
      <c r="B3811" t="s">
        <v>7658</v>
      </c>
      <c r="C3811" t="s">
        <v>47</v>
      </c>
      <c r="D3811" t="s">
        <v>7659</v>
      </c>
      <c r="E3811" t="s">
        <v>7659</v>
      </c>
      <c r="F3811" t="s">
        <v>49</v>
      </c>
      <c r="G3811" t="s">
        <v>7660</v>
      </c>
      <c r="H3811" t="s">
        <v>7661</v>
      </c>
      <c r="J3811" t="str">
        <f>HYPERLINK("https://www.youtube.com/watch?v=XJpOhRgEj34&amp;lc=UgzTE5qwqMYYmZ5RohF4AaABAg","https://www.youtube.com/watch?v=XJpOhRgEj34&amp;lc=UgzTE5qwqMYYmZ5RohF4AaABAg")</f>
        <v>https://www.youtube.com/watch?v=XJpOhRgEj34&amp;lc=UgzTE5qwqMYYmZ5RohF4AaABAg</v>
      </c>
      <c r="O3811">
        <v>0</v>
      </c>
      <c r="P3811">
        <v>0</v>
      </c>
      <c r="Q3811">
        <v>0</v>
      </c>
      <c r="S3811">
        <v>0</v>
      </c>
      <c r="T3811">
        <v>0</v>
      </c>
      <c r="U3811">
        <v>0</v>
      </c>
      <c r="W3811" t="s">
        <v>52</v>
      </c>
    </row>
    <row r="3812" spans="1:42" x14ac:dyDescent="0.35">
      <c r="A3812" t="s">
        <v>45</v>
      </c>
      <c r="B3812" t="s">
        <v>7658</v>
      </c>
      <c r="C3812" t="s">
        <v>47</v>
      </c>
      <c r="D3812" t="s">
        <v>7662</v>
      </c>
      <c r="E3812" t="s">
        <v>7662</v>
      </c>
      <c r="F3812" t="s">
        <v>49</v>
      </c>
      <c r="G3812" t="s">
        <v>7663</v>
      </c>
      <c r="H3812" t="s">
        <v>7664</v>
      </c>
      <c r="J3812" t="str">
        <f>HYPERLINK("https://www.youtube.com/watch?v=dqPqFJSj1VA&amp;lc=UgzcigsPFez7rbtlYKd4AaABAg","https://www.youtube.com/watch?v=dqPqFJSj1VA&amp;lc=UgzcigsPFez7rbtlYKd4AaABAg")</f>
        <v>https://www.youtube.com/watch?v=dqPqFJSj1VA&amp;lc=UgzcigsPFez7rbtlYKd4AaABAg</v>
      </c>
      <c r="O3812">
        <v>0</v>
      </c>
      <c r="P3812">
        <v>0</v>
      </c>
      <c r="Q3812">
        <v>0</v>
      </c>
      <c r="S3812">
        <v>0</v>
      </c>
      <c r="T3812">
        <v>0</v>
      </c>
      <c r="U3812">
        <v>0</v>
      </c>
      <c r="W3812" t="s">
        <v>52</v>
      </c>
    </row>
    <row r="3813" spans="1:42" x14ac:dyDescent="0.35">
      <c r="A3813" t="s">
        <v>45</v>
      </c>
      <c r="B3813" t="s">
        <v>7658</v>
      </c>
      <c r="C3813" t="s">
        <v>60</v>
      </c>
      <c r="D3813" t="s">
        <v>61</v>
      </c>
      <c r="E3813" t="s">
        <v>61</v>
      </c>
      <c r="F3813" t="s">
        <v>49</v>
      </c>
      <c r="G3813" t="s">
        <v>7665</v>
      </c>
      <c r="H3813" t="s">
        <v>7666</v>
      </c>
      <c r="J3813" t="str">
        <f>HYPERLINK("https://www.facebook.com/634639855377280/posts/772618101579454?comment_id=986057829544717&amp;reply_comment_id=3559409067640010","https://www.facebook.com/634639855377280/posts/772618101579454?comment_id=986057829544717&amp;reply_comment_id=3559409067640010")</f>
        <v>https://www.facebook.com/634639855377280/posts/772618101579454?comment_id=986057829544717&amp;reply_comment_id=3559409067640010</v>
      </c>
      <c r="O3813">
        <v>0</v>
      </c>
      <c r="P3813">
        <v>0</v>
      </c>
      <c r="Q3813">
        <v>0</v>
      </c>
      <c r="S3813">
        <v>0</v>
      </c>
      <c r="T3813">
        <v>0</v>
      </c>
      <c r="U3813">
        <v>0</v>
      </c>
      <c r="W3813" t="s">
        <v>52</v>
      </c>
    </row>
    <row r="3814" spans="1:42" x14ac:dyDescent="0.35">
      <c r="A3814" t="s">
        <v>45</v>
      </c>
      <c r="B3814" t="s">
        <v>7658</v>
      </c>
      <c r="C3814" t="s">
        <v>60</v>
      </c>
      <c r="D3814" t="s">
        <v>61</v>
      </c>
      <c r="E3814" t="s">
        <v>61</v>
      </c>
      <c r="F3814" t="s">
        <v>49</v>
      </c>
      <c r="G3814" t="s">
        <v>7667</v>
      </c>
      <c r="H3814" t="s">
        <v>7668</v>
      </c>
      <c r="J3814" t="str">
        <f>HYPERLINK("https://www.facebook.com/634639855377280/posts/771990234975574?comment_id=416813964111173&amp;reply_comment_id=1631360344063144","https://www.facebook.com/634639855377280/posts/771990234975574?comment_id=416813964111173&amp;reply_comment_id=1631360344063144")</f>
        <v>https://www.facebook.com/634639855377280/posts/771990234975574?comment_id=416813964111173&amp;reply_comment_id=1631360344063144</v>
      </c>
      <c r="O3814">
        <v>0</v>
      </c>
      <c r="P3814">
        <v>0</v>
      </c>
      <c r="Q3814">
        <v>0</v>
      </c>
      <c r="S3814">
        <v>0</v>
      </c>
      <c r="T3814">
        <v>0</v>
      </c>
      <c r="U3814">
        <v>0</v>
      </c>
      <c r="W3814" t="s">
        <v>52</v>
      </c>
    </row>
    <row r="3815" spans="1:42" x14ac:dyDescent="0.35">
      <c r="A3815" t="s">
        <v>45</v>
      </c>
      <c r="B3815" t="s">
        <v>7658</v>
      </c>
      <c r="C3815" t="s">
        <v>47</v>
      </c>
      <c r="D3815" t="s">
        <v>7669</v>
      </c>
      <c r="E3815" t="s">
        <v>7669</v>
      </c>
      <c r="F3815" t="s">
        <v>49</v>
      </c>
      <c r="G3815" t="s">
        <v>7670</v>
      </c>
      <c r="H3815" t="s">
        <v>7671</v>
      </c>
      <c r="J3815" t="str">
        <f>HYPERLINK("https://www.youtube.com/watch?v=dqPqFJSj1VA&amp;lc=UgwCUu3ewrkL1SfPfxR4AaABAg","https://www.youtube.com/watch?v=dqPqFJSj1VA&amp;lc=UgwCUu3ewrkL1SfPfxR4AaABAg")</f>
        <v>https://www.youtube.com/watch?v=dqPqFJSj1VA&amp;lc=UgwCUu3ewrkL1SfPfxR4AaABAg</v>
      </c>
      <c r="O3815">
        <v>0</v>
      </c>
      <c r="P3815">
        <v>0</v>
      </c>
      <c r="Q3815">
        <v>0</v>
      </c>
      <c r="S3815">
        <v>0</v>
      </c>
      <c r="T3815">
        <v>0</v>
      </c>
      <c r="U3815">
        <v>0</v>
      </c>
      <c r="W3815" t="s">
        <v>52</v>
      </c>
    </row>
    <row r="3816" spans="1:42" x14ac:dyDescent="0.35">
      <c r="A3816" t="s">
        <v>45</v>
      </c>
      <c r="B3816" t="s">
        <v>7658</v>
      </c>
      <c r="C3816" t="s">
        <v>47</v>
      </c>
      <c r="D3816" t="s">
        <v>7672</v>
      </c>
      <c r="E3816" t="s">
        <v>7672</v>
      </c>
      <c r="F3816" t="s">
        <v>49</v>
      </c>
      <c r="G3816" t="s">
        <v>7673</v>
      </c>
      <c r="H3816" t="s">
        <v>7674</v>
      </c>
      <c r="J3816" t="str">
        <f>HYPERLINK("https://www.youtube.com/watch?v=dqPqFJSj1VA&amp;lc=UgxVFncXqV8FjJ-jOMR4AaABAg.9z_KKMdT4Cr9zaQtz-LdWv","https://www.youtube.com/watch?v=dqPqFJSj1VA&amp;lc=UgxVFncXqV8FjJ-jOMR4AaABAg.9z_KKMdT4Cr9zaQtz-LdWv")</f>
        <v>https://www.youtube.com/watch?v=dqPqFJSj1VA&amp;lc=UgxVFncXqV8FjJ-jOMR4AaABAg.9z_KKMdT4Cr9zaQtz-LdWv</v>
      </c>
      <c r="O3816">
        <v>0</v>
      </c>
      <c r="P3816">
        <v>0</v>
      </c>
      <c r="Q3816">
        <v>0</v>
      </c>
      <c r="S3816">
        <v>0</v>
      </c>
      <c r="T3816">
        <v>0</v>
      </c>
      <c r="U3816">
        <v>0</v>
      </c>
      <c r="W3816" t="s">
        <v>52</v>
      </c>
    </row>
    <row r="3817" spans="1:42" x14ac:dyDescent="0.35">
      <c r="A3817" t="s">
        <v>45</v>
      </c>
      <c r="B3817" t="s">
        <v>7658</v>
      </c>
      <c r="C3817" t="s">
        <v>93</v>
      </c>
      <c r="D3817" t="s">
        <v>1319</v>
      </c>
      <c r="E3817" t="s">
        <v>1320</v>
      </c>
      <c r="F3817" t="s">
        <v>49</v>
      </c>
      <c r="G3817" t="s">
        <v>7675</v>
      </c>
      <c r="H3817" t="s">
        <v>7676</v>
      </c>
      <c r="J3817" t="str">
        <f>HYPERLINK("https://twitter.com/ashukm/status/1746888887161766213","https://twitter.com/ashukm/status/1746888887161766213")</f>
        <v>https://twitter.com/ashukm/status/1746888887161766213</v>
      </c>
      <c r="K3817" t="s">
        <v>67</v>
      </c>
      <c r="O3817">
        <v>0</v>
      </c>
      <c r="P3817">
        <v>0</v>
      </c>
      <c r="Q3817">
        <v>173</v>
      </c>
      <c r="S3817">
        <v>0</v>
      </c>
      <c r="T3817">
        <v>0</v>
      </c>
      <c r="U3817">
        <v>0</v>
      </c>
      <c r="W3817" t="s">
        <v>99</v>
      </c>
    </row>
    <row r="3818" spans="1:42" x14ac:dyDescent="0.35">
      <c r="A3818" t="s">
        <v>45</v>
      </c>
      <c r="B3818" t="s">
        <v>7658</v>
      </c>
      <c r="C3818" t="s">
        <v>60</v>
      </c>
      <c r="D3818" t="s">
        <v>61</v>
      </c>
      <c r="E3818" t="s">
        <v>61</v>
      </c>
      <c r="F3818" t="s">
        <v>49</v>
      </c>
      <c r="G3818" t="s">
        <v>7677</v>
      </c>
      <c r="H3818" t="s">
        <v>7678</v>
      </c>
      <c r="J3818" t="str">
        <f>HYPERLINK("https://www.facebook.com/634639855377280/posts/771990234975574?comment_id=1585512675322892&amp;reply_comment_id=1137414183908020","https://www.facebook.com/634639855377280/posts/771990234975574?comment_id=1585512675322892&amp;reply_comment_id=1137414183908020")</f>
        <v>https://www.facebook.com/634639855377280/posts/771990234975574?comment_id=1585512675322892&amp;reply_comment_id=1137414183908020</v>
      </c>
      <c r="O3818">
        <v>0</v>
      </c>
      <c r="P3818">
        <v>0</v>
      </c>
      <c r="Q3818">
        <v>0</v>
      </c>
      <c r="S3818">
        <v>0</v>
      </c>
      <c r="T3818">
        <v>0</v>
      </c>
      <c r="U3818">
        <v>0</v>
      </c>
      <c r="W3818" t="s">
        <v>52</v>
      </c>
    </row>
    <row r="3819" spans="1:42" x14ac:dyDescent="0.35">
      <c r="A3819" t="s">
        <v>45</v>
      </c>
      <c r="B3819" t="s">
        <v>7658</v>
      </c>
      <c r="C3819" t="s">
        <v>60</v>
      </c>
      <c r="D3819" t="s">
        <v>61</v>
      </c>
      <c r="E3819" t="s">
        <v>61</v>
      </c>
      <c r="F3819" t="s">
        <v>49</v>
      </c>
      <c r="G3819" t="s">
        <v>7679</v>
      </c>
      <c r="H3819" t="s">
        <v>7680</v>
      </c>
      <c r="J3819" t="str">
        <f>HYPERLINK("https://www.facebook.com/634639855377280/posts/772618101579454?comment_id=256389717337688","https://www.facebook.com/634639855377280/posts/772618101579454?comment_id=256389717337688")</f>
        <v>https://www.facebook.com/634639855377280/posts/772618101579454?comment_id=256389717337688</v>
      </c>
      <c r="O3819">
        <v>0</v>
      </c>
      <c r="P3819">
        <v>0</v>
      </c>
      <c r="Q3819">
        <v>0</v>
      </c>
      <c r="S3819">
        <v>0</v>
      </c>
      <c r="T3819">
        <v>0</v>
      </c>
      <c r="U3819">
        <v>0</v>
      </c>
      <c r="W3819" t="s">
        <v>52</v>
      </c>
    </row>
    <row r="3820" spans="1:42" x14ac:dyDescent="0.35">
      <c r="A3820" t="s">
        <v>45</v>
      </c>
      <c r="B3820" t="s">
        <v>7658</v>
      </c>
      <c r="C3820" t="s">
        <v>60</v>
      </c>
      <c r="D3820" t="s">
        <v>61</v>
      </c>
      <c r="E3820" t="s">
        <v>61</v>
      </c>
      <c r="F3820" t="s">
        <v>49</v>
      </c>
      <c r="G3820" t="s">
        <v>7681</v>
      </c>
      <c r="H3820" t="s">
        <v>7682</v>
      </c>
      <c r="J3820" t="str">
        <f>HYPERLINK("https://www.facebook.com/634639855377280/posts/772618101579454?comment_id=735584464895252","https://www.facebook.com/634639855377280/posts/772618101579454?comment_id=735584464895252")</f>
        <v>https://www.facebook.com/634639855377280/posts/772618101579454?comment_id=735584464895252</v>
      </c>
      <c r="O3820">
        <v>0</v>
      </c>
      <c r="P3820">
        <v>0</v>
      </c>
      <c r="Q3820">
        <v>0</v>
      </c>
      <c r="S3820">
        <v>0</v>
      </c>
      <c r="T3820">
        <v>0</v>
      </c>
      <c r="U3820">
        <v>0</v>
      </c>
      <c r="W3820" t="s">
        <v>52</v>
      </c>
    </row>
    <row r="3821" spans="1:42" x14ac:dyDescent="0.35">
      <c r="A3821" t="s">
        <v>45</v>
      </c>
      <c r="B3821" t="s">
        <v>7658</v>
      </c>
      <c r="C3821" t="s">
        <v>47</v>
      </c>
      <c r="D3821" t="s">
        <v>68</v>
      </c>
      <c r="E3821" t="s">
        <v>68</v>
      </c>
      <c r="F3821" t="s">
        <v>49</v>
      </c>
      <c r="G3821" t="s">
        <v>2366</v>
      </c>
      <c r="H3821" t="s">
        <v>7683</v>
      </c>
      <c r="J3821" t="str">
        <f>HYPERLINK("https://www.youtube.com/watch?v=dqPqFJSj1VA&amp;lc=UgxVFncXqV8FjJ-jOMR4AaABAg.9z_KKMdT4Cr9z_ujOkzTBj","https://www.youtube.com/watch?v=dqPqFJSj1VA&amp;lc=UgxVFncXqV8FjJ-jOMR4AaABAg.9z_KKMdT4Cr9z_ujOkzTBj")</f>
        <v>https://www.youtube.com/watch?v=dqPqFJSj1VA&amp;lc=UgxVFncXqV8FjJ-jOMR4AaABAg.9z_KKMdT4Cr9z_ujOkzTBj</v>
      </c>
      <c r="O3821">
        <v>0</v>
      </c>
      <c r="P3821">
        <v>0</v>
      </c>
      <c r="Q3821">
        <v>0</v>
      </c>
      <c r="S3821">
        <v>0</v>
      </c>
      <c r="T3821">
        <v>0</v>
      </c>
      <c r="U3821">
        <v>0</v>
      </c>
      <c r="W3821" t="s">
        <v>52</v>
      </c>
    </row>
    <row r="3822" spans="1:42" x14ac:dyDescent="0.35">
      <c r="A3822" t="s">
        <v>45</v>
      </c>
      <c r="B3822" t="s">
        <v>7658</v>
      </c>
      <c r="C3822" t="s">
        <v>47</v>
      </c>
      <c r="D3822" t="s">
        <v>5894</v>
      </c>
      <c r="E3822" t="s">
        <v>5894</v>
      </c>
      <c r="F3822" t="s">
        <v>49</v>
      </c>
      <c r="G3822" t="s">
        <v>7684</v>
      </c>
      <c r="H3822" t="s">
        <v>7685</v>
      </c>
      <c r="J3822" t="str">
        <f>HYPERLINK("https://www.youtube.com/watch?v=kzKVfoqpwD8","https://www.youtube.com/watch?v=kzKVfoqpwD8")</f>
        <v>https://www.youtube.com/watch?v=kzKVfoqpwD8</v>
      </c>
      <c r="O3822">
        <v>0</v>
      </c>
      <c r="P3822">
        <v>0</v>
      </c>
      <c r="Q3822">
        <v>0</v>
      </c>
      <c r="S3822">
        <v>0</v>
      </c>
      <c r="T3822">
        <v>0</v>
      </c>
      <c r="U3822">
        <v>0</v>
      </c>
      <c r="W3822" t="s">
        <v>346</v>
      </c>
      <c r="AP3822" t="s">
        <v>1288</v>
      </c>
    </row>
    <row r="3823" spans="1:42" x14ac:dyDescent="0.35">
      <c r="A3823" t="s">
        <v>45</v>
      </c>
      <c r="B3823" t="s">
        <v>7658</v>
      </c>
      <c r="C3823" t="s">
        <v>93</v>
      </c>
      <c r="D3823" t="s">
        <v>7004</v>
      </c>
      <c r="E3823" t="s">
        <v>7005</v>
      </c>
      <c r="F3823" t="s">
        <v>49</v>
      </c>
      <c r="G3823" t="s">
        <v>7686</v>
      </c>
      <c r="H3823" t="s">
        <v>7687</v>
      </c>
      <c r="J3823" t="str">
        <f>HYPERLINK("https://twitter.com/Prakash_sahoo07/status/1746819760392929516","https://twitter.com/Prakash_sahoo07/status/1746819760392929516")</f>
        <v>https://twitter.com/Prakash_sahoo07/status/1746819760392929516</v>
      </c>
      <c r="K3823" t="s">
        <v>67</v>
      </c>
      <c r="O3823">
        <v>0</v>
      </c>
      <c r="P3823">
        <v>0</v>
      </c>
      <c r="Q3823">
        <v>1</v>
      </c>
      <c r="S3823">
        <v>0</v>
      </c>
      <c r="T3823">
        <v>0</v>
      </c>
      <c r="U3823">
        <v>0</v>
      </c>
      <c r="W3823" t="s">
        <v>99</v>
      </c>
    </row>
    <row r="3824" spans="1:42" x14ac:dyDescent="0.35">
      <c r="A3824" t="s">
        <v>45</v>
      </c>
      <c r="B3824" t="s">
        <v>7658</v>
      </c>
      <c r="C3824" t="s">
        <v>60</v>
      </c>
      <c r="D3824" t="s">
        <v>64</v>
      </c>
      <c r="E3824" t="s">
        <v>64</v>
      </c>
      <c r="F3824" t="s">
        <v>49</v>
      </c>
      <c r="G3824" t="s">
        <v>6836</v>
      </c>
      <c r="H3824" t="s">
        <v>7688</v>
      </c>
      <c r="J3824" t="str">
        <f>HYPERLINK("https://www.facebook.com/634639855377280/posts/772618101579454?comment_id=986057829544717&amp;reply_comment_id=283027021098342","https://www.facebook.com/634639855377280/posts/772618101579454?comment_id=986057829544717&amp;reply_comment_id=283027021098342")</f>
        <v>https://www.facebook.com/634639855377280/posts/772618101579454?comment_id=986057829544717&amp;reply_comment_id=283027021098342</v>
      </c>
      <c r="K3824" t="s">
        <v>67</v>
      </c>
      <c r="O3824">
        <v>0</v>
      </c>
      <c r="P3824">
        <v>0</v>
      </c>
      <c r="Q3824">
        <v>0</v>
      </c>
      <c r="S3824">
        <v>0</v>
      </c>
      <c r="T3824">
        <v>0</v>
      </c>
      <c r="U3824">
        <v>0</v>
      </c>
      <c r="W3824" t="s">
        <v>52</v>
      </c>
    </row>
    <row r="3825" spans="1:23" x14ac:dyDescent="0.35">
      <c r="A3825" t="s">
        <v>45</v>
      </c>
      <c r="B3825" t="s">
        <v>7658</v>
      </c>
      <c r="C3825" t="s">
        <v>60</v>
      </c>
      <c r="D3825" t="s">
        <v>64</v>
      </c>
      <c r="E3825" t="s">
        <v>64</v>
      </c>
      <c r="F3825" t="s">
        <v>49</v>
      </c>
      <c r="G3825" t="s">
        <v>270</v>
      </c>
      <c r="H3825" t="s">
        <v>7689</v>
      </c>
      <c r="J3825" t="str">
        <f>HYPERLINK("https://www.facebook.com/634639855377280/posts/771990234975574?comment_id=702749458659283&amp;reply_comment_id=703708758408507","https://www.facebook.com/634639855377280/posts/771990234975574?comment_id=702749458659283&amp;reply_comment_id=703708758408507")</f>
        <v>https://www.facebook.com/634639855377280/posts/771990234975574?comment_id=702749458659283&amp;reply_comment_id=703708758408507</v>
      </c>
      <c r="K3825" t="s">
        <v>67</v>
      </c>
      <c r="O3825">
        <v>0</v>
      </c>
      <c r="P3825">
        <v>0</v>
      </c>
      <c r="Q3825">
        <v>0</v>
      </c>
      <c r="S3825">
        <v>0</v>
      </c>
      <c r="T3825">
        <v>0</v>
      </c>
      <c r="U3825">
        <v>0</v>
      </c>
      <c r="W3825" t="s">
        <v>52</v>
      </c>
    </row>
    <row r="3826" spans="1:23" x14ac:dyDescent="0.35">
      <c r="A3826" t="s">
        <v>45</v>
      </c>
      <c r="B3826" t="s">
        <v>7658</v>
      </c>
      <c r="C3826" t="s">
        <v>47</v>
      </c>
      <c r="D3826" t="s">
        <v>406</v>
      </c>
      <c r="E3826" t="s">
        <v>406</v>
      </c>
      <c r="F3826" t="s">
        <v>49</v>
      </c>
      <c r="G3826" t="s">
        <v>7690</v>
      </c>
      <c r="H3826" t="s">
        <v>7691</v>
      </c>
      <c r="J3826" t="str">
        <f>HYPERLINK("https://www.youtube.com/watch?v=dqPqFJSj1VA&amp;lc=UgxVFncXqV8FjJ-jOMR4AaABAg.9z_KKMdT4Cr9z_oRAZL2GM","https://www.youtube.com/watch?v=dqPqFJSj1VA&amp;lc=UgxVFncXqV8FjJ-jOMR4AaABAg.9z_KKMdT4Cr9z_oRAZL2GM")</f>
        <v>https://www.youtube.com/watch?v=dqPqFJSj1VA&amp;lc=UgxVFncXqV8FjJ-jOMR4AaABAg.9z_KKMdT4Cr9z_oRAZL2GM</v>
      </c>
      <c r="O3826">
        <v>0</v>
      </c>
      <c r="P3826">
        <v>0</v>
      </c>
      <c r="Q3826">
        <v>0</v>
      </c>
      <c r="S3826">
        <v>0</v>
      </c>
      <c r="T3826">
        <v>0</v>
      </c>
      <c r="U3826">
        <v>0</v>
      </c>
      <c r="W3826" t="s">
        <v>52</v>
      </c>
    </row>
    <row r="3827" spans="1:23" x14ac:dyDescent="0.35">
      <c r="A3827" t="s">
        <v>45</v>
      </c>
      <c r="B3827" t="s">
        <v>7658</v>
      </c>
      <c r="C3827" t="s">
        <v>47</v>
      </c>
      <c r="D3827" t="s">
        <v>68</v>
      </c>
      <c r="E3827" t="s">
        <v>68</v>
      </c>
      <c r="F3827" t="s">
        <v>49</v>
      </c>
      <c r="G3827" t="s">
        <v>102</v>
      </c>
      <c r="H3827" t="s">
        <v>7692</v>
      </c>
      <c r="J3827" t="str">
        <f>HYPERLINK("https://www.youtube.com/watch?v=dqPqFJSj1VA&amp;lc=UgxVFncXqV8FjJ-jOMR4AaABAg.9z_KKMdT4Cr9z_o3vVGNj0","https://www.youtube.com/watch?v=dqPqFJSj1VA&amp;lc=UgxVFncXqV8FjJ-jOMR4AaABAg.9z_KKMdT4Cr9z_o3vVGNj0")</f>
        <v>https://www.youtube.com/watch?v=dqPqFJSj1VA&amp;lc=UgxVFncXqV8FjJ-jOMR4AaABAg.9z_KKMdT4Cr9z_o3vVGNj0</v>
      </c>
      <c r="O3827">
        <v>0</v>
      </c>
      <c r="P3827">
        <v>0</v>
      </c>
      <c r="Q3827">
        <v>0</v>
      </c>
      <c r="S3827">
        <v>0</v>
      </c>
      <c r="T3827">
        <v>0</v>
      </c>
      <c r="U3827">
        <v>0</v>
      </c>
      <c r="W3827" t="s">
        <v>52</v>
      </c>
    </row>
    <row r="3828" spans="1:23" x14ac:dyDescent="0.35">
      <c r="A3828" t="s">
        <v>45</v>
      </c>
      <c r="B3828" t="s">
        <v>7658</v>
      </c>
      <c r="C3828" t="s">
        <v>47</v>
      </c>
      <c r="D3828" t="s">
        <v>68</v>
      </c>
      <c r="E3828" t="s">
        <v>68</v>
      </c>
      <c r="F3828" t="s">
        <v>49</v>
      </c>
      <c r="G3828" t="s">
        <v>102</v>
      </c>
      <c r="H3828" t="s">
        <v>7693</v>
      </c>
      <c r="J3828" t="str">
        <f>HYPERLINK("https://www.youtube.com/watch?v=dqPqFJSj1VA&amp;lc=Ugyh9H-OUWPymhlfBl54AaABAg.9z_PIkdbOzb9z_nPDoqH4H","https://www.youtube.com/watch?v=dqPqFJSj1VA&amp;lc=Ugyh9H-OUWPymhlfBl54AaABAg.9z_PIkdbOzb9z_nPDoqH4H")</f>
        <v>https://www.youtube.com/watch?v=dqPqFJSj1VA&amp;lc=Ugyh9H-OUWPymhlfBl54AaABAg.9z_PIkdbOzb9z_nPDoqH4H</v>
      </c>
      <c r="O3828">
        <v>0</v>
      </c>
      <c r="P3828">
        <v>0</v>
      </c>
      <c r="Q3828">
        <v>0</v>
      </c>
      <c r="S3828">
        <v>0</v>
      </c>
      <c r="T3828">
        <v>0</v>
      </c>
      <c r="U3828">
        <v>0</v>
      </c>
      <c r="W3828" t="s">
        <v>52</v>
      </c>
    </row>
    <row r="3829" spans="1:23" x14ac:dyDescent="0.35">
      <c r="A3829" t="s">
        <v>45</v>
      </c>
      <c r="B3829" t="s">
        <v>7658</v>
      </c>
      <c r="C3829" t="s">
        <v>47</v>
      </c>
      <c r="D3829" t="s">
        <v>68</v>
      </c>
      <c r="E3829" t="s">
        <v>68</v>
      </c>
      <c r="F3829" t="s">
        <v>49</v>
      </c>
      <c r="G3829" t="s">
        <v>6836</v>
      </c>
      <c r="H3829" t="s">
        <v>7694</v>
      </c>
      <c r="J3829" t="str">
        <f>HYPERLINK("https://www.youtube.com/watch?v=dqPqFJSj1VA&amp;lc=Ugyfv4mJGr8A28XFkil4AaABAg.9z_c9hSVcgp9z_nNGYGTo3","https://www.youtube.com/watch?v=dqPqFJSj1VA&amp;lc=Ugyfv4mJGr8A28XFkil4AaABAg.9z_c9hSVcgp9z_nNGYGTo3")</f>
        <v>https://www.youtube.com/watch?v=dqPqFJSj1VA&amp;lc=Ugyfv4mJGr8A28XFkil4AaABAg.9z_c9hSVcgp9z_nNGYGTo3</v>
      </c>
      <c r="O3829">
        <v>0</v>
      </c>
      <c r="P3829">
        <v>0</v>
      </c>
      <c r="Q3829">
        <v>0</v>
      </c>
      <c r="S3829">
        <v>0</v>
      </c>
      <c r="T3829">
        <v>0</v>
      </c>
      <c r="U3829">
        <v>0</v>
      </c>
      <c r="W3829" t="s">
        <v>52</v>
      </c>
    </row>
    <row r="3830" spans="1:23" x14ac:dyDescent="0.35">
      <c r="A3830" t="s">
        <v>45</v>
      </c>
      <c r="B3830" t="s">
        <v>7658</v>
      </c>
      <c r="C3830" t="s">
        <v>60</v>
      </c>
      <c r="D3830" t="s">
        <v>61</v>
      </c>
      <c r="E3830" t="s">
        <v>61</v>
      </c>
      <c r="F3830" t="s">
        <v>49</v>
      </c>
      <c r="G3830" t="s">
        <v>7695</v>
      </c>
      <c r="H3830" t="s">
        <v>7696</v>
      </c>
      <c r="J3830" t="str">
        <f>HYPERLINK("https://www.facebook.com/634639855377280/posts/771990234975574?comment_id=702749458659283","https://www.facebook.com/634639855377280/posts/771990234975574?comment_id=702749458659283")</f>
        <v>https://www.facebook.com/634639855377280/posts/771990234975574?comment_id=702749458659283</v>
      </c>
      <c r="O3830">
        <v>0</v>
      </c>
      <c r="P3830">
        <v>0</v>
      </c>
      <c r="Q3830">
        <v>0</v>
      </c>
      <c r="S3830">
        <v>0</v>
      </c>
      <c r="T3830">
        <v>0</v>
      </c>
      <c r="U3830">
        <v>0</v>
      </c>
      <c r="W3830" t="s">
        <v>52</v>
      </c>
    </row>
    <row r="3831" spans="1:23" x14ac:dyDescent="0.35">
      <c r="A3831" t="s">
        <v>45</v>
      </c>
      <c r="B3831" t="s">
        <v>7658</v>
      </c>
      <c r="C3831" t="s">
        <v>47</v>
      </c>
      <c r="D3831" t="s">
        <v>351</v>
      </c>
      <c r="E3831" t="s">
        <v>351</v>
      </c>
      <c r="F3831" t="s">
        <v>49</v>
      </c>
      <c r="G3831" t="s">
        <v>7697</v>
      </c>
      <c r="H3831" t="s">
        <v>7698</v>
      </c>
      <c r="J3831" t="str">
        <f>HYPERLINK("https://www.youtube.com/watch?v=dqPqFJSj1VA&amp;lc=Ugyfv4mJGr8A28XFkil4AaABAg","https://www.youtube.com/watch?v=dqPqFJSj1VA&amp;lc=Ugyfv4mJGr8A28XFkil4AaABAg")</f>
        <v>https://www.youtube.com/watch?v=dqPqFJSj1VA&amp;lc=Ugyfv4mJGr8A28XFkil4AaABAg</v>
      </c>
      <c r="O3831">
        <v>0</v>
      </c>
      <c r="P3831">
        <v>0</v>
      </c>
      <c r="Q3831">
        <v>0</v>
      </c>
      <c r="S3831">
        <v>0</v>
      </c>
      <c r="T3831">
        <v>0</v>
      </c>
      <c r="U3831">
        <v>0</v>
      </c>
      <c r="W3831" t="s">
        <v>52</v>
      </c>
    </row>
    <row r="3832" spans="1:23" x14ac:dyDescent="0.35">
      <c r="A3832" t="s">
        <v>45</v>
      </c>
      <c r="B3832" t="s">
        <v>7658</v>
      </c>
      <c r="C3832" t="s">
        <v>60</v>
      </c>
      <c r="D3832" t="s">
        <v>61</v>
      </c>
      <c r="E3832" t="s">
        <v>61</v>
      </c>
      <c r="F3832" t="s">
        <v>54</v>
      </c>
      <c r="G3832" t="s">
        <v>7699</v>
      </c>
      <c r="H3832" t="s">
        <v>7700</v>
      </c>
      <c r="J3832" t="str">
        <f>HYPERLINK("https://www.facebook.com/634639855377280/posts/772618101579454?comment_id=986057829544717&amp;reply_comment_id=2292382994285397","https://www.facebook.com/634639855377280/posts/772618101579454?comment_id=986057829544717&amp;reply_comment_id=2292382994285397")</f>
        <v>https://www.facebook.com/634639855377280/posts/772618101579454?comment_id=986057829544717&amp;reply_comment_id=2292382994285397</v>
      </c>
      <c r="O3832">
        <v>0</v>
      </c>
      <c r="P3832">
        <v>0</v>
      </c>
      <c r="Q3832">
        <v>0</v>
      </c>
      <c r="S3832">
        <v>0</v>
      </c>
      <c r="T3832">
        <v>0</v>
      </c>
      <c r="U3832">
        <v>0</v>
      </c>
      <c r="W3832" t="s">
        <v>52</v>
      </c>
    </row>
    <row r="3833" spans="1:23" x14ac:dyDescent="0.35">
      <c r="A3833" t="s">
        <v>45</v>
      </c>
      <c r="B3833" t="s">
        <v>7658</v>
      </c>
      <c r="C3833" t="s">
        <v>60</v>
      </c>
      <c r="D3833" t="s">
        <v>64</v>
      </c>
      <c r="E3833" t="s">
        <v>64</v>
      </c>
      <c r="F3833" t="s">
        <v>49</v>
      </c>
      <c r="G3833" t="s">
        <v>7701</v>
      </c>
      <c r="H3833" t="s">
        <v>7702</v>
      </c>
      <c r="J3833" t="str">
        <f>HYPERLINK("https://www.facebook.com/634639855377280/posts/772644888243442","https://www.facebook.com/634639855377280/posts/772644888243442")</f>
        <v>https://www.facebook.com/634639855377280/posts/772644888243442</v>
      </c>
      <c r="O3833">
        <v>0</v>
      </c>
      <c r="P3833">
        <v>0</v>
      </c>
      <c r="Q3833">
        <v>0</v>
      </c>
      <c r="S3833">
        <v>0</v>
      </c>
      <c r="T3833">
        <v>19</v>
      </c>
      <c r="U3833">
        <v>0</v>
      </c>
      <c r="W3833" t="s">
        <v>346</v>
      </c>
    </row>
    <row r="3834" spans="1:23" x14ac:dyDescent="0.35">
      <c r="A3834" t="s">
        <v>45</v>
      </c>
      <c r="B3834" t="s">
        <v>7658</v>
      </c>
      <c r="C3834" t="s">
        <v>93</v>
      </c>
      <c r="D3834" t="s">
        <v>94</v>
      </c>
      <c r="E3834" t="s">
        <v>45</v>
      </c>
      <c r="F3834" t="s">
        <v>49</v>
      </c>
      <c r="G3834" t="s">
        <v>7703</v>
      </c>
      <c r="H3834" t="s">
        <v>7704</v>
      </c>
      <c r="J3834" t="str">
        <f>HYPERLINK("https://twitter.com/SpiceMoneyIndia/status/1746781882531152242","https://twitter.com/SpiceMoneyIndia/status/1746781882531152242")</f>
        <v>https://twitter.com/SpiceMoneyIndia/status/1746781882531152242</v>
      </c>
      <c r="K3834" t="s">
        <v>67</v>
      </c>
      <c r="O3834">
        <v>0</v>
      </c>
      <c r="P3834">
        <v>0</v>
      </c>
      <c r="Q3834">
        <v>5997</v>
      </c>
      <c r="R3834" t="s">
        <v>97</v>
      </c>
      <c r="S3834">
        <v>0</v>
      </c>
      <c r="T3834">
        <v>0</v>
      </c>
      <c r="U3834">
        <v>0</v>
      </c>
      <c r="V3834" t="s">
        <v>98</v>
      </c>
      <c r="W3834" t="s">
        <v>99</v>
      </c>
    </row>
    <row r="3835" spans="1:23" x14ac:dyDescent="0.35">
      <c r="A3835" t="s">
        <v>45</v>
      </c>
      <c r="B3835" t="s">
        <v>7658</v>
      </c>
      <c r="C3835" t="s">
        <v>60</v>
      </c>
      <c r="D3835" t="s">
        <v>61</v>
      </c>
      <c r="E3835" t="s">
        <v>61</v>
      </c>
      <c r="F3835" t="s">
        <v>49</v>
      </c>
      <c r="G3835" t="s">
        <v>7705</v>
      </c>
      <c r="H3835" t="s">
        <v>7706</v>
      </c>
      <c r="J3835" t="str">
        <f>HYPERLINK("https://www.facebook.com/634639855377280/posts/772618101579454?comment_id=207984102399104","https://www.facebook.com/634639855377280/posts/772618101579454?comment_id=207984102399104")</f>
        <v>https://www.facebook.com/634639855377280/posts/772618101579454?comment_id=207984102399104</v>
      </c>
      <c r="O3835">
        <v>0</v>
      </c>
      <c r="P3835">
        <v>0</v>
      </c>
      <c r="Q3835">
        <v>0</v>
      </c>
      <c r="S3835">
        <v>0</v>
      </c>
      <c r="T3835">
        <v>0</v>
      </c>
      <c r="U3835">
        <v>0</v>
      </c>
      <c r="W3835" t="s">
        <v>52</v>
      </c>
    </row>
    <row r="3836" spans="1:23" x14ac:dyDescent="0.35">
      <c r="A3836" t="s">
        <v>45</v>
      </c>
      <c r="B3836" t="s">
        <v>7658</v>
      </c>
      <c r="C3836" t="s">
        <v>60</v>
      </c>
      <c r="D3836" t="s">
        <v>61</v>
      </c>
      <c r="E3836" t="s">
        <v>61</v>
      </c>
      <c r="F3836" t="s">
        <v>49</v>
      </c>
      <c r="G3836" t="s">
        <v>7707</v>
      </c>
      <c r="H3836" t="s">
        <v>7708</v>
      </c>
      <c r="J3836" t="str">
        <f>HYPERLINK("https://www.facebook.com/634639855377280/posts/772618101579454?comment_id=986057829544717","https://www.facebook.com/634639855377280/posts/772618101579454?comment_id=986057829544717")</f>
        <v>https://www.facebook.com/634639855377280/posts/772618101579454?comment_id=986057829544717</v>
      </c>
      <c r="O3836">
        <v>0</v>
      </c>
      <c r="P3836">
        <v>0</v>
      </c>
      <c r="Q3836">
        <v>0</v>
      </c>
      <c r="S3836">
        <v>0</v>
      </c>
      <c r="T3836">
        <v>0</v>
      </c>
      <c r="U3836">
        <v>0</v>
      </c>
      <c r="W3836" t="s">
        <v>52</v>
      </c>
    </row>
    <row r="3837" spans="1:23" x14ac:dyDescent="0.35">
      <c r="A3837" t="s">
        <v>45</v>
      </c>
      <c r="B3837" t="s">
        <v>7658</v>
      </c>
      <c r="C3837" t="s">
        <v>93</v>
      </c>
      <c r="D3837" t="s">
        <v>6259</v>
      </c>
      <c r="E3837" t="s">
        <v>6260</v>
      </c>
      <c r="F3837" t="s">
        <v>193</v>
      </c>
      <c r="G3837" t="s">
        <v>7709</v>
      </c>
      <c r="H3837" t="s">
        <v>7710</v>
      </c>
      <c r="J3837" t="str">
        <f>HYPERLINK("https://twitter.com/dineshsahu0202/status/1746765683009245356","https://twitter.com/dineshsahu0202/status/1746765683009245356")</f>
        <v>https://twitter.com/dineshsahu0202/status/1746765683009245356</v>
      </c>
      <c r="K3837" t="s">
        <v>67</v>
      </c>
      <c r="O3837">
        <v>0</v>
      </c>
      <c r="P3837">
        <v>0</v>
      </c>
      <c r="Q3837">
        <v>2</v>
      </c>
      <c r="S3837">
        <v>0</v>
      </c>
      <c r="T3837">
        <v>0</v>
      </c>
      <c r="U3837">
        <v>0</v>
      </c>
      <c r="W3837" t="s">
        <v>99</v>
      </c>
    </row>
    <row r="3838" spans="1:23" x14ac:dyDescent="0.35">
      <c r="A3838" t="s">
        <v>45</v>
      </c>
      <c r="B3838" t="s">
        <v>7658</v>
      </c>
      <c r="C3838" t="s">
        <v>93</v>
      </c>
      <c r="D3838" t="s">
        <v>94</v>
      </c>
      <c r="E3838" t="s">
        <v>45</v>
      </c>
      <c r="F3838" t="s">
        <v>49</v>
      </c>
      <c r="G3838" t="s">
        <v>7711</v>
      </c>
      <c r="H3838" t="s">
        <v>7712</v>
      </c>
      <c r="J3838" t="str">
        <f>HYPERLINK("https://twitter.com/SpiceMoneyIndia/status/1746763178787352701","https://twitter.com/SpiceMoneyIndia/status/1746763178787352701")</f>
        <v>https://twitter.com/SpiceMoneyIndia/status/1746763178787352701</v>
      </c>
      <c r="K3838" t="s">
        <v>67</v>
      </c>
      <c r="O3838">
        <v>0</v>
      </c>
      <c r="P3838">
        <v>0</v>
      </c>
      <c r="Q3838">
        <v>5997</v>
      </c>
      <c r="R3838" t="s">
        <v>97</v>
      </c>
      <c r="S3838">
        <v>0</v>
      </c>
      <c r="T3838">
        <v>0</v>
      </c>
      <c r="U3838">
        <v>0</v>
      </c>
      <c r="V3838" t="s">
        <v>98</v>
      </c>
      <c r="W3838" t="s">
        <v>99</v>
      </c>
    </row>
    <row r="3839" spans="1:23" x14ac:dyDescent="0.35">
      <c r="A3839" t="s">
        <v>45</v>
      </c>
      <c r="B3839" t="s">
        <v>7658</v>
      </c>
      <c r="C3839" t="s">
        <v>60</v>
      </c>
      <c r="D3839" t="s">
        <v>64</v>
      </c>
      <c r="E3839" t="s">
        <v>64</v>
      </c>
      <c r="F3839" t="s">
        <v>49</v>
      </c>
      <c r="G3839" t="s">
        <v>7713</v>
      </c>
      <c r="H3839" t="s">
        <v>7714</v>
      </c>
      <c r="J3839" t="str">
        <f>HYPERLINK("https://www.facebook.com/634639855377280/posts/772618101579454","https://www.facebook.com/634639855377280/posts/772618101579454")</f>
        <v>https://www.facebook.com/634639855377280/posts/772618101579454</v>
      </c>
      <c r="O3839">
        <v>0</v>
      </c>
      <c r="P3839">
        <v>0</v>
      </c>
      <c r="Q3839">
        <v>0</v>
      </c>
      <c r="S3839">
        <v>12</v>
      </c>
      <c r="T3839">
        <v>100</v>
      </c>
      <c r="U3839">
        <v>6</v>
      </c>
      <c r="W3839" t="s">
        <v>346</v>
      </c>
    </row>
    <row r="3840" spans="1:23" x14ac:dyDescent="0.35">
      <c r="A3840" t="s">
        <v>45</v>
      </c>
      <c r="B3840" t="s">
        <v>7658</v>
      </c>
      <c r="C3840" t="s">
        <v>47</v>
      </c>
      <c r="D3840" t="s">
        <v>310</v>
      </c>
      <c r="E3840" t="s">
        <v>310</v>
      </c>
      <c r="F3840" t="s">
        <v>49</v>
      </c>
      <c r="G3840" t="s">
        <v>7715</v>
      </c>
      <c r="H3840" t="s">
        <v>7716</v>
      </c>
      <c r="J3840" t="str">
        <f>HYPERLINK("https://www.youtube.com/watch?v=dqPqFJSj1VA&amp;lc=Ugyh9H-OUWPymhlfBl54AaABAg","https://www.youtube.com/watch?v=dqPqFJSj1VA&amp;lc=Ugyh9H-OUWPymhlfBl54AaABAg")</f>
        <v>https://www.youtube.com/watch?v=dqPqFJSj1VA&amp;lc=Ugyh9H-OUWPymhlfBl54AaABAg</v>
      </c>
      <c r="O3840">
        <v>0</v>
      </c>
      <c r="P3840">
        <v>0</v>
      </c>
      <c r="Q3840">
        <v>0</v>
      </c>
      <c r="S3840">
        <v>0</v>
      </c>
      <c r="T3840">
        <v>0</v>
      </c>
      <c r="U3840">
        <v>0</v>
      </c>
      <c r="W3840" t="s">
        <v>52</v>
      </c>
    </row>
    <row r="3841" spans="1:23" x14ac:dyDescent="0.35">
      <c r="A3841" t="s">
        <v>45</v>
      </c>
      <c r="B3841" t="s">
        <v>7658</v>
      </c>
      <c r="C3841" t="s">
        <v>47</v>
      </c>
      <c r="D3841" t="s">
        <v>7717</v>
      </c>
      <c r="E3841" t="s">
        <v>7717</v>
      </c>
      <c r="F3841" t="s">
        <v>49</v>
      </c>
      <c r="G3841" t="s">
        <v>7718</v>
      </c>
      <c r="H3841" t="s">
        <v>7719</v>
      </c>
      <c r="J3841" t="str">
        <f>HYPERLINK("https://www.youtube.com/watch?v=dqPqFJSj1VA&amp;lc=UgxVFncXqV8FjJ-jOMR4AaABAg.9z_KKMdT4Cr9z_O4vGoNkV","https://www.youtube.com/watch?v=dqPqFJSj1VA&amp;lc=UgxVFncXqV8FjJ-jOMR4AaABAg.9z_KKMdT4Cr9z_O4vGoNkV")</f>
        <v>https://www.youtube.com/watch?v=dqPqFJSj1VA&amp;lc=UgxVFncXqV8FjJ-jOMR4AaABAg.9z_KKMdT4Cr9z_O4vGoNkV</v>
      </c>
      <c r="O3841">
        <v>0</v>
      </c>
      <c r="P3841">
        <v>0</v>
      </c>
      <c r="Q3841">
        <v>0</v>
      </c>
      <c r="S3841">
        <v>0</v>
      </c>
      <c r="T3841">
        <v>0</v>
      </c>
      <c r="U3841">
        <v>0</v>
      </c>
      <c r="W3841" t="s">
        <v>52</v>
      </c>
    </row>
    <row r="3842" spans="1:23" x14ac:dyDescent="0.35">
      <c r="A3842" t="s">
        <v>45</v>
      </c>
      <c r="B3842" t="s">
        <v>7658</v>
      </c>
      <c r="C3842" t="s">
        <v>47</v>
      </c>
      <c r="D3842" t="s">
        <v>7720</v>
      </c>
      <c r="E3842" t="s">
        <v>7720</v>
      </c>
      <c r="F3842" t="s">
        <v>49</v>
      </c>
      <c r="G3842" t="s">
        <v>7721</v>
      </c>
      <c r="H3842" t="s">
        <v>7722</v>
      </c>
      <c r="J3842" t="str">
        <f>HYPERLINK("https://www.youtube.com/watch?v=dqPqFJSj1VA&amp;lc=UgxVJG4gwiQ9Q6aHlvd4AaABAg.9z_K1x5haw59z_LpKnfGcD","https://www.youtube.com/watch?v=dqPqFJSj1VA&amp;lc=UgxVJG4gwiQ9Q6aHlvd4AaABAg.9z_K1x5haw59z_LpKnfGcD")</f>
        <v>https://www.youtube.com/watch?v=dqPqFJSj1VA&amp;lc=UgxVJG4gwiQ9Q6aHlvd4AaABAg.9z_K1x5haw59z_LpKnfGcD</v>
      </c>
      <c r="O3842">
        <v>0</v>
      </c>
      <c r="P3842">
        <v>0</v>
      </c>
      <c r="Q3842">
        <v>0</v>
      </c>
      <c r="S3842">
        <v>0</v>
      </c>
      <c r="T3842">
        <v>0</v>
      </c>
      <c r="U3842">
        <v>0</v>
      </c>
      <c r="W3842" t="s">
        <v>52</v>
      </c>
    </row>
    <row r="3843" spans="1:23" x14ac:dyDescent="0.35">
      <c r="A3843" t="s">
        <v>45</v>
      </c>
      <c r="B3843" t="s">
        <v>7658</v>
      </c>
      <c r="C3843" t="s">
        <v>47</v>
      </c>
      <c r="D3843" t="s">
        <v>406</v>
      </c>
      <c r="E3843" t="s">
        <v>406</v>
      </c>
      <c r="F3843" t="s">
        <v>49</v>
      </c>
      <c r="G3843" t="s">
        <v>7723</v>
      </c>
      <c r="H3843" t="s">
        <v>7724</v>
      </c>
      <c r="J3843" t="str">
        <f>HYPERLINK("https://www.youtube.com/watch?v=dqPqFJSj1VA&amp;lc=UgxVFncXqV8FjJ-jOMR4AaABAg","https://www.youtube.com/watch?v=dqPqFJSj1VA&amp;lc=UgxVFncXqV8FjJ-jOMR4AaABAg")</f>
        <v>https://www.youtube.com/watch?v=dqPqFJSj1VA&amp;lc=UgxVFncXqV8FjJ-jOMR4AaABAg</v>
      </c>
      <c r="O3843">
        <v>0</v>
      </c>
      <c r="P3843">
        <v>0</v>
      </c>
      <c r="Q3843">
        <v>0</v>
      </c>
      <c r="S3843">
        <v>0</v>
      </c>
      <c r="T3843">
        <v>0</v>
      </c>
      <c r="U3843">
        <v>0</v>
      </c>
      <c r="W3843" t="s">
        <v>52</v>
      </c>
    </row>
    <row r="3844" spans="1:23" x14ac:dyDescent="0.35">
      <c r="A3844" t="s">
        <v>45</v>
      </c>
      <c r="B3844" t="s">
        <v>7658</v>
      </c>
      <c r="C3844" t="s">
        <v>47</v>
      </c>
      <c r="D3844" t="s">
        <v>7725</v>
      </c>
      <c r="E3844" t="s">
        <v>7725</v>
      </c>
      <c r="F3844" t="s">
        <v>49</v>
      </c>
      <c r="G3844" t="s">
        <v>7726</v>
      </c>
      <c r="H3844" t="s">
        <v>7727</v>
      </c>
      <c r="J3844" t="str">
        <f>HYPERLINK("https://www.youtube.com/watch?v=dqPqFJSj1VA&amp;lc=UgxVJG4gwiQ9Q6aHlvd4AaABAg","https://www.youtube.com/watch?v=dqPqFJSj1VA&amp;lc=UgxVJG4gwiQ9Q6aHlvd4AaABAg")</f>
        <v>https://www.youtube.com/watch?v=dqPqFJSj1VA&amp;lc=UgxVJG4gwiQ9Q6aHlvd4AaABAg</v>
      </c>
      <c r="O3844">
        <v>0</v>
      </c>
      <c r="P3844">
        <v>0</v>
      </c>
      <c r="Q3844">
        <v>0</v>
      </c>
      <c r="S3844">
        <v>0</v>
      </c>
      <c r="T3844">
        <v>0</v>
      </c>
      <c r="U3844">
        <v>0</v>
      </c>
      <c r="W3844" t="s">
        <v>52</v>
      </c>
    </row>
    <row r="3845" spans="1:23" x14ac:dyDescent="0.35">
      <c r="A3845" t="s">
        <v>45</v>
      </c>
      <c r="B3845" t="s">
        <v>7658</v>
      </c>
      <c r="C3845" t="s">
        <v>47</v>
      </c>
      <c r="D3845" t="s">
        <v>45</v>
      </c>
      <c r="E3845" t="s">
        <v>45</v>
      </c>
      <c r="F3845" t="s">
        <v>49</v>
      </c>
      <c r="G3845" t="s">
        <v>7728</v>
      </c>
      <c r="H3845" t="s">
        <v>7729</v>
      </c>
      <c r="J3845" t="str">
        <f>HYPERLINK("https://www.youtube.com/watch?v=dqPqFJSj1VA","https://www.youtube.com/watch?v=dqPqFJSj1VA")</f>
        <v>https://www.youtube.com/watch?v=dqPqFJSj1VA</v>
      </c>
      <c r="O3845">
        <v>0</v>
      </c>
      <c r="P3845">
        <v>0</v>
      </c>
      <c r="Q3845">
        <v>0</v>
      </c>
      <c r="S3845">
        <v>0</v>
      </c>
      <c r="T3845">
        <v>0</v>
      </c>
      <c r="U3845">
        <v>0</v>
      </c>
      <c r="W3845" t="s">
        <v>346</v>
      </c>
    </row>
    <row r="3846" spans="1:23" x14ac:dyDescent="0.35">
      <c r="A3846" t="s">
        <v>45</v>
      </c>
      <c r="B3846" t="s">
        <v>7658</v>
      </c>
      <c r="C3846" t="s">
        <v>60</v>
      </c>
      <c r="D3846" t="s">
        <v>64</v>
      </c>
      <c r="E3846" t="s">
        <v>64</v>
      </c>
      <c r="F3846" t="s">
        <v>49</v>
      </c>
      <c r="G3846" t="s">
        <v>270</v>
      </c>
      <c r="H3846" t="s">
        <v>7730</v>
      </c>
      <c r="J3846" t="str">
        <f>HYPERLINK("https://www.facebook.com/634639855377280/posts/771990234975574?comment_id=2688563297961285&amp;reply_comment_id=1152423816166449","https://www.facebook.com/634639855377280/posts/771990234975574?comment_id=2688563297961285&amp;reply_comment_id=1152423816166449")</f>
        <v>https://www.facebook.com/634639855377280/posts/771990234975574?comment_id=2688563297961285&amp;reply_comment_id=1152423816166449</v>
      </c>
      <c r="K3846" t="s">
        <v>67</v>
      </c>
      <c r="O3846">
        <v>0</v>
      </c>
      <c r="P3846">
        <v>0</v>
      </c>
      <c r="Q3846">
        <v>0</v>
      </c>
      <c r="S3846">
        <v>0</v>
      </c>
      <c r="T3846">
        <v>0</v>
      </c>
      <c r="U3846">
        <v>0</v>
      </c>
      <c r="W3846" t="s">
        <v>52</v>
      </c>
    </row>
    <row r="3847" spans="1:23" x14ac:dyDescent="0.35">
      <c r="A3847" t="s">
        <v>45</v>
      </c>
      <c r="B3847" t="s">
        <v>7658</v>
      </c>
      <c r="C3847" t="s">
        <v>60</v>
      </c>
      <c r="D3847" t="s">
        <v>64</v>
      </c>
      <c r="E3847" t="s">
        <v>64</v>
      </c>
      <c r="F3847" t="s">
        <v>49</v>
      </c>
      <c r="G3847" t="s">
        <v>270</v>
      </c>
      <c r="H3847" t="s">
        <v>7731</v>
      </c>
      <c r="J3847" t="str">
        <f>HYPERLINK("https://www.facebook.com/634639855377280/posts/771990234975574?comment_id=416813964111173&amp;reply_comment_id=1123754135280903","https://www.facebook.com/634639855377280/posts/771990234975574?comment_id=416813964111173&amp;reply_comment_id=1123754135280903")</f>
        <v>https://www.facebook.com/634639855377280/posts/771990234975574?comment_id=416813964111173&amp;reply_comment_id=1123754135280903</v>
      </c>
      <c r="K3847" t="s">
        <v>67</v>
      </c>
      <c r="O3847">
        <v>0</v>
      </c>
      <c r="P3847">
        <v>0</v>
      </c>
      <c r="Q3847">
        <v>0</v>
      </c>
      <c r="S3847">
        <v>0</v>
      </c>
      <c r="T3847">
        <v>0</v>
      </c>
      <c r="U3847">
        <v>0</v>
      </c>
      <c r="W3847" t="s">
        <v>52</v>
      </c>
    </row>
    <row r="3848" spans="1:23" x14ac:dyDescent="0.35">
      <c r="A3848" t="s">
        <v>45</v>
      </c>
      <c r="B3848" t="s">
        <v>7658</v>
      </c>
      <c r="C3848" t="s">
        <v>93</v>
      </c>
      <c r="D3848" t="s">
        <v>94</v>
      </c>
      <c r="E3848" t="s">
        <v>45</v>
      </c>
      <c r="F3848" t="s">
        <v>49</v>
      </c>
      <c r="G3848" t="s">
        <v>6927</v>
      </c>
      <c r="H3848" t="s">
        <v>7732</v>
      </c>
      <c r="J3848" t="str">
        <f>HYPERLINK("https://twitter.com/SpiceMoneyIndia/status/1746739162131132471","https://twitter.com/SpiceMoneyIndia/status/1746739162131132471")</f>
        <v>https://twitter.com/SpiceMoneyIndia/status/1746739162131132471</v>
      </c>
      <c r="K3848" t="s">
        <v>67</v>
      </c>
      <c r="O3848">
        <v>0</v>
      </c>
      <c r="P3848">
        <v>0</v>
      </c>
      <c r="Q3848">
        <v>5999</v>
      </c>
      <c r="R3848" t="s">
        <v>97</v>
      </c>
      <c r="S3848">
        <v>0</v>
      </c>
      <c r="T3848">
        <v>0</v>
      </c>
      <c r="U3848">
        <v>0</v>
      </c>
      <c r="V3848" t="s">
        <v>98</v>
      </c>
      <c r="W3848" t="s">
        <v>99</v>
      </c>
    </row>
    <row r="3849" spans="1:23" x14ac:dyDescent="0.35">
      <c r="A3849" t="s">
        <v>45</v>
      </c>
      <c r="B3849" t="s">
        <v>7658</v>
      </c>
      <c r="C3849" t="s">
        <v>60</v>
      </c>
      <c r="D3849" t="s">
        <v>64</v>
      </c>
      <c r="E3849" t="s">
        <v>64</v>
      </c>
      <c r="F3849" t="s">
        <v>49</v>
      </c>
      <c r="G3849" t="s">
        <v>266</v>
      </c>
      <c r="H3849" t="s">
        <v>7733</v>
      </c>
      <c r="J3849" t="str">
        <f>HYPERLINK("https://www.facebook.com/634639855377280/posts/771990234975574?comment_id=1481168546061228&amp;reply_comment_id=257167627252659","https://www.facebook.com/634639855377280/posts/771990234975574?comment_id=1481168546061228&amp;reply_comment_id=257167627252659")</f>
        <v>https://www.facebook.com/634639855377280/posts/771990234975574?comment_id=1481168546061228&amp;reply_comment_id=257167627252659</v>
      </c>
      <c r="K3849" t="s">
        <v>67</v>
      </c>
      <c r="O3849">
        <v>0</v>
      </c>
      <c r="P3849">
        <v>0</v>
      </c>
      <c r="Q3849">
        <v>0</v>
      </c>
      <c r="S3849">
        <v>0</v>
      </c>
      <c r="T3849">
        <v>0</v>
      </c>
      <c r="U3849">
        <v>0</v>
      </c>
      <c r="W3849" t="s">
        <v>52</v>
      </c>
    </row>
    <row r="3850" spans="1:23" x14ac:dyDescent="0.35">
      <c r="A3850" t="s">
        <v>45</v>
      </c>
      <c r="B3850" t="s">
        <v>7658</v>
      </c>
      <c r="C3850" t="s">
        <v>93</v>
      </c>
      <c r="D3850" t="s">
        <v>94</v>
      </c>
      <c r="E3850" t="s">
        <v>45</v>
      </c>
      <c r="F3850" t="s">
        <v>49</v>
      </c>
      <c r="G3850" t="s">
        <v>6124</v>
      </c>
      <c r="H3850" t="s">
        <v>7734</v>
      </c>
      <c r="J3850" t="str">
        <f>HYPERLINK("https://twitter.com/SpiceMoneyIndia/status/1746738770643136533","https://twitter.com/SpiceMoneyIndia/status/1746738770643136533")</f>
        <v>https://twitter.com/SpiceMoneyIndia/status/1746738770643136533</v>
      </c>
      <c r="K3850" t="s">
        <v>67</v>
      </c>
      <c r="O3850">
        <v>0</v>
      </c>
      <c r="P3850">
        <v>0</v>
      </c>
      <c r="Q3850">
        <v>5999</v>
      </c>
      <c r="R3850" t="s">
        <v>97</v>
      </c>
      <c r="S3850">
        <v>0</v>
      </c>
      <c r="T3850">
        <v>0</v>
      </c>
      <c r="U3850">
        <v>0</v>
      </c>
      <c r="V3850" t="s">
        <v>98</v>
      </c>
      <c r="W3850" t="s">
        <v>99</v>
      </c>
    </row>
    <row r="3851" spans="1:23" x14ac:dyDescent="0.35">
      <c r="A3851" t="s">
        <v>45</v>
      </c>
      <c r="B3851" t="s">
        <v>7658</v>
      </c>
      <c r="C3851" t="s">
        <v>60</v>
      </c>
      <c r="D3851" t="s">
        <v>64</v>
      </c>
      <c r="E3851" t="s">
        <v>64</v>
      </c>
      <c r="F3851" t="s">
        <v>49</v>
      </c>
      <c r="G3851" t="s">
        <v>270</v>
      </c>
      <c r="H3851" t="s">
        <v>7735</v>
      </c>
      <c r="J3851" t="str">
        <f>HYPERLINK("https://www.facebook.com/634639855377280/posts/771990234975574?comment_id=1585512675322892&amp;reply_comment_id=1520491502116991","https://www.facebook.com/634639855377280/posts/771990234975574?comment_id=1585512675322892&amp;reply_comment_id=1520491502116991")</f>
        <v>https://www.facebook.com/634639855377280/posts/771990234975574?comment_id=1585512675322892&amp;reply_comment_id=1520491502116991</v>
      </c>
      <c r="K3851" t="s">
        <v>67</v>
      </c>
      <c r="O3851">
        <v>0</v>
      </c>
      <c r="P3851">
        <v>0</v>
      </c>
      <c r="Q3851">
        <v>0</v>
      </c>
      <c r="S3851">
        <v>0</v>
      </c>
      <c r="T3851">
        <v>0</v>
      </c>
      <c r="U3851">
        <v>0</v>
      </c>
      <c r="W3851" t="s">
        <v>52</v>
      </c>
    </row>
    <row r="3852" spans="1:23" x14ac:dyDescent="0.35">
      <c r="A3852" t="s">
        <v>45</v>
      </c>
      <c r="B3852" t="s">
        <v>7658</v>
      </c>
      <c r="C3852" t="s">
        <v>60</v>
      </c>
      <c r="D3852" t="s">
        <v>61</v>
      </c>
      <c r="E3852" t="s">
        <v>61</v>
      </c>
      <c r="F3852" t="s">
        <v>54</v>
      </c>
      <c r="G3852" t="s">
        <v>7736</v>
      </c>
      <c r="H3852" t="s">
        <v>7737</v>
      </c>
      <c r="J3852" t="str">
        <f>HYPERLINK("https://www.facebook.com/634639855377280/posts/771990234975574?comment_id=3243340539303435","https://www.facebook.com/634639855377280/posts/771990234975574?comment_id=3243340539303435")</f>
        <v>https://www.facebook.com/634639855377280/posts/771990234975574?comment_id=3243340539303435</v>
      </c>
      <c r="O3852">
        <v>0</v>
      </c>
      <c r="P3852">
        <v>0</v>
      </c>
      <c r="Q3852">
        <v>0</v>
      </c>
      <c r="S3852">
        <v>0</v>
      </c>
      <c r="T3852">
        <v>0</v>
      </c>
      <c r="U3852">
        <v>0</v>
      </c>
      <c r="W3852" t="s">
        <v>52</v>
      </c>
    </row>
    <row r="3853" spans="1:23" x14ac:dyDescent="0.35">
      <c r="A3853" t="s">
        <v>45</v>
      </c>
      <c r="B3853" t="s">
        <v>7658</v>
      </c>
      <c r="C3853" t="s">
        <v>60</v>
      </c>
      <c r="D3853" t="s">
        <v>61</v>
      </c>
      <c r="E3853" t="s">
        <v>61</v>
      </c>
      <c r="F3853" t="s">
        <v>49</v>
      </c>
      <c r="G3853" t="s">
        <v>7738</v>
      </c>
      <c r="H3853" t="s">
        <v>7739</v>
      </c>
      <c r="J3853" t="str">
        <f>HYPERLINK("https://www.facebook.com/634639855377280/posts/771350455039552?comment_id=7562837390413776&amp;reply_comment_id=345498728452849","https://www.facebook.com/634639855377280/posts/771350455039552?comment_id=7562837390413776&amp;reply_comment_id=345498728452849")</f>
        <v>https://www.facebook.com/634639855377280/posts/771350455039552?comment_id=7562837390413776&amp;reply_comment_id=345498728452849</v>
      </c>
      <c r="O3853">
        <v>0</v>
      </c>
      <c r="P3853">
        <v>0</v>
      </c>
      <c r="Q3853">
        <v>0</v>
      </c>
      <c r="S3853">
        <v>0</v>
      </c>
      <c r="T3853">
        <v>0</v>
      </c>
      <c r="U3853">
        <v>0</v>
      </c>
      <c r="W3853" t="s">
        <v>52</v>
      </c>
    </row>
    <row r="3854" spans="1:23" x14ac:dyDescent="0.35">
      <c r="A3854" t="s">
        <v>45</v>
      </c>
      <c r="B3854" t="s">
        <v>7658</v>
      </c>
      <c r="C3854" t="s">
        <v>60</v>
      </c>
      <c r="D3854" t="s">
        <v>61</v>
      </c>
      <c r="E3854" t="s">
        <v>61</v>
      </c>
      <c r="F3854" t="s">
        <v>49</v>
      </c>
      <c r="G3854" t="s">
        <v>64</v>
      </c>
      <c r="H3854" t="s">
        <v>7740</v>
      </c>
      <c r="J3854" t="str">
        <f>HYPERLINK("https://www.facebook.com/634639855377280/posts/771350455039552?comment_id=7562837390413776&amp;reply_comment_id=1555658845169925","https://www.facebook.com/634639855377280/posts/771350455039552?comment_id=7562837390413776&amp;reply_comment_id=1555658845169925")</f>
        <v>https://www.facebook.com/634639855377280/posts/771350455039552?comment_id=7562837390413776&amp;reply_comment_id=1555658845169925</v>
      </c>
      <c r="O3854">
        <v>0</v>
      </c>
      <c r="P3854">
        <v>0</v>
      </c>
      <c r="Q3854">
        <v>0</v>
      </c>
      <c r="S3854">
        <v>0</v>
      </c>
      <c r="T3854">
        <v>0</v>
      </c>
      <c r="U3854">
        <v>0</v>
      </c>
      <c r="W3854" t="s">
        <v>52</v>
      </c>
    </row>
    <row r="3855" spans="1:23" x14ac:dyDescent="0.35">
      <c r="A3855" t="s">
        <v>45</v>
      </c>
      <c r="B3855" t="s">
        <v>7741</v>
      </c>
      <c r="C3855" t="s">
        <v>93</v>
      </c>
      <c r="D3855" t="s">
        <v>7004</v>
      </c>
      <c r="E3855" t="s">
        <v>7005</v>
      </c>
      <c r="F3855" t="s">
        <v>49</v>
      </c>
      <c r="G3855" t="s">
        <v>7742</v>
      </c>
      <c r="H3855" t="s">
        <v>7743</v>
      </c>
      <c r="J3855" t="str">
        <f>HYPERLINK("https://twitter.com/Prakash_sahoo07/status/1746588567944806495","https://twitter.com/Prakash_sahoo07/status/1746588567944806495")</f>
        <v>https://twitter.com/Prakash_sahoo07/status/1746588567944806495</v>
      </c>
      <c r="K3855" t="s">
        <v>67</v>
      </c>
      <c r="O3855">
        <v>0</v>
      </c>
      <c r="P3855">
        <v>0</v>
      </c>
      <c r="Q3855">
        <v>1</v>
      </c>
      <c r="S3855">
        <v>0</v>
      </c>
      <c r="T3855">
        <v>0</v>
      </c>
      <c r="U3855">
        <v>0</v>
      </c>
      <c r="W3855" t="s">
        <v>99</v>
      </c>
    </row>
    <row r="3856" spans="1:23" x14ac:dyDescent="0.35">
      <c r="A3856" t="s">
        <v>45</v>
      </c>
      <c r="B3856" t="s">
        <v>7741</v>
      </c>
      <c r="C3856" t="s">
        <v>60</v>
      </c>
      <c r="D3856" t="s">
        <v>61</v>
      </c>
      <c r="E3856" t="s">
        <v>61</v>
      </c>
      <c r="F3856" t="s">
        <v>49</v>
      </c>
      <c r="G3856" t="s">
        <v>7744</v>
      </c>
      <c r="H3856" t="s">
        <v>7745</v>
      </c>
      <c r="J3856" t="str">
        <f>HYPERLINK("https://www.facebook.com/634639855377280/posts/771990234975574?comment_id=1481168546061228","https://www.facebook.com/634639855377280/posts/771990234975574?comment_id=1481168546061228")</f>
        <v>https://www.facebook.com/634639855377280/posts/771990234975574?comment_id=1481168546061228</v>
      </c>
      <c r="O3856">
        <v>0</v>
      </c>
      <c r="P3856">
        <v>0</v>
      </c>
      <c r="Q3856">
        <v>0</v>
      </c>
      <c r="S3856">
        <v>0</v>
      </c>
      <c r="T3856">
        <v>0</v>
      </c>
      <c r="U3856">
        <v>0</v>
      </c>
      <c r="W3856" t="s">
        <v>52</v>
      </c>
    </row>
    <row r="3857" spans="1:23" x14ac:dyDescent="0.35">
      <c r="A3857" t="s">
        <v>45</v>
      </c>
      <c r="B3857" t="s">
        <v>7741</v>
      </c>
      <c r="C3857" t="s">
        <v>60</v>
      </c>
      <c r="D3857" t="s">
        <v>61</v>
      </c>
      <c r="E3857" t="s">
        <v>61</v>
      </c>
      <c r="F3857" t="s">
        <v>49</v>
      </c>
      <c r="G3857" t="s">
        <v>7746</v>
      </c>
      <c r="H3857" t="s">
        <v>7747</v>
      </c>
      <c r="J3857" t="str">
        <f>HYPERLINK("https://www.facebook.com/634639855377280/posts/771990234975574?comment_id=1585512675322892","https://www.facebook.com/634639855377280/posts/771990234975574?comment_id=1585512675322892")</f>
        <v>https://www.facebook.com/634639855377280/posts/771990234975574?comment_id=1585512675322892</v>
      </c>
      <c r="O3857">
        <v>0</v>
      </c>
      <c r="P3857">
        <v>0</v>
      </c>
      <c r="Q3857">
        <v>0</v>
      </c>
      <c r="S3857">
        <v>0</v>
      </c>
      <c r="T3857">
        <v>0</v>
      </c>
      <c r="U3857">
        <v>0</v>
      </c>
      <c r="W3857" t="s">
        <v>52</v>
      </c>
    </row>
    <row r="3858" spans="1:23" x14ac:dyDescent="0.35">
      <c r="A3858" t="s">
        <v>45</v>
      </c>
      <c r="B3858" t="s">
        <v>7741</v>
      </c>
      <c r="C3858" t="s">
        <v>93</v>
      </c>
      <c r="D3858" t="s">
        <v>6259</v>
      </c>
      <c r="E3858" t="s">
        <v>6260</v>
      </c>
      <c r="F3858" t="s">
        <v>193</v>
      </c>
      <c r="G3858" t="s">
        <v>7748</v>
      </c>
      <c r="H3858" t="s">
        <v>7749</v>
      </c>
      <c r="J3858" t="str">
        <f>HYPERLINK("https://twitter.com/dineshsahu0202/status/1746552702245752848","https://twitter.com/dineshsahu0202/status/1746552702245752848")</f>
        <v>https://twitter.com/dineshsahu0202/status/1746552702245752848</v>
      </c>
      <c r="K3858" t="s">
        <v>67</v>
      </c>
      <c r="O3858">
        <v>0</v>
      </c>
      <c r="P3858">
        <v>0</v>
      </c>
      <c r="Q3858">
        <v>2</v>
      </c>
      <c r="S3858">
        <v>0</v>
      </c>
      <c r="T3858">
        <v>0</v>
      </c>
      <c r="U3858">
        <v>0</v>
      </c>
      <c r="W3858" t="s">
        <v>99</v>
      </c>
    </row>
    <row r="3859" spans="1:23" x14ac:dyDescent="0.35">
      <c r="A3859" t="s">
        <v>45</v>
      </c>
      <c r="B3859" t="s">
        <v>7741</v>
      </c>
      <c r="C3859" t="s">
        <v>47</v>
      </c>
      <c r="D3859" t="s">
        <v>7750</v>
      </c>
      <c r="E3859" t="s">
        <v>7750</v>
      </c>
      <c r="F3859" t="s">
        <v>49</v>
      </c>
      <c r="G3859" t="s">
        <v>7751</v>
      </c>
      <c r="H3859" t="s">
        <v>7752</v>
      </c>
      <c r="J3859" t="str">
        <f>HYPERLINK("https://www.youtube.com/watch?v=L5i4m_k_9Nw","https://www.youtube.com/watch?v=L5i4m_k_9Nw")</f>
        <v>https://www.youtube.com/watch?v=L5i4m_k_9Nw</v>
      </c>
      <c r="O3859">
        <v>0</v>
      </c>
      <c r="P3859">
        <v>0</v>
      </c>
      <c r="Q3859">
        <v>0</v>
      </c>
      <c r="S3859">
        <v>0</v>
      </c>
      <c r="T3859">
        <v>0</v>
      </c>
      <c r="U3859">
        <v>0</v>
      </c>
      <c r="W3859" t="s">
        <v>346</v>
      </c>
    </row>
    <row r="3860" spans="1:23" x14ac:dyDescent="0.35">
      <c r="A3860" t="s">
        <v>45</v>
      </c>
      <c r="B3860" t="s">
        <v>7741</v>
      </c>
      <c r="C3860" t="s">
        <v>60</v>
      </c>
      <c r="D3860" t="s">
        <v>61</v>
      </c>
      <c r="E3860" t="s">
        <v>61</v>
      </c>
      <c r="F3860" t="s">
        <v>49</v>
      </c>
      <c r="G3860" t="s">
        <v>7212</v>
      </c>
      <c r="H3860" t="s">
        <v>7753</v>
      </c>
      <c r="J3860" t="str">
        <f>HYPERLINK("https://www.facebook.com/634639855377280/posts/771990234975574?comment_id=416813964111173","https://www.facebook.com/634639855377280/posts/771990234975574?comment_id=416813964111173")</f>
        <v>https://www.facebook.com/634639855377280/posts/771990234975574?comment_id=416813964111173</v>
      </c>
      <c r="O3860">
        <v>0</v>
      </c>
      <c r="P3860">
        <v>0</v>
      </c>
      <c r="Q3860">
        <v>0</v>
      </c>
      <c r="S3860">
        <v>0</v>
      </c>
      <c r="T3860">
        <v>0</v>
      </c>
      <c r="U3860">
        <v>0</v>
      </c>
      <c r="W3860" t="s">
        <v>52</v>
      </c>
    </row>
    <row r="3861" spans="1:23" x14ac:dyDescent="0.35">
      <c r="A3861" t="s">
        <v>45</v>
      </c>
      <c r="B3861" t="s">
        <v>7741</v>
      </c>
      <c r="C3861" t="s">
        <v>93</v>
      </c>
      <c r="D3861" t="s">
        <v>6259</v>
      </c>
      <c r="E3861" t="s">
        <v>6260</v>
      </c>
      <c r="F3861" t="s">
        <v>49</v>
      </c>
      <c r="G3861" t="s">
        <v>7754</v>
      </c>
      <c r="H3861" t="s">
        <v>7755</v>
      </c>
      <c r="J3861" t="str">
        <f>HYPERLINK("https://twitter.com/dineshsahu0202/status/1746526410808913936","https://twitter.com/dineshsahu0202/status/1746526410808913936")</f>
        <v>https://twitter.com/dineshsahu0202/status/1746526410808913936</v>
      </c>
      <c r="K3861" t="s">
        <v>67</v>
      </c>
      <c r="O3861">
        <v>0</v>
      </c>
      <c r="P3861">
        <v>0</v>
      </c>
      <c r="Q3861">
        <v>2</v>
      </c>
      <c r="S3861">
        <v>0</v>
      </c>
      <c r="T3861">
        <v>0</v>
      </c>
      <c r="U3861">
        <v>0</v>
      </c>
      <c r="W3861" t="s">
        <v>99</v>
      </c>
    </row>
    <row r="3862" spans="1:23" x14ac:dyDescent="0.35">
      <c r="A3862" t="s">
        <v>45</v>
      </c>
      <c r="B3862" t="s">
        <v>7741</v>
      </c>
      <c r="C3862" t="s">
        <v>93</v>
      </c>
      <c r="D3862" t="s">
        <v>7756</v>
      </c>
      <c r="E3862" t="s">
        <v>7757</v>
      </c>
      <c r="F3862" t="s">
        <v>193</v>
      </c>
      <c r="G3862" t="s">
        <v>7758</v>
      </c>
      <c r="H3862" t="s">
        <v>7759</v>
      </c>
      <c r="J3862" t="str">
        <f>HYPERLINK("https://twitter.com/Ashok8390/status/1746522704486801580","https://twitter.com/Ashok8390/status/1746522704486801580")</f>
        <v>https://twitter.com/Ashok8390/status/1746522704486801580</v>
      </c>
      <c r="K3862" t="s">
        <v>67</v>
      </c>
      <c r="O3862">
        <v>0</v>
      </c>
      <c r="P3862">
        <v>0</v>
      </c>
      <c r="Q3862">
        <v>1</v>
      </c>
      <c r="S3862">
        <v>0</v>
      </c>
      <c r="T3862">
        <v>0</v>
      </c>
      <c r="U3862">
        <v>0</v>
      </c>
      <c r="W3862" t="s">
        <v>99</v>
      </c>
    </row>
    <row r="3863" spans="1:23" x14ac:dyDescent="0.35">
      <c r="A3863" t="s">
        <v>45</v>
      </c>
      <c r="B3863" t="s">
        <v>7741</v>
      </c>
      <c r="C3863" t="s">
        <v>93</v>
      </c>
      <c r="D3863" t="s">
        <v>7756</v>
      </c>
      <c r="E3863" t="s">
        <v>7757</v>
      </c>
      <c r="F3863" t="s">
        <v>49</v>
      </c>
      <c r="G3863" t="s">
        <v>7760</v>
      </c>
      <c r="H3863" t="s">
        <v>7761</v>
      </c>
      <c r="J3863" t="str">
        <f>HYPERLINK("https://twitter.com/Ashok8390/status/1746521696046047314","https://twitter.com/Ashok8390/status/1746521696046047314")</f>
        <v>https://twitter.com/Ashok8390/status/1746521696046047314</v>
      </c>
      <c r="K3863" t="s">
        <v>67</v>
      </c>
      <c r="O3863">
        <v>0</v>
      </c>
      <c r="P3863">
        <v>0</v>
      </c>
      <c r="Q3863">
        <v>1</v>
      </c>
      <c r="S3863">
        <v>0</v>
      </c>
      <c r="T3863">
        <v>0</v>
      </c>
      <c r="U3863">
        <v>0</v>
      </c>
      <c r="W3863" t="s">
        <v>99</v>
      </c>
    </row>
    <row r="3864" spans="1:23" x14ac:dyDescent="0.35">
      <c r="A3864" t="s">
        <v>45</v>
      </c>
      <c r="B3864" t="s">
        <v>7741</v>
      </c>
      <c r="C3864" t="s">
        <v>60</v>
      </c>
      <c r="D3864" t="s">
        <v>61</v>
      </c>
      <c r="E3864" t="s">
        <v>61</v>
      </c>
      <c r="F3864" t="s">
        <v>49</v>
      </c>
      <c r="G3864" t="s">
        <v>4264</v>
      </c>
      <c r="H3864" t="s">
        <v>7762</v>
      </c>
      <c r="J3864" t="str">
        <f>HYPERLINK("https://www.facebook.com/634639855377280/posts/771990234975574?comment_id=896061695852682","https://www.facebook.com/634639855377280/posts/771990234975574?comment_id=896061695852682")</f>
        <v>https://www.facebook.com/634639855377280/posts/771990234975574?comment_id=896061695852682</v>
      </c>
      <c r="O3864">
        <v>0</v>
      </c>
      <c r="P3864">
        <v>0</v>
      </c>
      <c r="Q3864">
        <v>0</v>
      </c>
      <c r="S3864">
        <v>0</v>
      </c>
      <c r="T3864">
        <v>0</v>
      </c>
      <c r="U3864">
        <v>0</v>
      </c>
      <c r="W3864" t="s">
        <v>52</v>
      </c>
    </row>
    <row r="3865" spans="1:23" x14ac:dyDescent="0.35">
      <c r="A3865" t="s">
        <v>45</v>
      </c>
      <c r="B3865" t="s">
        <v>7741</v>
      </c>
      <c r="C3865" t="s">
        <v>60</v>
      </c>
      <c r="D3865" t="s">
        <v>61</v>
      </c>
      <c r="E3865" t="s">
        <v>61</v>
      </c>
      <c r="F3865" t="s">
        <v>49</v>
      </c>
      <c r="G3865" t="s">
        <v>7763</v>
      </c>
      <c r="H3865" t="s">
        <v>7764</v>
      </c>
      <c r="J3865" t="str">
        <f>HYPERLINK("https://www.facebook.com/634639855377280/posts/771990234975574?comment_id=2688563297961285","https://www.facebook.com/634639855377280/posts/771990234975574?comment_id=2688563297961285")</f>
        <v>https://www.facebook.com/634639855377280/posts/771990234975574?comment_id=2688563297961285</v>
      </c>
      <c r="O3865">
        <v>0</v>
      </c>
      <c r="P3865">
        <v>0</v>
      </c>
      <c r="Q3865">
        <v>0</v>
      </c>
      <c r="S3865">
        <v>0</v>
      </c>
      <c r="T3865">
        <v>0</v>
      </c>
      <c r="U3865">
        <v>0</v>
      </c>
      <c r="W3865" t="s">
        <v>52</v>
      </c>
    </row>
    <row r="3866" spans="1:23" x14ac:dyDescent="0.35">
      <c r="A3866" t="s">
        <v>45</v>
      </c>
      <c r="B3866" t="s">
        <v>7741</v>
      </c>
      <c r="C3866" t="s">
        <v>93</v>
      </c>
      <c r="D3866" t="s">
        <v>94</v>
      </c>
      <c r="E3866" t="s">
        <v>45</v>
      </c>
      <c r="F3866" t="s">
        <v>49</v>
      </c>
      <c r="G3866" t="s">
        <v>5118</v>
      </c>
      <c r="H3866" t="s">
        <v>7765</v>
      </c>
      <c r="J3866" t="str">
        <f>HYPERLINK("https://twitter.com/SpiceMoneyIndia/status/1746514539011608985","https://twitter.com/SpiceMoneyIndia/status/1746514539011608985")</f>
        <v>https://twitter.com/SpiceMoneyIndia/status/1746514539011608985</v>
      </c>
      <c r="K3866" t="s">
        <v>67</v>
      </c>
      <c r="O3866">
        <v>0</v>
      </c>
      <c r="P3866">
        <v>0</v>
      </c>
      <c r="Q3866">
        <v>5997</v>
      </c>
      <c r="R3866" t="s">
        <v>97</v>
      </c>
      <c r="S3866">
        <v>0</v>
      </c>
      <c r="T3866">
        <v>0</v>
      </c>
      <c r="U3866">
        <v>0</v>
      </c>
      <c r="V3866" t="s">
        <v>98</v>
      </c>
      <c r="W3866" t="s">
        <v>99</v>
      </c>
    </row>
    <row r="3867" spans="1:23" x14ac:dyDescent="0.35">
      <c r="A3867" t="s">
        <v>45</v>
      </c>
      <c r="B3867" t="s">
        <v>7741</v>
      </c>
      <c r="C3867" t="s">
        <v>93</v>
      </c>
      <c r="D3867" t="s">
        <v>94</v>
      </c>
      <c r="E3867" t="s">
        <v>45</v>
      </c>
      <c r="F3867" t="s">
        <v>49</v>
      </c>
      <c r="G3867" t="s">
        <v>7766</v>
      </c>
      <c r="H3867" t="s">
        <v>7767</v>
      </c>
      <c r="J3867" t="str">
        <f>HYPERLINK("https://twitter.com/SpiceMoneyIndia/status/1746514412637172201","https://twitter.com/SpiceMoneyIndia/status/1746514412637172201")</f>
        <v>https://twitter.com/SpiceMoneyIndia/status/1746514412637172201</v>
      </c>
      <c r="K3867" t="s">
        <v>67</v>
      </c>
      <c r="O3867">
        <v>0</v>
      </c>
      <c r="P3867">
        <v>0</v>
      </c>
      <c r="Q3867">
        <v>5997</v>
      </c>
      <c r="R3867" t="s">
        <v>97</v>
      </c>
      <c r="S3867">
        <v>0</v>
      </c>
      <c r="T3867">
        <v>0</v>
      </c>
      <c r="U3867">
        <v>0</v>
      </c>
      <c r="V3867" t="s">
        <v>98</v>
      </c>
      <c r="W3867" t="s">
        <v>99</v>
      </c>
    </row>
    <row r="3868" spans="1:23" x14ac:dyDescent="0.35">
      <c r="A3868" t="s">
        <v>45</v>
      </c>
      <c r="B3868" t="s">
        <v>7741</v>
      </c>
      <c r="C3868" t="s">
        <v>93</v>
      </c>
      <c r="D3868" t="s">
        <v>94</v>
      </c>
      <c r="E3868" t="s">
        <v>45</v>
      </c>
      <c r="F3868" t="s">
        <v>49</v>
      </c>
      <c r="G3868" t="s">
        <v>7768</v>
      </c>
      <c r="H3868" t="s">
        <v>7769</v>
      </c>
      <c r="J3868" t="str">
        <f>HYPERLINK("https://twitter.com/SpiceMoneyIndia/status/1746514098437734771","https://twitter.com/SpiceMoneyIndia/status/1746514098437734771")</f>
        <v>https://twitter.com/SpiceMoneyIndia/status/1746514098437734771</v>
      </c>
      <c r="K3868" t="s">
        <v>67</v>
      </c>
      <c r="O3868">
        <v>0</v>
      </c>
      <c r="P3868">
        <v>0</v>
      </c>
      <c r="Q3868">
        <v>5997</v>
      </c>
      <c r="R3868" t="s">
        <v>97</v>
      </c>
      <c r="S3868">
        <v>0</v>
      </c>
      <c r="T3868">
        <v>0</v>
      </c>
      <c r="U3868">
        <v>0</v>
      </c>
      <c r="V3868" t="s">
        <v>98</v>
      </c>
      <c r="W3868" t="s">
        <v>99</v>
      </c>
    </row>
    <row r="3869" spans="1:23" x14ac:dyDescent="0.35">
      <c r="A3869" t="s">
        <v>45</v>
      </c>
      <c r="B3869" t="s">
        <v>7741</v>
      </c>
      <c r="C3869" t="s">
        <v>60</v>
      </c>
      <c r="D3869" t="s">
        <v>64</v>
      </c>
      <c r="E3869" t="s">
        <v>64</v>
      </c>
      <c r="F3869" t="s">
        <v>49</v>
      </c>
      <c r="G3869" t="s">
        <v>270</v>
      </c>
      <c r="H3869" t="s">
        <v>7770</v>
      </c>
      <c r="J3869" t="str">
        <f>HYPERLINK("https://www.facebook.com/634639855377280/posts/771990234975574?comment_id=1822503818196649&amp;reply_comment_id=273471655481976","https://www.facebook.com/634639855377280/posts/771990234975574?comment_id=1822503818196649&amp;reply_comment_id=273471655481976")</f>
        <v>https://www.facebook.com/634639855377280/posts/771990234975574?comment_id=1822503818196649&amp;reply_comment_id=273471655481976</v>
      </c>
      <c r="K3869" t="s">
        <v>67</v>
      </c>
      <c r="O3869">
        <v>0</v>
      </c>
      <c r="P3869">
        <v>0</v>
      </c>
      <c r="Q3869">
        <v>0</v>
      </c>
      <c r="S3869">
        <v>0</v>
      </c>
      <c r="T3869">
        <v>0</v>
      </c>
      <c r="U3869">
        <v>0</v>
      </c>
      <c r="W3869" t="s">
        <v>52</v>
      </c>
    </row>
    <row r="3870" spans="1:23" x14ac:dyDescent="0.35">
      <c r="A3870" t="s">
        <v>45</v>
      </c>
      <c r="B3870" t="s">
        <v>7741</v>
      </c>
      <c r="C3870" t="s">
        <v>93</v>
      </c>
      <c r="D3870" t="s">
        <v>94</v>
      </c>
      <c r="E3870" t="s">
        <v>45</v>
      </c>
      <c r="F3870" t="s">
        <v>49</v>
      </c>
      <c r="G3870" t="s">
        <v>7771</v>
      </c>
      <c r="H3870" t="s">
        <v>7772</v>
      </c>
      <c r="J3870" t="str">
        <f>HYPERLINK("https://twitter.com/SpiceMoneyIndia/status/1746506238563664290","https://twitter.com/SpiceMoneyIndia/status/1746506238563664290")</f>
        <v>https://twitter.com/SpiceMoneyIndia/status/1746506238563664290</v>
      </c>
      <c r="K3870" t="s">
        <v>67</v>
      </c>
      <c r="O3870">
        <v>0</v>
      </c>
      <c r="P3870">
        <v>0</v>
      </c>
      <c r="Q3870">
        <v>5997</v>
      </c>
      <c r="R3870" t="s">
        <v>97</v>
      </c>
      <c r="S3870">
        <v>0</v>
      </c>
      <c r="T3870">
        <v>0</v>
      </c>
      <c r="U3870">
        <v>0</v>
      </c>
      <c r="V3870" t="s">
        <v>98</v>
      </c>
      <c r="W3870" t="s">
        <v>99</v>
      </c>
    </row>
    <row r="3871" spans="1:23" x14ac:dyDescent="0.35">
      <c r="A3871" t="s">
        <v>45</v>
      </c>
      <c r="B3871" t="s">
        <v>7741</v>
      </c>
      <c r="C3871" t="s">
        <v>60</v>
      </c>
      <c r="D3871" t="s">
        <v>61</v>
      </c>
      <c r="E3871" t="s">
        <v>61</v>
      </c>
      <c r="F3871" t="s">
        <v>49</v>
      </c>
      <c r="G3871" t="s">
        <v>7763</v>
      </c>
      <c r="H3871" t="s">
        <v>7773</v>
      </c>
      <c r="J3871" t="str">
        <f>HYPERLINK("https://www.facebook.com/634639855377280/posts/771990234975574?comment_id=1822503818196649","https://www.facebook.com/634639855377280/posts/771990234975574?comment_id=1822503818196649")</f>
        <v>https://www.facebook.com/634639855377280/posts/771990234975574?comment_id=1822503818196649</v>
      </c>
      <c r="O3871">
        <v>0</v>
      </c>
      <c r="P3871">
        <v>0</v>
      </c>
      <c r="Q3871">
        <v>0</v>
      </c>
      <c r="S3871">
        <v>0</v>
      </c>
      <c r="T3871">
        <v>0</v>
      </c>
      <c r="U3871">
        <v>0</v>
      </c>
      <c r="W3871" t="s">
        <v>52</v>
      </c>
    </row>
    <row r="3872" spans="1:23" x14ac:dyDescent="0.35">
      <c r="A3872" t="s">
        <v>45</v>
      </c>
      <c r="B3872" t="s">
        <v>7741</v>
      </c>
      <c r="C3872" t="s">
        <v>93</v>
      </c>
      <c r="D3872" t="s">
        <v>6259</v>
      </c>
      <c r="E3872" t="s">
        <v>6260</v>
      </c>
      <c r="F3872" t="s">
        <v>49</v>
      </c>
      <c r="G3872" s="1" t="s">
        <v>7774</v>
      </c>
      <c r="H3872" t="s">
        <v>7775</v>
      </c>
      <c r="J3872" t="str">
        <f>HYPERLINK("https://twitter.com/dineshsahu0202/status/1746494680517530060","https://twitter.com/dineshsahu0202/status/1746494680517530060")</f>
        <v>https://twitter.com/dineshsahu0202/status/1746494680517530060</v>
      </c>
      <c r="K3872" t="s">
        <v>67</v>
      </c>
      <c r="O3872">
        <v>0</v>
      </c>
      <c r="P3872">
        <v>0</v>
      </c>
      <c r="Q3872">
        <v>2</v>
      </c>
      <c r="S3872">
        <v>0</v>
      </c>
      <c r="T3872">
        <v>0</v>
      </c>
      <c r="U3872">
        <v>0</v>
      </c>
      <c r="W3872" t="s">
        <v>99</v>
      </c>
    </row>
    <row r="3873" spans="1:23" x14ac:dyDescent="0.35">
      <c r="A3873" t="s">
        <v>45</v>
      </c>
      <c r="B3873" t="s">
        <v>7741</v>
      </c>
      <c r="C3873" t="s">
        <v>60</v>
      </c>
      <c r="D3873" t="s">
        <v>61</v>
      </c>
      <c r="E3873" t="s">
        <v>61</v>
      </c>
      <c r="F3873" t="s">
        <v>54</v>
      </c>
      <c r="G3873" t="s">
        <v>7776</v>
      </c>
      <c r="H3873" t="s">
        <v>7777</v>
      </c>
      <c r="J3873" t="str">
        <f>HYPERLINK("https://www.facebook.com/634639855377280/posts/771350455039552?comment_id=411284097917714","https://www.facebook.com/634639855377280/posts/771350455039552?comment_id=411284097917714")</f>
        <v>https://www.facebook.com/634639855377280/posts/771350455039552?comment_id=411284097917714</v>
      </c>
      <c r="O3873">
        <v>0</v>
      </c>
      <c r="P3873">
        <v>0</v>
      </c>
      <c r="Q3873">
        <v>0</v>
      </c>
      <c r="S3873">
        <v>0</v>
      </c>
      <c r="T3873">
        <v>0</v>
      </c>
      <c r="U3873">
        <v>0</v>
      </c>
      <c r="W3873" t="s">
        <v>52</v>
      </c>
    </row>
    <row r="3874" spans="1:23" x14ac:dyDescent="0.35">
      <c r="A3874" t="s">
        <v>45</v>
      </c>
      <c r="B3874" t="s">
        <v>7741</v>
      </c>
      <c r="C3874" t="s">
        <v>93</v>
      </c>
      <c r="D3874" t="s">
        <v>6259</v>
      </c>
      <c r="E3874" t="s">
        <v>6260</v>
      </c>
      <c r="F3874" t="s">
        <v>54</v>
      </c>
      <c r="G3874" t="s">
        <v>7778</v>
      </c>
      <c r="H3874" t="s">
        <v>7779</v>
      </c>
      <c r="J3874" t="str">
        <f>HYPERLINK("https://twitter.com/dineshsahu0202/status/1746491953087431048","https://twitter.com/dineshsahu0202/status/1746491953087431048")</f>
        <v>https://twitter.com/dineshsahu0202/status/1746491953087431048</v>
      </c>
      <c r="K3874" t="s">
        <v>67</v>
      </c>
      <c r="O3874">
        <v>0</v>
      </c>
      <c r="P3874">
        <v>0</v>
      </c>
      <c r="Q3874">
        <v>2</v>
      </c>
      <c r="S3874">
        <v>0</v>
      </c>
      <c r="T3874">
        <v>0</v>
      </c>
      <c r="U3874">
        <v>0</v>
      </c>
      <c r="W3874" t="s">
        <v>433</v>
      </c>
    </row>
    <row r="3875" spans="1:23" x14ac:dyDescent="0.35">
      <c r="A3875" t="s">
        <v>45</v>
      </c>
      <c r="B3875" t="s">
        <v>7741</v>
      </c>
      <c r="C3875" t="s">
        <v>93</v>
      </c>
      <c r="D3875" t="s">
        <v>7780</v>
      </c>
      <c r="E3875" t="s">
        <v>7781</v>
      </c>
      <c r="F3875" t="s">
        <v>193</v>
      </c>
      <c r="G3875" t="s">
        <v>7782</v>
      </c>
      <c r="H3875" t="s">
        <v>7783</v>
      </c>
      <c r="J3875" t="str">
        <f>HYPERLINK("https://twitter.com/TrivediRan73067/status/1746481808689299471","https://twitter.com/TrivediRan73067/status/1746481808689299471")</f>
        <v>https://twitter.com/TrivediRan73067/status/1746481808689299471</v>
      </c>
      <c r="K3875" t="s">
        <v>471</v>
      </c>
      <c r="O3875">
        <v>0</v>
      </c>
      <c r="P3875">
        <v>0</v>
      </c>
      <c r="Q3875">
        <v>0</v>
      </c>
      <c r="S3875">
        <v>0</v>
      </c>
      <c r="T3875">
        <v>0</v>
      </c>
      <c r="U3875">
        <v>0</v>
      </c>
      <c r="W3875" t="s">
        <v>99</v>
      </c>
    </row>
    <row r="3876" spans="1:23" x14ac:dyDescent="0.35">
      <c r="A3876" t="s">
        <v>45</v>
      </c>
      <c r="B3876" t="s">
        <v>7741</v>
      </c>
      <c r="C3876" t="s">
        <v>60</v>
      </c>
      <c r="D3876" t="s">
        <v>61</v>
      </c>
      <c r="E3876" t="s">
        <v>61</v>
      </c>
      <c r="F3876" t="s">
        <v>54</v>
      </c>
      <c r="G3876" t="s">
        <v>7784</v>
      </c>
      <c r="H3876" t="s">
        <v>7785</v>
      </c>
      <c r="J3876" t="str">
        <f>HYPERLINK("https://www.facebook.com/634639855377280/posts/769133368594594?comment_id=1873089216442018","https://www.facebook.com/634639855377280/posts/769133368594594?comment_id=1873089216442018")</f>
        <v>https://www.facebook.com/634639855377280/posts/769133368594594?comment_id=1873089216442018</v>
      </c>
      <c r="O3876">
        <v>0</v>
      </c>
      <c r="P3876">
        <v>0</v>
      </c>
      <c r="Q3876">
        <v>0</v>
      </c>
      <c r="S3876">
        <v>0</v>
      </c>
      <c r="T3876">
        <v>0</v>
      </c>
      <c r="U3876">
        <v>0</v>
      </c>
      <c r="W3876" t="s">
        <v>52</v>
      </c>
    </row>
    <row r="3877" spans="1:23" x14ac:dyDescent="0.35">
      <c r="A3877" t="s">
        <v>45</v>
      </c>
      <c r="B3877" t="s">
        <v>7741</v>
      </c>
      <c r="C3877" t="s">
        <v>60</v>
      </c>
      <c r="D3877" t="s">
        <v>61</v>
      </c>
      <c r="E3877" t="s">
        <v>61</v>
      </c>
      <c r="F3877" t="s">
        <v>54</v>
      </c>
      <c r="G3877" t="s">
        <v>7786</v>
      </c>
      <c r="H3877" t="s">
        <v>7787</v>
      </c>
      <c r="J3877" t="str">
        <f>HYPERLINK("https://www.facebook.com/634639855377280/posts/771990234975574?comment_id=1599152580828266","https://www.facebook.com/634639855377280/posts/771990234975574?comment_id=1599152580828266")</f>
        <v>https://www.facebook.com/634639855377280/posts/771990234975574?comment_id=1599152580828266</v>
      </c>
      <c r="O3877">
        <v>0</v>
      </c>
      <c r="P3877">
        <v>0</v>
      </c>
      <c r="Q3877">
        <v>0</v>
      </c>
      <c r="S3877">
        <v>0</v>
      </c>
      <c r="T3877">
        <v>0</v>
      </c>
      <c r="U3877">
        <v>0</v>
      </c>
      <c r="W3877" t="s">
        <v>52</v>
      </c>
    </row>
    <row r="3878" spans="1:23" x14ac:dyDescent="0.35">
      <c r="A3878" t="s">
        <v>45</v>
      </c>
      <c r="B3878" t="s">
        <v>7741</v>
      </c>
      <c r="C3878" t="s">
        <v>60</v>
      </c>
      <c r="D3878" t="s">
        <v>64</v>
      </c>
      <c r="E3878" t="s">
        <v>64</v>
      </c>
      <c r="F3878" t="s">
        <v>49</v>
      </c>
      <c r="G3878" t="s">
        <v>7788</v>
      </c>
      <c r="H3878" t="s">
        <v>7789</v>
      </c>
      <c r="J3878" t="str">
        <f>HYPERLINK("https://www.facebook.com/634639855377280/posts/769133368594594?comment_id=704935184751910&amp;reply_comment_id=1426924827930339","https://www.facebook.com/634639855377280/posts/769133368594594?comment_id=704935184751910&amp;reply_comment_id=1426924827930339")</f>
        <v>https://www.facebook.com/634639855377280/posts/769133368594594?comment_id=704935184751910&amp;reply_comment_id=1426924827930339</v>
      </c>
      <c r="K3878" t="s">
        <v>67</v>
      </c>
      <c r="O3878">
        <v>0</v>
      </c>
      <c r="P3878">
        <v>0</v>
      </c>
      <c r="Q3878">
        <v>0</v>
      </c>
      <c r="S3878">
        <v>0</v>
      </c>
      <c r="T3878">
        <v>0</v>
      </c>
      <c r="U3878">
        <v>0</v>
      </c>
      <c r="W3878" t="s">
        <v>52</v>
      </c>
    </row>
    <row r="3879" spans="1:23" x14ac:dyDescent="0.35">
      <c r="A3879" t="s">
        <v>45</v>
      </c>
      <c r="B3879" t="s">
        <v>7741</v>
      </c>
      <c r="C3879" t="s">
        <v>93</v>
      </c>
      <c r="D3879" t="s">
        <v>7004</v>
      </c>
      <c r="E3879" t="s">
        <v>7005</v>
      </c>
      <c r="F3879" t="s">
        <v>49</v>
      </c>
      <c r="G3879" t="s">
        <v>7790</v>
      </c>
      <c r="H3879" t="s">
        <v>7791</v>
      </c>
      <c r="J3879" t="str">
        <f>HYPERLINK("https://twitter.com/Prakash_sahoo07/status/1746469821129392524","https://twitter.com/Prakash_sahoo07/status/1746469821129392524")</f>
        <v>https://twitter.com/Prakash_sahoo07/status/1746469821129392524</v>
      </c>
      <c r="K3879" t="s">
        <v>67</v>
      </c>
      <c r="O3879">
        <v>0</v>
      </c>
      <c r="P3879">
        <v>0</v>
      </c>
      <c r="Q3879">
        <v>1</v>
      </c>
      <c r="S3879">
        <v>0</v>
      </c>
      <c r="T3879">
        <v>0</v>
      </c>
      <c r="U3879">
        <v>0</v>
      </c>
      <c r="W3879" t="s">
        <v>99</v>
      </c>
    </row>
    <row r="3880" spans="1:23" x14ac:dyDescent="0.35">
      <c r="A3880" t="s">
        <v>45</v>
      </c>
      <c r="B3880" t="s">
        <v>7741</v>
      </c>
      <c r="C3880" t="s">
        <v>47</v>
      </c>
      <c r="D3880" t="s">
        <v>7371</v>
      </c>
      <c r="E3880" t="s">
        <v>7371</v>
      </c>
      <c r="F3880" t="s">
        <v>193</v>
      </c>
      <c r="G3880" t="s">
        <v>7792</v>
      </c>
      <c r="H3880" t="s">
        <v>7793</v>
      </c>
      <c r="J3880" t="str">
        <f>HYPERLINK("https://www.youtube.com/watch?v=2FEM1kunPCQ&amp;lc=UgzOzpffqElbo7Chm6F4AaABAg","https://www.youtube.com/watch?v=2FEM1kunPCQ&amp;lc=UgzOzpffqElbo7Chm6F4AaABAg")</f>
        <v>https://www.youtube.com/watch?v=2FEM1kunPCQ&amp;lc=UgzOzpffqElbo7Chm6F4AaABAg</v>
      </c>
      <c r="O3880">
        <v>0</v>
      </c>
      <c r="P3880">
        <v>0</v>
      </c>
      <c r="Q3880">
        <v>0</v>
      </c>
      <c r="S3880">
        <v>0</v>
      </c>
      <c r="T3880">
        <v>0</v>
      </c>
      <c r="U3880">
        <v>0</v>
      </c>
      <c r="W3880" t="s">
        <v>52</v>
      </c>
    </row>
    <row r="3881" spans="1:23" x14ac:dyDescent="0.35">
      <c r="A3881" t="s">
        <v>45</v>
      </c>
      <c r="B3881" t="s">
        <v>7741</v>
      </c>
      <c r="C3881" t="s">
        <v>93</v>
      </c>
      <c r="D3881" t="s">
        <v>7004</v>
      </c>
      <c r="E3881" t="s">
        <v>7005</v>
      </c>
      <c r="F3881" t="s">
        <v>49</v>
      </c>
      <c r="G3881" t="s">
        <v>7794</v>
      </c>
      <c r="H3881" t="s">
        <v>7795</v>
      </c>
      <c r="J3881" t="str">
        <f>HYPERLINK("https://twitter.com/Prakash_sahoo07/status/1746464414847635865","https://twitter.com/Prakash_sahoo07/status/1746464414847635865")</f>
        <v>https://twitter.com/Prakash_sahoo07/status/1746464414847635865</v>
      </c>
      <c r="K3881" t="s">
        <v>67</v>
      </c>
      <c r="O3881">
        <v>0</v>
      </c>
      <c r="P3881">
        <v>0</v>
      </c>
      <c r="Q3881">
        <v>1</v>
      </c>
      <c r="S3881">
        <v>0</v>
      </c>
      <c r="T3881">
        <v>0</v>
      </c>
      <c r="U3881">
        <v>0</v>
      </c>
      <c r="W3881" t="s">
        <v>99</v>
      </c>
    </row>
    <row r="3882" spans="1:23" x14ac:dyDescent="0.35">
      <c r="A3882" t="s">
        <v>45</v>
      </c>
      <c r="B3882" t="s">
        <v>7741</v>
      </c>
      <c r="C3882" t="s">
        <v>47</v>
      </c>
      <c r="D3882" t="s">
        <v>45</v>
      </c>
      <c r="E3882" t="s">
        <v>45</v>
      </c>
      <c r="F3882" t="s">
        <v>49</v>
      </c>
      <c r="G3882" t="s">
        <v>7530</v>
      </c>
      <c r="H3882" t="s">
        <v>7796</v>
      </c>
      <c r="J3882" t="str">
        <f>HYPERLINK("https://www.youtube.com/watch?v=nw5NSk5mPF8","https://www.youtube.com/watch?v=nw5NSk5mPF8")</f>
        <v>https://www.youtube.com/watch?v=nw5NSk5mPF8</v>
      </c>
      <c r="O3882">
        <v>0</v>
      </c>
      <c r="P3882">
        <v>0</v>
      </c>
      <c r="Q3882">
        <v>0</v>
      </c>
      <c r="S3882">
        <v>0</v>
      </c>
      <c r="T3882">
        <v>0</v>
      </c>
      <c r="U3882">
        <v>0</v>
      </c>
      <c r="W3882" t="s">
        <v>346</v>
      </c>
    </row>
    <row r="3883" spans="1:23" x14ac:dyDescent="0.35">
      <c r="A3883" t="s">
        <v>45</v>
      </c>
      <c r="B3883" t="s">
        <v>7741</v>
      </c>
      <c r="C3883" t="s">
        <v>47</v>
      </c>
      <c r="D3883" t="s">
        <v>45</v>
      </c>
      <c r="E3883" t="s">
        <v>45</v>
      </c>
      <c r="F3883" t="s">
        <v>49</v>
      </c>
      <c r="G3883" t="s">
        <v>7728</v>
      </c>
      <c r="H3883" t="s">
        <v>7797</v>
      </c>
      <c r="J3883" t="str">
        <f>HYPERLINK("https://www.youtube.com/watch?v=dqPqFJSj1VA","https://www.youtube.com/watch?v=dqPqFJSj1VA")</f>
        <v>https://www.youtube.com/watch?v=dqPqFJSj1VA</v>
      </c>
      <c r="O3883">
        <v>0</v>
      </c>
      <c r="P3883">
        <v>0</v>
      </c>
      <c r="Q3883">
        <v>0</v>
      </c>
      <c r="S3883">
        <v>0</v>
      </c>
      <c r="T3883">
        <v>0</v>
      </c>
      <c r="U3883">
        <v>0</v>
      </c>
      <c r="W3883" t="s">
        <v>346</v>
      </c>
    </row>
    <row r="3884" spans="1:23" x14ac:dyDescent="0.35">
      <c r="A3884" t="s">
        <v>45</v>
      </c>
      <c r="B3884" t="s">
        <v>7741</v>
      </c>
      <c r="C3884" t="s">
        <v>47</v>
      </c>
      <c r="D3884" t="s">
        <v>45</v>
      </c>
      <c r="E3884" t="s">
        <v>45</v>
      </c>
      <c r="F3884" t="s">
        <v>49</v>
      </c>
      <c r="G3884" t="s">
        <v>7191</v>
      </c>
      <c r="H3884" t="s">
        <v>7798</v>
      </c>
      <c r="J3884" t="str">
        <f>HYPERLINK("https://www.youtube.com/watch?v=L48LASyoHuE","https://www.youtube.com/watch?v=L48LASyoHuE")</f>
        <v>https://www.youtube.com/watch?v=L48LASyoHuE</v>
      </c>
      <c r="O3884">
        <v>0</v>
      </c>
      <c r="P3884">
        <v>0</v>
      </c>
      <c r="Q3884">
        <v>0</v>
      </c>
      <c r="S3884">
        <v>0</v>
      </c>
      <c r="T3884">
        <v>0</v>
      </c>
      <c r="U3884">
        <v>0</v>
      </c>
      <c r="W3884" t="s">
        <v>346</v>
      </c>
    </row>
    <row r="3885" spans="1:23" x14ac:dyDescent="0.35">
      <c r="A3885" t="s">
        <v>45</v>
      </c>
      <c r="B3885" t="s">
        <v>7741</v>
      </c>
      <c r="C3885" t="s">
        <v>47</v>
      </c>
      <c r="D3885" t="s">
        <v>45</v>
      </c>
      <c r="E3885" t="s">
        <v>45</v>
      </c>
      <c r="F3885" t="s">
        <v>49</v>
      </c>
      <c r="G3885" t="s">
        <v>7191</v>
      </c>
      <c r="H3885" t="s">
        <v>7799</v>
      </c>
      <c r="J3885" t="str">
        <f>HYPERLINK("https://www.youtube.com/watch?v=L48LASyoHuE","https://www.youtube.com/watch?v=L48LASyoHuE")</f>
        <v>https://www.youtube.com/watch?v=L48LASyoHuE</v>
      </c>
      <c r="O3885">
        <v>0</v>
      </c>
      <c r="P3885">
        <v>0</v>
      </c>
      <c r="Q3885">
        <v>0</v>
      </c>
      <c r="S3885">
        <v>0</v>
      </c>
      <c r="T3885">
        <v>0</v>
      </c>
      <c r="U3885">
        <v>0</v>
      </c>
      <c r="W3885" t="s">
        <v>346</v>
      </c>
    </row>
    <row r="3886" spans="1:23" x14ac:dyDescent="0.35">
      <c r="A3886" t="s">
        <v>45</v>
      </c>
      <c r="B3886" t="s">
        <v>7741</v>
      </c>
      <c r="C3886" t="s">
        <v>93</v>
      </c>
      <c r="D3886" t="s">
        <v>94</v>
      </c>
      <c r="E3886" t="s">
        <v>45</v>
      </c>
      <c r="F3886" t="s">
        <v>49</v>
      </c>
      <c r="G3886" t="s">
        <v>7800</v>
      </c>
      <c r="H3886" t="s">
        <v>7801</v>
      </c>
      <c r="J3886" t="str">
        <f>HYPERLINK("https://twitter.com/SpiceMoneyIndia/status/1746430656609919073","https://twitter.com/SpiceMoneyIndia/status/1746430656609919073")</f>
        <v>https://twitter.com/SpiceMoneyIndia/status/1746430656609919073</v>
      </c>
      <c r="K3886" t="s">
        <v>67</v>
      </c>
      <c r="O3886">
        <v>0</v>
      </c>
      <c r="P3886">
        <v>0</v>
      </c>
      <c r="Q3886">
        <v>5998</v>
      </c>
      <c r="R3886" t="s">
        <v>97</v>
      </c>
      <c r="S3886">
        <v>0</v>
      </c>
      <c r="T3886">
        <v>0</v>
      </c>
      <c r="U3886">
        <v>0</v>
      </c>
      <c r="V3886" t="s">
        <v>98</v>
      </c>
      <c r="W3886" t="s">
        <v>99</v>
      </c>
    </row>
    <row r="3887" spans="1:23" x14ac:dyDescent="0.35">
      <c r="A3887" t="s">
        <v>45</v>
      </c>
      <c r="B3887" t="s">
        <v>7741</v>
      </c>
      <c r="C3887" t="s">
        <v>60</v>
      </c>
      <c r="D3887" t="s">
        <v>64</v>
      </c>
      <c r="E3887" t="s">
        <v>64</v>
      </c>
      <c r="F3887" t="s">
        <v>49</v>
      </c>
      <c r="G3887" t="s">
        <v>100</v>
      </c>
      <c r="H3887" t="s">
        <v>7802</v>
      </c>
      <c r="J3887" t="str">
        <f>HYPERLINK("https://www.facebook.com/634639855377280/posts/771350455039552?comment_id=951068643113303&amp;reply_comment_id=1021453392273886","https://www.facebook.com/634639855377280/posts/771350455039552?comment_id=951068643113303&amp;reply_comment_id=1021453392273886")</f>
        <v>https://www.facebook.com/634639855377280/posts/771350455039552?comment_id=951068643113303&amp;reply_comment_id=1021453392273886</v>
      </c>
      <c r="K3887" t="s">
        <v>67</v>
      </c>
      <c r="O3887">
        <v>0</v>
      </c>
      <c r="P3887">
        <v>0</v>
      </c>
      <c r="Q3887">
        <v>0</v>
      </c>
      <c r="S3887">
        <v>0</v>
      </c>
      <c r="T3887">
        <v>0</v>
      </c>
      <c r="U3887">
        <v>0</v>
      </c>
      <c r="W3887" t="s">
        <v>52</v>
      </c>
    </row>
    <row r="3888" spans="1:23" x14ac:dyDescent="0.35">
      <c r="A3888" t="s">
        <v>45</v>
      </c>
      <c r="B3888" t="s">
        <v>7741</v>
      </c>
      <c r="C3888" t="s">
        <v>60</v>
      </c>
      <c r="D3888" t="s">
        <v>61</v>
      </c>
      <c r="E3888" t="s">
        <v>61</v>
      </c>
      <c r="F3888" t="s">
        <v>49</v>
      </c>
      <c r="G3888" t="s">
        <v>7803</v>
      </c>
      <c r="H3888" t="s">
        <v>7804</v>
      </c>
      <c r="J3888" t="str">
        <f>HYPERLINK("https://www.facebook.com/634639855377280/posts/771350455039552?comment_id=1462240781315374","https://www.facebook.com/634639855377280/posts/771350455039552?comment_id=1462240781315374")</f>
        <v>https://www.facebook.com/634639855377280/posts/771350455039552?comment_id=1462240781315374</v>
      </c>
      <c r="O3888">
        <v>0</v>
      </c>
      <c r="P3888">
        <v>0</v>
      </c>
      <c r="Q3888">
        <v>0</v>
      </c>
      <c r="S3888">
        <v>0</v>
      </c>
      <c r="T3888">
        <v>0</v>
      </c>
      <c r="U3888">
        <v>0</v>
      </c>
      <c r="W3888" t="s">
        <v>52</v>
      </c>
    </row>
    <row r="3889" spans="1:23" x14ac:dyDescent="0.35">
      <c r="A3889" t="s">
        <v>45</v>
      </c>
      <c r="B3889" t="s">
        <v>7741</v>
      </c>
      <c r="C3889" t="s">
        <v>93</v>
      </c>
      <c r="D3889" t="s">
        <v>1319</v>
      </c>
      <c r="E3889" t="s">
        <v>1320</v>
      </c>
      <c r="F3889" t="s">
        <v>49</v>
      </c>
      <c r="G3889" t="s">
        <v>7805</v>
      </c>
      <c r="H3889" t="s">
        <v>7806</v>
      </c>
      <c r="J3889" t="str">
        <f>HYPERLINK("https://twitter.com/ashukm/status/1746410530787721280","https://twitter.com/ashukm/status/1746410530787721280")</f>
        <v>https://twitter.com/ashukm/status/1746410530787721280</v>
      </c>
      <c r="K3889" t="s">
        <v>67</v>
      </c>
      <c r="O3889">
        <v>0</v>
      </c>
      <c r="P3889">
        <v>0</v>
      </c>
      <c r="Q3889">
        <v>173</v>
      </c>
      <c r="S3889">
        <v>0</v>
      </c>
      <c r="T3889">
        <v>0</v>
      </c>
      <c r="U3889">
        <v>0</v>
      </c>
      <c r="W3889" t="s">
        <v>99</v>
      </c>
    </row>
    <row r="3890" spans="1:23" x14ac:dyDescent="0.35">
      <c r="A3890" t="s">
        <v>45</v>
      </c>
      <c r="B3890" t="s">
        <v>7741</v>
      </c>
      <c r="C3890" t="s">
        <v>60</v>
      </c>
      <c r="D3890" t="s">
        <v>64</v>
      </c>
      <c r="E3890" t="s">
        <v>64</v>
      </c>
      <c r="F3890" t="s">
        <v>49</v>
      </c>
      <c r="G3890" t="s">
        <v>162</v>
      </c>
      <c r="H3890" t="s">
        <v>7807</v>
      </c>
      <c r="J3890" t="str">
        <f>HYPERLINK("https://www.facebook.com/634639855377280/posts/771350455039552?comment_id=1134700837912417&amp;reply_comment_id=1487046708526353","https://www.facebook.com/634639855377280/posts/771350455039552?comment_id=1134700837912417&amp;reply_comment_id=1487046708526353")</f>
        <v>https://www.facebook.com/634639855377280/posts/771350455039552?comment_id=1134700837912417&amp;reply_comment_id=1487046708526353</v>
      </c>
      <c r="K3890" t="s">
        <v>67</v>
      </c>
      <c r="O3890">
        <v>0</v>
      </c>
      <c r="P3890">
        <v>0</v>
      </c>
      <c r="Q3890">
        <v>0</v>
      </c>
      <c r="S3890">
        <v>0</v>
      </c>
      <c r="T3890">
        <v>0</v>
      </c>
      <c r="U3890">
        <v>0</v>
      </c>
      <c r="W3890" t="s">
        <v>52</v>
      </c>
    </row>
    <row r="3891" spans="1:23" x14ac:dyDescent="0.35">
      <c r="A3891" t="s">
        <v>45</v>
      </c>
      <c r="B3891" t="s">
        <v>7741</v>
      </c>
      <c r="C3891" t="s">
        <v>60</v>
      </c>
      <c r="D3891" t="s">
        <v>64</v>
      </c>
      <c r="E3891" t="s">
        <v>64</v>
      </c>
      <c r="F3891" t="s">
        <v>49</v>
      </c>
      <c r="G3891" t="s">
        <v>162</v>
      </c>
      <c r="H3891" t="s">
        <v>7808</v>
      </c>
      <c r="J3891" t="str">
        <f>HYPERLINK("https://www.facebook.com/634639855377280/posts/771990234975574?comment_id=748647417186256&amp;reply_comment_id=1552375138856412","https://www.facebook.com/634639855377280/posts/771990234975574?comment_id=748647417186256&amp;reply_comment_id=1552375138856412")</f>
        <v>https://www.facebook.com/634639855377280/posts/771990234975574?comment_id=748647417186256&amp;reply_comment_id=1552375138856412</v>
      </c>
      <c r="K3891" t="s">
        <v>67</v>
      </c>
      <c r="O3891">
        <v>0</v>
      </c>
      <c r="P3891">
        <v>0</v>
      </c>
      <c r="Q3891">
        <v>0</v>
      </c>
      <c r="S3891">
        <v>0</v>
      </c>
      <c r="T3891">
        <v>0</v>
      </c>
      <c r="U3891">
        <v>0</v>
      </c>
      <c r="W3891" t="s">
        <v>52</v>
      </c>
    </row>
    <row r="3892" spans="1:23" x14ac:dyDescent="0.35">
      <c r="A3892" t="s">
        <v>45</v>
      </c>
      <c r="B3892" t="s">
        <v>7741</v>
      </c>
      <c r="C3892" t="s">
        <v>60</v>
      </c>
      <c r="D3892" t="s">
        <v>61</v>
      </c>
      <c r="E3892" t="s">
        <v>61</v>
      </c>
      <c r="F3892" t="s">
        <v>49</v>
      </c>
      <c r="G3892" t="s">
        <v>7809</v>
      </c>
      <c r="H3892" t="s">
        <v>7810</v>
      </c>
      <c r="J3892" t="str">
        <f>HYPERLINK("https://www.facebook.com/634639855377280/posts/771990234975574?comment_id=1821356824981825","https://www.facebook.com/634639855377280/posts/771990234975574?comment_id=1821356824981825")</f>
        <v>https://www.facebook.com/634639855377280/posts/771990234975574?comment_id=1821356824981825</v>
      </c>
      <c r="O3892">
        <v>0</v>
      </c>
      <c r="P3892">
        <v>0</v>
      </c>
      <c r="Q3892">
        <v>0</v>
      </c>
      <c r="S3892">
        <v>0</v>
      </c>
      <c r="T3892">
        <v>0</v>
      </c>
      <c r="U3892">
        <v>0</v>
      </c>
      <c r="W3892" t="s">
        <v>52</v>
      </c>
    </row>
    <row r="3893" spans="1:23" x14ac:dyDescent="0.35">
      <c r="A3893" t="s">
        <v>45</v>
      </c>
      <c r="B3893" t="s">
        <v>7741</v>
      </c>
      <c r="C3893" t="s">
        <v>60</v>
      </c>
      <c r="D3893" t="s">
        <v>61</v>
      </c>
      <c r="E3893" t="s">
        <v>61</v>
      </c>
      <c r="F3893" t="s">
        <v>49</v>
      </c>
      <c r="G3893" t="s">
        <v>7811</v>
      </c>
      <c r="H3893" t="s">
        <v>7812</v>
      </c>
      <c r="J3893" t="str">
        <f>HYPERLINK("https://www.facebook.com/634639855377280/posts/771350455039552?comment_id=1134700837912417","https://www.facebook.com/634639855377280/posts/771350455039552?comment_id=1134700837912417")</f>
        <v>https://www.facebook.com/634639855377280/posts/771350455039552?comment_id=1134700837912417</v>
      </c>
      <c r="O3893">
        <v>0</v>
      </c>
      <c r="P3893">
        <v>0</v>
      </c>
      <c r="Q3893">
        <v>0</v>
      </c>
      <c r="S3893">
        <v>0</v>
      </c>
      <c r="T3893">
        <v>0</v>
      </c>
      <c r="U3893">
        <v>0</v>
      </c>
      <c r="W3893" t="s">
        <v>52</v>
      </c>
    </row>
    <row r="3894" spans="1:23" x14ac:dyDescent="0.35">
      <c r="A3894" t="s">
        <v>45</v>
      </c>
      <c r="B3894" t="s">
        <v>7741</v>
      </c>
      <c r="C3894" t="s">
        <v>60</v>
      </c>
      <c r="D3894" t="s">
        <v>61</v>
      </c>
      <c r="E3894" t="s">
        <v>61</v>
      </c>
      <c r="F3894" t="s">
        <v>54</v>
      </c>
      <c r="G3894" t="s">
        <v>2440</v>
      </c>
      <c r="H3894" t="s">
        <v>7813</v>
      </c>
      <c r="J3894" t="str">
        <f>HYPERLINK("https://www.facebook.com/634639855377280/posts/771990234975574?comment_id=748647417186256","https://www.facebook.com/634639855377280/posts/771990234975574?comment_id=748647417186256")</f>
        <v>https://www.facebook.com/634639855377280/posts/771990234975574?comment_id=748647417186256</v>
      </c>
      <c r="O3894">
        <v>0</v>
      </c>
      <c r="P3894">
        <v>0</v>
      </c>
      <c r="Q3894">
        <v>0</v>
      </c>
      <c r="S3894">
        <v>0</v>
      </c>
      <c r="T3894">
        <v>0</v>
      </c>
      <c r="U3894">
        <v>0</v>
      </c>
      <c r="W3894" t="s">
        <v>52</v>
      </c>
    </row>
    <row r="3895" spans="1:23" x14ac:dyDescent="0.35">
      <c r="A3895" t="s">
        <v>45</v>
      </c>
      <c r="B3895" t="s">
        <v>7741</v>
      </c>
      <c r="C3895" t="s">
        <v>60</v>
      </c>
      <c r="D3895" t="s">
        <v>61</v>
      </c>
      <c r="E3895" t="s">
        <v>61</v>
      </c>
      <c r="F3895" t="s">
        <v>49</v>
      </c>
      <c r="G3895" t="s">
        <v>7814</v>
      </c>
      <c r="H3895" t="s">
        <v>7815</v>
      </c>
      <c r="J3895" t="str">
        <f>HYPERLINK("https://www.facebook.com/634639855377280/posts/771350455039552?comment_id=951068643113303&amp;reply_comment_id=338528735742838","https://www.facebook.com/634639855377280/posts/771350455039552?comment_id=951068643113303&amp;reply_comment_id=338528735742838")</f>
        <v>https://www.facebook.com/634639855377280/posts/771350455039552?comment_id=951068643113303&amp;reply_comment_id=338528735742838</v>
      </c>
      <c r="O3895">
        <v>0</v>
      </c>
      <c r="P3895">
        <v>0</v>
      </c>
      <c r="Q3895">
        <v>0</v>
      </c>
      <c r="S3895">
        <v>0</v>
      </c>
      <c r="T3895">
        <v>0</v>
      </c>
      <c r="U3895">
        <v>0</v>
      </c>
      <c r="W3895" t="s">
        <v>52</v>
      </c>
    </row>
    <row r="3896" spans="1:23" x14ac:dyDescent="0.35">
      <c r="A3896" t="s">
        <v>45</v>
      </c>
      <c r="B3896" t="s">
        <v>7741</v>
      </c>
      <c r="C3896" t="s">
        <v>60</v>
      </c>
      <c r="D3896" t="s">
        <v>61</v>
      </c>
      <c r="E3896" t="s">
        <v>61</v>
      </c>
      <c r="F3896" t="s">
        <v>49</v>
      </c>
      <c r="G3896" t="s">
        <v>3769</v>
      </c>
      <c r="H3896" t="s">
        <v>7816</v>
      </c>
      <c r="J3896" t="str">
        <f>HYPERLINK("https://www.facebook.com/634639855377280/posts/771350455039552?comment_id=951068643113303&amp;reply_comment_id=775190451102670","https://www.facebook.com/634639855377280/posts/771350455039552?comment_id=951068643113303&amp;reply_comment_id=775190451102670")</f>
        <v>https://www.facebook.com/634639855377280/posts/771350455039552?comment_id=951068643113303&amp;reply_comment_id=775190451102670</v>
      </c>
      <c r="O3896">
        <v>0</v>
      </c>
      <c r="P3896">
        <v>0</v>
      </c>
      <c r="Q3896">
        <v>0</v>
      </c>
      <c r="S3896">
        <v>0</v>
      </c>
      <c r="T3896">
        <v>0</v>
      </c>
      <c r="U3896">
        <v>0</v>
      </c>
      <c r="W3896" t="s">
        <v>52</v>
      </c>
    </row>
    <row r="3897" spans="1:23" x14ac:dyDescent="0.35">
      <c r="A3897" t="s">
        <v>45</v>
      </c>
      <c r="B3897" t="s">
        <v>7741</v>
      </c>
      <c r="C3897" t="s">
        <v>60</v>
      </c>
      <c r="D3897" t="s">
        <v>64</v>
      </c>
      <c r="E3897" t="s">
        <v>64</v>
      </c>
      <c r="F3897" t="s">
        <v>49</v>
      </c>
      <c r="G3897" t="s">
        <v>7817</v>
      </c>
      <c r="H3897" t="s">
        <v>7818</v>
      </c>
      <c r="J3897" t="str">
        <f>HYPERLINK("https://www.facebook.com/634639855377280/posts/771990234975574","https://www.facebook.com/634639855377280/posts/771990234975574")</f>
        <v>https://www.facebook.com/634639855377280/posts/771990234975574</v>
      </c>
      <c r="O3897">
        <v>0</v>
      </c>
      <c r="P3897">
        <v>0</v>
      </c>
      <c r="Q3897">
        <v>0</v>
      </c>
      <c r="S3897">
        <v>24</v>
      </c>
      <c r="T3897">
        <v>100</v>
      </c>
      <c r="U3897">
        <v>2</v>
      </c>
      <c r="W3897" t="s">
        <v>346</v>
      </c>
    </row>
    <row r="3898" spans="1:23" x14ac:dyDescent="0.35">
      <c r="A3898" t="s">
        <v>45</v>
      </c>
      <c r="B3898" t="s">
        <v>7741</v>
      </c>
      <c r="C3898" t="s">
        <v>60</v>
      </c>
      <c r="D3898" t="s">
        <v>64</v>
      </c>
      <c r="E3898" t="s">
        <v>64</v>
      </c>
      <c r="F3898" t="s">
        <v>49</v>
      </c>
      <c r="G3898" t="s">
        <v>270</v>
      </c>
      <c r="H3898" t="s">
        <v>7819</v>
      </c>
      <c r="J3898" t="str">
        <f>HYPERLINK("https://www.facebook.com/634639855377280/posts/771350455039552?comment_id=951068643113303&amp;reply_comment_id=673775454668209","https://www.facebook.com/634639855377280/posts/771350455039552?comment_id=951068643113303&amp;reply_comment_id=673775454668209")</f>
        <v>https://www.facebook.com/634639855377280/posts/771350455039552?comment_id=951068643113303&amp;reply_comment_id=673775454668209</v>
      </c>
      <c r="K3898" t="s">
        <v>67</v>
      </c>
      <c r="O3898">
        <v>0</v>
      </c>
      <c r="P3898">
        <v>0</v>
      </c>
      <c r="Q3898">
        <v>0</v>
      </c>
      <c r="S3898">
        <v>0</v>
      </c>
      <c r="T3898">
        <v>0</v>
      </c>
      <c r="U3898">
        <v>0</v>
      </c>
      <c r="W3898" t="s">
        <v>52</v>
      </c>
    </row>
    <row r="3899" spans="1:23" x14ac:dyDescent="0.35">
      <c r="A3899" t="s">
        <v>45</v>
      </c>
      <c r="B3899" t="s">
        <v>7741</v>
      </c>
      <c r="C3899" t="s">
        <v>60</v>
      </c>
      <c r="D3899" t="s">
        <v>61</v>
      </c>
      <c r="E3899" t="s">
        <v>61</v>
      </c>
      <c r="F3899" t="s">
        <v>49</v>
      </c>
      <c r="G3899" t="s">
        <v>2360</v>
      </c>
      <c r="H3899" t="s">
        <v>7820</v>
      </c>
      <c r="J3899" t="str">
        <f>HYPERLINK("https://www.facebook.com/634639855377280/posts/770757868432144?comment_id=1027555474997577&amp;reply_comment_id=1465672170677352","https://www.facebook.com/634639855377280/posts/770757868432144?comment_id=1027555474997577&amp;reply_comment_id=1465672170677352")</f>
        <v>https://www.facebook.com/634639855377280/posts/770757868432144?comment_id=1027555474997577&amp;reply_comment_id=1465672170677352</v>
      </c>
      <c r="O3899">
        <v>0</v>
      </c>
      <c r="P3899">
        <v>0</v>
      </c>
      <c r="Q3899">
        <v>0</v>
      </c>
      <c r="S3899">
        <v>0</v>
      </c>
      <c r="T3899">
        <v>0</v>
      </c>
      <c r="U3899">
        <v>0</v>
      </c>
      <c r="W3899" t="s">
        <v>52</v>
      </c>
    </row>
    <row r="3900" spans="1:23" x14ac:dyDescent="0.35">
      <c r="A3900" t="s">
        <v>45</v>
      </c>
      <c r="B3900" t="s">
        <v>7741</v>
      </c>
      <c r="C3900" t="s">
        <v>60</v>
      </c>
      <c r="D3900" t="s">
        <v>64</v>
      </c>
      <c r="E3900" t="s">
        <v>64</v>
      </c>
      <c r="F3900" t="s">
        <v>49</v>
      </c>
      <c r="G3900" t="s">
        <v>454</v>
      </c>
      <c r="H3900" t="s">
        <v>7821</v>
      </c>
      <c r="J3900" t="str">
        <f>HYPERLINK("https://www.facebook.com/634639855377280/posts/771350455039552?comment_id=7562837390413776&amp;reply_comment_id=890912152494093","https://www.facebook.com/634639855377280/posts/771350455039552?comment_id=7562837390413776&amp;reply_comment_id=890912152494093")</f>
        <v>https://www.facebook.com/634639855377280/posts/771350455039552?comment_id=7562837390413776&amp;reply_comment_id=890912152494093</v>
      </c>
      <c r="K3900" t="s">
        <v>67</v>
      </c>
      <c r="O3900">
        <v>0</v>
      </c>
      <c r="P3900">
        <v>0</v>
      </c>
      <c r="Q3900">
        <v>0</v>
      </c>
      <c r="S3900">
        <v>0</v>
      </c>
      <c r="T3900">
        <v>0</v>
      </c>
      <c r="U3900">
        <v>0</v>
      </c>
      <c r="W3900" t="s">
        <v>52</v>
      </c>
    </row>
    <row r="3901" spans="1:23" x14ac:dyDescent="0.35">
      <c r="A3901" t="s">
        <v>45</v>
      </c>
      <c r="B3901" t="s">
        <v>7741</v>
      </c>
      <c r="C3901" t="s">
        <v>60</v>
      </c>
      <c r="D3901" t="s">
        <v>64</v>
      </c>
      <c r="E3901" t="s">
        <v>64</v>
      </c>
      <c r="F3901" t="s">
        <v>49</v>
      </c>
      <c r="G3901" t="s">
        <v>454</v>
      </c>
      <c r="H3901" t="s">
        <v>7822</v>
      </c>
      <c r="J3901" t="str">
        <f>HYPERLINK("https://www.facebook.com/634639855377280/posts/770757868432144?comment_id=1027555474997577&amp;reply_comment_id=2063900380653508","https://www.facebook.com/634639855377280/posts/770757868432144?comment_id=1027555474997577&amp;reply_comment_id=2063900380653508")</f>
        <v>https://www.facebook.com/634639855377280/posts/770757868432144?comment_id=1027555474997577&amp;reply_comment_id=2063900380653508</v>
      </c>
      <c r="K3901" t="s">
        <v>67</v>
      </c>
      <c r="O3901">
        <v>0</v>
      </c>
      <c r="P3901">
        <v>0</v>
      </c>
      <c r="Q3901">
        <v>0</v>
      </c>
      <c r="S3901">
        <v>0</v>
      </c>
      <c r="T3901">
        <v>0</v>
      </c>
      <c r="U3901">
        <v>0</v>
      </c>
      <c r="W3901" t="s">
        <v>52</v>
      </c>
    </row>
    <row r="3902" spans="1:23" x14ac:dyDescent="0.35">
      <c r="A3902" t="s">
        <v>45</v>
      </c>
      <c r="B3902" t="s">
        <v>7741</v>
      </c>
      <c r="C3902" t="s">
        <v>60</v>
      </c>
      <c r="D3902" t="s">
        <v>64</v>
      </c>
      <c r="E3902" t="s">
        <v>64</v>
      </c>
      <c r="F3902" t="s">
        <v>49</v>
      </c>
      <c r="G3902" t="s">
        <v>162</v>
      </c>
      <c r="H3902" t="s">
        <v>7823</v>
      </c>
      <c r="J3902" t="str">
        <f>HYPERLINK("https://www.facebook.com/634639855377280/posts/771350455039552?comment_id=746525317391659&amp;reply_comment_id=1836386293499086","https://www.facebook.com/634639855377280/posts/771350455039552?comment_id=746525317391659&amp;reply_comment_id=1836386293499086")</f>
        <v>https://www.facebook.com/634639855377280/posts/771350455039552?comment_id=746525317391659&amp;reply_comment_id=1836386293499086</v>
      </c>
      <c r="K3902" t="s">
        <v>67</v>
      </c>
      <c r="O3902">
        <v>0</v>
      </c>
      <c r="P3902">
        <v>0</v>
      </c>
      <c r="Q3902">
        <v>0</v>
      </c>
      <c r="S3902">
        <v>0</v>
      </c>
      <c r="T3902">
        <v>0</v>
      </c>
      <c r="U3902">
        <v>0</v>
      </c>
      <c r="W3902" t="s">
        <v>52</v>
      </c>
    </row>
    <row r="3903" spans="1:23" x14ac:dyDescent="0.35">
      <c r="A3903" t="s">
        <v>45</v>
      </c>
      <c r="B3903" t="s">
        <v>7741</v>
      </c>
      <c r="C3903" t="s">
        <v>47</v>
      </c>
      <c r="D3903" t="s">
        <v>68</v>
      </c>
      <c r="E3903" t="s">
        <v>68</v>
      </c>
      <c r="F3903" t="s">
        <v>49</v>
      </c>
      <c r="G3903" t="s">
        <v>102</v>
      </c>
      <c r="H3903" t="s">
        <v>7824</v>
      </c>
      <c r="J3903" t="str">
        <f>HYPERLINK("https://www.youtube.com/watch?v=WFhlOwAtEvE&amp;lc=UgzW_RIz1TQ9WFoUPb14AaABAg.9zWtSKnKPW79zXiz88MHrD","https://www.youtube.com/watch?v=WFhlOwAtEvE&amp;lc=UgzW_RIz1TQ9WFoUPb14AaABAg.9zWtSKnKPW79zXiz88MHrD")</f>
        <v>https://www.youtube.com/watch?v=WFhlOwAtEvE&amp;lc=UgzW_RIz1TQ9WFoUPb14AaABAg.9zWtSKnKPW79zXiz88MHrD</v>
      </c>
      <c r="O3903">
        <v>0</v>
      </c>
      <c r="P3903">
        <v>0</v>
      </c>
      <c r="Q3903">
        <v>0</v>
      </c>
      <c r="S3903">
        <v>0</v>
      </c>
      <c r="T3903">
        <v>0</v>
      </c>
      <c r="U3903">
        <v>0</v>
      </c>
      <c r="W3903" t="s">
        <v>52</v>
      </c>
    </row>
    <row r="3904" spans="1:23" x14ac:dyDescent="0.35">
      <c r="A3904" t="s">
        <v>45</v>
      </c>
      <c r="B3904" t="s">
        <v>7741</v>
      </c>
      <c r="C3904" t="s">
        <v>47</v>
      </c>
      <c r="D3904" t="s">
        <v>68</v>
      </c>
      <c r="E3904" t="s">
        <v>68</v>
      </c>
      <c r="F3904" t="s">
        <v>49</v>
      </c>
      <c r="G3904" t="s">
        <v>492</v>
      </c>
      <c r="H3904" t="s">
        <v>7825</v>
      </c>
      <c r="J3904" t="str">
        <f>HYPERLINK("https://www.youtube.com/watch?v=7N6n0nCAmV8&amp;lc=UgycCeP4RttEFxaVZAt4AaABAg.9zWbrCU9GBd9zXiudMG3cg","https://www.youtube.com/watch?v=7N6n0nCAmV8&amp;lc=UgycCeP4RttEFxaVZAt4AaABAg.9zWbrCU9GBd9zXiudMG3cg")</f>
        <v>https://www.youtube.com/watch?v=7N6n0nCAmV8&amp;lc=UgycCeP4RttEFxaVZAt4AaABAg.9zWbrCU9GBd9zXiudMG3cg</v>
      </c>
      <c r="O3904">
        <v>0</v>
      </c>
      <c r="P3904">
        <v>0</v>
      </c>
      <c r="Q3904">
        <v>0</v>
      </c>
      <c r="S3904">
        <v>0</v>
      </c>
      <c r="T3904">
        <v>0</v>
      </c>
      <c r="U3904">
        <v>0</v>
      </c>
      <c r="W3904" t="s">
        <v>52</v>
      </c>
    </row>
    <row r="3905" spans="1:23" x14ac:dyDescent="0.35">
      <c r="A3905" t="s">
        <v>45</v>
      </c>
      <c r="B3905" t="s">
        <v>7741</v>
      </c>
      <c r="C3905" t="s">
        <v>93</v>
      </c>
      <c r="D3905" t="s">
        <v>94</v>
      </c>
      <c r="E3905" t="s">
        <v>45</v>
      </c>
      <c r="F3905" t="s">
        <v>49</v>
      </c>
      <c r="G3905" t="s">
        <v>7826</v>
      </c>
      <c r="H3905" t="s">
        <v>7827</v>
      </c>
      <c r="J3905" t="str">
        <f>HYPERLINK("https://twitter.com/SpiceMoneyIndia/status/1746376081613983765","https://twitter.com/SpiceMoneyIndia/status/1746376081613983765")</f>
        <v>https://twitter.com/SpiceMoneyIndia/status/1746376081613983765</v>
      </c>
      <c r="K3905" t="s">
        <v>67</v>
      </c>
      <c r="O3905">
        <v>0</v>
      </c>
      <c r="P3905">
        <v>0</v>
      </c>
      <c r="Q3905">
        <v>5998</v>
      </c>
      <c r="R3905" t="s">
        <v>97</v>
      </c>
      <c r="S3905">
        <v>0</v>
      </c>
      <c r="T3905">
        <v>0</v>
      </c>
      <c r="U3905">
        <v>0</v>
      </c>
      <c r="V3905" t="s">
        <v>98</v>
      </c>
      <c r="W3905" t="s">
        <v>99</v>
      </c>
    </row>
    <row r="3906" spans="1:23" x14ac:dyDescent="0.35">
      <c r="A3906" t="s">
        <v>45</v>
      </c>
      <c r="B3906" t="s">
        <v>7741</v>
      </c>
      <c r="C3906" t="s">
        <v>93</v>
      </c>
      <c r="D3906" t="s">
        <v>7828</v>
      </c>
      <c r="E3906" t="s">
        <v>7829</v>
      </c>
      <c r="F3906" t="s">
        <v>193</v>
      </c>
      <c r="G3906" t="s">
        <v>7830</v>
      </c>
      <c r="H3906" t="s">
        <v>7831</v>
      </c>
      <c r="J3906" t="str">
        <f>HYPERLINK("https://twitter.com/Heinekenqoow/status/1746373260516692256","https://twitter.com/Heinekenqoow/status/1746373260516692256")</f>
        <v>https://twitter.com/Heinekenqoow/status/1746373260516692256</v>
      </c>
      <c r="O3906">
        <v>0</v>
      </c>
      <c r="P3906">
        <v>0</v>
      </c>
      <c r="Q3906">
        <v>1</v>
      </c>
      <c r="S3906">
        <v>0</v>
      </c>
      <c r="T3906">
        <v>0</v>
      </c>
      <c r="U3906">
        <v>0</v>
      </c>
      <c r="W3906" t="s">
        <v>99</v>
      </c>
    </row>
    <row r="3907" spans="1:23" x14ac:dyDescent="0.35">
      <c r="A3907" t="s">
        <v>45</v>
      </c>
      <c r="B3907" t="s">
        <v>7741</v>
      </c>
      <c r="C3907" t="s">
        <v>93</v>
      </c>
      <c r="D3907" t="s">
        <v>7832</v>
      </c>
      <c r="E3907" t="s">
        <v>7833</v>
      </c>
      <c r="F3907" t="s">
        <v>193</v>
      </c>
      <c r="G3907" t="s">
        <v>7834</v>
      </c>
      <c r="H3907" t="s">
        <v>7835</v>
      </c>
      <c r="J3907" t="str">
        <f>HYPERLINK("https://twitter.com/FredWashin71488/status/1746373226677059711","https://twitter.com/FredWashin71488/status/1746373226677059711")</f>
        <v>https://twitter.com/FredWashin71488/status/1746373226677059711</v>
      </c>
      <c r="K3907" t="s">
        <v>67</v>
      </c>
      <c r="O3907">
        <v>0</v>
      </c>
      <c r="P3907">
        <v>0</v>
      </c>
      <c r="Q3907">
        <v>2</v>
      </c>
      <c r="R3907" t="s">
        <v>7836</v>
      </c>
      <c r="S3907">
        <v>0</v>
      </c>
      <c r="T3907">
        <v>0</v>
      </c>
      <c r="U3907">
        <v>0</v>
      </c>
      <c r="W3907" t="s">
        <v>99</v>
      </c>
    </row>
    <row r="3908" spans="1:23" x14ac:dyDescent="0.35">
      <c r="A3908" t="s">
        <v>45</v>
      </c>
      <c r="B3908" t="s">
        <v>7741</v>
      </c>
      <c r="C3908" t="s">
        <v>93</v>
      </c>
      <c r="D3908" t="s">
        <v>3957</v>
      </c>
      <c r="E3908" t="s">
        <v>3958</v>
      </c>
      <c r="F3908" t="s">
        <v>54</v>
      </c>
      <c r="G3908" t="s">
        <v>7837</v>
      </c>
      <c r="H3908" t="s">
        <v>7838</v>
      </c>
      <c r="J3908" t="str">
        <f>HYPERLINK("https://twitter.com/ParwinderS82656/status/1746372995646668974","https://twitter.com/ParwinderS82656/status/1746372995646668974")</f>
        <v>https://twitter.com/ParwinderS82656/status/1746372995646668974</v>
      </c>
      <c r="K3908" t="s">
        <v>67</v>
      </c>
      <c r="O3908">
        <v>0</v>
      </c>
      <c r="P3908">
        <v>0</v>
      </c>
      <c r="Q3908">
        <v>2</v>
      </c>
      <c r="S3908">
        <v>0</v>
      </c>
      <c r="T3908">
        <v>0</v>
      </c>
      <c r="U3908">
        <v>0</v>
      </c>
      <c r="W3908" t="s">
        <v>99</v>
      </c>
    </row>
    <row r="3909" spans="1:23" x14ac:dyDescent="0.35">
      <c r="A3909" t="s">
        <v>45</v>
      </c>
      <c r="B3909" t="s">
        <v>7741</v>
      </c>
      <c r="C3909" t="s">
        <v>93</v>
      </c>
      <c r="D3909" t="s">
        <v>3957</v>
      </c>
      <c r="E3909" t="s">
        <v>3958</v>
      </c>
      <c r="F3909" t="s">
        <v>54</v>
      </c>
      <c r="G3909" t="s">
        <v>7837</v>
      </c>
      <c r="H3909" t="s">
        <v>7839</v>
      </c>
      <c r="J3909" t="str">
        <f>HYPERLINK("https://twitter.com/ParwinderS82656/status/1746372929301164341","https://twitter.com/ParwinderS82656/status/1746372929301164341")</f>
        <v>https://twitter.com/ParwinderS82656/status/1746372929301164341</v>
      </c>
      <c r="K3909" t="s">
        <v>67</v>
      </c>
      <c r="O3909">
        <v>0</v>
      </c>
      <c r="P3909">
        <v>0</v>
      </c>
      <c r="Q3909">
        <v>2</v>
      </c>
      <c r="S3909">
        <v>0</v>
      </c>
      <c r="T3909">
        <v>0</v>
      </c>
      <c r="U3909">
        <v>0</v>
      </c>
      <c r="W3909" t="s">
        <v>99</v>
      </c>
    </row>
    <row r="3910" spans="1:23" x14ac:dyDescent="0.35">
      <c r="A3910" t="s">
        <v>45</v>
      </c>
      <c r="B3910" t="s">
        <v>7741</v>
      </c>
      <c r="C3910" t="s">
        <v>60</v>
      </c>
      <c r="D3910" t="s">
        <v>61</v>
      </c>
      <c r="E3910" t="s">
        <v>61</v>
      </c>
      <c r="F3910" t="s">
        <v>54</v>
      </c>
      <c r="G3910" t="s">
        <v>7840</v>
      </c>
      <c r="H3910" t="s">
        <v>7841</v>
      </c>
      <c r="J3910" t="str">
        <f>HYPERLINK("https://www.facebook.com/634639855377280/posts/771350455039552?comment_id=746525317391659","https://www.facebook.com/634639855377280/posts/771350455039552?comment_id=746525317391659")</f>
        <v>https://www.facebook.com/634639855377280/posts/771350455039552?comment_id=746525317391659</v>
      </c>
      <c r="O3910">
        <v>0</v>
      </c>
      <c r="P3910">
        <v>0</v>
      </c>
      <c r="Q3910">
        <v>0</v>
      </c>
      <c r="S3910">
        <v>0</v>
      </c>
      <c r="T3910">
        <v>0</v>
      </c>
      <c r="U3910">
        <v>0</v>
      </c>
      <c r="W3910" t="s">
        <v>52</v>
      </c>
    </row>
    <row r="3911" spans="1:23" x14ac:dyDescent="0.35">
      <c r="A3911" t="s">
        <v>45</v>
      </c>
      <c r="B3911" t="s">
        <v>7741</v>
      </c>
      <c r="C3911" t="s">
        <v>47</v>
      </c>
      <c r="D3911" t="s">
        <v>7842</v>
      </c>
      <c r="E3911" t="s">
        <v>7842</v>
      </c>
      <c r="F3911" t="s">
        <v>49</v>
      </c>
      <c r="G3911" t="s">
        <v>7843</v>
      </c>
      <c r="H3911" t="s">
        <v>7844</v>
      </c>
      <c r="J3911" t="str">
        <f>HYPERLINK("https://www.youtube.com/watch?v=WFhlOwAtEvE&amp;lc=UgzW_RIz1TQ9WFoUPb14AaABAg","https://www.youtube.com/watch?v=WFhlOwAtEvE&amp;lc=UgzW_RIz1TQ9WFoUPb14AaABAg")</f>
        <v>https://www.youtube.com/watch?v=WFhlOwAtEvE&amp;lc=UgzW_RIz1TQ9WFoUPb14AaABAg</v>
      </c>
      <c r="O3911">
        <v>0</v>
      </c>
      <c r="P3911">
        <v>0</v>
      </c>
      <c r="Q3911">
        <v>0</v>
      </c>
      <c r="S3911">
        <v>0</v>
      </c>
      <c r="T3911">
        <v>0</v>
      </c>
      <c r="U3911">
        <v>0</v>
      </c>
      <c r="W3911" t="s">
        <v>52</v>
      </c>
    </row>
    <row r="3912" spans="1:23" x14ac:dyDescent="0.35">
      <c r="A3912" t="s">
        <v>45</v>
      </c>
      <c r="B3912" t="s">
        <v>7845</v>
      </c>
      <c r="C3912" t="s">
        <v>47</v>
      </c>
      <c r="D3912" t="s">
        <v>7846</v>
      </c>
      <c r="E3912" t="s">
        <v>7846</v>
      </c>
      <c r="F3912" t="s">
        <v>49</v>
      </c>
      <c r="G3912" t="s">
        <v>7847</v>
      </c>
      <c r="H3912" t="s">
        <v>7848</v>
      </c>
      <c r="J3912" t="str">
        <f>HYPERLINK("https://www.youtube.com/watch?v=7N6n0nCAmV8&amp;lc=UgycCeP4RttEFxaVZAt4AaABAg","https://www.youtube.com/watch?v=7N6n0nCAmV8&amp;lc=UgycCeP4RttEFxaVZAt4AaABAg")</f>
        <v>https://www.youtube.com/watch?v=7N6n0nCAmV8&amp;lc=UgycCeP4RttEFxaVZAt4AaABAg</v>
      </c>
      <c r="O3912">
        <v>0</v>
      </c>
      <c r="P3912">
        <v>0</v>
      </c>
      <c r="Q3912">
        <v>0</v>
      </c>
      <c r="S3912">
        <v>0</v>
      </c>
      <c r="T3912">
        <v>0</v>
      </c>
      <c r="U3912">
        <v>0</v>
      </c>
      <c r="W3912" t="s">
        <v>52</v>
      </c>
    </row>
    <row r="3913" spans="1:23" x14ac:dyDescent="0.35">
      <c r="A3913" t="s">
        <v>45</v>
      </c>
      <c r="B3913" t="s">
        <v>7845</v>
      </c>
      <c r="C3913" t="s">
        <v>60</v>
      </c>
      <c r="D3913" t="s">
        <v>61</v>
      </c>
      <c r="E3913" t="s">
        <v>61</v>
      </c>
      <c r="F3913" t="s">
        <v>49</v>
      </c>
      <c r="G3913" t="s">
        <v>7849</v>
      </c>
      <c r="H3913" t="s">
        <v>7850</v>
      </c>
      <c r="J3913" t="str">
        <f>HYPERLINK("https://www.facebook.com/634639855377280/posts/770757868432144?comment_id=1027555474997577&amp;reply_comment_id=7695783940450658","https://www.facebook.com/634639855377280/posts/770757868432144?comment_id=1027555474997577&amp;reply_comment_id=7695783940450658")</f>
        <v>https://www.facebook.com/634639855377280/posts/770757868432144?comment_id=1027555474997577&amp;reply_comment_id=7695783940450658</v>
      </c>
      <c r="O3913">
        <v>0</v>
      </c>
      <c r="P3913">
        <v>0</v>
      </c>
      <c r="Q3913">
        <v>0</v>
      </c>
      <c r="S3913">
        <v>0</v>
      </c>
      <c r="T3913">
        <v>0</v>
      </c>
      <c r="U3913">
        <v>0</v>
      </c>
      <c r="W3913" t="s">
        <v>52</v>
      </c>
    </row>
    <row r="3914" spans="1:23" x14ac:dyDescent="0.35">
      <c r="A3914" t="s">
        <v>45</v>
      </c>
      <c r="B3914" t="s">
        <v>7845</v>
      </c>
      <c r="C3914" t="s">
        <v>60</v>
      </c>
      <c r="D3914" t="s">
        <v>61</v>
      </c>
      <c r="E3914" t="s">
        <v>61</v>
      </c>
      <c r="F3914" t="s">
        <v>49</v>
      </c>
      <c r="G3914" t="s">
        <v>7851</v>
      </c>
      <c r="H3914" t="s">
        <v>7852</v>
      </c>
      <c r="J3914" t="str">
        <f>HYPERLINK("https://www.facebook.com/634639855377280/posts/771350455039552?comment_id=7562837390413776","https://www.facebook.com/634639855377280/posts/771350455039552?comment_id=7562837390413776")</f>
        <v>https://www.facebook.com/634639855377280/posts/771350455039552?comment_id=7562837390413776</v>
      </c>
      <c r="O3914">
        <v>0</v>
      </c>
      <c r="P3914">
        <v>0</v>
      </c>
      <c r="Q3914">
        <v>0</v>
      </c>
      <c r="S3914">
        <v>0</v>
      </c>
      <c r="T3914">
        <v>0</v>
      </c>
      <c r="U3914">
        <v>0</v>
      </c>
      <c r="W3914" t="s">
        <v>52</v>
      </c>
    </row>
    <row r="3915" spans="1:23" x14ac:dyDescent="0.35">
      <c r="A3915" t="s">
        <v>45</v>
      </c>
      <c r="B3915" t="s">
        <v>7845</v>
      </c>
      <c r="C3915" t="s">
        <v>60</v>
      </c>
      <c r="D3915" t="s">
        <v>61</v>
      </c>
      <c r="E3915" t="s">
        <v>61</v>
      </c>
      <c r="F3915" t="s">
        <v>49</v>
      </c>
      <c r="G3915" t="s">
        <v>7853</v>
      </c>
      <c r="H3915" t="s">
        <v>7854</v>
      </c>
      <c r="J3915" t="str">
        <f>HYPERLINK("https://www.facebook.com/634639855377280/posts/771350455039552?comment_id=389435383499483","https://www.facebook.com/634639855377280/posts/771350455039552?comment_id=389435383499483")</f>
        <v>https://www.facebook.com/634639855377280/posts/771350455039552?comment_id=389435383499483</v>
      </c>
      <c r="O3915">
        <v>0</v>
      </c>
      <c r="P3915">
        <v>0</v>
      </c>
      <c r="Q3915">
        <v>0</v>
      </c>
      <c r="S3915">
        <v>0</v>
      </c>
      <c r="T3915">
        <v>0</v>
      </c>
      <c r="U3915">
        <v>0</v>
      </c>
      <c r="W3915" t="s">
        <v>52</v>
      </c>
    </row>
    <row r="3916" spans="1:23" x14ac:dyDescent="0.35">
      <c r="A3916" t="s">
        <v>45</v>
      </c>
      <c r="B3916" t="s">
        <v>7845</v>
      </c>
      <c r="C3916" t="s">
        <v>47</v>
      </c>
      <c r="D3916" t="s">
        <v>5564</v>
      </c>
      <c r="E3916" t="s">
        <v>5564</v>
      </c>
      <c r="F3916" t="s">
        <v>49</v>
      </c>
      <c r="G3916" t="s">
        <v>7855</v>
      </c>
      <c r="H3916" t="s">
        <v>7856</v>
      </c>
      <c r="J3916" t="str">
        <f>HYPERLINK("https://www.youtube.com/watch?v=q-1_LF2aJVA&amp;lc=Ugxi7f9ufhJ-_lnQGIB4AaABAg","https://www.youtube.com/watch?v=q-1_LF2aJVA&amp;lc=Ugxi7f9ufhJ-_lnQGIB4AaABAg")</f>
        <v>https://www.youtube.com/watch?v=q-1_LF2aJVA&amp;lc=Ugxi7f9ufhJ-_lnQGIB4AaABAg</v>
      </c>
      <c r="O3916">
        <v>0</v>
      </c>
      <c r="P3916">
        <v>0</v>
      </c>
      <c r="Q3916">
        <v>0</v>
      </c>
      <c r="S3916">
        <v>0</v>
      </c>
      <c r="T3916">
        <v>0</v>
      </c>
      <c r="U3916">
        <v>0</v>
      </c>
      <c r="W3916" t="s">
        <v>52</v>
      </c>
    </row>
    <row r="3917" spans="1:23" x14ac:dyDescent="0.35">
      <c r="A3917" t="s">
        <v>45</v>
      </c>
      <c r="B3917" t="s">
        <v>7845</v>
      </c>
      <c r="C3917" t="s">
        <v>93</v>
      </c>
      <c r="D3917" t="s">
        <v>7857</v>
      </c>
      <c r="E3917" t="s">
        <v>7858</v>
      </c>
      <c r="F3917" t="s">
        <v>49</v>
      </c>
      <c r="G3917" t="s">
        <v>7859</v>
      </c>
      <c r="H3917" t="s">
        <v>7860</v>
      </c>
      <c r="J3917" t="str">
        <f>HYPERLINK("https://twitter.com/nsrajpurohit108/status/1746191464932229340","https://twitter.com/nsrajpurohit108/status/1746191464932229340")</f>
        <v>https://twitter.com/nsrajpurohit108/status/1746191464932229340</v>
      </c>
      <c r="K3917" t="s">
        <v>67</v>
      </c>
      <c r="O3917">
        <v>0</v>
      </c>
      <c r="P3917">
        <v>0</v>
      </c>
      <c r="Q3917">
        <v>13</v>
      </c>
      <c r="R3917" t="s">
        <v>7861</v>
      </c>
      <c r="S3917">
        <v>0</v>
      </c>
      <c r="T3917">
        <v>0</v>
      </c>
      <c r="U3917">
        <v>0</v>
      </c>
      <c r="W3917" t="s">
        <v>99</v>
      </c>
    </row>
    <row r="3918" spans="1:23" x14ac:dyDescent="0.35">
      <c r="A3918" t="s">
        <v>45</v>
      </c>
      <c r="B3918" t="s">
        <v>7845</v>
      </c>
      <c r="C3918" t="s">
        <v>93</v>
      </c>
      <c r="D3918" t="s">
        <v>7857</v>
      </c>
      <c r="E3918" t="s">
        <v>7858</v>
      </c>
      <c r="F3918" t="s">
        <v>49</v>
      </c>
      <c r="G3918" t="s">
        <v>7862</v>
      </c>
      <c r="H3918" t="s">
        <v>7863</v>
      </c>
      <c r="J3918" t="str">
        <f>HYPERLINK("https://twitter.com/nsrajpurohit108/status/1746186922710663518","https://twitter.com/nsrajpurohit108/status/1746186922710663518")</f>
        <v>https://twitter.com/nsrajpurohit108/status/1746186922710663518</v>
      </c>
      <c r="K3918" t="s">
        <v>67</v>
      </c>
      <c r="O3918">
        <v>0</v>
      </c>
      <c r="P3918">
        <v>0</v>
      </c>
      <c r="Q3918">
        <v>13</v>
      </c>
      <c r="R3918" t="s">
        <v>7861</v>
      </c>
      <c r="S3918">
        <v>0</v>
      </c>
      <c r="T3918">
        <v>0</v>
      </c>
      <c r="U3918">
        <v>0</v>
      </c>
      <c r="W3918" t="s">
        <v>433</v>
      </c>
    </row>
    <row r="3919" spans="1:23" x14ac:dyDescent="0.35">
      <c r="A3919" t="s">
        <v>45</v>
      </c>
      <c r="B3919" t="s">
        <v>7845</v>
      </c>
      <c r="C3919" t="s">
        <v>60</v>
      </c>
      <c r="D3919" t="s">
        <v>61</v>
      </c>
      <c r="E3919" t="s">
        <v>61</v>
      </c>
      <c r="F3919" t="s">
        <v>49</v>
      </c>
      <c r="G3919" t="s">
        <v>7864</v>
      </c>
      <c r="H3919" t="s">
        <v>7865</v>
      </c>
      <c r="J3919" t="str">
        <f>HYPERLINK("https://www.facebook.com/634639855377280/posts/771350455039552?comment_id=951068643113303","https://www.facebook.com/634639855377280/posts/771350455039552?comment_id=951068643113303")</f>
        <v>https://www.facebook.com/634639855377280/posts/771350455039552?comment_id=951068643113303</v>
      </c>
      <c r="O3919">
        <v>0</v>
      </c>
      <c r="P3919">
        <v>0</v>
      </c>
      <c r="Q3919">
        <v>0</v>
      </c>
      <c r="S3919">
        <v>0</v>
      </c>
      <c r="T3919">
        <v>0</v>
      </c>
      <c r="U3919">
        <v>0</v>
      </c>
      <c r="W3919" t="s">
        <v>52</v>
      </c>
    </row>
    <row r="3920" spans="1:23" x14ac:dyDescent="0.35">
      <c r="A3920" t="s">
        <v>45</v>
      </c>
      <c r="B3920" t="s">
        <v>7845</v>
      </c>
      <c r="C3920" t="s">
        <v>60</v>
      </c>
      <c r="D3920" t="s">
        <v>61</v>
      </c>
      <c r="E3920" t="s">
        <v>61</v>
      </c>
      <c r="F3920" t="s">
        <v>49</v>
      </c>
      <c r="G3920" t="s">
        <v>7866</v>
      </c>
      <c r="H3920" t="s">
        <v>7867</v>
      </c>
      <c r="J3920" t="str">
        <f>HYPERLINK("https://www.facebook.com/634639855377280/posts/769133368594594?comment_id=1095442314826864","https://www.facebook.com/634639855377280/posts/769133368594594?comment_id=1095442314826864")</f>
        <v>https://www.facebook.com/634639855377280/posts/769133368594594?comment_id=1095442314826864</v>
      </c>
      <c r="O3920">
        <v>0</v>
      </c>
      <c r="P3920">
        <v>0</v>
      </c>
      <c r="Q3920">
        <v>0</v>
      </c>
      <c r="S3920">
        <v>0</v>
      </c>
      <c r="T3920">
        <v>0</v>
      </c>
      <c r="U3920">
        <v>0</v>
      </c>
      <c r="W3920" t="s">
        <v>52</v>
      </c>
    </row>
    <row r="3921" spans="1:23" x14ac:dyDescent="0.35">
      <c r="A3921" t="s">
        <v>45</v>
      </c>
      <c r="B3921" t="s">
        <v>7845</v>
      </c>
      <c r="C3921" t="s">
        <v>93</v>
      </c>
      <c r="D3921" t="s">
        <v>94</v>
      </c>
      <c r="E3921" t="s">
        <v>45</v>
      </c>
      <c r="F3921" t="s">
        <v>49</v>
      </c>
      <c r="G3921" t="s">
        <v>7862</v>
      </c>
      <c r="H3921" t="s">
        <v>7868</v>
      </c>
      <c r="J3921" t="str">
        <f>HYPERLINK("https://twitter.com/SpiceMoneyIndia/status/1746150011413385723","https://twitter.com/SpiceMoneyIndia/status/1746150011413385723")</f>
        <v>https://twitter.com/SpiceMoneyIndia/status/1746150011413385723</v>
      </c>
      <c r="K3921" t="s">
        <v>67</v>
      </c>
      <c r="O3921">
        <v>0</v>
      </c>
      <c r="P3921">
        <v>0</v>
      </c>
      <c r="Q3921">
        <v>5998</v>
      </c>
      <c r="R3921" t="s">
        <v>97</v>
      </c>
      <c r="S3921">
        <v>0</v>
      </c>
      <c r="T3921">
        <v>0</v>
      </c>
      <c r="U3921">
        <v>0</v>
      </c>
      <c r="V3921" t="s">
        <v>98</v>
      </c>
      <c r="W3921" t="s">
        <v>99</v>
      </c>
    </row>
    <row r="3922" spans="1:23" x14ac:dyDescent="0.35">
      <c r="A3922" t="s">
        <v>45</v>
      </c>
      <c r="B3922" t="s">
        <v>7845</v>
      </c>
      <c r="C3922" t="s">
        <v>93</v>
      </c>
      <c r="D3922" t="s">
        <v>94</v>
      </c>
      <c r="E3922" t="s">
        <v>45</v>
      </c>
      <c r="F3922" t="s">
        <v>49</v>
      </c>
      <c r="G3922" t="s">
        <v>7869</v>
      </c>
      <c r="H3922" t="s">
        <v>7870</v>
      </c>
      <c r="J3922" t="str">
        <f>HYPERLINK("https://twitter.com/SpiceMoneyIndia/status/1746149921135198377","https://twitter.com/SpiceMoneyIndia/status/1746149921135198377")</f>
        <v>https://twitter.com/SpiceMoneyIndia/status/1746149921135198377</v>
      </c>
      <c r="K3922" t="s">
        <v>67</v>
      </c>
      <c r="O3922">
        <v>0</v>
      </c>
      <c r="P3922">
        <v>0</v>
      </c>
      <c r="Q3922">
        <v>5998</v>
      </c>
      <c r="R3922" t="s">
        <v>97</v>
      </c>
      <c r="S3922">
        <v>0</v>
      </c>
      <c r="T3922">
        <v>0</v>
      </c>
      <c r="U3922">
        <v>0</v>
      </c>
      <c r="V3922" t="s">
        <v>98</v>
      </c>
      <c r="W3922" t="s">
        <v>99</v>
      </c>
    </row>
    <row r="3923" spans="1:23" x14ac:dyDescent="0.35">
      <c r="A3923" t="s">
        <v>45</v>
      </c>
      <c r="B3923" t="s">
        <v>7845</v>
      </c>
      <c r="C3923" t="s">
        <v>93</v>
      </c>
      <c r="D3923" t="s">
        <v>94</v>
      </c>
      <c r="E3923" t="s">
        <v>45</v>
      </c>
      <c r="F3923" t="s">
        <v>49</v>
      </c>
      <c r="G3923" t="s">
        <v>7871</v>
      </c>
      <c r="H3923" t="s">
        <v>7872</v>
      </c>
      <c r="J3923" t="str">
        <f>HYPERLINK("https://twitter.com/SpiceMoneyIndia/status/1746149535313748187","https://twitter.com/SpiceMoneyIndia/status/1746149535313748187")</f>
        <v>https://twitter.com/SpiceMoneyIndia/status/1746149535313748187</v>
      </c>
      <c r="K3923" t="s">
        <v>67</v>
      </c>
      <c r="O3923">
        <v>0</v>
      </c>
      <c r="P3923">
        <v>0</v>
      </c>
      <c r="Q3923">
        <v>5998</v>
      </c>
      <c r="R3923" t="s">
        <v>97</v>
      </c>
      <c r="S3923">
        <v>0</v>
      </c>
      <c r="T3923">
        <v>0</v>
      </c>
      <c r="U3923">
        <v>0</v>
      </c>
      <c r="V3923" t="s">
        <v>98</v>
      </c>
      <c r="W3923" t="s">
        <v>99</v>
      </c>
    </row>
    <row r="3924" spans="1:23" x14ac:dyDescent="0.35">
      <c r="A3924" t="s">
        <v>45</v>
      </c>
      <c r="B3924" t="s">
        <v>7845</v>
      </c>
      <c r="C3924" t="s">
        <v>60</v>
      </c>
      <c r="D3924" t="s">
        <v>64</v>
      </c>
      <c r="E3924" t="s">
        <v>64</v>
      </c>
      <c r="F3924" t="s">
        <v>49</v>
      </c>
      <c r="G3924" t="s">
        <v>266</v>
      </c>
      <c r="H3924" t="s">
        <v>7873</v>
      </c>
      <c r="J3924" t="str">
        <f>HYPERLINK("https://www.facebook.com/634639855377280/posts/770757868432144?comment_id=1027555474997577&amp;reply_comment_id=1034703524283006","https://www.facebook.com/634639855377280/posts/770757868432144?comment_id=1027555474997577&amp;reply_comment_id=1034703524283006")</f>
        <v>https://www.facebook.com/634639855377280/posts/770757868432144?comment_id=1027555474997577&amp;reply_comment_id=1034703524283006</v>
      </c>
      <c r="K3924" t="s">
        <v>67</v>
      </c>
      <c r="O3924">
        <v>0</v>
      </c>
      <c r="P3924">
        <v>0</v>
      </c>
      <c r="Q3924">
        <v>0</v>
      </c>
      <c r="S3924">
        <v>0</v>
      </c>
      <c r="T3924">
        <v>0</v>
      </c>
      <c r="U3924">
        <v>0</v>
      </c>
      <c r="W3924" t="s">
        <v>52</v>
      </c>
    </row>
    <row r="3925" spans="1:23" x14ac:dyDescent="0.35">
      <c r="A3925" t="s">
        <v>45</v>
      </c>
      <c r="B3925" t="s">
        <v>7845</v>
      </c>
      <c r="C3925" t="s">
        <v>60</v>
      </c>
      <c r="D3925" t="s">
        <v>64</v>
      </c>
      <c r="E3925" t="s">
        <v>64</v>
      </c>
      <c r="F3925" t="s">
        <v>49</v>
      </c>
      <c r="G3925" t="s">
        <v>1595</v>
      </c>
      <c r="H3925" t="s">
        <v>7874</v>
      </c>
      <c r="J3925" t="str">
        <f>HYPERLINK("https://www.facebook.com/634639855377280/posts/770757868432144?comment_id=778288207658990&amp;reply_comment_id=345758405075454","https://www.facebook.com/634639855377280/posts/770757868432144?comment_id=778288207658990&amp;reply_comment_id=345758405075454")</f>
        <v>https://www.facebook.com/634639855377280/posts/770757868432144?comment_id=778288207658990&amp;reply_comment_id=345758405075454</v>
      </c>
      <c r="K3925" t="s">
        <v>67</v>
      </c>
      <c r="O3925">
        <v>0</v>
      </c>
      <c r="P3925">
        <v>0</v>
      </c>
      <c r="Q3925">
        <v>0</v>
      </c>
      <c r="S3925">
        <v>0</v>
      </c>
      <c r="T3925">
        <v>0</v>
      </c>
      <c r="U3925">
        <v>0</v>
      </c>
      <c r="W3925" t="s">
        <v>52</v>
      </c>
    </row>
    <row r="3926" spans="1:23" x14ac:dyDescent="0.35">
      <c r="A3926" t="s">
        <v>45</v>
      </c>
      <c r="B3926" t="s">
        <v>7845</v>
      </c>
      <c r="C3926" t="s">
        <v>60</v>
      </c>
      <c r="D3926" t="s">
        <v>64</v>
      </c>
      <c r="E3926" t="s">
        <v>64</v>
      </c>
      <c r="F3926" t="s">
        <v>49</v>
      </c>
      <c r="G3926" t="s">
        <v>270</v>
      </c>
      <c r="H3926" t="s">
        <v>7875</v>
      </c>
      <c r="J3926" t="str">
        <f>HYPERLINK("https://www.facebook.com/634639855377280/posts/769133368594594?comment_id=682071620762558&amp;reply_comment_id=364091406348815","https://www.facebook.com/634639855377280/posts/769133368594594?comment_id=682071620762558&amp;reply_comment_id=364091406348815")</f>
        <v>https://www.facebook.com/634639855377280/posts/769133368594594?comment_id=682071620762558&amp;reply_comment_id=364091406348815</v>
      </c>
      <c r="K3926" t="s">
        <v>67</v>
      </c>
      <c r="O3926">
        <v>0</v>
      </c>
      <c r="P3926">
        <v>0</v>
      </c>
      <c r="Q3926">
        <v>0</v>
      </c>
      <c r="S3926">
        <v>0</v>
      </c>
      <c r="T3926">
        <v>0</v>
      </c>
      <c r="U3926">
        <v>0</v>
      </c>
      <c r="W3926" t="s">
        <v>52</v>
      </c>
    </row>
    <row r="3927" spans="1:23" x14ac:dyDescent="0.35">
      <c r="A3927" t="s">
        <v>45</v>
      </c>
      <c r="B3927" t="s">
        <v>7845</v>
      </c>
      <c r="C3927" t="s">
        <v>47</v>
      </c>
      <c r="D3927" t="s">
        <v>2261</v>
      </c>
      <c r="E3927" t="s">
        <v>2261</v>
      </c>
      <c r="F3927" t="s">
        <v>49</v>
      </c>
      <c r="G3927" t="s">
        <v>7876</v>
      </c>
      <c r="H3927" t="s">
        <v>7877</v>
      </c>
      <c r="J3927" t="str">
        <f>HYPERLINK("https://www.youtube.com/watch?v=gIAoznd_3Po","https://www.youtube.com/watch?v=gIAoznd_3Po")</f>
        <v>https://www.youtube.com/watch?v=gIAoznd_3Po</v>
      </c>
      <c r="O3927">
        <v>0</v>
      </c>
      <c r="P3927">
        <v>0</v>
      </c>
      <c r="Q3927">
        <v>0</v>
      </c>
      <c r="S3927">
        <v>0</v>
      </c>
      <c r="T3927">
        <v>0</v>
      </c>
      <c r="U3927">
        <v>0</v>
      </c>
      <c r="W3927" t="s">
        <v>346</v>
      </c>
    </row>
    <row r="3928" spans="1:23" x14ac:dyDescent="0.35">
      <c r="A3928" t="s">
        <v>45</v>
      </c>
      <c r="B3928" t="s">
        <v>7845</v>
      </c>
      <c r="C3928" t="s">
        <v>93</v>
      </c>
      <c r="D3928" t="s">
        <v>94</v>
      </c>
      <c r="E3928" t="s">
        <v>45</v>
      </c>
      <c r="F3928" t="s">
        <v>49</v>
      </c>
      <c r="G3928" t="s">
        <v>7878</v>
      </c>
      <c r="H3928" t="s">
        <v>7879</v>
      </c>
      <c r="J3928" t="str">
        <f>HYPERLINK("https://twitter.com/SpiceMoneyIndia/status/1746134432681988247","https://twitter.com/SpiceMoneyIndia/status/1746134432681988247")</f>
        <v>https://twitter.com/SpiceMoneyIndia/status/1746134432681988247</v>
      </c>
      <c r="K3928" t="s">
        <v>67</v>
      </c>
      <c r="O3928">
        <v>0</v>
      </c>
      <c r="P3928">
        <v>0</v>
      </c>
      <c r="Q3928">
        <v>5998</v>
      </c>
      <c r="R3928" t="s">
        <v>97</v>
      </c>
      <c r="S3928">
        <v>0</v>
      </c>
      <c r="T3928">
        <v>0</v>
      </c>
      <c r="U3928">
        <v>0</v>
      </c>
      <c r="V3928" t="s">
        <v>98</v>
      </c>
      <c r="W3928" t="s">
        <v>99</v>
      </c>
    </row>
    <row r="3929" spans="1:23" x14ac:dyDescent="0.35">
      <c r="A3929" t="s">
        <v>45</v>
      </c>
      <c r="B3929" t="s">
        <v>7845</v>
      </c>
      <c r="C3929" t="s">
        <v>93</v>
      </c>
      <c r="D3929" t="s">
        <v>7880</v>
      </c>
      <c r="E3929" t="s">
        <v>7881</v>
      </c>
      <c r="F3929" t="s">
        <v>193</v>
      </c>
      <c r="G3929" t="s">
        <v>7882</v>
      </c>
      <c r="H3929" t="s">
        <v>7883</v>
      </c>
      <c r="J3929" t="str">
        <f>HYPERLINK("https://twitter.com/Warmbirds12/status/1746123059210400178","https://twitter.com/Warmbirds12/status/1746123059210400178")</f>
        <v>https://twitter.com/Warmbirds12/status/1746123059210400178</v>
      </c>
      <c r="O3929">
        <v>0</v>
      </c>
      <c r="P3929">
        <v>0</v>
      </c>
      <c r="Q3929">
        <v>11</v>
      </c>
      <c r="R3929" t="s">
        <v>5484</v>
      </c>
      <c r="S3929">
        <v>0</v>
      </c>
      <c r="T3929">
        <v>0</v>
      </c>
      <c r="U3929">
        <v>0</v>
      </c>
      <c r="W3929" t="s">
        <v>99</v>
      </c>
    </row>
    <row r="3930" spans="1:23" x14ac:dyDescent="0.35">
      <c r="A3930" t="s">
        <v>45</v>
      </c>
      <c r="B3930" t="s">
        <v>7845</v>
      </c>
      <c r="C3930" t="s">
        <v>60</v>
      </c>
      <c r="D3930" t="s">
        <v>64</v>
      </c>
      <c r="E3930" t="s">
        <v>64</v>
      </c>
      <c r="F3930" t="s">
        <v>49</v>
      </c>
      <c r="G3930" t="s">
        <v>7884</v>
      </c>
      <c r="H3930" t="s">
        <v>7885</v>
      </c>
      <c r="J3930" t="str">
        <f>HYPERLINK("https://www.facebook.com/634639855377280/posts/768501555324442?comment_id=903082647880253&amp;reply_comment_id=915475926681088","https://www.facebook.com/634639855377280/posts/768501555324442?comment_id=903082647880253&amp;reply_comment_id=915475926681088")</f>
        <v>https://www.facebook.com/634639855377280/posts/768501555324442?comment_id=903082647880253&amp;reply_comment_id=915475926681088</v>
      </c>
      <c r="K3930" t="s">
        <v>67</v>
      </c>
      <c r="O3930">
        <v>0</v>
      </c>
      <c r="P3930">
        <v>0</v>
      </c>
      <c r="Q3930">
        <v>0</v>
      </c>
      <c r="S3930">
        <v>0</v>
      </c>
      <c r="T3930">
        <v>0</v>
      </c>
      <c r="U3930">
        <v>0</v>
      </c>
      <c r="W3930" t="s">
        <v>52</v>
      </c>
    </row>
    <row r="3931" spans="1:23" x14ac:dyDescent="0.35">
      <c r="A3931" t="s">
        <v>45</v>
      </c>
      <c r="B3931" t="s">
        <v>7845</v>
      </c>
      <c r="C3931" t="s">
        <v>93</v>
      </c>
      <c r="D3931" t="s">
        <v>7886</v>
      </c>
      <c r="E3931" t="s">
        <v>7887</v>
      </c>
      <c r="F3931" t="s">
        <v>49</v>
      </c>
      <c r="G3931" t="s">
        <v>7888</v>
      </c>
      <c r="H3931" t="s">
        <v>7889</v>
      </c>
      <c r="J3931" t="str">
        <f>HYPERLINK("https://twitter.com/Shahealam8756/status/1746119140090519641","https://twitter.com/Shahealam8756/status/1746119140090519641")</f>
        <v>https://twitter.com/Shahealam8756/status/1746119140090519641</v>
      </c>
      <c r="K3931" t="s">
        <v>67</v>
      </c>
      <c r="O3931">
        <v>0</v>
      </c>
      <c r="P3931">
        <v>0</v>
      </c>
      <c r="Q3931">
        <v>199</v>
      </c>
      <c r="R3931" t="s">
        <v>7890</v>
      </c>
      <c r="S3931">
        <v>0</v>
      </c>
      <c r="T3931">
        <v>0</v>
      </c>
      <c r="U3931">
        <v>0</v>
      </c>
      <c r="W3931" t="s">
        <v>99</v>
      </c>
    </row>
    <row r="3932" spans="1:23" x14ac:dyDescent="0.35">
      <c r="A3932" t="s">
        <v>45</v>
      </c>
      <c r="B3932" t="s">
        <v>7845</v>
      </c>
      <c r="C3932" t="s">
        <v>93</v>
      </c>
      <c r="D3932" t="s">
        <v>94</v>
      </c>
      <c r="E3932" t="s">
        <v>45</v>
      </c>
      <c r="F3932" t="s">
        <v>49</v>
      </c>
      <c r="G3932" t="s">
        <v>7891</v>
      </c>
      <c r="H3932" t="s">
        <v>7892</v>
      </c>
      <c r="J3932" t="str">
        <f>HYPERLINK("https://twitter.com/SpiceMoneyIndia/status/1746118126318612698","https://twitter.com/SpiceMoneyIndia/status/1746118126318612698")</f>
        <v>https://twitter.com/SpiceMoneyIndia/status/1746118126318612698</v>
      </c>
      <c r="K3932" t="s">
        <v>67</v>
      </c>
      <c r="O3932">
        <v>0</v>
      </c>
      <c r="P3932">
        <v>0</v>
      </c>
      <c r="Q3932">
        <v>5998</v>
      </c>
      <c r="R3932" t="s">
        <v>97</v>
      </c>
      <c r="S3932">
        <v>0</v>
      </c>
      <c r="T3932">
        <v>0</v>
      </c>
      <c r="U3932">
        <v>0</v>
      </c>
      <c r="V3932" t="s">
        <v>98</v>
      </c>
      <c r="W3932" t="s">
        <v>99</v>
      </c>
    </row>
    <row r="3933" spans="1:23" x14ac:dyDescent="0.35">
      <c r="A3933" t="s">
        <v>45</v>
      </c>
      <c r="B3933" t="s">
        <v>7845</v>
      </c>
      <c r="C3933" t="s">
        <v>93</v>
      </c>
      <c r="D3933" t="s">
        <v>94</v>
      </c>
      <c r="E3933" t="s">
        <v>45</v>
      </c>
      <c r="F3933" t="s">
        <v>49</v>
      </c>
      <c r="G3933" t="s">
        <v>7893</v>
      </c>
      <c r="H3933" t="s">
        <v>7894</v>
      </c>
      <c r="J3933" t="str">
        <f>HYPERLINK("https://twitter.com/SpiceMoneyIndia/status/1746116637466440192","https://twitter.com/SpiceMoneyIndia/status/1746116637466440192")</f>
        <v>https://twitter.com/SpiceMoneyIndia/status/1746116637466440192</v>
      </c>
      <c r="K3933" t="s">
        <v>67</v>
      </c>
      <c r="O3933">
        <v>0</v>
      </c>
      <c r="P3933">
        <v>0</v>
      </c>
      <c r="Q3933">
        <v>5998</v>
      </c>
      <c r="R3933" t="s">
        <v>97</v>
      </c>
      <c r="S3933">
        <v>0</v>
      </c>
      <c r="T3933">
        <v>0</v>
      </c>
      <c r="U3933">
        <v>0</v>
      </c>
      <c r="V3933" t="s">
        <v>98</v>
      </c>
      <c r="W3933" t="s">
        <v>99</v>
      </c>
    </row>
    <row r="3934" spans="1:23" x14ac:dyDescent="0.35">
      <c r="A3934" t="s">
        <v>45</v>
      </c>
      <c r="B3934" t="s">
        <v>7845</v>
      </c>
      <c r="C3934" t="s">
        <v>47</v>
      </c>
      <c r="D3934" t="s">
        <v>68</v>
      </c>
      <c r="E3934" t="s">
        <v>68</v>
      </c>
      <c r="F3934" t="s">
        <v>49</v>
      </c>
      <c r="G3934" t="s">
        <v>102</v>
      </c>
      <c r="H3934" t="s">
        <v>7895</v>
      </c>
      <c r="J3934" t="str">
        <f>HYPERLINK("https://www.youtube.com/watch?v=vKpSJic2FpY&amp;lc=UgwZyVfXvzjV5EYMo114AaABAg.9zVhQAY_JmL9zVoviu-eho","https://www.youtube.com/watch?v=vKpSJic2FpY&amp;lc=UgwZyVfXvzjV5EYMo114AaABAg.9zVhQAY_JmL9zVoviu-eho")</f>
        <v>https://www.youtube.com/watch?v=vKpSJic2FpY&amp;lc=UgwZyVfXvzjV5EYMo114AaABAg.9zVhQAY_JmL9zVoviu-eho</v>
      </c>
      <c r="O3934">
        <v>0</v>
      </c>
      <c r="P3934">
        <v>0</v>
      </c>
      <c r="Q3934">
        <v>0</v>
      </c>
      <c r="S3934">
        <v>0</v>
      </c>
      <c r="T3934">
        <v>0</v>
      </c>
      <c r="U3934">
        <v>0</v>
      </c>
      <c r="W3934" t="s">
        <v>52</v>
      </c>
    </row>
    <row r="3935" spans="1:23" x14ac:dyDescent="0.35">
      <c r="A3935" t="s">
        <v>45</v>
      </c>
      <c r="B3935" t="s">
        <v>7845</v>
      </c>
      <c r="C3935" t="s">
        <v>47</v>
      </c>
      <c r="D3935" t="s">
        <v>7896</v>
      </c>
      <c r="E3935" t="s">
        <v>7896</v>
      </c>
      <c r="F3935" t="s">
        <v>49</v>
      </c>
      <c r="G3935" t="s">
        <v>7897</v>
      </c>
      <c r="H3935" t="s">
        <v>7898</v>
      </c>
      <c r="J3935" t="str">
        <f>HYPERLINK("https://www.youtube.com/watch?v=otifGXuH01E&amp;lc=UgyfF4VA8EacITYO8Sl4AaABAg","https://www.youtube.com/watch?v=otifGXuH01E&amp;lc=UgyfF4VA8EacITYO8Sl4AaABAg")</f>
        <v>https://www.youtube.com/watch?v=otifGXuH01E&amp;lc=UgyfF4VA8EacITYO8Sl4AaABAg</v>
      </c>
      <c r="O3935">
        <v>0</v>
      </c>
      <c r="P3935">
        <v>0</v>
      </c>
      <c r="Q3935">
        <v>0</v>
      </c>
      <c r="S3935">
        <v>0</v>
      </c>
      <c r="T3935">
        <v>0</v>
      </c>
      <c r="U3935">
        <v>0</v>
      </c>
      <c r="W3935" t="s">
        <v>52</v>
      </c>
    </row>
    <row r="3936" spans="1:23" x14ac:dyDescent="0.35">
      <c r="A3936" t="s">
        <v>45</v>
      </c>
      <c r="B3936" t="s">
        <v>7845</v>
      </c>
      <c r="C3936" t="s">
        <v>47</v>
      </c>
      <c r="D3936" t="s">
        <v>7899</v>
      </c>
      <c r="E3936" t="s">
        <v>7899</v>
      </c>
      <c r="F3936" t="s">
        <v>49</v>
      </c>
      <c r="G3936" t="s">
        <v>7900</v>
      </c>
      <c r="H3936" t="s">
        <v>7901</v>
      </c>
      <c r="J3936" t="str">
        <f>HYPERLINK("https://www.youtube.com/watch?v=vKpSJic2FpY&amp;lc=UgwZyVfXvzjV5EYMo114AaABAg","https://www.youtube.com/watch?v=vKpSJic2FpY&amp;lc=UgwZyVfXvzjV5EYMo114AaABAg")</f>
        <v>https://www.youtube.com/watch?v=vKpSJic2FpY&amp;lc=UgwZyVfXvzjV5EYMo114AaABAg</v>
      </c>
      <c r="O3936">
        <v>0</v>
      </c>
      <c r="P3936">
        <v>0</v>
      </c>
      <c r="Q3936">
        <v>0</v>
      </c>
      <c r="S3936">
        <v>0</v>
      </c>
      <c r="T3936">
        <v>0</v>
      </c>
      <c r="U3936">
        <v>0</v>
      </c>
      <c r="W3936" t="s">
        <v>52</v>
      </c>
    </row>
    <row r="3937" spans="1:23" x14ac:dyDescent="0.35">
      <c r="A3937" t="s">
        <v>45</v>
      </c>
      <c r="B3937" t="s">
        <v>7845</v>
      </c>
      <c r="C3937" t="s">
        <v>93</v>
      </c>
      <c r="D3937" t="s">
        <v>7902</v>
      </c>
      <c r="E3937" t="s">
        <v>7903</v>
      </c>
      <c r="F3937" t="s">
        <v>49</v>
      </c>
      <c r="G3937" t="s">
        <v>7904</v>
      </c>
      <c r="H3937" t="s">
        <v>7905</v>
      </c>
      <c r="J3937" t="str">
        <f>HYPERLINK("https://twitter.com/KRISHNA67713666/status/1746089070986727825","https://twitter.com/KRISHNA67713666/status/1746089070986727825")</f>
        <v>https://twitter.com/KRISHNA67713666/status/1746089070986727825</v>
      </c>
      <c r="K3937" t="s">
        <v>67</v>
      </c>
      <c r="O3937">
        <v>0</v>
      </c>
      <c r="P3937">
        <v>0</v>
      </c>
      <c r="Q3937">
        <v>6</v>
      </c>
      <c r="S3937">
        <v>0</v>
      </c>
      <c r="T3937">
        <v>0</v>
      </c>
      <c r="U3937">
        <v>0</v>
      </c>
      <c r="W3937" t="s">
        <v>99</v>
      </c>
    </row>
    <row r="3938" spans="1:23" x14ac:dyDescent="0.35">
      <c r="A3938" t="s">
        <v>45</v>
      </c>
      <c r="B3938" t="s">
        <v>7845</v>
      </c>
      <c r="C3938" t="s">
        <v>93</v>
      </c>
      <c r="D3938" t="s">
        <v>1319</v>
      </c>
      <c r="E3938" t="s">
        <v>1320</v>
      </c>
      <c r="F3938" t="s">
        <v>193</v>
      </c>
      <c r="G3938" t="s">
        <v>7906</v>
      </c>
      <c r="H3938" t="s">
        <v>7907</v>
      </c>
      <c r="J3938" t="str">
        <f>HYPERLINK("https://twitter.com/ashukm/status/1746084820839796865","https://twitter.com/ashukm/status/1746084820839796865")</f>
        <v>https://twitter.com/ashukm/status/1746084820839796865</v>
      </c>
      <c r="K3938" t="s">
        <v>67</v>
      </c>
      <c r="O3938">
        <v>0</v>
      </c>
      <c r="P3938">
        <v>0</v>
      </c>
      <c r="Q3938">
        <v>173</v>
      </c>
      <c r="S3938">
        <v>0</v>
      </c>
      <c r="T3938">
        <v>0</v>
      </c>
      <c r="U3938">
        <v>0</v>
      </c>
      <c r="W3938" t="s">
        <v>99</v>
      </c>
    </row>
    <row r="3939" spans="1:23" x14ac:dyDescent="0.35">
      <c r="A3939" t="s">
        <v>45</v>
      </c>
      <c r="B3939" t="s">
        <v>7845</v>
      </c>
      <c r="C3939" t="s">
        <v>47</v>
      </c>
      <c r="D3939" t="s">
        <v>68</v>
      </c>
      <c r="E3939" t="s">
        <v>68</v>
      </c>
      <c r="F3939" t="s">
        <v>49</v>
      </c>
      <c r="G3939" t="s">
        <v>102</v>
      </c>
      <c r="H3939" t="s">
        <v>7908</v>
      </c>
      <c r="J3939" t="str">
        <f>HYPERLINK("https://www.youtube.com/watch?v=otifGXuH01E&amp;lc=UgyNQN_Kr5q3er08IqR4AaABAg.9zTv5wyRqyx9zVdhJZNqVA","https://www.youtube.com/watch?v=otifGXuH01E&amp;lc=UgyNQN_Kr5q3er08IqR4AaABAg.9zTv5wyRqyx9zVdhJZNqVA")</f>
        <v>https://www.youtube.com/watch?v=otifGXuH01E&amp;lc=UgyNQN_Kr5q3er08IqR4AaABAg.9zTv5wyRqyx9zVdhJZNqVA</v>
      </c>
      <c r="O3939">
        <v>0</v>
      </c>
      <c r="P3939">
        <v>0</v>
      </c>
      <c r="Q3939">
        <v>0</v>
      </c>
      <c r="S3939">
        <v>0</v>
      </c>
      <c r="T3939">
        <v>0</v>
      </c>
      <c r="U3939">
        <v>0</v>
      </c>
      <c r="W3939" t="s">
        <v>52</v>
      </c>
    </row>
    <row r="3940" spans="1:23" x14ac:dyDescent="0.35">
      <c r="A3940" t="s">
        <v>45</v>
      </c>
      <c r="B3940" t="s">
        <v>7845</v>
      </c>
      <c r="C3940" t="s">
        <v>93</v>
      </c>
      <c r="D3940" t="s">
        <v>7880</v>
      </c>
      <c r="E3940" t="s">
        <v>7881</v>
      </c>
      <c r="F3940" t="s">
        <v>49</v>
      </c>
      <c r="G3940" t="s">
        <v>7909</v>
      </c>
      <c r="H3940" t="s">
        <v>7910</v>
      </c>
      <c r="J3940" t="str">
        <f>HYPERLINK("https://twitter.com/Warmbirds12/status/1746051311693635662","https://twitter.com/Warmbirds12/status/1746051311693635662")</f>
        <v>https://twitter.com/Warmbirds12/status/1746051311693635662</v>
      </c>
      <c r="O3940">
        <v>0</v>
      </c>
      <c r="P3940">
        <v>0</v>
      </c>
      <c r="Q3940">
        <v>11</v>
      </c>
      <c r="R3940" t="s">
        <v>5484</v>
      </c>
      <c r="S3940">
        <v>0</v>
      </c>
      <c r="T3940">
        <v>0</v>
      </c>
      <c r="U3940">
        <v>0</v>
      </c>
      <c r="W3940" t="s">
        <v>99</v>
      </c>
    </row>
    <row r="3941" spans="1:23" x14ac:dyDescent="0.35">
      <c r="A3941" t="s">
        <v>45</v>
      </c>
      <c r="B3941" t="s">
        <v>7845</v>
      </c>
      <c r="C3941" t="s">
        <v>93</v>
      </c>
      <c r="D3941" t="s">
        <v>7911</v>
      </c>
      <c r="E3941" t="s">
        <v>7912</v>
      </c>
      <c r="F3941" t="s">
        <v>49</v>
      </c>
      <c r="G3941" t="s">
        <v>7913</v>
      </c>
      <c r="H3941" t="s">
        <v>7914</v>
      </c>
      <c r="J3941" t="str">
        <f>HYPERLINK("https://twitter.com/KrishanKum62314/status/1746044962129752327","https://twitter.com/KrishanKum62314/status/1746044962129752327")</f>
        <v>https://twitter.com/KrishanKum62314/status/1746044962129752327</v>
      </c>
      <c r="K3941" t="s">
        <v>67</v>
      </c>
      <c r="O3941">
        <v>0</v>
      </c>
      <c r="P3941">
        <v>0</v>
      </c>
      <c r="Q3941">
        <v>0</v>
      </c>
      <c r="S3941">
        <v>0</v>
      </c>
      <c r="T3941">
        <v>0</v>
      </c>
      <c r="U3941">
        <v>0</v>
      </c>
      <c r="W3941" t="s">
        <v>99</v>
      </c>
    </row>
    <row r="3942" spans="1:23" x14ac:dyDescent="0.35">
      <c r="A3942" t="s">
        <v>45</v>
      </c>
      <c r="B3942" t="s">
        <v>7845</v>
      </c>
      <c r="C3942" t="s">
        <v>60</v>
      </c>
      <c r="D3942" t="s">
        <v>61</v>
      </c>
      <c r="E3942" t="s">
        <v>61</v>
      </c>
      <c r="F3942" t="s">
        <v>49</v>
      </c>
      <c r="G3942" t="s">
        <v>1156</v>
      </c>
      <c r="H3942" t="s">
        <v>7915</v>
      </c>
      <c r="J3942" t="str">
        <f>HYPERLINK("https://www.facebook.com/634639855377280/posts/771350455039552?comment_id=392293893244967","https://www.facebook.com/634639855377280/posts/771350455039552?comment_id=392293893244967")</f>
        <v>https://www.facebook.com/634639855377280/posts/771350455039552?comment_id=392293893244967</v>
      </c>
      <c r="O3942">
        <v>0</v>
      </c>
      <c r="P3942">
        <v>0</v>
      </c>
      <c r="Q3942">
        <v>0</v>
      </c>
      <c r="S3942">
        <v>0</v>
      </c>
      <c r="T3942">
        <v>0</v>
      </c>
      <c r="U3942">
        <v>0</v>
      </c>
      <c r="W3942" t="s">
        <v>52</v>
      </c>
    </row>
    <row r="3943" spans="1:23" x14ac:dyDescent="0.35">
      <c r="A3943" t="s">
        <v>45</v>
      </c>
      <c r="B3943" t="s">
        <v>7845</v>
      </c>
      <c r="C3943" t="s">
        <v>60</v>
      </c>
      <c r="D3943" t="s">
        <v>61</v>
      </c>
      <c r="E3943" t="s">
        <v>61</v>
      </c>
      <c r="F3943" t="s">
        <v>193</v>
      </c>
      <c r="G3943" t="s">
        <v>7916</v>
      </c>
      <c r="H3943" t="s">
        <v>7917</v>
      </c>
      <c r="J3943" t="str">
        <f>HYPERLINK("https://www.facebook.com/634639855377280/posts/770757868432144?comment_id=274814655311013&amp;reply_comment_id=275766262180901","https://www.facebook.com/634639855377280/posts/770757868432144?comment_id=274814655311013&amp;reply_comment_id=275766262180901")</f>
        <v>https://www.facebook.com/634639855377280/posts/770757868432144?comment_id=274814655311013&amp;reply_comment_id=275766262180901</v>
      </c>
      <c r="O3943">
        <v>0</v>
      </c>
      <c r="P3943">
        <v>0</v>
      </c>
      <c r="Q3943">
        <v>0</v>
      </c>
      <c r="S3943">
        <v>0</v>
      </c>
      <c r="T3943">
        <v>0</v>
      </c>
      <c r="U3943">
        <v>0</v>
      </c>
      <c r="W3943" t="s">
        <v>52</v>
      </c>
    </row>
    <row r="3944" spans="1:23" x14ac:dyDescent="0.35">
      <c r="A3944" t="s">
        <v>45</v>
      </c>
      <c r="B3944" t="s">
        <v>7845</v>
      </c>
      <c r="C3944" t="s">
        <v>60</v>
      </c>
      <c r="D3944" t="s">
        <v>64</v>
      </c>
      <c r="E3944" t="s">
        <v>64</v>
      </c>
      <c r="F3944" t="s">
        <v>49</v>
      </c>
      <c r="G3944" t="s">
        <v>7918</v>
      </c>
      <c r="H3944" t="s">
        <v>7919</v>
      </c>
      <c r="J3944" t="str">
        <f>HYPERLINK("https://www.facebook.com/634639855377280/posts/771350455039552","https://www.facebook.com/634639855377280/posts/771350455039552")</f>
        <v>https://www.facebook.com/634639855377280/posts/771350455039552</v>
      </c>
      <c r="O3944">
        <v>0</v>
      </c>
      <c r="P3944">
        <v>0</v>
      </c>
      <c r="Q3944">
        <v>0</v>
      </c>
      <c r="S3944">
        <v>8</v>
      </c>
      <c r="T3944">
        <v>80</v>
      </c>
      <c r="U3944">
        <v>9</v>
      </c>
      <c r="W3944" t="s">
        <v>346</v>
      </c>
    </row>
    <row r="3945" spans="1:23" x14ac:dyDescent="0.35">
      <c r="A3945" t="s">
        <v>45</v>
      </c>
      <c r="B3945" t="s">
        <v>7845</v>
      </c>
      <c r="C3945" t="s">
        <v>93</v>
      </c>
      <c r="D3945" t="s">
        <v>94</v>
      </c>
      <c r="E3945" t="s">
        <v>45</v>
      </c>
      <c r="F3945" t="s">
        <v>49</v>
      </c>
      <c r="G3945" t="s">
        <v>7920</v>
      </c>
      <c r="H3945" t="s">
        <v>7921</v>
      </c>
      <c r="J3945" t="str">
        <f>HYPERLINK("https://twitter.com/SpiceMoneyIndia/status/1745996589414445126","https://twitter.com/SpiceMoneyIndia/status/1745996589414445126")</f>
        <v>https://twitter.com/SpiceMoneyIndia/status/1745996589414445126</v>
      </c>
      <c r="K3945" t="s">
        <v>67</v>
      </c>
      <c r="O3945">
        <v>0</v>
      </c>
      <c r="P3945">
        <v>0</v>
      </c>
      <c r="Q3945">
        <v>5997</v>
      </c>
      <c r="R3945" t="s">
        <v>97</v>
      </c>
      <c r="S3945">
        <v>0</v>
      </c>
      <c r="T3945">
        <v>0</v>
      </c>
      <c r="U3945">
        <v>0</v>
      </c>
      <c r="V3945" t="s">
        <v>98</v>
      </c>
      <c r="W3945" t="s">
        <v>99</v>
      </c>
    </row>
    <row r="3946" spans="1:23" x14ac:dyDescent="0.35">
      <c r="A3946" t="s">
        <v>45</v>
      </c>
      <c r="B3946" t="s">
        <v>7922</v>
      </c>
      <c r="C3946" t="s">
        <v>60</v>
      </c>
      <c r="D3946" t="s">
        <v>61</v>
      </c>
      <c r="E3946" t="s">
        <v>61</v>
      </c>
      <c r="F3946" t="s">
        <v>49</v>
      </c>
      <c r="G3946" t="s">
        <v>7923</v>
      </c>
      <c r="H3946" t="s">
        <v>7924</v>
      </c>
      <c r="J3946" t="str">
        <f>HYPERLINK("https://www.facebook.com/634639855377280/posts/770369625137635?comment_id=417376507451565","https://www.facebook.com/634639855377280/posts/770369625137635?comment_id=417376507451565")</f>
        <v>https://www.facebook.com/634639855377280/posts/770369625137635?comment_id=417376507451565</v>
      </c>
      <c r="O3946">
        <v>0</v>
      </c>
      <c r="P3946">
        <v>0</v>
      </c>
      <c r="Q3946">
        <v>0</v>
      </c>
      <c r="S3946">
        <v>0</v>
      </c>
      <c r="T3946">
        <v>0</v>
      </c>
      <c r="U3946">
        <v>0</v>
      </c>
      <c r="W3946" t="s">
        <v>52</v>
      </c>
    </row>
    <row r="3947" spans="1:23" x14ac:dyDescent="0.35">
      <c r="A3947" t="s">
        <v>45</v>
      </c>
      <c r="B3947" t="s">
        <v>7922</v>
      </c>
      <c r="C3947" t="s">
        <v>47</v>
      </c>
      <c r="D3947" t="s">
        <v>2205</v>
      </c>
      <c r="E3947" t="s">
        <v>2205</v>
      </c>
      <c r="F3947" t="s">
        <v>49</v>
      </c>
      <c r="G3947" t="s">
        <v>7925</v>
      </c>
      <c r="H3947" t="s">
        <v>7926</v>
      </c>
      <c r="J3947" t="str">
        <f>HYPERLINK("https://www.youtube.com/watch?v=gIyuJbshDBM&amp;lc=UgxumME6zrX7V79_1tl4AaABAg","https://www.youtube.com/watch?v=gIyuJbshDBM&amp;lc=UgxumME6zrX7V79_1tl4AaABAg")</f>
        <v>https://www.youtube.com/watch?v=gIyuJbshDBM&amp;lc=UgxumME6zrX7V79_1tl4AaABAg</v>
      </c>
      <c r="O3947">
        <v>0</v>
      </c>
      <c r="P3947">
        <v>0</v>
      </c>
      <c r="Q3947">
        <v>0</v>
      </c>
      <c r="S3947">
        <v>0</v>
      </c>
      <c r="T3947">
        <v>0</v>
      </c>
      <c r="U3947">
        <v>0</v>
      </c>
      <c r="W3947" t="s">
        <v>52</v>
      </c>
    </row>
    <row r="3948" spans="1:23" x14ac:dyDescent="0.35">
      <c r="A3948" t="s">
        <v>45</v>
      </c>
      <c r="B3948" t="s">
        <v>7922</v>
      </c>
      <c r="C3948" t="s">
        <v>47</v>
      </c>
      <c r="D3948" t="s">
        <v>2205</v>
      </c>
      <c r="E3948" t="s">
        <v>2205</v>
      </c>
      <c r="F3948" t="s">
        <v>49</v>
      </c>
      <c r="G3948" t="s">
        <v>7925</v>
      </c>
      <c r="H3948" t="s">
        <v>7927</v>
      </c>
      <c r="J3948" t="str">
        <f>HYPERLINK("https://www.youtube.com/watch?v=WFhlOwAtEvE&amp;lc=Ugzde8lc6ffFPwgnLNh4AaABAg","https://www.youtube.com/watch?v=WFhlOwAtEvE&amp;lc=Ugzde8lc6ffFPwgnLNh4AaABAg")</f>
        <v>https://www.youtube.com/watch?v=WFhlOwAtEvE&amp;lc=Ugzde8lc6ffFPwgnLNh4AaABAg</v>
      </c>
      <c r="O3948">
        <v>0</v>
      </c>
      <c r="P3948">
        <v>0</v>
      </c>
      <c r="Q3948">
        <v>0</v>
      </c>
      <c r="S3948">
        <v>0</v>
      </c>
      <c r="T3948">
        <v>0</v>
      </c>
      <c r="U3948">
        <v>0</v>
      </c>
      <c r="W3948" t="s">
        <v>52</v>
      </c>
    </row>
    <row r="3949" spans="1:23" x14ac:dyDescent="0.35">
      <c r="A3949" t="s">
        <v>45</v>
      </c>
      <c r="B3949" t="s">
        <v>7922</v>
      </c>
      <c r="C3949" t="s">
        <v>60</v>
      </c>
      <c r="D3949" t="s">
        <v>61</v>
      </c>
      <c r="E3949" t="s">
        <v>61</v>
      </c>
      <c r="F3949" t="s">
        <v>193</v>
      </c>
      <c r="G3949" t="s">
        <v>7928</v>
      </c>
      <c r="H3949" t="s">
        <v>7929</v>
      </c>
      <c r="J3949" t="str">
        <f>HYPERLINK("https://www.facebook.com/634639855377280/posts/770757868432144?comment_id=1027555474997577","https://www.facebook.com/634639855377280/posts/770757868432144?comment_id=1027555474997577")</f>
        <v>https://www.facebook.com/634639855377280/posts/770757868432144?comment_id=1027555474997577</v>
      </c>
      <c r="O3949">
        <v>0</v>
      </c>
      <c r="P3949">
        <v>0</v>
      </c>
      <c r="Q3949">
        <v>0</v>
      </c>
      <c r="S3949">
        <v>0</v>
      </c>
      <c r="T3949">
        <v>0</v>
      </c>
      <c r="U3949">
        <v>0</v>
      </c>
      <c r="W3949" t="s">
        <v>52</v>
      </c>
    </row>
    <row r="3950" spans="1:23" x14ac:dyDescent="0.35">
      <c r="A3950" t="s">
        <v>45</v>
      </c>
      <c r="B3950" t="s">
        <v>7922</v>
      </c>
      <c r="C3950" t="s">
        <v>47</v>
      </c>
      <c r="D3950" t="s">
        <v>7633</v>
      </c>
      <c r="E3950" t="s">
        <v>7633</v>
      </c>
      <c r="F3950" t="s">
        <v>49</v>
      </c>
      <c r="G3950" t="s">
        <v>7930</v>
      </c>
      <c r="H3950" t="s">
        <v>7931</v>
      </c>
      <c r="J3950" t="str">
        <f>HYPERLINK("https://www.youtube.com/watch?v=otifGXuH01E&amp;lc=UgyNQN_Kr5q3er08IqR4AaABAg","https://www.youtube.com/watch?v=otifGXuH01E&amp;lc=UgyNQN_Kr5q3er08IqR4AaABAg")</f>
        <v>https://www.youtube.com/watch?v=otifGXuH01E&amp;lc=UgyNQN_Kr5q3er08IqR4AaABAg</v>
      </c>
      <c r="O3950">
        <v>0</v>
      </c>
      <c r="P3950">
        <v>0</v>
      </c>
      <c r="Q3950">
        <v>0</v>
      </c>
      <c r="S3950">
        <v>0</v>
      </c>
      <c r="T3950">
        <v>0</v>
      </c>
      <c r="U3950">
        <v>0</v>
      </c>
      <c r="W3950" t="s">
        <v>52</v>
      </c>
    </row>
    <row r="3951" spans="1:23" x14ac:dyDescent="0.35">
      <c r="A3951" t="s">
        <v>45</v>
      </c>
      <c r="B3951" t="s">
        <v>7922</v>
      </c>
      <c r="C3951" t="s">
        <v>93</v>
      </c>
      <c r="D3951" t="s">
        <v>4073</v>
      </c>
      <c r="E3951" t="s">
        <v>4074</v>
      </c>
      <c r="F3951" t="s">
        <v>193</v>
      </c>
      <c r="G3951" t="s">
        <v>7932</v>
      </c>
      <c r="H3951" t="s">
        <v>7933</v>
      </c>
      <c r="J3951" t="str">
        <f>HYPERLINK("https://twitter.com/KumarRahul9321/status/1745834480433352707","https://twitter.com/KumarRahul9321/status/1745834480433352707")</f>
        <v>https://twitter.com/KumarRahul9321/status/1745834480433352707</v>
      </c>
      <c r="K3951" t="s">
        <v>67</v>
      </c>
      <c r="O3951">
        <v>0</v>
      </c>
      <c r="P3951">
        <v>0</v>
      </c>
      <c r="Q3951">
        <v>1</v>
      </c>
      <c r="S3951">
        <v>0</v>
      </c>
      <c r="T3951">
        <v>0</v>
      </c>
      <c r="U3951">
        <v>0</v>
      </c>
      <c r="W3951" t="s">
        <v>99</v>
      </c>
    </row>
    <row r="3952" spans="1:23" x14ac:dyDescent="0.35">
      <c r="A3952" t="s">
        <v>45</v>
      </c>
      <c r="B3952" t="s">
        <v>7922</v>
      </c>
      <c r="C3952" t="s">
        <v>60</v>
      </c>
      <c r="D3952" t="s">
        <v>61</v>
      </c>
      <c r="E3952" t="s">
        <v>61</v>
      </c>
      <c r="F3952" t="s">
        <v>49</v>
      </c>
      <c r="G3952" t="s">
        <v>7934</v>
      </c>
      <c r="H3952" t="s">
        <v>7935</v>
      </c>
      <c r="J3952" t="str">
        <f>HYPERLINK("https://www.facebook.com/634639855377280/posts/770369625137635?comment_id=909411843923597&amp;reply_comment_id=1351129292432405","https://www.facebook.com/634639855377280/posts/770369625137635?comment_id=909411843923597&amp;reply_comment_id=1351129292432405")</f>
        <v>https://www.facebook.com/634639855377280/posts/770369625137635?comment_id=909411843923597&amp;reply_comment_id=1351129292432405</v>
      </c>
      <c r="O3952">
        <v>0</v>
      </c>
      <c r="P3952">
        <v>0</v>
      </c>
      <c r="Q3952">
        <v>0</v>
      </c>
      <c r="S3952">
        <v>0</v>
      </c>
      <c r="T3952">
        <v>0</v>
      </c>
      <c r="U3952">
        <v>0</v>
      </c>
      <c r="W3952" t="s">
        <v>52</v>
      </c>
    </row>
    <row r="3953" spans="1:23" x14ac:dyDescent="0.35">
      <c r="A3953" t="s">
        <v>45</v>
      </c>
      <c r="B3953" t="s">
        <v>7922</v>
      </c>
      <c r="C3953" t="s">
        <v>60</v>
      </c>
      <c r="D3953" t="s">
        <v>61</v>
      </c>
      <c r="E3953" t="s">
        <v>61</v>
      </c>
      <c r="F3953" t="s">
        <v>49</v>
      </c>
      <c r="G3953" t="s">
        <v>7936</v>
      </c>
      <c r="H3953" t="s">
        <v>7937</v>
      </c>
      <c r="J3953" t="str">
        <f>HYPERLINK("https://www.facebook.com/634639855377280/posts/770757868432144?comment_id=778288207658990","https://www.facebook.com/634639855377280/posts/770757868432144?comment_id=778288207658990")</f>
        <v>https://www.facebook.com/634639855377280/posts/770757868432144?comment_id=778288207658990</v>
      </c>
      <c r="O3953">
        <v>0</v>
      </c>
      <c r="P3953">
        <v>0</v>
      </c>
      <c r="Q3953">
        <v>0</v>
      </c>
      <c r="S3953">
        <v>0</v>
      </c>
      <c r="T3953">
        <v>0</v>
      </c>
      <c r="U3953">
        <v>0</v>
      </c>
      <c r="W3953" t="s">
        <v>52</v>
      </c>
    </row>
    <row r="3954" spans="1:23" x14ac:dyDescent="0.35">
      <c r="A3954" t="s">
        <v>45</v>
      </c>
      <c r="B3954" t="s">
        <v>7922</v>
      </c>
      <c r="C3954" t="s">
        <v>93</v>
      </c>
      <c r="D3954" t="s">
        <v>7938</v>
      </c>
      <c r="E3954" t="s">
        <v>7939</v>
      </c>
      <c r="F3954" t="s">
        <v>49</v>
      </c>
      <c r="G3954" t="s">
        <v>7940</v>
      </c>
      <c r="H3954" t="s">
        <v>7941</v>
      </c>
      <c r="J3954" t="str">
        <f>HYPERLINK("https://twitter.com/your_Favouritey/status/1745823902880940370","https://twitter.com/your_Favouritey/status/1745823902880940370")</f>
        <v>https://twitter.com/your_Favouritey/status/1745823902880940370</v>
      </c>
      <c r="O3954">
        <v>0</v>
      </c>
      <c r="P3954">
        <v>0</v>
      </c>
      <c r="Q3954">
        <v>34</v>
      </c>
      <c r="R3954" t="s">
        <v>7942</v>
      </c>
      <c r="S3954">
        <v>0</v>
      </c>
      <c r="T3954">
        <v>0</v>
      </c>
      <c r="U3954">
        <v>0</v>
      </c>
      <c r="W3954" t="s">
        <v>99</v>
      </c>
    </row>
    <row r="3955" spans="1:23" x14ac:dyDescent="0.35">
      <c r="A3955" t="s">
        <v>45</v>
      </c>
      <c r="B3955" t="s">
        <v>7922</v>
      </c>
      <c r="C3955" t="s">
        <v>60</v>
      </c>
      <c r="D3955" t="s">
        <v>61</v>
      </c>
      <c r="E3955" t="s">
        <v>61</v>
      </c>
      <c r="F3955" t="s">
        <v>49</v>
      </c>
      <c r="G3955" t="s">
        <v>7943</v>
      </c>
      <c r="H3955" t="s">
        <v>7944</v>
      </c>
      <c r="J3955" t="str">
        <f>HYPERLINK("https://www.facebook.com/634639855377280/posts/769133368594594?comment_id=682071620762558","https://www.facebook.com/634639855377280/posts/769133368594594?comment_id=682071620762558")</f>
        <v>https://www.facebook.com/634639855377280/posts/769133368594594?comment_id=682071620762558</v>
      </c>
      <c r="O3955">
        <v>0</v>
      </c>
      <c r="P3955">
        <v>0</v>
      </c>
      <c r="Q3955">
        <v>0</v>
      </c>
      <c r="S3955">
        <v>0</v>
      </c>
      <c r="T3955">
        <v>0</v>
      </c>
      <c r="U3955">
        <v>0</v>
      </c>
      <c r="W3955" t="s">
        <v>52</v>
      </c>
    </row>
    <row r="3956" spans="1:23" x14ac:dyDescent="0.35">
      <c r="A3956" t="s">
        <v>45</v>
      </c>
      <c r="B3956" t="s">
        <v>7922</v>
      </c>
      <c r="C3956" t="s">
        <v>60</v>
      </c>
      <c r="D3956" t="s">
        <v>61</v>
      </c>
      <c r="E3956" t="s">
        <v>61</v>
      </c>
      <c r="F3956" t="s">
        <v>54</v>
      </c>
      <c r="G3956" t="s">
        <v>2440</v>
      </c>
      <c r="H3956" t="s">
        <v>7945</v>
      </c>
      <c r="J3956" t="str">
        <f>HYPERLINK("https://www.facebook.com/634639855377280/posts/770757868432144?comment_id=290716456919021","https://www.facebook.com/634639855377280/posts/770757868432144?comment_id=290716456919021")</f>
        <v>https://www.facebook.com/634639855377280/posts/770757868432144?comment_id=290716456919021</v>
      </c>
      <c r="O3956">
        <v>0</v>
      </c>
      <c r="P3956">
        <v>0</v>
      </c>
      <c r="Q3956">
        <v>0</v>
      </c>
      <c r="S3956">
        <v>0</v>
      </c>
      <c r="T3956">
        <v>0</v>
      </c>
      <c r="U3956">
        <v>0</v>
      </c>
      <c r="W3956" t="s">
        <v>52</v>
      </c>
    </row>
    <row r="3957" spans="1:23" x14ac:dyDescent="0.35">
      <c r="A3957" t="s">
        <v>45</v>
      </c>
      <c r="B3957" t="s">
        <v>7922</v>
      </c>
      <c r="C3957" t="s">
        <v>93</v>
      </c>
      <c r="D3957" t="s">
        <v>94</v>
      </c>
      <c r="E3957" t="s">
        <v>45</v>
      </c>
      <c r="F3957" t="s">
        <v>49</v>
      </c>
      <c r="G3957" t="s">
        <v>7946</v>
      </c>
      <c r="H3957" t="s">
        <v>7947</v>
      </c>
      <c r="J3957" t="str">
        <f>HYPERLINK("https://twitter.com/SpiceMoneyIndia/status/1745795502933697001","https://twitter.com/SpiceMoneyIndia/status/1745795502933697001")</f>
        <v>https://twitter.com/SpiceMoneyIndia/status/1745795502933697001</v>
      </c>
      <c r="K3957" t="s">
        <v>67</v>
      </c>
      <c r="O3957">
        <v>0</v>
      </c>
      <c r="P3957">
        <v>0</v>
      </c>
      <c r="Q3957">
        <v>5994</v>
      </c>
      <c r="R3957" t="s">
        <v>97</v>
      </c>
      <c r="S3957">
        <v>0</v>
      </c>
      <c r="T3957">
        <v>0</v>
      </c>
      <c r="U3957">
        <v>0</v>
      </c>
      <c r="V3957" t="s">
        <v>98</v>
      </c>
      <c r="W3957" t="s">
        <v>99</v>
      </c>
    </row>
    <row r="3958" spans="1:23" x14ac:dyDescent="0.35">
      <c r="A3958" t="s">
        <v>45</v>
      </c>
      <c r="B3958" t="s">
        <v>7922</v>
      </c>
      <c r="C3958" t="s">
        <v>93</v>
      </c>
      <c r="D3958" t="s">
        <v>94</v>
      </c>
      <c r="E3958" t="s">
        <v>45</v>
      </c>
      <c r="F3958" t="s">
        <v>49</v>
      </c>
      <c r="G3958" t="s">
        <v>7948</v>
      </c>
      <c r="H3958" t="s">
        <v>7949</v>
      </c>
      <c r="J3958" t="str">
        <f>HYPERLINK("https://twitter.com/SpiceMoneyIndia/status/1745793195751923823","https://twitter.com/SpiceMoneyIndia/status/1745793195751923823")</f>
        <v>https://twitter.com/SpiceMoneyIndia/status/1745793195751923823</v>
      </c>
      <c r="K3958" t="s">
        <v>67</v>
      </c>
      <c r="O3958">
        <v>0</v>
      </c>
      <c r="P3958">
        <v>0</v>
      </c>
      <c r="Q3958">
        <v>5994</v>
      </c>
      <c r="R3958" t="s">
        <v>97</v>
      </c>
      <c r="S3958">
        <v>0</v>
      </c>
      <c r="T3958">
        <v>0</v>
      </c>
      <c r="U3958">
        <v>0</v>
      </c>
      <c r="V3958" t="s">
        <v>98</v>
      </c>
      <c r="W3958" t="s">
        <v>99</v>
      </c>
    </row>
    <row r="3959" spans="1:23" x14ac:dyDescent="0.35">
      <c r="A3959" t="s">
        <v>45</v>
      </c>
      <c r="B3959" t="s">
        <v>7922</v>
      </c>
      <c r="C3959" t="s">
        <v>60</v>
      </c>
      <c r="D3959" t="s">
        <v>64</v>
      </c>
      <c r="E3959" t="s">
        <v>64</v>
      </c>
      <c r="F3959" t="s">
        <v>49</v>
      </c>
      <c r="G3959" t="s">
        <v>454</v>
      </c>
      <c r="H3959" t="s">
        <v>7950</v>
      </c>
      <c r="J3959" t="str">
        <f>HYPERLINK("https://www.facebook.com/634639855377280/posts/769133368594594?comment_id=902359961389059&amp;reply_comment_id=730882832344075","https://www.facebook.com/634639855377280/posts/769133368594594?comment_id=902359961389059&amp;reply_comment_id=730882832344075")</f>
        <v>https://www.facebook.com/634639855377280/posts/769133368594594?comment_id=902359961389059&amp;reply_comment_id=730882832344075</v>
      </c>
      <c r="K3959" t="s">
        <v>67</v>
      </c>
      <c r="O3959">
        <v>0</v>
      </c>
      <c r="P3959">
        <v>0</v>
      </c>
      <c r="Q3959">
        <v>0</v>
      </c>
      <c r="S3959">
        <v>0</v>
      </c>
      <c r="T3959">
        <v>0</v>
      </c>
      <c r="U3959">
        <v>0</v>
      </c>
      <c r="W3959" t="s">
        <v>52</v>
      </c>
    </row>
    <row r="3960" spans="1:23" x14ac:dyDescent="0.35">
      <c r="A3960" t="s">
        <v>45</v>
      </c>
      <c r="B3960" t="s">
        <v>7922</v>
      </c>
      <c r="C3960" t="s">
        <v>93</v>
      </c>
      <c r="D3960" t="s">
        <v>94</v>
      </c>
      <c r="E3960" t="s">
        <v>45</v>
      </c>
      <c r="F3960" t="s">
        <v>49</v>
      </c>
      <c r="G3960" t="s">
        <v>7951</v>
      </c>
      <c r="H3960" t="s">
        <v>7952</v>
      </c>
      <c r="J3960" t="str">
        <f>HYPERLINK("https://twitter.com/SpiceMoneyIndia/status/1745792708986188211","https://twitter.com/SpiceMoneyIndia/status/1745792708986188211")</f>
        <v>https://twitter.com/SpiceMoneyIndia/status/1745792708986188211</v>
      </c>
      <c r="K3960" t="s">
        <v>67</v>
      </c>
      <c r="O3960">
        <v>0</v>
      </c>
      <c r="P3960">
        <v>0</v>
      </c>
      <c r="Q3960">
        <v>5994</v>
      </c>
      <c r="R3960" t="s">
        <v>97</v>
      </c>
      <c r="S3960">
        <v>0</v>
      </c>
      <c r="T3960">
        <v>0</v>
      </c>
      <c r="U3960">
        <v>0</v>
      </c>
      <c r="V3960" t="s">
        <v>98</v>
      </c>
      <c r="W3960" t="s">
        <v>99</v>
      </c>
    </row>
    <row r="3961" spans="1:23" x14ac:dyDescent="0.35">
      <c r="A3961" t="s">
        <v>45</v>
      </c>
      <c r="B3961" t="s">
        <v>7922</v>
      </c>
      <c r="C3961" t="s">
        <v>60</v>
      </c>
      <c r="D3961" t="s">
        <v>64</v>
      </c>
      <c r="E3961" t="s">
        <v>64</v>
      </c>
      <c r="F3961" t="s">
        <v>49</v>
      </c>
      <c r="G3961" t="s">
        <v>266</v>
      </c>
      <c r="H3961" t="s">
        <v>7953</v>
      </c>
      <c r="J3961" t="str">
        <f>HYPERLINK("https://www.facebook.com/634639855377280/posts/769133368594594?comment_id=252260564556710&amp;reply_comment_id=386658443842483","https://www.facebook.com/634639855377280/posts/769133368594594?comment_id=252260564556710&amp;reply_comment_id=386658443842483")</f>
        <v>https://www.facebook.com/634639855377280/posts/769133368594594?comment_id=252260564556710&amp;reply_comment_id=386658443842483</v>
      </c>
      <c r="K3961" t="s">
        <v>67</v>
      </c>
      <c r="O3961">
        <v>0</v>
      </c>
      <c r="P3961">
        <v>0</v>
      </c>
      <c r="Q3961">
        <v>0</v>
      </c>
      <c r="S3961">
        <v>0</v>
      </c>
      <c r="T3961">
        <v>0</v>
      </c>
      <c r="U3961">
        <v>0</v>
      </c>
      <c r="W3961" t="s">
        <v>52</v>
      </c>
    </row>
    <row r="3962" spans="1:23" x14ac:dyDescent="0.35">
      <c r="A3962" t="s">
        <v>45</v>
      </c>
      <c r="B3962" t="s">
        <v>7922</v>
      </c>
      <c r="C3962" t="s">
        <v>93</v>
      </c>
      <c r="D3962" t="s">
        <v>94</v>
      </c>
      <c r="E3962" t="s">
        <v>45</v>
      </c>
      <c r="F3962" t="s">
        <v>49</v>
      </c>
      <c r="G3962" t="s">
        <v>5118</v>
      </c>
      <c r="H3962" t="s">
        <v>7954</v>
      </c>
      <c r="J3962" t="str">
        <f>HYPERLINK("https://twitter.com/SpiceMoneyIndia/status/1745791999989490070","https://twitter.com/SpiceMoneyIndia/status/1745791999989490070")</f>
        <v>https://twitter.com/SpiceMoneyIndia/status/1745791999989490070</v>
      </c>
      <c r="K3962" t="s">
        <v>67</v>
      </c>
      <c r="O3962">
        <v>0</v>
      </c>
      <c r="P3962">
        <v>0</v>
      </c>
      <c r="Q3962">
        <v>5994</v>
      </c>
      <c r="R3962" t="s">
        <v>97</v>
      </c>
      <c r="S3962">
        <v>0</v>
      </c>
      <c r="T3962">
        <v>0</v>
      </c>
      <c r="U3962">
        <v>0</v>
      </c>
      <c r="V3962" t="s">
        <v>98</v>
      </c>
      <c r="W3962" t="s">
        <v>99</v>
      </c>
    </row>
    <row r="3963" spans="1:23" x14ac:dyDescent="0.35">
      <c r="A3963" t="s">
        <v>45</v>
      </c>
      <c r="B3963" t="s">
        <v>7922</v>
      </c>
      <c r="C3963" t="s">
        <v>60</v>
      </c>
      <c r="D3963" t="s">
        <v>64</v>
      </c>
      <c r="E3963" t="s">
        <v>64</v>
      </c>
      <c r="F3963" t="s">
        <v>49</v>
      </c>
      <c r="G3963" t="s">
        <v>270</v>
      </c>
      <c r="H3963" t="s">
        <v>7955</v>
      </c>
      <c r="J3963" t="str">
        <f>HYPERLINK("https://www.facebook.com/634639855377280/posts/770369625137635?comment_id=909411843923597&amp;reply_comment_id=907599384285970","https://www.facebook.com/634639855377280/posts/770369625137635?comment_id=909411843923597&amp;reply_comment_id=907599384285970")</f>
        <v>https://www.facebook.com/634639855377280/posts/770369625137635?comment_id=909411843923597&amp;reply_comment_id=907599384285970</v>
      </c>
      <c r="K3963" t="s">
        <v>67</v>
      </c>
      <c r="O3963">
        <v>0</v>
      </c>
      <c r="P3963">
        <v>0</v>
      </c>
      <c r="Q3963">
        <v>0</v>
      </c>
      <c r="S3963">
        <v>0</v>
      </c>
      <c r="T3963">
        <v>0</v>
      </c>
      <c r="U3963">
        <v>0</v>
      </c>
      <c r="W3963" t="s">
        <v>52</v>
      </c>
    </row>
    <row r="3964" spans="1:23" x14ac:dyDescent="0.35">
      <c r="A3964" t="s">
        <v>45</v>
      </c>
      <c r="B3964" t="s">
        <v>7922</v>
      </c>
      <c r="C3964" t="s">
        <v>93</v>
      </c>
      <c r="D3964" t="s">
        <v>94</v>
      </c>
      <c r="E3964" t="s">
        <v>45</v>
      </c>
      <c r="F3964" t="s">
        <v>49</v>
      </c>
      <c r="G3964" t="s">
        <v>7956</v>
      </c>
      <c r="H3964" t="s">
        <v>7957</v>
      </c>
      <c r="J3964" t="str">
        <f>HYPERLINK("https://twitter.com/SpiceMoneyIndia/status/1745791371741405388","https://twitter.com/SpiceMoneyIndia/status/1745791371741405388")</f>
        <v>https://twitter.com/SpiceMoneyIndia/status/1745791371741405388</v>
      </c>
      <c r="K3964" t="s">
        <v>67</v>
      </c>
      <c r="O3964">
        <v>0</v>
      </c>
      <c r="P3964">
        <v>0</v>
      </c>
      <c r="Q3964">
        <v>5994</v>
      </c>
      <c r="R3964" t="s">
        <v>97</v>
      </c>
      <c r="S3964">
        <v>0</v>
      </c>
      <c r="T3964">
        <v>0</v>
      </c>
      <c r="U3964">
        <v>0</v>
      </c>
      <c r="V3964" t="s">
        <v>98</v>
      </c>
      <c r="W3964" t="s">
        <v>99</v>
      </c>
    </row>
    <row r="3965" spans="1:23" x14ac:dyDescent="0.35">
      <c r="A3965" t="s">
        <v>45</v>
      </c>
      <c r="B3965" t="s">
        <v>7922</v>
      </c>
      <c r="C3965" t="s">
        <v>60</v>
      </c>
      <c r="D3965" t="s">
        <v>64</v>
      </c>
      <c r="E3965" t="s">
        <v>64</v>
      </c>
      <c r="F3965" t="s">
        <v>49</v>
      </c>
      <c r="G3965" t="s">
        <v>1276</v>
      </c>
      <c r="H3965" t="s">
        <v>7958</v>
      </c>
      <c r="J3965" t="str">
        <f>HYPERLINK("https://www.facebook.com/634639855377280/posts/770369625137635?comment_id=3070280346436979&amp;reply_comment_id=919943766236766","https://www.facebook.com/634639855377280/posts/770369625137635?comment_id=3070280346436979&amp;reply_comment_id=919943766236766")</f>
        <v>https://www.facebook.com/634639855377280/posts/770369625137635?comment_id=3070280346436979&amp;reply_comment_id=919943766236766</v>
      </c>
      <c r="K3965" t="s">
        <v>67</v>
      </c>
      <c r="O3965">
        <v>0</v>
      </c>
      <c r="P3965">
        <v>0</v>
      </c>
      <c r="Q3965">
        <v>0</v>
      </c>
      <c r="S3965">
        <v>0</v>
      </c>
      <c r="T3965">
        <v>0</v>
      </c>
      <c r="U3965">
        <v>0</v>
      </c>
      <c r="W3965" t="s">
        <v>52</v>
      </c>
    </row>
    <row r="3966" spans="1:23" x14ac:dyDescent="0.35">
      <c r="A3966" t="s">
        <v>45</v>
      </c>
      <c r="B3966" t="s">
        <v>7922</v>
      </c>
      <c r="C3966" t="s">
        <v>93</v>
      </c>
      <c r="D3966" t="s">
        <v>7880</v>
      </c>
      <c r="E3966" t="s">
        <v>7881</v>
      </c>
      <c r="F3966" t="s">
        <v>49</v>
      </c>
      <c r="G3966" t="s">
        <v>7959</v>
      </c>
      <c r="H3966" t="s">
        <v>7960</v>
      </c>
      <c r="J3966" t="str">
        <f>HYPERLINK("https://twitter.com/Warmbirds12/status/1745790341519950286","https://twitter.com/Warmbirds12/status/1745790341519950286")</f>
        <v>https://twitter.com/Warmbirds12/status/1745790341519950286</v>
      </c>
      <c r="O3966">
        <v>0</v>
      </c>
      <c r="P3966">
        <v>0</v>
      </c>
      <c r="Q3966">
        <v>11</v>
      </c>
      <c r="R3966" t="s">
        <v>5484</v>
      </c>
      <c r="S3966">
        <v>0</v>
      </c>
      <c r="T3966">
        <v>0</v>
      </c>
      <c r="U3966">
        <v>0</v>
      </c>
      <c r="W3966" t="s">
        <v>99</v>
      </c>
    </row>
    <row r="3967" spans="1:23" x14ac:dyDescent="0.35">
      <c r="A3967" t="s">
        <v>45</v>
      </c>
      <c r="B3967" t="s">
        <v>7922</v>
      </c>
      <c r="C3967" t="s">
        <v>60</v>
      </c>
      <c r="D3967" t="s">
        <v>64</v>
      </c>
      <c r="E3967" t="s">
        <v>64</v>
      </c>
      <c r="F3967" t="s">
        <v>49</v>
      </c>
      <c r="G3967" t="s">
        <v>280</v>
      </c>
      <c r="H3967" t="s">
        <v>7961</v>
      </c>
      <c r="J3967" t="str">
        <f>HYPERLINK("https://www.facebook.com/634639855377280/posts/770369625137635?comment_id=1364477647772963&amp;reply_comment_id=1128382234794496","https://www.facebook.com/634639855377280/posts/770369625137635?comment_id=1364477647772963&amp;reply_comment_id=1128382234794496")</f>
        <v>https://www.facebook.com/634639855377280/posts/770369625137635?comment_id=1364477647772963&amp;reply_comment_id=1128382234794496</v>
      </c>
      <c r="K3967" t="s">
        <v>67</v>
      </c>
      <c r="O3967">
        <v>0</v>
      </c>
      <c r="P3967">
        <v>0</v>
      </c>
      <c r="Q3967">
        <v>0</v>
      </c>
      <c r="S3967">
        <v>0</v>
      </c>
      <c r="T3967">
        <v>0</v>
      </c>
      <c r="U3967">
        <v>0</v>
      </c>
      <c r="W3967" t="s">
        <v>52</v>
      </c>
    </row>
    <row r="3968" spans="1:23" x14ac:dyDescent="0.35">
      <c r="A3968" t="s">
        <v>45</v>
      </c>
      <c r="B3968" t="s">
        <v>7922</v>
      </c>
      <c r="C3968" t="s">
        <v>60</v>
      </c>
      <c r="D3968" t="s">
        <v>64</v>
      </c>
      <c r="E3968" t="s">
        <v>64</v>
      </c>
      <c r="F3968" t="s">
        <v>49</v>
      </c>
      <c r="G3968" t="s">
        <v>1595</v>
      </c>
      <c r="H3968" t="s">
        <v>7962</v>
      </c>
      <c r="J3968" t="str">
        <f>HYPERLINK("https://www.facebook.com/634639855377280/posts/770369625137635?comment_id=1399236450685966&amp;reply_comment_id=230893180061854","https://www.facebook.com/634639855377280/posts/770369625137635?comment_id=1399236450685966&amp;reply_comment_id=230893180061854")</f>
        <v>https://www.facebook.com/634639855377280/posts/770369625137635?comment_id=1399236450685966&amp;reply_comment_id=230893180061854</v>
      </c>
      <c r="K3968" t="s">
        <v>67</v>
      </c>
      <c r="O3968">
        <v>0</v>
      </c>
      <c r="P3968">
        <v>0</v>
      </c>
      <c r="Q3968">
        <v>0</v>
      </c>
      <c r="S3968">
        <v>0</v>
      </c>
      <c r="T3968">
        <v>0</v>
      </c>
      <c r="U3968">
        <v>0</v>
      </c>
      <c r="W3968" t="s">
        <v>52</v>
      </c>
    </row>
    <row r="3969" spans="1:23" x14ac:dyDescent="0.35">
      <c r="A3969" t="s">
        <v>45</v>
      </c>
      <c r="B3969" t="s">
        <v>7922</v>
      </c>
      <c r="C3969" t="s">
        <v>93</v>
      </c>
      <c r="D3969" t="s">
        <v>94</v>
      </c>
      <c r="E3969" t="s">
        <v>45</v>
      </c>
      <c r="F3969" t="s">
        <v>49</v>
      </c>
      <c r="G3969" t="s">
        <v>7963</v>
      </c>
      <c r="H3969" t="s">
        <v>7964</v>
      </c>
      <c r="J3969" t="str">
        <f>HYPERLINK("https://twitter.com/SpiceMoneyIndia/status/1745789819140137015","https://twitter.com/SpiceMoneyIndia/status/1745789819140137015")</f>
        <v>https://twitter.com/SpiceMoneyIndia/status/1745789819140137015</v>
      </c>
      <c r="K3969" t="s">
        <v>67</v>
      </c>
      <c r="O3969">
        <v>0</v>
      </c>
      <c r="P3969">
        <v>0</v>
      </c>
      <c r="Q3969">
        <v>5994</v>
      </c>
      <c r="R3969" t="s">
        <v>97</v>
      </c>
      <c r="S3969">
        <v>0</v>
      </c>
      <c r="T3969">
        <v>0</v>
      </c>
      <c r="U3969">
        <v>0</v>
      </c>
      <c r="V3969" t="s">
        <v>98</v>
      </c>
      <c r="W3969" t="s">
        <v>99</v>
      </c>
    </row>
    <row r="3970" spans="1:23" x14ac:dyDescent="0.35">
      <c r="A3970" t="s">
        <v>45</v>
      </c>
      <c r="B3970" t="s">
        <v>7922</v>
      </c>
      <c r="C3970" t="s">
        <v>60</v>
      </c>
      <c r="D3970" t="s">
        <v>64</v>
      </c>
      <c r="E3970" t="s">
        <v>64</v>
      </c>
      <c r="F3970" t="s">
        <v>49</v>
      </c>
      <c r="G3970" t="s">
        <v>266</v>
      </c>
      <c r="H3970" t="s">
        <v>7965</v>
      </c>
      <c r="J3970" t="str">
        <f>HYPERLINK("https://www.facebook.com/634639855377280/posts/770757868432144?comment_id=274814655311013&amp;reply_comment_id=1322584071730437","https://www.facebook.com/634639855377280/posts/770757868432144?comment_id=274814655311013&amp;reply_comment_id=1322584071730437")</f>
        <v>https://www.facebook.com/634639855377280/posts/770757868432144?comment_id=274814655311013&amp;reply_comment_id=1322584071730437</v>
      </c>
      <c r="K3970" t="s">
        <v>67</v>
      </c>
      <c r="O3970">
        <v>0</v>
      </c>
      <c r="P3970">
        <v>0</v>
      </c>
      <c r="Q3970">
        <v>0</v>
      </c>
      <c r="S3970">
        <v>0</v>
      </c>
      <c r="T3970">
        <v>0</v>
      </c>
      <c r="U3970">
        <v>0</v>
      </c>
      <c r="W3970" t="s">
        <v>52</v>
      </c>
    </row>
    <row r="3971" spans="1:23" x14ac:dyDescent="0.35">
      <c r="A3971" t="s">
        <v>45</v>
      </c>
      <c r="B3971" t="s">
        <v>7922</v>
      </c>
      <c r="C3971" t="s">
        <v>60</v>
      </c>
      <c r="D3971" t="s">
        <v>64</v>
      </c>
      <c r="E3971" t="s">
        <v>64</v>
      </c>
      <c r="F3971" t="s">
        <v>49</v>
      </c>
      <c r="G3971" t="s">
        <v>1595</v>
      </c>
      <c r="H3971" t="s">
        <v>7966</v>
      </c>
      <c r="J3971" t="str">
        <f>HYPERLINK("https://www.facebook.com/634639855377280/posts/770757868432144?comment_id=309227801537817&amp;reply_comment_id=1117436776090795","https://www.facebook.com/634639855377280/posts/770757868432144?comment_id=309227801537817&amp;reply_comment_id=1117436776090795")</f>
        <v>https://www.facebook.com/634639855377280/posts/770757868432144?comment_id=309227801537817&amp;reply_comment_id=1117436776090795</v>
      </c>
      <c r="K3971" t="s">
        <v>67</v>
      </c>
      <c r="O3971">
        <v>0</v>
      </c>
      <c r="P3971">
        <v>0</v>
      </c>
      <c r="Q3971">
        <v>0</v>
      </c>
      <c r="S3971">
        <v>0</v>
      </c>
      <c r="T3971">
        <v>0</v>
      </c>
      <c r="U3971">
        <v>0</v>
      </c>
      <c r="W3971" t="s">
        <v>52</v>
      </c>
    </row>
    <row r="3972" spans="1:23" x14ac:dyDescent="0.35">
      <c r="A3972" t="s">
        <v>45</v>
      </c>
      <c r="B3972" t="s">
        <v>7922</v>
      </c>
      <c r="C3972" t="s">
        <v>93</v>
      </c>
      <c r="D3972" t="s">
        <v>94</v>
      </c>
      <c r="E3972" t="s">
        <v>45</v>
      </c>
      <c r="F3972" t="s">
        <v>49</v>
      </c>
      <c r="G3972" t="s">
        <v>7967</v>
      </c>
      <c r="H3972" t="s">
        <v>7968</v>
      </c>
      <c r="J3972" t="str">
        <f>HYPERLINK("https://twitter.com/SpiceMoneyIndia/status/1745789244361064934","https://twitter.com/SpiceMoneyIndia/status/1745789244361064934")</f>
        <v>https://twitter.com/SpiceMoneyIndia/status/1745789244361064934</v>
      </c>
      <c r="K3972" t="s">
        <v>67</v>
      </c>
      <c r="O3972">
        <v>0</v>
      </c>
      <c r="P3972">
        <v>0</v>
      </c>
      <c r="Q3972">
        <v>5994</v>
      </c>
      <c r="R3972" t="s">
        <v>97</v>
      </c>
      <c r="S3972">
        <v>0</v>
      </c>
      <c r="T3972">
        <v>0</v>
      </c>
      <c r="U3972">
        <v>0</v>
      </c>
      <c r="V3972" t="s">
        <v>98</v>
      </c>
      <c r="W3972" t="s">
        <v>99</v>
      </c>
    </row>
    <row r="3973" spans="1:23" x14ac:dyDescent="0.35">
      <c r="A3973" t="s">
        <v>45</v>
      </c>
      <c r="B3973" t="s">
        <v>7922</v>
      </c>
      <c r="C3973" t="s">
        <v>60</v>
      </c>
      <c r="D3973" t="s">
        <v>64</v>
      </c>
      <c r="E3973" t="s">
        <v>64</v>
      </c>
      <c r="F3973" t="s">
        <v>49</v>
      </c>
      <c r="G3973" t="s">
        <v>162</v>
      </c>
      <c r="H3973" t="s">
        <v>7969</v>
      </c>
      <c r="J3973" t="str">
        <f>HYPERLINK("https://www.facebook.com/634639855377280/posts/770757868432144?comment_id=7386886404675831&amp;reply_comment_id=3667590316818486","https://www.facebook.com/634639855377280/posts/770757868432144?comment_id=7386886404675831&amp;reply_comment_id=3667590316818486")</f>
        <v>https://www.facebook.com/634639855377280/posts/770757868432144?comment_id=7386886404675831&amp;reply_comment_id=3667590316818486</v>
      </c>
      <c r="K3973" t="s">
        <v>67</v>
      </c>
      <c r="O3973">
        <v>0</v>
      </c>
      <c r="P3973">
        <v>0</v>
      </c>
      <c r="Q3973">
        <v>0</v>
      </c>
      <c r="S3973">
        <v>0</v>
      </c>
      <c r="T3973">
        <v>0</v>
      </c>
      <c r="U3973">
        <v>0</v>
      </c>
      <c r="W3973" t="s">
        <v>52</v>
      </c>
    </row>
    <row r="3974" spans="1:23" x14ac:dyDescent="0.35">
      <c r="A3974" t="s">
        <v>45</v>
      </c>
      <c r="B3974" t="s">
        <v>7922</v>
      </c>
      <c r="C3974" t="s">
        <v>93</v>
      </c>
      <c r="D3974" t="s">
        <v>94</v>
      </c>
      <c r="E3974" t="s">
        <v>45</v>
      </c>
      <c r="F3974" t="s">
        <v>49</v>
      </c>
      <c r="G3974" t="s">
        <v>7970</v>
      </c>
      <c r="H3974" t="s">
        <v>7971</v>
      </c>
      <c r="J3974" t="str">
        <f>HYPERLINK("https://twitter.com/SpiceMoneyIndia/status/1745788928852979768","https://twitter.com/SpiceMoneyIndia/status/1745788928852979768")</f>
        <v>https://twitter.com/SpiceMoneyIndia/status/1745788928852979768</v>
      </c>
      <c r="K3974" t="s">
        <v>67</v>
      </c>
      <c r="O3974">
        <v>0</v>
      </c>
      <c r="P3974">
        <v>0</v>
      </c>
      <c r="Q3974">
        <v>5994</v>
      </c>
      <c r="R3974" t="s">
        <v>97</v>
      </c>
      <c r="S3974">
        <v>0</v>
      </c>
      <c r="T3974">
        <v>0</v>
      </c>
      <c r="U3974">
        <v>0</v>
      </c>
      <c r="V3974" t="s">
        <v>98</v>
      </c>
      <c r="W3974" t="s">
        <v>99</v>
      </c>
    </row>
    <row r="3975" spans="1:23" x14ac:dyDescent="0.35">
      <c r="A3975" t="s">
        <v>45</v>
      </c>
      <c r="B3975" t="s">
        <v>7922</v>
      </c>
      <c r="C3975" t="s">
        <v>93</v>
      </c>
      <c r="D3975" t="s">
        <v>94</v>
      </c>
      <c r="E3975" t="s">
        <v>45</v>
      </c>
      <c r="F3975" t="s">
        <v>49</v>
      </c>
      <c r="G3975" t="s">
        <v>7972</v>
      </c>
      <c r="H3975" t="s">
        <v>7973</v>
      </c>
      <c r="J3975" t="str">
        <f>HYPERLINK("https://twitter.com/SpiceMoneyIndia/status/1745788772648706557","https://twitter.com/SpiceMoneyIndia/status/1745788772648706557")</f>
        <v>https://twitter.com/SpiceMoneyIndia/status/1745788772648706557</v>
      </c>
      <c r="K3975" t="s">
        <v>67</v>
      </c>
      <c r="O3975">
        <v>0</v>
      </c>
      <c r="P3975">
        <v>0</v>
      </c>
      <c r="Q3975">
        <v>5994</v>
      </c>
      <c r="R3975" t="s">
        <v>97</v>
      </c>
      <c r="S3975">
        <v>0</v>
      </c>
      <c r="T3975">
        <v>0</v>
      </c>
      <c r="U3975">
        <v>0</v>
      </c>
      <c r="V3975" t="s">
        <v>98</v>
      </c>
      <c r="W3975" t="s">
        <v>99</v>
      </c>
    </row>
    <row r="3976" spans="1:23" x14ac:dyDescent="0.35">
      <c r="A3976" t="s">
        <v>45</v>
      </c>
      <c r="B3976" t="s">
        <v>7922</v>
      </c>
      <c r="C3976" t="s">
        <v>93</v>
      </c>
      <c r="D3976" t="s">
        <v>94</v>
      </c>
      <c r="E3976" t="s">
        <v>45</v>
      </c>
      <c r="F3976" t="s">
        <v>49</v>
      </c>
      <c r="G3976" t="s">
        <v>7974</v>
      </c>
      <c r="H3976" t="s">
        <v>7975</v>
      </c>
      <c r="J3976" t="str">
        <f>HYPERLINK("https://twitter.com/SpiceMoneyIndia/status/1745788652544758217","https://twitter.com/SpiceMoneyIndia/status/1745788652544758217")</f>
        <v>https://twitter.com/SpiceMoneyIndia/status/1745788652544758217</v>
      </c>
      <c r="K3976" t="s">
        <v>67</v>
      </c>
      <c r="O3976">
        <v>0</v>
      </c>
      <c r="P3976">
        <v>0</v>
      </c>
      <c r="Q3976">
        <v>5994</v>
      </c>
      <c r="R3976" t="s">
        <v>97</v>
      </c>
      <c r="S3976">
        <v>0</v>
      </c>
      <c r="T3976">
        <v>0</v>
      </c>
      <c r="U3976">
        <v>0</v>
      </c>
      <c r="V3976" t="s">
        <v>98</v>
      </c>
      <c r="W3976" t="s">
        <v>99</v>
      </c>
    </row>
    <row r="3977" spans="1:23" x14ac:dyDescent="0.35">
      <c r="A3977" t="s">
        <v>45</v>
      </c>
      <c r="B3977" t="s">
        <v>7922</v>
      </c>
      <c r="C3977" t="s">
        <v>47</v>
      </c>
      <c r="D3977" t="s">
        <v>68</v>
      </c>
      <c r="E3977" t="s">
        <v>68</v>
      </c>
      <c r="F3977" t="s">
        <v>49</v>
      </c>
      <c r="G3977" t="s">
        <v>253</v>
      </c>
      <c r="H3977" t="s">
        <v>7976</v>
      </c>
      <c r="J3977" t="str">
        <f>HYPERLINK("https://www.youtube.com/watch?v=w_spCvVW92w&amp;lc=UgzsTXGoT1j9zeRWeC54AaABAg.9zO1G0QWNi79zTYMT_y-N9","https://www.youtube.com/watch?v=w_spCvVW92w&amp;lc=UgzsTXGoT1j9zeRWeC54AaABAg.9zO1G0QWNi79zTYMT_y-N9")</f>
        <v>https://www.youtube.com/watch?v=w_spCvVW92w&amp;lc=UgzsTXGoT1j9zeRWeC54AaABAg.9zO1G0QWNi79zTYMT_y-N9</v>
      </c>
      <c r="O3977">
        <v>0</v>
      </c>
      <c r="P3977">
        <v>0</v>
      </c>
      <c r="Q3977">
        <v>0</v>
      </c>
      <c r="S3977">
        <v>0</v>
      </c>
      <c r="T3977">
        <v>0</v>
      </c>
      <c r="U3977">
        <v>0</v>
      </c>
      <c r="W3977" t="s">
        <v>52</v>
      </c>
    </row>
    <row r="3978" spans="1:23" x14ac:dyDescent="0.35">
      <c r="A3978" t="s">
        <v>45</v>
      </c>
      <c r="B3978" t="s">
        <v>7922</v>
      </c>
      <c r="C3978" t="s">
        <v>47</v>
      </c>
      <c r="D3978" t="s">
        <v>68</v>
      </c>
      <c r="E3978" t="s">
        <v>68</v>
      </c>
      <c r="F3978" t="s">
        <v>49</v>
      </c>
      <c r="G3978" t="s">
        <v>280</v>
      </c>
      <c r="H3978" t="s">
        <v>7977</v>
      </c>
      <c r="J3978" t="str">
        <f>HYPERLINK("https://www.youtube.com/watch?v=w_spCvVW92w&amp;lc=UgyyiBuOUo6kCsa0n054AaABAg.9zO_qzvp0dL9zTYDeRRl2A","https://www.youtube.com/watch?v=w_spCvVW92w&amp;lc=UgyyiBuOUo6kCsa0n054AaABAg.9zO_qzvp0dL9zTYDeRRl2A")</f>
        <v>https://www.youtube.com/watch?v=w_spCvVW92w&amp;lc=UgyyiBuOUo6kCsa0n054AaABAg.9zO_qzvp0dL9zTYDeRRl2A</v>
      </c>
      <c r="O3978">
        <v>0</v>
      </c>
      <c r="P3978">
        <v>0</v>
      </c>
      <c r="Q3978">
        <v>0</v>
      </c>
      <c r="S3978">
        <v>0</v>
      </c>
      <c r="T3978">
        <v>0</v>
      </c>
      <c r="U3978">
        <v>0</v>
      </c>
      <c r="W3978" t="s">
        <v>52</v>
      </c>
    </row>
    <row r="3979" spans="1:23" x14ac:dyDescent="0.35">
      <c r="A3979" t="s">
        <v>45</v>
      </c>
      <c r="B3979" t="s">
        <v>7922</v>
      </c>
      <c r="C3979" t="s">
        <v>47</v>
      </c>
      <c r="D3979" t="s">
        <v>68</v>
      </c>
      <c r="E3979" t="s">
        <v>68</v>
      </c>
      <c r="F3979" t="s">
        <v>49</v>
      </c>
      <c r="G3979" t="s">
        <v>102</v>
      </c>
      <c r="H3979" t="s">
        <v>7978</v>
      </c>
      <c r="J3979" t="str">
        <f>HYPERLINK("https://www.youtube.com/watch?v=w_spCvVW92w&amp;lc=Ugx80bx2y1GrORK6ihR4AaABAg.9zOh3KQyfzH9zTY4GpdhUR","https://www.youtube.com/watch?v=w_spCvVW92w&amp;lc=Ugx80bx2y1GrORK6ihR4AaABAg.9zOh3KQyfzH9zTY4GpdhUR")</f>
        <v>https://www.youtube.com/watch?v=w_spCvVW92w&amp;lc=Ugx80bx2y1GrORK6ihR4AaABAg.9zOh3KQyfzH9zTY4GpdhUR</v>
      </c>
      <c r="O3979">
        <v>0</v>
      </c>
      <c r="P3979">
        <v>0</v>
      </c>
      <c r="Q3979">
        <v>0</v>
      </c>
      <c r="S3979">
        <v>0</v>
      </c>
      <c r="T3979">
        <v>0</v>
      </c>
      <c r="U3979">
        <v>0</v>
      </c>
      <c r="W3979" t="s">
        <v>52</v>
      </c>
    </row>
    <row r="3980" spans="1:23" x14ac:dyDescent="0.35">
      <c r="A3980" t="s">
        <v>45</v>
      </c>
      <c r="B3980" t="s">
        <v>7922</v>
      </c>
      <c r="C3980" t="s">
        <v>47</v>
      </c>
      <c r="D3980" t="s">
        <v>68</v>
      </c>
      <c r="E3980" t="s">
        <v>68</v>
      </c>
      <c r="F3980" t="s">
        <v>49</v>
      </c>
      <c r="G3980" t="s">
        <v>102</v>
      </c>
      <c r="H3980" t="s">
        <v>7979</v>
      </c>
      <c r="J3980" t="str">
        <f>HYPERLINK("https://www.youtube.com/watch?v=--SsTSqIa-4&amp;lc=UgyHerMDW4VVe3dIsTB4AaABAg.9zP-i1mGJT79zTXsdiZXe-","https://www.youtube.com/watch?v=--SsTSqIa-4&amp;lc=UgyHerMDW4VVe3dIsTB4AaABAg.9zP-i1mGJT79zTXsdiZXe-")</f>
        <v>https://www.youtube.com/watch?v=--SsTSqIa-4&amp;lc=UgyHerMDW4VVe3dIsTB4AaABAg.9zP-i1mGJT79zTXsdiZXe-</v>
      </c>
      <c r="O3980">
        <v>0</v>
      </c>
      <c r="P3980">
        <v>0</v>
      </c>
      <c r="Q3980">
        <v>0</v>
      </c>
      <c r="S3980">
        <v>0</v>
      </c>
      <c r="T3980">
        <v>0</v>
      </c>
      <c r="U3980">
        <v>0</v>
      </c>
      <c r="W3980" t="s">
        <v>52</v>
      </c>
    </row>
    <row r="3981" spans="1:23" x14ac:dyDescent="0.35">
      <c r="A3981" t="s">
        <v>45</v>
      </c>
      <c r="B3981" t="s">
        <v>7922</v>
      </c>
      <c r="C3981" t="s">
        <v>47</v>
      </c>
      <c r="D3981" t="s">
        <v>68</v>
      </c>
      <c r="E3981" t="s">
        <v>68</v>
      </c>
      <c r="F3981" t="s">
        <v>49</v>
      </c>
      <c r="G3981" t="s">
        <v>3357</v>
      </c>
      <c r="H3981" t="s">
        <v>7980</v>
      </c>
      <c r="J3981" t="str">
        <f>HYPERLINK("https://www.youtube.com/watch?v=gIyuJbshDBM&amp;lc=UgwngVXOjbmmDuuW0vN4AaABAg.9zQ8yZP0Qc69zTXe2a-EVW","https://www.youtube.com/watch?v=gIyuJbshDBM&amp;lc=UgwngVXOjbmmDuuW0vN4AaABAg.9zQ8yZP0Qc69zTXe2a-EVW")</f>
        <v>https://www.youtube.com/watch?v=gIyuJbshDBM&amp;lc=UgwngVXOjbmmDuuW0vN4AaABAg.9zQ8yZP0Qc69zTXe2a-EVW</v>
      </c>
      <c r="O3981">
        <v>0</v>
      </c>
      <c r="P3981">
        <v>0</v>
      </c>
      <c r="Q3981">
        <v>0</v>
      </c>
      <c r="S3981">
        <v>0</v>
      </c>
      <c r="T3981">
        <v>0</v>
      </c>
      <c r="U3981">
        <v>0</v>
      </c>
      <c r="W3981" t="s">
        <v>52</v>
      </c>
    </row>
    <row r="3982" spans="1:23" x14ac:dyDescent="0.35">
      <c r="A3982" t="s">
        <v>45</v>
      </c>
      <c r="B3982" t="s">
        <v>7922</v>
      </c>
      <c r="C3982" t="s">
        <v>47</v>
      </c>
      <c r="D3982" t="s">
        <v>68</v>
      </c>
      <c r="E3982" t="s">
        <v>68</v>
      </c>
      <c r="F3982" t="s">
        <v>49</v>
      </c>
      <c r="G3982" t="s">
        <v>102</v>
      </c>
      <c r="H3982" t="s">
        <v>7981</v>
      </c>
      <c r="J3982" t="str">
        <f>HYPERLINK("https://www.youtube.com/watch?v=WFhlOwAtEvE&amp;lc=Ugw0AXEHF9nRm-7Jv_B4AaABAg.9zQnjgAJ5Wy9zTXGa-Q-xN","https://www.youtube.com/watch?v=WFhlOwAtEvE&amp;lc=Ugw0AXEHF9nRm-7Jv_B4AaABAg.9zQnjgAJ5Wy9zTXGa-Q-xN")</f>
        <v>https://www.youtube.com/watch?v=WFhlOwAtEvE&amp;lc=Ugw0AXEHF9nRm-7Jv_B4AaABAg.9zQnjgAJ5Wy9zTXGa-Q-xN</v>
      </c>
      <c r="O3982">
        <v>0</v>
      </c>
      <c r="P3982">
        <v>0</v>
      </c>
      <c r="Q3982">
        <v>0</v>
      </c>
      <c r="S3982">
        <v>0</v>
      </c>
      <c r="T3982">
        <v>0</v>
      </c>
      <c r="U3982">
        <v>0</v>
      </c>
      <c r="W3982" t="s">
        <v>52</v>
      </c>
    </row>
    <row r="3983" spans="1:23" x14ac:dyDescent="0.35">
      <c r="A3983" t="s">
        <v>45</v>
      </c>
      <c r="B3983" t="s">
        <v>7922</v>
      </c>
      <c r="C3983" t="s">
        <v>47</v>
      </c>
      <c r="D3983" t="s">
        <v>6009</v>
      </c>
      <c r="E3983" t="s">
        <v>6009</v>
      </c>
      <c r="F3983" t="s">
        <v>49</v>
      </c>
      <c r="G3983" t="s">
        <v>7982</v>
      </c>
      <c r="H3983" t="s">
        <v>7983</v>
      </c>
      <c r="J3983" t="str">
        <f>HYPERLINK("https://www.youtube.com/watch?v=WFhlOwAtEvE&amp;lc=UgxV5e5V0JWptzjQfUt4AaABAg.9zRqbJOdYTN9zTXCyh4RDC","https://www.youtube.com/watch?v=WFhlOwAtEvE&amp;lc=UgxV5e5V0JWptzjQfUt4AaABAg.9zRqbJOdYTN9zTXCyh4RDC")</f>
        <v>https://www.youtube.com/watch?v=WFhlOwAtEvE&amp;lc=UgxV5e5V0JWptzjQfUt4AaABAg.9zRqbJOdYTN9zTXCyh4RDC</v>
      </c>
      <c r="O3983">
        <v>0</v>
      </c>
      <c r="P3983">
        <v>0</v>
      </c>
      <c r="Q3983">
        <v>0</v>
      </c>
      <c r="S3983">
        <v>0</v>
      </c>
      <c r="T3983">
        <v>0</v>
      </c>
      <c r="U3983">
        <v>0</v>
      </c>
      <c r="W3983" t="s">
        <v>52</v>
      </c>
    </row>
    <row r="3984" spans="1:23" x14ac:dyDescent="0.35">
      <c r="A3984" t="s">
        <v>45</v>
      </c>
      <c r="B3984" t="s">
        <v>7922</v>
      </c>
      <c r="C3984" t="s">
        <v>47</v>
      </c>
      <c r="D3984" t="s">
        <v>68</v>
      </c>
      <c r="E3984" t="s">
        <v>68</v>
      </c>
      <c r="F3984" t="s">
        <v>49</v>
      </c>
      <c r="G3984" t="s">
        <v>280</v>
      </c>
      <c r="H3984" t="s">
        <v>7984</v>
      </c>
      <c r="J3984" t="str">
        <f>HYPERLINK("https://www.youtube.com/watch?v=UoUCrZzEDaY&amp;lc=UgzlsPtQ4BihjHR5Dht4AaABAg.9zRJfvZHTE39zTX-_l5F1B","https://www.youtube.com/watch?v=UoUCrZzEDaY&amp;lc=UgzlsPtQ4BihjHR5Dht4AaABAg.9zRJfvZHTE39zTX-_l5F1B")</f>
        <v>https://www.youtube.com/watch?v=UoUCrZzEDaY&amp;lc=UgzlsPtQ4BihjHR5Dht4AaABAg.9zRJfvZHTE39zTX-_l5F1B</v>
      </c>
      <c r="O3984">
        <v>0</v>
      </c>
      <c r="P3984">
        <v>0</v>
      </c>
      <c r="Q3984">
        <v>0</v>
      </c>
      <c r="S3984">
        <v>0</v>
      </c>
      <c r="T3984">
        <v>0</v>
      </c>
      <c r="U3984">
        <v>0</v>
      </c>
      <c r="W3984" t="s">
        <v>52</v>
      </c>
    </row>
    <row r="3985" spans="1:23" x14ac:dyDescent="0.35">
      <c r="A3985" t="s">
        <v>45</v>
      </c>
      <c r="B3985" t="s">
        <v>7922</v>
      </c>
      <c r="C3985" t="s">
        <v>93</v>
      </c>
      <c r="D3985" t="s">
        <v>94</v>
      </c>
      <c r="E3985" t="s">
        <v>45</v>
      </c>
      <c r="F3985" t="s">
        <v>49</v>
      </c>
      <c r="G3985" t="s">
        <v>7985</v>
      </c>
      <c r="H3985" t="s">
        <v>7986</v>
      </c>
      <c r="J3985" t="str">
        <f>HYPERLINK("https://twitter.com/SpiceMoneyIndia/status/1745785260846071885","https://twitter.com/SpiceMoneyIndia/status/1745785260846071885")</f>
        <v>https://twitter.com/SpiceMoneyIndia/status/1745785260846071885</v>
      </c>
      <c r="K3985" t="s">
        <v>67</v>
      </c>
      <c r="O3985">
        <v>0</v>
      </c>
      <c r="P3985">
        <v>0</v>
      </c>
      <c r="Q3985">
        <v>5994</v>
      </c>
      <c r="R3985" t="s">
        <v>97</v>
      </c>
      <c r="S3985">
        <v>0</v>
      </c>
      <c r="T3985">
        <v>0</v>
      </c>
      <c r="U3985">
        <v>0</v>
      </c>
      <c r="V3985" t="s">
        <v>98</v>
      </c>
      <c r="W3985" t="s">
        <v>99</v>
      </c>
    </row>
    <row r="3986" spans="1:23" x14ac:dyDescent="0.35">
      <c r="A3986" t="s">
        <v>45</v>
      </c>
      <c r="B3986" t="s">
        <v>7922</v>
      </c>
      <c r="C3986" t="s">
        <v>47</v>
      </c>
      <c r="D3986" t="s">
        <v>68</v>
      </c>
      <c r="E3986" t="s">
        <v>68</v>
      </c>
      <c r="F3986" t="s">
        <v>49</v>
      </c>
      <c r="G3986" t="s">
        <v>293</v>
      </c>
      <c r="H3986" t="s">
        <v>7987</v>
      </c>
      <c r="J3986" t="str">
        <f>HYPERLINK("https://www.youtube.com/watch?v=--SsTSqIa-4&amp;lc=UgyYVv_TXaiU34312KV4AaABAg.9zRTVVngbx99zTWqLV7XBH","https://www.youtube.com/watch?v=--SsTSqIa-4&amp;lc=UgyYVv_TXaiU34312KV4AaABAg.9zRTVVngbx99zTWqLV7XBH")</f>
        <v>https://www.youtube.com/watch?v=--SsTSqIa-4&amp;lc=UgyYVv_TXaiU34312KV4AaABAg.9zRTVVngbx99zTWqLV7XBH</v>
      </c>
      <c r="O3986">
        <v>0</v>
      </c>
      <c r="P3986">
        <v>0</v>
      </c>
      <c r="Q3986">
        <v>0</v>
      </c>
      <c r="S3986">
        <v>0</v>
      </c>
      <c r="T3986">
        <v>0</v>
      </c>
      <c r="U3986">
        <v>0</v>
      </c>
      <c r="W3986" t="s">
        <v>52</v>
      </c>
    </row>
    <row r="3987" spans="1:23" x14ac:dyDescent="0.35">
      <c r="A3987" t="s">
        <v>45</v>
      </c>
      <c r="B3987" t="s">
        <v>7922</v>
      </c>
      <c r="C3987" t="s">
        <v>47</v>
      </c>
      <c r="D3987" t="s">
        <v>68</v>
      </c>
      <c r="E3987" t="s">
        <v>68</v>
      </c>
      <c r="F3987" t="s">
        <v>49</v>
      </c>
      <c r="G3987" t="s">
        <v>2766</v>
      </c>
      <c r="H3987" t="s">
        <v>7988</v>
      </c>
      <c r="J3987" t="str">
        <f>HYPERLINK("https://www.youtube.com/watch?v=SSUZH7PDkVI&amp;lc=Ugx0_FhDhLzS-wsbtcJ4AaABAg.9zRg4JMx97S9zTWnxixLlr","https://www.youtube.com/watch?v=SSUZH7PDkVI&amp;lc=Ugx0_FhDhLzS-wsbtcJ4AaABAg.9zRg4JMx97S9zTWnxixLlr")</f>
        <v>https://www.youtube.com/watch?v=SSUZH7PDkVI&amp;lc=Ugx0_FhDhLzS-wsbtcJ4AaABAg.9zRg4JMx97S9zTWnxixLlr</v>
      </c>
      <c r="O3987">
        <v>0</v>
      </c>
      <c r="P3987">
        <v>0</v>
      </c>
      <c r="Q3987">
        <v>0</v>
      </c>
      <c r="S3987">
        <v>0</v>
      </c>
      <c r="T3987">
        <v>0</v>
      </c>
      <c r="U3987">
        <v>0</v>
      </c>
      <c r="W3987" t="s">
        <v>52</v>
      </c>
    </row>
    <row r="3988" spans="1:23" x14ac:dyDescent="0.35">
      <c r="A3988" t="s">
        <v>45</v>
      </c>
      <c r="B3988" t="s">
        <v>7922</v>
      </c>
      <c r="C3988" t="s">
        <v>47</v>
      </c>
      <c r="D3988" t="s">
        <v>68</v>
      </c>
      <c r="E3988" t="s">
        <v>68</v>
      </c>
      <c r="F3988" t="s">
        <v>49</v>
      </c>
      <c r="G3988" t="s">
        <v>102</v>
      </c>
      <c r="H3988" t="s">
        <v>7989</v>
      </c>
      <c r="J3988" t="str">
        <f>HYPERLINK("https://www.youtube.com/watch?v=WFhlOwAtEvE&amp;lc=UgxV5e5V0JWptzjQfUt4AaABAg.9zRqbJOdYTN9zTWhpom8V9","https://www.youtube.com/watch?v=WFhlOwAtEvE&amp;lc=UgxV5e5V0JWptzjQfUt4AaABAg.9zRqbJOdYTN9zTWhpom8V9")</f>
        <v>https://www.youtube.com/watch?v=WFhlOwAtEvE&amp;lc=UgxV5e5V0JWptzjQfUt4AaABAg.9zRqbJOdYTN9zTWhpom8V9</v>
      </c>
      <c r="O3988">
        <v>0</v>
      </c>
      <c r="P3988">
        <v>0</v>
      </c>
      <c r="Q3988">
        <v>0</v>
      </c>
      <c r="S3988">
        <v>0</v>
      </c>
      <c r="T3988">
        <v>0</v>
      </c>
      <c r="U3988">
        <v>0</v>
      </c>
      <c r="W3988" t="s">
        <v>52</v>
      </c>
    </row>
    <row r="3989" spans="1:23" x14ac:dyDescent="0.35">
      <c r="A3989" t="s">
        <v>45</v>
      </c>
      <c r="B3989" t="s">
        <v>7922</v>
      </c>
      <c r="C3989" t="s">
        <v>47</v>
      </c>
      <c r="D3989" t="s">
        <v>68</v>
      </c>
      <c r="E3989" t="s">
        <v>68</v>
      </c>
      <c r="F3989" t="s">
        <v>49</v>
      </c>
      <c r="G3989" t="s">
        <v>7990</v>
      </c>
      <c r="H3989" t="s">
        <v>7991</v>
      </c>
      <c r="J3989" t="str">
        <f>HYPERLINK("https://www.youtube.com/watch?v=WFhlOwAtEvE&amp;lc=UgxNUYx4_v0Pq6oPkAV4AaABAg.9zSRpAq27JT9zTWcxL1_Wk","https://www.youtube.com/watch?v=WFhlOwAtEvE&amp;lc=UgxNUYx4_v0Pq6oPkAV4AaABAg.9zSRpAq27JT9zTWcxL1_Wk")</f>
        <v>https://www.youtube.com/watch?v=WFhlOwAtEvE&amp;lc=UgxNUYx4_v0Pq6oPkAV4AaABAg.9zSRpAq27JT9zTWcxL1_Wk</v>
      </c>
      <c r="O3989">
        <v>0</v>
      </c>
      <c r="P3989">
        <v>0</v>
      </c>
      <c r="Q3989">
        <v>0</v>
      </c>
      <c r="S3989">
        <v>0</v>
      </c>
      <c r="T3989">
        <v>0</v>
      </c>
      <c r="U3989">
        <v>0</v>
      </c>
      <c r="W3989" t="s">
        <v>52</v>
      </c>
    </row>
    <row r="3990" spans="1:23" x14ac:dyDescent="0.35">
      <c r="A3990" t="s">
        <v>45</v>
      </c>
      <c r="B3990" t="s">
        <v>7922</v>
      </c>
      <c r="C3990" t="s">
        <v>47</v>
      </c>
      <c r="D3990" t="s">
        <v>68</v>
      </c>
      <c r="E3990" t="s">
        <v>68</v>
      </c>
      <c r="F3990" t="s">
        <v>49</v>
      </c>
      <c r="G3990" t="s">
        <v>102</v>
      </c>
      <c r="H3990" t="s">
        <v>7992</v>
      </c>
      <c r="J3990" t="str">
        <f>HYPERLINK("https://www.youtube.com/watch?v=w_spCvVW92w&amp;lc=UgzsTXGoT1j9zeRWeC54AaABAg.9zO1G0QWNi79zTWOGbC3hQ","https://www.youtube.com/watch?v=w_spCvVW92w&amp;lc=UgzsTXGoT1j9zeRWeC54AaABAg.9zO1G0QWNi79zTWOGbC3hQ")</f>
        <v>https://www.youtube.com/watch?v=w_spCvVW92w&amp;lc=UgzsTXGoT1j9zeRWeC54AaABAg.9zO1G0QWNi79zTWOGbC3hQ</v>
      </c>
      <c r="O3990">
        <v>0</v>
      </c>
      <c r="P3990">
        <v>0</v>
      </c>
      <c r="Q3990">
        <v>0</v>
      </c>
      <c r="S3990">
        <v>0</v>
      </c>
      <c r="T3990">
        <v>0</v>
      </c>
      <c r="U3990">
        <v>0</v>
      </c>
      <c r="W3990" t="s">
        <v>52</v>
      </c>
    </row>
    <row r="3991" spans="1:23" x14ac:dyDescent="0.35">
      <c r="A3991" t="s">
        <v>45</v>
      </c>
      <c r="B3991" t="s">
        <v>7922</v>
      </c>
      <c r="C3991" t="s">
        <v>93</v>
      </c>
      <c r="D3991" t="s">
        <v>7911</v>
      </c>
      <c r="E3991" t="s">
        <v>7912</v>
      </c>
      <c r="F3991" t="s">
        <v>49</v>
      </c>
      <c r="G3991" t="s">
        <v>7993</v>
      </c>
      <c r="H3991" t="s">
        <v>7994</v>
      </c>
      <c r="J3991" t="str">
        <f>HYPERLINK("https://twitter.com/KrishanKum62314/status/1745762909375087059","https://twitter.com/KrishanKum62314/status/1745762909375087059")</f>
        <v>https://twitter.com/KrishanKum62314/status/1745762909375087059</v>
      </c>
      <c r="K3991" t="s">
        <v>67</v>
      </c>
      <c r="O3991">
        <v>0</v>
      </c>
      <c r="P3991">
        <v>0</v>
      </c>
      <c r="Q3991">
        <v>0</v>
      </c>
      <c r="S3991">
        <v>0</v>
      </c>
      <c r="T3991">
        <v>0</v>
      </c>
      <c r="U3991">
        <v>0</v>
      </c>
      <c r="W3991" t="s">
        <v>99</v>
      </c>
    </row>
    <row r="3992" spans="1:23" x14ac:dyDescent="0.35">
      <c r="A3992" t="s">
        <v>45</v>
      </c>
      <c r="B3992" t="s">
        <v>7922</v>
      </c>
      <c r="C3992" t="s">
        <v>47</v>
      </c>
      <c r="D3992" t="s">
        <v>7995</v>
      </c>
      <c r="E3992" t="s">
        <v>7995</v>
      </c>
      <c r="F3992" t="s">
        <v>49</v>
      </c>
      <c r="G3992" t="s">
        <v>7996</v>
      </c>
      <c r="H3992" t="s">
        <v>7997</v>
      </c>
      <c r="J3992" t="str">
        <f>HYPERLINK("https://www.youtube.com/watch?v=w_spCvVW92w&amp;lc=UgzsTXGoT1j9zeRWeC54AaABAg.9zO1G0QWNi79zTIlyUOt4F","https://www.youtube.com/watch?v=w_spCvVW92w&amp;lc=UgzsTXGoT1j9zeRWeC54AaABAg.9zO1G0QWNi79zTIlyUOt4F")</f>
        <v>https://www.youtube.com/watch?v=w_spCvVW92w&amp;lc=UgzsTXGoT1j9zeRWeC54AaABAg.9zO1G0QWNi79zTIlyUOt4F</v>
      </c>
      <c r="O3992">
        <v>0</v>
      </c>
      <c r="P3992">
        <v>0</v>
      </c>
      <c r="Q3992">
        <v>0</v>
      </c>
      <c r="S3992">
        <v>0</v>
      </c>
      <c r="T3992">
        <v>0</v>
      </c>
      <c r="U3992">
        <v>0</v>
      </c>
      <c r="W3992" t="s">
        <v>52</v>
      </c>
    </row>
    <row r="3993" spans="1:23" x14ac:dyDescent="0.35">
      <c r="A3993" t="s">
        <v>45</v>
      </c>
      <c r="B3993" t="s">
        <v>7922</v>
      </c>
      <c r="C3993" t="s">
        <v>47</v>
      </c>
      <c r="D3993" t="s">
        <v>7995</v>
      </c>
      <c r="E3993" t="s">
        <v>7995</v>
      </c>
      <c r="F3993" t="s">
        <v>49</v>
      </c>
      <c r="G3993" t="s">
        <v>7998</v>
      </c>
      <c r="H3993" t="s">
        <v>7999</v>
      </c>
      <c r="J3993" t="str">
        <f>HYPERLINK("https://www.youtube.com/watch?v=w_spCvVW92w&amp;lc=UgyifSEFot4wVcj36Nd4AaABAg","https://www.youtube.com/watch?v=w_spCvVW92w&amp;lc=UgyifSEFot4wVcj36Nd4AaABAg")</f>
        <v>https://www.youtube.com/watch?v=w_spCvVW92w&amp;lc=UgyifSEFot4wVcj36Nd4AaABAg</v>
      </c>
      <c r="O3993">
        <v>0</v>
      </c>
      <c r="P3993">
        <v>0</v>
      </c>
      <c r="Q3993">
        <v>0</v>
      </c>
      <c r="S3993">
        <v>0</v>
      </c>
      <c r="T3993">
        <v>0</v>
      </c>
      <c r="U3993">
        <v>0</v>
      </c>
      <c r="W3993" t="s">
        <v>52</v>
      </c>
    </row>
    <row r="3994" spans="1:23" x14ac:dyDescent="0.35">
      <c r="A3994" t="s">
        <v>45</v>
      </c>
      <c r="B3994" t="s">
        <v>7922</v>
      </c>
      <c r="C3994" t="s">
        <v>93</v>
      </c>
      <c r="D3994" t="s">
        <v>7938</v>
      </c>
      <c r="E3994" t="s">
        <v>7939</v>
      </c>
      <c r="F3994" t="s">
        <v>193</v>
      </c>
      <c r="G3994" t="s">
        <v>8000</v>
      </c>
      <c r="H3994" t="s">
        <v>8001</v>
      </c>
      <c r="J3994" t="str">
        <f>HYPERLINK("https://twitter.com/your_Favouritey/status/1745722341416726640","https://twitter.com/your_Favouritey/status/1745722341416726640")</f>
        <v>https://twitter.com/your_Favouritey/status/1745722341416726640</v>
      </c>
      <c r="O3994">
        <v>0</v>
      </c>
      <c r="P3994">
        <v>0</v>
      </c>
      <c r="Q3994">
        <v>32</v>
      </c>
      <c r="R3994" t="s">
        <v>7942</v>
      </c>
      <c r="S3994">
        <v>0</v>
      </c>
      <c r="T3994">
        <v>0</v>
      </c>
      <c r="U3994">
        <v>0</v>
      </c>
      <c r="W3994" t="s">
        <v>99</v>
      </c>
    </row>
    <row r="3995" spans="1:23" x14ac:dyDescent="0.35">
      <c r="A3995" t="s">
        <v>45</v>
      </c>
      <c r="B3995" t="s">
        <v>7922</v>
      </c>
      <c r="C3995" t="s">
        <v>93</v>
      </c>
      <c r="D3995" t="s">
        <v>7938</v>
      </c>
      <c r="E3995" t="s">
        <v>7939</v>
      </c>
      <c r="F3995" t="s">
        <v>193</v>
      </c>
      <c r="G3995" t="s">
        <v>8002</v>
      </c>
      <c r="H3995" t="s">
        <v>8003</v>
      </c>
      <c r="J3995" t="str">
        <f>HYPERLINK("https://twitter.com/your_Favouritey/status/1745720761741127933","https://twitter.com/your_Favouritey/status/1745720761741127933")</f>
        <v>https://twitter.com/your_Favouritey/status/1745720761741127933</v>
      </c>
      <c r="O3995">
        <v>0</v>
      </c>
      <c r="P3995">
        <v>0</v>
      </c>
      <c r="Q3995">
        <v>32</v>
      </c>
      <c r="R3995" t="s">
        <v>7942</v>
      </c>
      <c r="S3995">
        <v>0</v>
      </c>
      <c r="T3995">
        <v>0</v>
      </c>
      <c r="U3995">
        <v>0</v>
      </c>
      <c r="W3995" t="s">
        <v>99</v>
      </c>
    </row>
    <row r="3996" spans="1:23" x14ac:dyDescent="0.35">
      <c r="A3996" t="s">
        <v>45</v>
      </c>
      <c r="B3996" t="s">
        <v>7922</v>
      </c>
      <c r="C3996" t="s">
        <v>93</v>
      </c>
      <c r="D3996" t="s">
        <v>7649</v>
      </c>
      <c r="E3996" t="s">
        <v>7650</v>
      </c>
      <c r="F3996" t="s">
        <v>49</v>
      </c>
      <c r="G3996" t="s">
        <v>8004</v>
      </c>
      <c r="H3996" t="s">
        <v>8005</v>
      </c>
      <c r="J3996" t="str">
        <f>HYPERLINK("https://twitter.com/MdHelaludd55272/status/1745718084785344733","https://twitter.com/MdHelaludd55272/status/1745718084785344733")</f>
        <v>https://twitter.com/MdHelaludd55272/status/1745718084785344733</v>
      </c>
      <c r="O3996">
        <v>0</v>
      </c>
      <c r="P3996">
        <v>0</v>
      </c>
      <c r="Q3996">
        <v>3</v>
      </c>
      <c r="R3996" t="s">
        <v>7653</v>
      </c>
      <c r="S3996">
        <v>0</v>
      </c>
      <c r="T3996">
        <v>0</v>
      </c>
      <c r="U3996">
        <v>0</v>
      </c>
      <c r="W3996" t="s">
        <v>99</v>
      </c>
    </row>
    <row r="3997" spans="1:23" x14ac:dyDescent="0.35">
      <c r="A3997" t="s">
        <v>45</v>
      </c>
      <c r="B3997" t="s">
        <v>7922</v>
      </c>
      <c r="C3997" t="s">
        <v>93</v>
      </c>
      <c r="D3997" t="s">
        <v>7649</v>
      </c>
      <c r="E3997" t="s">
        <v>7650</v>
      </c>
      <c r="F3997" t="s">
        <v>49</v>
      </c>
      <c r="G3997" t="s">
        <v>8006</v>
      </c>
      <c r="H3997" t="s">
        <v>8007</v>
      </c>
      <c r="J3997" t="str">
        <f>HYPERLINK("https://twitter.com/MdHelaludd55272/status/1745718000811196712","https://twitter.com/MdHelaludd55272/status/1745718000811196712")</f>
        <v>https://twitter.com/MdHelaludd55272/status/1745718000811196712</v>
      </c>
      <c r="O3997">
        <v>0</v>
      </c>
      <c r="P3997">
        <v>0</v>
      </c>
      <c r="Q3997">
        <v>3</v>
      </c>
      <c r="R3997" t="s">
        <v>7653</v>
      </c>
      <c r="S3997">
        <v>0</v>
      </c>
      <c r="T3997">
        <v>0</v>
      </c>
      <c r="U3997">
        <v>0</v>
      </c>
      <c r="W3997" t="s">
        <v>99</v>
      </c>
    </row>
    <row r="3998" spans="1:23" x14ac:dyDescent="0.35">
      <c r="A3998" t="s">
        <v>45</v>
      </c>
      <c r="B3998" t="s">
        <v>7922</v>
      </c>
      <c r="C3998" t="s">
        <v>60</v>
      </c>
      <c r="D3998" t="s">
        <v>61</v>
      </c>
      <c r="E3998" t="s">
        <v>61</v>
      </c>
      <c r="F3998" t="s">
        <v>54</v>
      </c>
      <c r="G3998" t="s">
        <v>8008</v>
      </c>
      <c r="H3998" t="s">
        <v>8009</v>
      </c>
      <c r="J3998" t="str">
        <f>HYPERLINK("https://www.facebook.com/634639855377280/posts/770757868432144?comment_id=7386886404675831","https://www.facebook.com/634639855377280/posts/770757868432144?comment_id=7386886404675831")</f>
        <v>https://www.facebook.com/634639855377280/posts/770757868432144?comment_id=7386886404675831</v>
      </c>
      <c r="O3998">
        <v>0</v>
      </c>
      <c r="P3998">
        <v>0</v>
      </c>
      <c r="Q3998">
        <v>0</v>
      </c>
      <c r="S3998">
        <v>0</v>
      </c>
      <c r="T3998">
        <v>0</v>
      </c>
      <c r="U3998">
        <v>0</v>
      </c>
      <c r="W3998" t="s">
        <v>52</v>
      </c>
    </row>
    <row r="3999" spans="1:23" x14ac:dyDescent="0.35">
      <c r="A3999" t="s">
        <v>45</v>
      </c>
      <c r="B3999" t="s">
        <v>7922</v>
      </c>
      <c r="C3999" t="s">
        <v>93</v>
      </c>
      <c r="D3999" t="s">
        <v>569</v>
      </c>
      <c r="E3999" t="s">
        <v>570</v>
      </c>
      <c r="F3999" t="s">
        <v>193</v>
      </c>
      <c r="G3999" t="s">
        <v>8010</v>
      </c>
      <c r="H3999" t="s">
        <v>8011</v>
      </c>
      <c r="J3999" t="str">
        <f>HYPERLINK("https://twitter.com/excelhinditips/status/1745676381722492998","https://twitter.com/excelhinditips/status/1745676381722492998")</f>
        <v>https://twitter.com/excelhinditips/status/1745676381722492998</v>
      </c>
      <c r="O3999">
        <v>0</v>
      </c>
      <c r="P3999">
        <v>0</v>
      </c>
      <c r="Q3999">
        <v>15</v>
      </c>
      <c r="R3999" t="s">
        <v>573</v>
      </c>
      <c r="S3999">
        <v>0</v>
      </c>
      <c r="T3999">
        <v>0</v>
      </c>
      <c r="U3999">
        <v>0</v>
      </c>
      <c r="W3999" t="s">
        <v>99</v>
      </c>
    </row>
    <row r="4000" spans="1:23" x14ac:dyDescent="0.35">
      <c r="A4000" t="s">
        <v>45</v>
      </c>
      <c r="B4000" t="s">
        <v>7922</v>
      </c>
      <c r="C4000" t="s">
        <v>60</v>
      </c>
      <c r="D4000" t="s">
        <v>61</v>
      </c>
      <c r="E4000" t="s">
        <v>61</v>
      </c>
      <c r="F4000" t="s">
        <v>49</v>
      </c>
      <c r="G4000" t="s">
        <v>8012</v>
      </c>
      <c r="H4000" t="s">
        <v>8013</v>
      </c>
      <c r="J4000" t="str">
        <f>HYPERLINK("https://www.facebook.com/634639855377280/posts/770757868432144?comment_id=309227801537817","https://www.facebook.com/634639855377280/posts/770757868432144?comment_id=309227801537817")</f>
        <v>https://www.facebook.com/634639855377280/posts/770757868432144?comment_id=309227801537817</v>
      </c>
      <c r="O4000">
        <v>0</v>
      </c>
      <c r="P4000">
        <v>0</v>
      </c>
      <c r="Q4000">
        <v>0</v>
      </c>
      <c r="S4000">
        <v>0</v>
      </c>
      <c r="T4000">
        <v>0</v>
      </c>
      <c r="U4000">
        <v>0</v>
      </c>
      <c r="W4000" t="s">
        <v>52</v>
      </c>
    </row>
    <row r="4001" spans="1:23" x14ac:dyDescent="0.35">
      <c r="A4001" t="s">
        <v>45</v>
      </c>
      <c r="B4001" t="s">
        <v>7922</v>
      </c>
      <c r="C4001" t="s">
        <v>60</v>
      </c>
      <c r="D4001" t="s">
        <v>61</v>
      </c>
      <c r="E4001" t="s">
        <v>61</v>
      </c>
      <c r="F4001" t="s">
        <v>49</v>
      </c>
      <c r="G4001" t="s">
        <v>8014</v>
      </c>
      <c r="H4001" t="s">
        <v>8015</v>
      </c>
      <c r="J4001" t="str">
        <f>HYPERLINK("https://www.facebook.com/634639855377280/posts/770757868432144?comment_id=274814655311013","https://www.facebook.com/634639855377280/posts/770757868432144?comment_id=274814655311013")</f>
        <v>https://www.facebook.com/634639855377280/posts/770757868432144?comment_id=274814655311013</v>
      </c>
      <c r="O4001">
        <v>0</v>
      </c>
      <c r="P4001">
        <v>0</v>
      </c>
      <c r="Q4001">
        <v>0</v>
      </c>
      <c r="S4001">
        <v>0</v>
      </c>
      <c r="T4001">
        <v>0</v>
      </c>
      <c r="U4001">
        <v>0</v>
      </c>
      <c r="W4001" t="s">
        <v>52</v>
      </c>
    </row>
    <row r="4002" spans="1:23" x14ac:dyDescent="0.35">
      <c r="A4002" t="s">
        <v>45</v>
      </c>
      <c r="B4002" t="s">
        <v>7922</v>
      </c>
      <c r="C4002" t="s">
        <v>60</v>
      </c>
      <c r="D4002" t="s">
        <v>64</v>
      </c>
      <c r="E4002" t="s">
        <v>64</v>
      </c>
      <c r="F4002" t="s">
        <v>49</v>
      </c>
      <c r="G4002" t="s">
        <v>8016</v>
      </c>
      <c r="H4002" t="s">
        <v>8017</v>
      </c>
      <c r="J4002" t="str">
        <f>HYPERLINK("https://www.facebook.com/634639855377280/posts/770757868432144","https://www.facebook.com/634639855377280/posts/770757868432144")</f>
        <v>https://www.facebook.com/634639855377280/posts/770757868432144</v>
      </c>
      <c r="O4002">
        <v>0</v>
      </c>
      <c r="P4002">
        <v>0</v>
      </c>
      <c r="Q4002">
        <v>0</v>
      </c>
      <c r="S4002">
        <v>6</v>
      </c>
      <c r="T4002">
        <v>72</v>
      </c>
      <c r="U4002">
        <v>8</v>
      </c>
      <c r="W4002" t="s">
        <v>346</v>
      </c>
    </row>
    <row r="4003" spans="1:23" x14ac:dyDescent="0.35">
      <c r="A4003" t="s">
        <v>45</v>
      </c>
      <c r="B4003" t="s">
        <v>7922</v>
      </c>
      <c r="C4003" t="s">
        <v>93</v>
      </c>
      <c r="D4003" t="s">
        <v>94</v>
      </c>
      <c r="E4003" t="s">
        <v>45</v>
      </c>
      <c r="F4003" t="s">
        <v>49</v>
      </c>
      <c r="G4003" t="s">
        <v>8018</v>
      </c>
      <c r="H4003" t="s">
        <v>8019</v>
      </c>
      <c r="J4003" t="str">
        <f>HYPERLINK("https://twitter.com/SpiceMoneyIndia/status/1745634199980081537","https://twitter.com/SpiceMoneyIndia/status/1745634199980081537")</f>
        <v>https://twitter.com/SpiceMoneyIndia/status/1745634199980081537</v>
      </c>
      <c r="K4003" t="s">
        <v>67</v>
      </c>
      <c r="O4003">
        <v>0</v>
      </c>
      <c r="P4003">
        <v>0</v>
      </c>
      <c r="Q4003">
        <v>5994</v>
      </c>
      <c r="R4003" t="s">
        <v>97</v>
      </c>
      <c r="S4003">
        <v>0</v>
      </c>
      <c r="T4003">
        <v>0</v>
      </c>
      <c r="U4003">
        <v>0</v>
      </c>
      <c r="V4003" t="s">
        <v>98</v>
      </c>
      <c r="W4003" t="s">
        <v>99</v>
      </c>
    </row>
    <row r="4004" spans="1:23" x14ac:dyDescent="0.35">
      <c r="A4004" t="s">
        <v>45</v>
      </c>
      <c r="B4004" t="s">
        <v>7922</v>
      </c>
      <c r="C4004" t="s">
        <v>47</v>
      </c>
      <c r="D4004" t="s">
        <v>8020</v>
      </c>
      <c r="E4004" t="s">
        <v>8020</v>
      </c>
      <c r="F4004" t="s">
        <v>49</v>
      </c>
      <c r="G4004" t="s">
        <v>8021</v>
      </c>
      <c r="H4004" t="s">
        <v>8022</v>
      </c>
      <c r="J4004" t="str">
        <f>HYPERLINK("https://www.youtube.com/watch?v=WFhlOwAtEvE&amp;lc=UgxNUYx4_v0Pq6oPkAV4AaABAg","https://www.youtube.com/watch?v=WFhlOwAtEvE&amp;lc=UgxNUYx4_v0Pq6oPkAV4AaABAg")</f>
        <v>https://www.youtube.com/watch?v=WFhlOwAtEvE&amp;lc=UgxNUYx4_v0Pq6oPkAV4AaABAg</v>
      </c>
      <c r="O4004">
        <v>0</v>
      </c>
      <c r="P4004">
        <v>0</v>
      </c>
      <c r="Q4004">
        <v>0</v>
      </c>
      <c r="S4004">
        <v>0</v>
      </c>
      <c r="T4004">
        <v>0</v>
      </c>
      <c r="U4004">
        <v>0</v>
      </c>
      <c r="W4004" t="s">
        <v>52</v>
      </c>
    </row>
    <row r="4005" spans="1:23" x14ac:dyDescent="0.35">
      <c r="A4005" t="s">
        <v>45</v>
      </c>
      <c r="B4005" t="s">
        <v>7922</v>
      </c>
      <c r="C4005" t="s">
        <v>93</v>
      </c>
      <c r="D4005" t="s">
        <v>8023</v>
      </c>
      <c r="E4005" t="s">
        <v>8024</v>
      </c>
      <c r="F4005" t="s">
        <v>193</v>
      </c>
      <c r="G4005" t="s">
        <v>8025</v>
      </c>
      <c r="H4005" t="s">
        <v>8026</v>
      </c>
      <c r="J4005" t="str">
        <f>HYPERLINK("https://twitter.com/vikkysingh07/status/1745572529706786935","https://twitter.com/vikkysingh07/status/1745572529706786935")</f>
        <v>https://twitter.com/vikkysingh07/status/1745572529706786935</v>
      </c>
      <c r="K4005" t="s">
        <v>67</v>
      </c>
      <c r="O4005">
        <v>0</v>
      </c>
      <c r="P4005">
        <v>0</v>
      </c>
      <c r="Q4005">
        <v>110</v>
      </c>
      <c r="R4005" t="s">
        <v>871</v>
      </c>
      <c r="S4005">
        <v>0</v>
      </c>
      <c r="T4005">
        <v>0</v>
      </c>
      <c r="U4005">
        <v>0</v>
      </c>
      <c r="W4005" t="s">
        <v>99</v>
      </c>
    </row>
    <row r="4006" spans="1:23" x14ac:dyDescent="0.35">
      <c r="A4006" t="s">
        <v>45</v>
      </c>
      <c r="B4006" t="s">
        <v>7922</v>
      </c>
      <c r="C4006" t="s">
        <v>60</v>
      </c>
      <c r="D4006" t="s">
        <v>61</v>
      </c>
      <c r="E4006" t="s">
        <v>61</v>
      </c>
      <c r="F4006" t="s">
        <v>54</v>
      </c>
      <c r="G4006" t="s">
        <v>8027</v>
      </c>
      <c r="H4006" t="s">
        <v>8028</v>
      </c>
      <c r="J4006" t="str">
        <f>HYPERLINK("https://www.facebook.com/634639855377280/posts/768501555324442?comment_id=1335140980529726","https://www.facebook.com/634639855377280/posts/768501555324442?comment_id=1335140980529726")</f>
        <v>https://www.facebook.com/634639855377280/posts/768501555324442?comment_id=1335140980529726</v>
      </c>
      <c r="O4006">
        <v>0</v>
      </c>
      <c r="P4006">
        <v>0</v>
      </c>
      <c r="Q4006">
        <v>0</v>
      </c>
      <c r="S4006">
        <v>0</v>
      </c>
      <c r="T4006">
        <v>0</v>
      </c>
      <c r="U4006">
        <v>0</v>
      </c>
      <c r="W4006" t="s">
        <v>52</v>
      </c>
    </row>
    <row r="4007" spans="1:23" x14ac:dyDescent="0.35">
      <c r="A4007" t="s">
        <v>45</v>
      </c>
      <c r="B4007" t="s">
        <v>7922</v>
      </c>
      <c r="C4007" t="s">
        <v>60</v>
      </c>
      <c r="D4007" t="s">
        <v>61</v>
      </c>
      <c r="E4007" t="s">
        <v>61</v>
      </c>
      <c r="F4007" t="s">
        <v>54</v>
      </c>
      <c r="G4007" t="s">
        <v>8027</v>
      </c>
      <c r="H4007" t="s">
        <v>8029</v>
      </c>
      <c r="J4007" t="str">
        <f>HYPERLINK("https://www.facebook.com/634639855377280/posts/769133368594594?comment_id=1375632219740595","https://www.facebook.com/634639855377280/posts/769133368594594?comment_id=1375632219740595")</f>
        <v>https://www.facebook.com/634639855377280/posts/769133368594594?comment_id=1375632219740595</v>
      </c>
      <c r="O4007">
        <v>0</v>
      </c>
      <c r="P4007">
        <v>0</v>
      </c>
      <c r="Q4007">
        <v>0</v>
      </c>
      <c r="S4007">
        <v>0</v>
      </c>
      <c r="T4007">
        <v>0</v>
      </c>
      <c r="U4007">
        <v>0</v>
      </c>
      <c r="W4007" t="s">
        <v>52</v>
      </c>
    </row>
    <row r="4008" spans="1:23" x14ac:dyDescent="0.35">
      <c r="A4008" t="s">
        <v>45</v>
      </c>
      <c r="B4008" t="s">
        <v>7922</v>
      </c>
      <c r="C4008" t="s">
        <v>60</v>
      </c>
      <c r="D4008" t="s">
        <v>61</v>
      </c>
      <c r="E4008" t="s">
        <v>61</v>
      </c>
      <c r="F4008" t="s">
        <v>54</v>
      </c>
      <c r="G4008" t="s">
        <v>8027</v>
      </c>
      <c r="H4008" t="s">
        <v>8030</v>
      </c>
      <c r="J4008" t="str">
        <f>HYPERLINK("https://www.facebook.com/634639855377280/posts/770369625137635?comment_id=251720431276244","https://www.facebook.com/634639855377280/posts/770369625137635?comment_id=251720431276244")</f>
        <v>https://www.facebook.com/634639855377280/posts/770369625137635?comment_id=251720431276244</v>
      </c>
      <c r="O4008">
        <v>0</v>
      </c>
      <c r="P4008">
        <v>0</v>
      </c>
      <c r="Q4008">
        <v>0</v>
      </c>
      <c r="S4008">
        <v>0</v>
      </c>
      <c r="T4008">
        <v>0</v>
      </c>
      <c r="U4008">
        <v>0</v>
      </c>
      <c r="W4008" t="s">
        <v>52</v>
      </c>
    </row>
    <row r="4009" spans="1:23" x14ac:dyDescent="0.35">
      <c r="A4009" t="s">
        <v>45</v>
      </c>
      <c r="B4009" t="s">
        <v>7922</v>
      </c>
      <c r="C4009" t="s">
        <v>47</v>
      </c>
      <c r="D4009" t="s">
        <v>6009</v>
      </c>
      <c r="E4009" t="s">
        <v>6009</v>
      </c>
      <c r="F4009" t="s">
        <v>49</v>
      </c>
      <c r="G4009" t="s">
        <v>8031</v>
      </c>
      <c r="H4009" t="s">
        <v>8032</v>
      </c>
      <c r="J4009" t="str">
        <f>HYPERLINK("https://www.youtube.com/watch?v=WFhlOwAtEvE&amp;lc=UgxV5e5V0JWptzjQfUt4AaABAg","https://www.youtube.com/watch?v=WFhlOwAtEvE&amp;lc=UgxV5e5V0JWptzjQfUt4AaABAg")</f>
        <v>https://www.youtube.com/watch?v=WFhlOwAtEvE&amp;lc=UgxV5e5V0JWptzjQfUt4AaABAg</v>
      </c>
      <c r="O4009">
        <v>0</v>
      </c>
      <c r="P4009">
        <v>0</v>
      </c>
      <c r="Q4009">
        <v>0</v>
      </c>
      <c r="S4009">
        <v>0</v>
      </c>
      <c r="T4009">
        <v>0</v>
      </c>
      <c r="U4009">
        <v>0</v>
      </c>
      <c r="W4009" t="s">
        <v>52</v>
      </c>
    </row>
    <row r="4010" spans="1:23" x14ac:dyDescent="0.35">
      <c r="A4010" t="s">
        <v>45</v>
      </c>
      <c r="B4010" t="s">
        <v>7922</v>
      </c>
      <c r="C4010" t="s">
        <v>47</v>
      </c>
      <c r="D4010" t="s">
        <v>6009</v>
      </c>
      <c r="E4010" t="s">
        <v>6009</v>
      </c>
      <c r="F4010" t="s">
        <v>49</v>
      </c>
      <c r="G4010" t="s">
        <v>8033</v>
      </c>
      <c r="H4010" t="s">
        <v>8034</v>
      </c>
      <c r="J4010" t="str">
        <f>HYPERLINK("https://www.youtube.com/watch?v=WFhlOwAtEvE&amp;lc=UgwYvgNNORRkTeD04Uh4AaABAg","https://www.youtube.com/watch?v=WFhlOwAtEvE&amp;lc=UgwYvgNNORRkTeD04Uh4AaABAg")</f>
        <v>https://www.youtube.com/watch?v=WFhlOwAtEvE&amp;lc=UgwYvgNNORRkTeD04Uh4AaABAg</v>
      </c>
      <c r="O4010">
        <v>0</v>
      </c>
      <c r="P4010">
        <v>0</v>
      </c>
      <c r="Q4010">
        <v>0</v>
      </c>
      <c r="S4010">
        <v>0</v>
      </c>
      <c r="T4010">
        <v>0</v>
      </c>
      <c r="U4010">
        <v>0</v>
      </c>
      <c r="W4010" t="s">
        <v>52</v>
      </c>
    </row>
    <row r="4011" spans="1:23" x14ac:dyDescent="0.35">
      <c r="A4011" t="s">
        <v>45</v>
      </c>
      <c r="B4011" t="s">
        <v>7922</v>
      </c>
      <c r="C4011" t="s">
        <v>47</v>
      </c>
      <c r="D4011" t="s">
        <v>8035</v>
      </c>
      <c r="E4011" t="s">
        <v>8035</v>
      </c>
      <c r="F4011" t="s">
        <v>193</v>
      </c>
      <c r="G4011" t="s">
        <v>8036</v>
      </c>
      <c r="H4011" t="s">
        <v>8037</v>
      </c>
      <c r="J4011" t="str">
        <f>HYPERLINK("https://www.youtube.com/watch?v=SSUZH7PDkVI&amp;lc=Ugx0_FhDhLzS-wsbtcJ4AaABAg","https://www.youtube.com/watch?v=SSUZH7PDkVI&amp;lc=Ugx0_FhDhLzS-wsbtcJ4AaABAg")</f>
        <v>https://www.youtube.com/watch?v=SSUZH7PDkVI&amp;lc=Ugx0_FhDhLzS-wsbtcJ4AaABAg</v>
      </c>
      <c r="O4011">
        <v>0</v>
      </c>
      <c r="P4011">
        <v>0</v>
      </c>
      <c r="Q4011">
        <v>0</v>
      </c>
      <c r="S4011">
        <v>0</v>
      </c>
      <c r="T4011">
        <v>0</v>
      </c>
      <c r="U4011">
        <v>0</v>
      </c>
      <c r="W4011" t="s">
        <v>52</v>
      </c>
    </row>
    <row r="4012" spans="1:23" x14ac:dyDescent="0.35">
      <c r="A4012" t="s">
        <v>45</v>
      </c>
      <c r="B4012" t="s">
        <v>7922</v>
      </c>
      <c r="C4012" t="s">
        <v>47</v>
      </c>
      <c r="D4012" t="s">
        <v>8035</v>
      </c>
      <c r="E4012" t="s">
        <v>8035</v>
      </c>
      <c r="F4012" t="s">
        <v>193</v>
      </c>
      <c r="G4012" t="s">
        <v>8036</v>
      </c>
      <c r="H4012" t="s">
        <v>8038</v>
      </c>
      <c r="J4012" t="str">
        <f>HYPERLINK("https://www.youtube.com/watch?v=vryirakqo_4&amp;lc=UgxNsnVmwVQBDd40-Nh4AaABAg","https://www.youtube.com/watch?v=vryirakqo_4&amp;lc=UgxNsnVmwVQBDd40-Nh4AaABAg")</f>
        <v>https://www.youtube.com/watch?v=vryirakqo_4&amp;lc=UgxNsnVmwVQBDd40-Nh4AaABAg</v>
      </c>
      <c r="O4012">
        <v>0</v>
      </c>
      <c r="P4012">
        <v>0</v>
      </c>
      <c r="Q4012">
        <v>0</v>
      </c>
      <c r="S4012">
        <v>0</v>
      </c>
      <c r="T4012">
        <v>0</v>
      </c>
      <c r="U4012">
        <v>0</v>
      </c>
      <c r="W4012" t="s">
        <v>52</v>
      </c>
    </row>
    <row r="4013" spans="1:23" x14ac:dyDescent="0.35">
      <c r="A4013" t="s">
        <v>45</v>
      </c>
      <c r="B4013" t="s">
        <v>7922</v>
      </c>
      <c r="C4013" t="s">
        <v>47</v>
      </c>
      <c r="D4013" t="s">
        <v>8035</v>
      </c>
      <c r="E4013" t="s">
        <v>8035</v>
      </c>
      <c r="F4013" t="s">
        <v>193</v>
      </c>
      <c r="G4013" t="s">
        <v>8036</v>
      </c>
      <c r="H4013" t="s">
        <v>8039</v>
      </c>
      <c r="J4013" t="str">
        <f>HYPERLINK("https://www.youtube.com/watch?v=gIyuJbshDBM&amp;lc=UgwZdhhUFYSfqZDwGhp4AaABAg","https://www.youtube.com/watch?v=gIyuJbshDBM&amp;lc=UgwZdhhUFYSfqZDwGhp4AaABAg")</f>
        <v>https://www.youtube.com/watch?v=gIyuJbshDBM&amp;lc=UgwZdhhUFYSfqZDwGhp4AaABAg</v>
      </c>
      <c r="O4013">
        <v>0</v>
      </c>
      <c r="P4013">
        <v>0</v>
      </c>
      <c r="Q4013">
        <v>0</v>
      </c>
      <c r="S4013">
        <v>0</v>
      </c>
      <c r="T4013">
        <v>0</v>
      </c>
      <c r="U4013">
        <v>0</v>
      </c>
      <c r="W4013" t="s">
        <v>52</v>
      </c>
    </row>
    <row r="4014" spans="1:23" x14ac:dyDescent="0.35">
      <c r="A4014" t="s">
        <v>45</v>
      </c>
      <c r="B4014" t="s">
        <v>7922</v>
      </c>
      <c r="C4014" t="s">
        <v>47</v>
      </c>
      <c r="D4014" t="s">
        <v>8035</v>
      </c>
      <c r="E4014" t="s">
        <v>8035</v>
      </c>
      <c r="F4014" t="s">
        <v>193</v>
      </c>
      <c r="G4014" t="s">
        <v>8036</v>
      </c>
      <c r="H4014" t="s">
        <v>8040</v>
      </c>
      <c r="J4014" t="str">
        <f>HYPERLINK("https://www.youtube.com/watch?v=WFhlOwAtEvE&amp;lc=Ugye-CXsT4BddEB1AG14AaABAg","https://www.youtube.com/watch?v=WFhlOwAtEvE&amp;lc=Ugye-CXsT4BddEB1AG14AaABAg")</f>
        <v>https://www.youtube.com/watch?v=WFhlOwAtEvE&amp;lc=Ugye-CXsT4BddEB1AG14AaABAg</v>
      </c>
      <c r="O4014">
        <v>0</v>
      </c>
      <c r="P4014">
        <v>0</v>
      </c>
      <c r="Q4014">
        <v>0</v>
      </c>
      <c r="S4014">
        <v>0</v>
      </c>
      <c r="T4014">
        <v>0</v>
      </c>
      <c r="U4014">
        <v>0</v>
      </c>
      <c r="W4014" t="s">
        <v>52</v>
      </c>
    </row>
    <row r="4015" spans="1:23" x14ac:dyDescent="0.35">
      <c r="A4015" t="s">
        <v>45</v>
      </c>
      <c r="B4015" t="s">
        <v>7922</v>
      </c>
      <c r="C4015" t="s">
        <v>47</v>
      </c>
      <c r="D4015" t="s">
        <v>8035</v>
      </c>
      <c r="E4015" t="s">
        <v>8035</v>
      </c>
      <c r="F4015" t="s">
        <v>193</v>
      </c>
      <c r="G4015" t="s">
        <v>8036</v>
      </c>
      <c r="H4015" t="s">
        <v>8041</v>
      </c>
      <c r="J4015" t="str">
        <f>HYPERLINK("https://www.youtube.com/watch?v=pJw8yRpVZew&amp;lc=UgwTfiIVhZCPqrKMS8B4AaABAg","https://www.youtube.com/watch?v=pJw8yRpVZew&amp;lc=UgwTfiIVhZCPqrKMS8B4AaABAg")</f>
        <v>https://www.youtube.com/watch?v=pJw8yRpVZew&amp;lc=UgwTfiIVhZCPqrKMS8B4AaABAg</v>
      </c>
      <c r="O4015">
        <v>0</v>
      </c>
      <c r="P4015">
        <v>0</v>
      </c>
      <c r="Q4015">
        <v>0</v>
      </c>
      <c r="S4015">
        <v>0</v>
      </c>
      <c r="T4015">
        <v>0</v>
      </c>
      <c r="U4015">
        <v>0</v>
      </c>
      <c r="W4015" t="s">
        <v>52</v>
      </c>
    </row>
    <row r="4016" spans="1:23" x14ac:dyDescent="0.35">
      <c r="A4016" t="s">
        <v>45</v>
      </c>
      <c r="B4016" t="s">
        <v>8042</v>
      </c>
      <c r="C4016" t="s">
        <v>93</v>
      </c>
      <c r="D4016" t="s">
        <v>8043</v>
      </c>
      <c r="E4016" t="s">
        <v>8044</v>
      </c>
      <c r="F4016" t="s">
        <v>193</v>
      </c>
      <c r="G4016" t="s">
        <v>8045</v>
      </c>
      <c r="H4016" t="s">
        <v>8046</v>
      </c>
      <c r="J4016" t="str">
        <f>HYPERLINK("https://twitter.com/Tulsi4Nation/status/1745513152458957076","https://twitter.com/Tulsi4Nation/status/1745513152458957076")</f>
        <v>https://twitter.com/Tulsi4Nation/status/1745513152458957076</v>
      </c>
      <c r="K4016" t="s">
        <v>67</v>
      </c>
      <c r="O4016">
        <v>0</v>
      </c>
      <c r="P4016">
        <v>0</v>
      </c>
      <c r="Q4016">
        <v>0</v>
      </c>
      <c r="S4016">
        <v>0</v>
      </c>
      <c r="T4016">
        <v>0</v>
      </c>
      <c r="U4016">
        <v>0</v>
      </c>
      <c r="W4016" t="s">
        <v>99</v>
      </c>
    </row>
    <row r="4017" spans="1:23" x14ac:dyDescent="0.35">
      <c r="A4017" t="s">
        <v>45</v>
      </c>
      <c r="B4017" t="s">
        <v>8042</v>
      </c>
      <c r="C4017" t="s">
        <v>93</v>
      </c>
      <c r="D4017" t="s">
        <v>8043</v>
      </c>
      <c r="E4017" t="s">
        <v>8044</v>
      </c>
      <c r="F4017" t="s">
        <v>54</v>
      </c>
      <c r="G4017" t="s">
        <v>7778</v>
      </c>
      <c r="H4017" t="s">
        <v>8047</v>
      </c>
      <c r="J4017" t="str">
        <f>HYPERLINK("https://twitter.com/Tulsi4Nation/status/1745508261493616700","https://twitter.com/Tulsi4Nation/status/1745508261493616700")</f>
        <v>https://twitter.com/Tulsi4Nation/status/1745508261493616700</v>
      </c>
      <c r="K4017" t="s">
        <v>67</v>
      </c>
      <c r="O4017">
        <v>0</v>
      </c>
      <c r="P4017">
        <v>0</v>
      </c>
      <c r="Q4017">
        <v>0</v>
      </c>
      <c r="S4017">
        <v>0</v>
      </c>
      <c r="T4017">
        <v>0</v>
      </c>
      <c r="U4017">
        <v>0</v>
      </c>
      <c r="W4017" t="s">
        <v>433</v>
      </c>
    </row>
    <row r="4018" spans="1:23" x14ac:dyDescent="0.35">
      <c r="A4018" t="s">
        <v>45</v>
      </c>
      <c r="B4018" t="s">
        <v>8042</v>
      </c>
      <c r="C4018" t="s">
        <v>93</v>
      </c>
      <c r="D4018" t="s">
        <v>7880</v>
      </c>
      <c r="E4018" t="s">
        <v>7881</v>
      </c>
      <c r="F4018" t="s">
        <v>49</v>
      </c>
      <c r="G4018" t="s">
        <v>8048</v>
      </c>
      <c r="H4018" t="s">
        <v>8049</v>
      </c>
      <c r="J4018" t="str">
        <f>HYPERLINK("https://twitter.com/Warmbirds12/status/1745506457314058544","https://twitter.com/Warmbirds12/status/1745506457314058544")</f>
        <v>https://twitter.com/Warmbirds12/status/1745506457314058544</v>
      </c>
      <c r="O4018">
        <v>0</v>
      </c>
      <c r="P4018">
        <v>0</v>
      </c>
      <c r="Q4018">
        <v>11</v>
      </c>
      <c r="R4018" t="s">
        <v>5484</v>
      </c>
      <c r="S4018">
        <v>0</v>
      </c>
      <c r="T4018">
        <v>0</v>
      </c>
      <c r="U4018">
        <v>0</v>
      </c>
      <c r="W4018" t="s">
        <v>99</v>
      </c>
    </row>
    <row r="4019" spans="1:23" x14ac:dyDescent="0.35">
      <c r="A4019" t="s">
        <v>45</v>
      </c>
      <c r="B4019" t="s">
        <v>8042</v>
      </c>
      <c r="C4019" t="s">
        <v>93</v>
      </c>
      <c r="D4019" t="s">
        <v>8043</v>
      </c>
      <c r="E4019" t="s">
        <v>8044</v>
      </c>
      <c r="F4019" t="s">
        <v>54</v>
      </c>
      <c r="G4019" t="s">
        <v>7778</v>
      </c>
      <c r="H4019" t="s">
        <v>8050</v>
      </c>
      <c r="J4019" t="str">
        <f>HYPERLINK("https://twitter.com/Tulsi4Nation/status/1745504097623490804","https://twitter.com/Tulsi4Nation/status/1745504097623490804")</f>
        <v>https://twitter.com/Tulsi4Nation/status/1745504097623490804</v>
      </c>
      <c r="K4019" t="s">
        <v>67</v>
      </c>
      <c r="O4019">
        <v>0</v>
      </c>
      <c r="P4019">
        <v>0</v>
      </c>
      <c r="Q4019">
        <v>0</v>
      </c>
      <c r="S4019">
        <v>0</v>
      </c>
      <c r="T4019">
        <v>0</v>
      </c>
      <c r="U4019">
        <v>0</v>
      </c>
      <c r="W4019" t="s">
        <v>99</v>
      </c>
    </row>
    <row r="4020" spans="1:23" x14ac:dyDescent="0.35">
      <c r="A4020" t="s">
        <v>45</v>
      </c>
      <c r="B4020" t="s">
        <v>8042</v>
      </c>
      <c r="C4020" t="s">
        <v>47</v>
      </c>
      <c r="D4020" t="s">
        <v>8051</v>
      </c>
      <c r="E4020" t="s">
        <v>8051</v>
      </c>
      <c r="F4020" t="s">
        <v>193</v>
      </c>
      <c r="G4020" t="s">
        <v>8052</v>
      </c>
      <c r="H4020" t="s">
        <v>8053</v>
      </c>
      <c r="J4020" t="str">
        <f>HYPERLINK("https://www.youtube.com/watch?v=--SsTSqIa-4&amp;lc=UgyYVv_TXaiU34312KV4AaABAg","https://www.youtube.com/watch?v=--SsTSqIa-4&amp;lc=UgyYVv_TXaiU34312KV4AaABAg")</f>
        <v>https://www.youtube.com/watch?v=--SsTSqIa-4&amp;lc=UgyYVv_TXaiU34312KV4AaABAg</v>
      </c>
      <c r="O4020">
        <v>0</v>
      </c>
      <c r="P4020">
        <v>0</v>
      </c>
      <c r="Q4020">
        <v>0</v>
      </c>
      <c r="S4020">
        <v>0</v>
      </c>
      <c r="T4020">
        <v>0</v>
      </c>
      <c r="U4020">
        <v>0</v>
      </c>
      <c r="W4020" t="s">
        <v>52</v>
      </c>
    </row>
    <row r="4021" spans="1:23" x14ac:dyDescent="0.35">
      <c r="A4021" t="s">
        <v>45</v>
      </c>
      <c r="B4021" t="s">
        <v>8042</v>
      </c>
      <c r="C4021" t="s">
        <v>47</v>
      </c>
      <c r="D4021" t="s">
        <v>8054</v>
      </c>
      <c r="E4021" t="s">
        <v>8054</v>
      </c>
      <c r="F4021" t="s">
        <v>49</v>
      </c>
      <c r="G4021" t="s">
        <v>981</v>
      </c>
      <c r="H4021" t="s">
        <v>8055</v>
      </c>
      <c r="J4021" t="str">
        <f>HYPERLINK("https://www.youtube.com/watch?v=UoUCrZzEDaY&amp;lc=UgzlsPtQ4BihjHR5Dht4AaABAg","https://www.youtube.com/watch?v=UoUCrZzEDaY&amp;lc=UgzlsPtQ4BihjHR5Dht4AaABAg")</f>
        <v>https://www.youtube.com/watch?v=UoUCrZzEDaY&amp;lc=UgzlsPtQ4BihjHR5Dht4AaABAg</v>
      </c>
      <c r="O4021">
        <v>0</v>
      </c>
      <c r="P4021">
        <v>0</v>
      </c>
      <c r="Q4021">
        <v>0</v>
      </c>
      <c r="S4021">
        <v>0</v>
      </c>
      <c r="T4021">
        <v>0</v>
      </c>
      <c r="U4021">
        <v>0</v>
      </c>
      <c r="W4021" t="s">
        <v>52</v>
      </c>
    </row>
    <row r="4022" spans="1:23" x14ac:dyDescent="0.35">
      <c r="A4022" t="s">
        <v>45</v>
      </c>
      <c r="B4022" t="s">
        <v>8042</v>
      </c>
      <c r="C4022" t="s">
        <v>60</v>
      </c>
      <c r="D4022" t="s">
        <v>61</v>
      </c>
      <c r="E4022" t="s">
        <v>61</v>
      </c>
      <c r="F4022" t="s">
        <v>54</v>
      </c>
      <c r="G4022" t="s">
        <v>8056</v>
      </c>
      <c r="H4022" t="s">
        <v>8057</v>
      </c>
      <c r="J4022" t="str">
        <f>HYPERLINK("https://www.facebook.com/634639855377280/posts/769769495197648?comment_id=1309482273048267","https://www.facebook.com/634639855377280/posts/769769495197648?comment_id=1309482273048267")</f>
        <v>https://www.facebook.com/634639855377280/posts/769769495197648?comment_id=1309482273048267</v>
      </c>
      <c r="O4022">
        <v>0</v>
      </c>
      <c r="P4022">
        <v>0</v>
      </c>
      <c r="Q4022">
        <v>0</v>
      </c>
      <c r="S4022">
        <v>0</v>
      </c>
      <c r="T4022">
        <v>0</v>
      </c>
      <c r="U4022">
        <v>0</v>
      </c>
      <c r="W4022" t="s">
        <v>52</v>
      </c>
    </row>
    <row r="4023" spans="1:23" x14ac:dyDescent="0.35">
      <c r="A4023" t="s">
        <v>45</v>
      </c>
      <c r="B4023" t="s">
        <v>8042</v>
      </c>
      <c r="C4023" t="s">
        <v>60</v>
      </c>
      <c r="D4023" t="s">
        <v>61</v>
      </c>
      <c r="E4023" t="s">
        <v>61</v>
      </c>
      <c r="F4023" t="s">
        <v>49</v>
      </c>
      <c r="G4023" t="s">
        <v>8058</v>
      </c>
      <c r="H4023" t="s">
        <v>8059</v>
      </c>
      <c r="J4023" t="str">
        <f>HYPERLINK("https://www.facebook.com/634639855377280/posts/770369625137635?comment_id=1399236450685966","https://www.facebook.com/634639855377280/posts/770369625137635?comment_id=1399236450685966")</f>
        <v>https://www.facebook.com/634639855377280/posts/770369625137635?comment_id=1399236450685966</v>
      </c>
      <c r="O4023">
        <v>0</v>
      </c>
      <c r="P4023">
        <v>0</v>
      </c>
      <c r="Q4023">
        <v>0</v>
      </c>
      <c r="S4023">
        <v>0</v>
      </c>
      <c r="T4023">
        <v>0</v>
      </c>
      <c r="U4023">
        <v>0</v>
      </c>
      <c r="W4023" t="s">
        <v>52</v>
      </c>
    </row>
    <row r="4024" spans="1:23" x14ac:dyDescent="0.35">
      <c r="A4024" t="s">
        <v>45</v>
      </c>
      <c r="B4024" t="s">
        <v>8042</v>
      </c>
      <c r="C4024" t="s">
        <v>47</v>
      </c>
      <c r="D4024" t="s">
        <v>8060</v>
      </c>
      <c r="E4024" t="s">
        <v>8060</v>
      </c>
      <c r="F4024" t="s">
        <v>49</v>
      </c>
      <c r="G4024" t="s">
        <v>8061</v>
      </c>
      <c r="H4024" t="s">
        <v>8062</v>
      </c>
      <c r="J4024" t="str">
        <f>HYPERLINK("https://www.youtube.com/watch?v=WFhlOwAtEvE&amp;lc=Ugz-mnWIaZv9-Hejtv54AaABAg.9zQEI1Kxi8z9zRBKS9Ud7l","https://www.youtube.com/watch?v=WFhlOwAtEvE&amp;lc=Ugz-mnWIaZv9-Hejtv54AaABAg.9zQEI1Kxi8z9zRBKS9Ud7l")</f>
        <v>https://www.youtube.com/watch?v=WFhlOwAtEvE&amp;lc=Ugz-mnWIaZv9-Hejtv54AaABAg.9zQEI1Kxi8z9zRBKS9Ud7l</v>
      </c>
      <c r="O4024">
        <v>0</v>
      </c>
      <c r="P4024">
        <v>0</v>
      </c>
      <c r="Q4024">
        <v>0</v>
      </c>
      <c r="S4024">
        <v>0</v>
      </c>
      <c r="T4024">
        <v>0</v>
      </c>
      <c r="U4024">
        <v>0</v>
      </c>
      <c r="W4024" t="s">
        <v>52</v>
      </c>
    </row>
    <row r="4025" spans="1:23" x14ac:dyDescent="0.35">
      <c r="A4025" t="s">
        <v>45</v>
      </c>
      <c r="B4025" t="s">
        <v>8042</v>
      </c>
      <c r="C4025" t="s">
        <v>60</v>
      </c>
      <c r="D4025" t="s">
        <v>61</v>
      </c>
      <c r="E4025" t="s">
        <v>61</v>
      </c>
      <c r="F4025" t="s">
        <v>49</v>
      </c>
      <c r="G4025" t="s">
        <v>4394</v>
      </c>
      <c r="H4025" t="s">
        <v>8063</v>
      </c>
      <c r="J4025" t="str">
        <f>HYPERLINK("https://www.facebook.com/634639855377280/posts/770369625137635?comment_id=1364477647772963","https://www.facebook.com/634639855377280/posts/770369625137635?comment_id=1364477647772963")</f>
        <v>https://www.facebook.com/634639855377280/posts/770369625137635?comment_id=1364477647772963</v>
      </c>
      <c r="O4025">
        <v>0</v>
      </c>
      <c r="P4025">
        <v>0</v>
      </c>
      <c r="Q4025">
        <v>0</v>
      </c>
      <c r="S4025">
        <v>0</v>
      </c>
      <c r="T4025">
        <v>0</v>
      </c>
      <c r="U4025">
        <v>0</v>
      </c>
      <c r="W4025" t="s">
        <v>52</v>
      </c>
    </row>
    <row r="4026" spans="1:23" x14ac:dyDescent="0.35">
      <c r="A4026" t="s">
        <v>45</v>
      </c>
      <c r="B4026" t="s">
        <v>8042</v>
      </c>
      <c r="C4026" t="s">
        <v>60</v>
      </c>
      <c r="D4026" t="s">
        <v>61</v>
      </c>
      <c r="E4026" t="s">
        <v>61</v>
      </c>
      <c r="F4026" t="s">
        <v>193</v>
      </c>
      <c r="G4026" t="s">
        <v>8064</v>
      </c>
      <c r="H4026" t="s">
        <v>8065</v>
      </c>
      <c r="J4026" t="str">
        <f>HYPERLINK("https://www.facebook.com/634639855377280/posts/770369625137635?comment_id=1314458305931629","https://www.facebook.com/634639855377280/posts/770369625137635?comment_id=1314458305931629")</f>
        <v>https://www.facebook.com/634639855377280/posts/770369625137635?comment_id=1314458305931629</v>
      </c>
      <c r="O4026">
        <v>0</v>
      </c>
      <c r="P4026">
        <v>0</v>
      </c>
      <c r="Q4026">
        <v>0</v>
      </c>
      <c r="S4026">
        <v>0</v>
      </c>
      <c r="T4026">
        <v>0</v>
      </c>
      <c r="U4026">
        <v>0</v>
      </c>
      <c r="W4026" t="s">
        <v>52</v>
      </c>
    </row>
    <row r="4027" spans="1:23" x14ac:dyDescent="0.35">
      <c r="A4027" t="s">
        <v>45</v>
      </c>
      <c r="B4027" t="s">
        <v>8042</v>
      </c>
      <c r="C4027" t="s">
        <v>60</v>
      </c>
      <c r="D4027" t="s">
        <v>61</v>
      </c>
      <c r="E4027" t="s">
        <v>61</v>
      </c>
      <c r="F4027" t="s">
        <v>49</v>
      </c>
      <c r="G4027" t="s">
        <v>8066</v>
      </c>
      <c r="H4027" t="s">
        <v>8067</v>
      </c>
      <c r="J4027" t="str">
        <f>HYPERLINK("https://www.facebook.com/634639855377280/posts/770369625137635?comment_id=3070280346436979","https://www.facebook.com/634639855377280/posts/770369625137635?comment_id=3070280346436979")</f>
        <v>https://www.facebook.com/634639855377280/posts/770369625137635?comment_id=3070280346436979</v>
      </c>
      <c r="O4027">
        <v>0</v>
      </c>
      <c r="P4027">
        <v>0</v>
      </c>
      <c r="Q4027">
        <v>0</v>
      </c>
      <c r="S4027">
        <v>0</v>
      </c>
      <c r="T4027">
        <v>0</v>
      </c>
      <c r="U4027">
        <v>0</v>
      </c>
      <c r="W4027" t="s">
        <v>52</v>
      </c>
    </row>
    <row r="4028" spans="1:23" x14ac:dyDescent="0.35">
      <c r="A4028" t="s">
        <v>45</v>
      </c>
      <c r="B4028" t="s">
        <v>8042</v>
      </c>
      <c r="C4028" t="s">
        <v>93</v>
      </c>
      <c r="D4028" t="s">
        <v>8068</v>
      </c>
      <c r="E4028" t="s">
        <v>8069</v>
      </c>
      <c r="F4028" t="s">
        <v>193</v>
      </c>
      <c r="G4028" t="s">
        <v>8070</v>
      </c>
      <c r="H4028" t="s">
        <v>8071</v>
      </c>
      <c r="J4028" t="str">
        <f>HYPERLINK("https://twitter.com/SailenduKhuntia/status/1745427190907646024","https://twitter.com/SailenduKhuntia/status/1745427190907646024")</f>
        <v>https://twitter.com/SailenduKhuntia/status/1745427190907646024</v>
      </c>
      <c r="K4028" t="s">
        <v>67</v>
      </c>
      <c r="O4028">
        <v>0</v>
      </c>
      <c r="P4028">
        <v>0</v>
      </c>
      <c r="Q4028">
        <v>2</v>
      </c>
      <c r="R4028" t="s">
        <v>8072</v>
      </c>
      <c r="S4028">
        <v>0</v>
      </c>
      <c r="T4028">
        <v>0</v>
      </c>
      <c r="U4028">
        <v>0</v>
      </c>
      <c r="W4028" t="s">
        <v>99</v>
      </c>
    </row>
    <row r="4029" spans="1:23" x14ac:dyDescent="0.35">
      <c r="A4029" t="s">
        <v>45</v>
      </c>
      <c r="B4029" t="s">
        <v>8042</v>
      </c>
      <c r="C4029" t="s">
        <v>60</v>
      </c>
      <c r="D4029" t="s">
        <v>61</v>
      </c>
      <c r="E4029" t="s">
        <v>61</v>
      </c>
      <c r="F4029" t="s">
        <v>49</v>
      </c>
      <c r="G4029" t="s">
        <v>8073</v>
      </c>
      <c r="H4029" t="s">
        <v>8074</v>
      </c>
      <c r="J4029" t="str">
        <f>HYPERLINK("https://www.facebook.com/634639855377280/posts/770369625137635?comment_id=358855996779027","https://www.facebook.com/634639855377280/posts/770369625137635?comment_id=358855996779027")</f>
        <v>https://www.facebook.com/634639855377280/posts/770369625137635?comment_id=358855996779027</v>
      </c>
      <c r="O4029">
        <v>0</v>
      </c>
      <c r="P4029">
        <v>0</v>
      </c>
      <c r="Q4029">
        <v>0</v>
      </c>
      <c r="S4029">
        <v>0</v>
      </c>
      <c r="T4029">
        <v>0</v>
      </c>
      <c r="U4029">
        <v>0</v>
      </c>
      <c r="W4029" t="s">
        <v>52</v>
      </c>
    </row>
    <row r="4030" spans="1:23" x14ac:dyDescent="0.35">
      <c r="A4030" t="s">
        <v>45</v>
      </c>
      <c r="B4030" t="s">
        <v>8042</v>
      </c>
      <c r="C4030" t="s">
        <v>60</v>
      </c>
      <c r="D4030" t="s">
        <v>61</v>
      </c>
      <c r="E4030" t="s">
        <v>61</v>
      </c>
      <c r="F4030" t="s">
        <v>49</v>
      </c>
      <c r="G4030" t="s">
        <v>8075</v>
      </c>
      <c r="H4030" t="s">
        <v>8076</v>
      </c>
      <c r="J4030" t="str">
        <f>HYPERLINK("https://www.facebook.com/634639855377280/posts/770369625137635?comment_id=909411843923597","https://www.facebook.com/634639855377280/posts/770369625137635?comment_id=909411843923597")</f>
        <v>https://www.facebook.com/634639855377280/posts/770369625137635?comment_id=909411843923597</v>
      </c>
      <c r="O4030">
        <v>0</v>
      </c>
      <c r="P4030">
        <v>0</v>
      </c>
      <c r="Q4030">
        <v>0</v>
      </c>
      <c r="S4030">
        <v>0</v>
      </c>
      <c r="T4030">
        <v>0</v>
      </c>
      <c r="U4030">
        <v>0</v>
      </c>
      <c r="W4030" t="s">
        <v>52</v>
      </c>
    </row>
    <row r="4031" spans="1:23" x14ac:dyDescent="0.35">
      <c r="A4031" t="s">
        <v>45</v>
      </c>
      <c r="B4031" t="s">
        <v>8042</v>
      </c>
      <c r="C4031" t="s">
        <v>93</v>
      </c>
      <c r="D4031" t="s">
        <v>94</v>
      </c>
      <c r="E4031" t="s">
        <v>45</v>
      </c>
      <c r="F4031" t="s">
        <v>49</v>
      </c>
      <c r="G4031" t="s">
        <v>8077</v>
      </c>
      <c r="H4031" t="s">
        <v>8078</v>
      </c>
      <c r="J4031" t="str">
        <f>HYPERLINK("https://twitter.com/SpiceMoneyIndia/status/1745404010281193538","https://twitter.com/SpiceMoneyIndia/status/1745404010281193538")</f>
        <v>https://twitter.com/SpiceMoneyIndia/status/1745404010281193538</v>
      </c>
      <c r="K4031" t="s">
        <v>67</v>
      </c>
      <c r="O4031">
        <v>0</v>
      </c>
      <c r="P4031">
        <v>0</v>
      </c>
      <c r="Q4031">
        <v>5993</v>
      </c>
      <c r="R4031" t="s">
        <v>97</v>
      </c>
      <c r="S4031">
        <v>0</v>
      </c>
      <c r="T4031">
        <v>0</v>
      </c>
      <c r="U4031">
        <v>0</v>
      </c>
      <c r="V4031" t="s">
        <v>98</v>
      </c>
      <c r="W4031" t="s">
        <v>99</v>
      </c>
    </row>
    <row r="4032" spans="1:23" x14ac:dyDescent="0.35">
      <c r="A4032" t="s">
        <v>45</v>
      </c>
      <c r="B4032" t="s">
        <v>8042</v>
      </c>
      <c r="C4032" t="s">
        <v>60</v>
      </c>
      <c r="D4032" t="s">
        <v>64</v>
      </c>
      <c r="E4032" t="s">
        <v>64</v>
      </c>
      <c r="F4032" t="s">
        <v>49</v>
      </c>
      <c r="G4032" t="s">
        <v>8079</v>
      </c>
      <c r="H4032" t="s">
        <v>8080</v>
      </c>
      <c r="J4032" t="str">
        <f>HYPERLINK("https://www.facebook.com/634639855377280/posts/770369625137635","https://www.facebook.com/634639855377280/posts/770369625137635")</f>
        <v>https://www.facebook.com/634639855377280/posts/770369625137635</v>
      </c>
      <c r="O4032">
        <v>0</v>
      </c>
      <c r="P4032">
        <v>0</v>
      </c>
      <c r="Q4032">
        <v>0</v>
      </c>
      <c r="S4032">
        <v>9</v>
      </c>
      <c r="T4032">
        <v>64</v>
      </c>
      <c r="U4032">
        <v>7</v>
      </c>
      <c r="W4032" t="s">
        <v>346</v>
      </c>
    </row>
    <row r="4033" spans="1:23" x14ac:dyDescent="0.35">
      <c r="A4033" t="s">
        <v>45</v>
      </c>
      <c r="B4033" t="s">
        <v>8042</v>
      </c>
      <c r="C4033" t="s">
        <v>47</v>
      </c>
      <c r="D4033" t="s">
        <v>8081</v>
      </c>
      <c r="E4033" t="s">
        <v>8081</v>
      </c>
      <c r="F4033" t="s">
        <v>49</v>
      </c>
      <c r="G4033" t="s">
        <v>8082</v>
      </c>
      <c r="H4033" t="s">
        <v>8083</v>
      </c>
      <c r="J4033" t="str">
        <f>HYPERLINK("https://www.youtube.com/watch?v=WFhlOwAtEvE&amp;lc=Ugw0AXEHF9nRm-7Jv_B4AaABAg","https://www.youtube.com/watch?v=WFhlOwAtEvE&amp;lc=Ugw0AXEHF9nRm-7Jv_B4AaABAg")</f>
        <v>https://www.youtube.com/watch?v=WFhlOwAtEvE&amp;lc=Ugw0AXEHF9nRm-7Jv_B4AaABAg</v>
      </c>
      <c r="O4033">
        <v>0</v>
      </c>
      <c r="P4033">
        <v>0</v>
      </c>
      <c r="Q4033">
        <v>0</v>
      </c>
      <c r="S4033">
        <v>0</v>
      </c>
      <c r="T4033">
        <v>0</v>
      </c>
      <c r="U4033">
        <v>0</v>
      </c>
      <c r="W4033" t="s">
        <v>52</v>
      </c>
    </row>
    <row r="4034" spans="1:23" x14ac:dyDescent="0.35">
      <c r="A4034" t="s">
        <v>45</v>
      </c>
      <c r="B4034" t="s">
        <v>8042</v>
      </c>
      <c r="C4034" t="s">
        <v>93</v>
      </c>
      <c r="D4034" t="s">
        <v>3957</v>
      </c>
      <c r="E4034" t="s">
        <v>3958</v>
      </c>
      <c r="F4034" t="s">
        <v>193</v>
      </c>
      <c r="G4034" t="s">
        <v>8084</v>
      </c>
      <c r="H4034" t="s">
        <v>8085</v>
      </c>
      <c r="J4034" t="str">
        <f>HYPERLINK("https://twitter.com/ParwinderS82656/status/1745371026048123147","https://twitter.com/ParwinderS82656/status/1745371026048123147")</f>
        <v>https://twitter.com/ParwinderS82656/status/1745371026048123147</v>
      </c>
      <c r="K4034" t="s">
        <v>67</v>
      </c>
      <c r="O4034">
        <v>0</v>
      </c>
      <c r="P4034">
        <v>0</v>
      </c>
      <c r="Q4034">
        <v>2</v>
      </c>
      <c r="S4034">
        <v>0</v>
      </c>
      <c r="T4034">
        <v>0</v>
      </c>
      <c r="U4034">
        <v>0</v>
      </c>
      <c r="W4034" t="s">
        <v>99</v>
      </c>
    </row>
    <row r="4035" spans="1:23" x14ac:dyDescent="0.35">
      <c r="A4035" t="s">
        <v>45</v>
      </c>
      <c r="B4035" t="s">
        <v>8042</v>
      </c>
      <c r="C4035" t="s">
        <v>60</v>
      </c>
      <c r="D4035" t="s">
        <v>61</v>
      </c>
      <c r="E4035" t="s">
        <v>61</v>
      </c>
      <c r="F4035" t="s">
        <v>49</v>
      </c>
      <c r="G4035" t="s">
        <v>8086</v>
      </c>
      <c r="H4035" t="s">
        <v>8087</v>
      </c>
      <c r="J4035" t="str">
        <f>HYPERLINK("https://www.facebook.com/634639855377280/posts/769133368594594?comment_id=252260564556710","https://www.facebook.com/634639855377280/posts/769133368594594?comment_id=252260564556710")</f>
        <v>https://www.facebook.com/634639855377280/posts/769133368594594?comment_id=252260564556710</v>
      </c>
      <c r="O4035">
        <v>0</v>
      </c>
      <c r="P4035">
        <v>0</v>
      </c>
      <c r="Q4035">
        <v>0</v>
      </c>
      <c r="S4035">
        <v>0</v>
      </c>
      <c r="T4035">
        <v>0</v>
      </c>
      <c r="U4035">
        <v>0</v>
      </c>
      <c r="W4035" t="s">
        <v>52</v>
      </c>
    </row>
    <row r="4036" spans="1:23" x14ac:dyDescent="0.35">
      <c r="A4036" t="s">
        <v>45</v>
      </c>
      <c r="B4036" t="s">
        <v>8042</v>
      </c>
      <c r="C4036" t="s">
        <v>60</v>
      </c>
      <c r="D4036" t="s">
        <v>61</v>
      </c>
      <c r="E4036" t="s">
        <v>61</v>
      </c>
      <c r="F4036" t="s">
        <v>49</v>
      </c>
      <c r="G4036" t="s">
        <v>8088</v>
      </c>
      <c r="H4036" t="s">
        <v>8089</v>
      </c>
      <c r="J4036" t="str">
        <f>HYPERLINK("https://www.facebook.com/634639855377280/posts/769133368594594?comment_id=876844964137209&amp;reply_comment_id=391058396786824","https://www.facebook.com/634639855377280/posts/769133368594594?comment_id=876844964137209&amp;reply_comment_id=391058396786824")</f>
        <v>https://www.facebook.com/634639855377280/posts/769133368594594?comment_id=876844964137209&amp;reply_comment_id=391058396786824</v>
      </c>
      <c r="O4036">
        <v>0</v>
      </c>
      <c r="P4036">
        <v>0</v>
      </c>
      <c r="Q4036">
        <v>0</v>
      </c>
      <c r="S4036">
        <v>0</v>
      </c>
      <c r="T4036">
        <v>0</v>
      </c>
      <c r="U4036">
        <v>0</v>
      </c>
      <c r="W4036" t="s">
        <v>52</v>
      </c>
    </row>
    <row r="4037" spans="1:23" x14ac:dyDescent="0.35">
      <c r="A4037" t="s">
        <v>45</v>
      </c>
      <c r="B4037" t="s">
        <v>8042</v>
      </c>
      <c r="C4037" t="s">
        <v>47</v>
      </c>
      <c r="D4037" t="s">
        <v>6303</v>
      </c>
      <c r="E4037" t="s">
        <v>6303</v>
      </c>
      <c r="F4037" t="s">
        <v>49</v>
      </c>
      <c r="G4037" t="s">
        <v>8090</v>
      </c>
      <c r="H4037" t="s">
        <v>8091</v>
      </c>
      <c r="J4037" t="str">
        <f>HYPERLINK("https://www.youtube.com/watch?v=WFhlOwAtEvE&amp;lc=Ugz-mnWIaZv9-Hejtv54AaABAg","https://www.youtube.com/watch?v=WFhlOwAtEvE&amp;lc=Ugz-mnWIaZv9-Hejtv54AaABAg")</f>
        <v>https://www.youtube.com/watch?v=WFhlOwAtEvE&amp;lc=Ugz-mnWIaZv9-Hejtv54AaABAg</v>
      </c>
      <c r="O4037">
        <v>0</v>
      </c>
      <c r="P4037">
        <v>0</v>
      </c>
      <c r="Q4037">
        <v>0</v>
      </c>
      <c r="S4037">
        <v>0</v>
      </c>
      <c r="T4037">
        <v>0</v>
      </c>
      <c r="U4037">
        <v>0</v>
      </c>
      <c r="W4037" t="s">
        <v>52</v>
      </c>
    </row>
    <row r="4038" spans="1:23" x14ac:dyDescent="0.35">
      <c r="A4038" t="s">
        <v>45</v>
      </c>
      <c r="B4038" t="s">
        <v>8042</v>
      </c>
      <c r="C4038" t="s">
        <v>47</v>
      </c>
      <c r="D4038" t="s">
        <v>8092</v>
      </c>
      <c r="E4038" t="s">
        <v>8092</v>
      </c>
      <c r="F4038" t="s">
        <v>49</v>
      </c>
      <c r="G4038" t="s">
        <v>8093</v>
      </c>
      <c r="H4038" t="s">
        <v>8094</v>
      </c>
      <c r="J4038" t="str">
        <f>HYPERLINK("https://www.youtube.com/watch?v=Un06w8WhYRg&amp;lc=UgyMhHi4TtCaILMDCSt4AaABAg.9zF_OH1UTOH9zQEHfwJSvX","https://www.youtube.com/watch?v=Un06w8WhYRg&amp;lc=UgyMhHi4TtCaILMDCSt4AaABAg.9zF_OH1UTOH9zQEHfwJSvX")</f>
        <v>https://www.youtube.com/watch?v=Un06w8WhYRg&amp;lc=UgyMhHi4TtCaILMDCSt4AaABAg.9zF_OH1UTOH9zQEHfwJSvX</v>
      </c>
      <c r="O4038">
        <v>0</v>
      </c>
      <c r="P4038">
        <v>0</v>
      </c>
      <c r="Q4038">
        <v>0</v>
      </c>
      <c r="S4038">
        <v>0</v>
      </c>
      <c r="T4038">
        <v>0</v>
      </c>
      <c r="U4038">
        <v>0</v>
      </c>
      <c r="W4038" t="s">
        <v>52</v>
      </c>
    </row>
    <row r="4039" spans="1:23" x14ac:dyDescent="0.35">
      <c r="A4039" t="s">
        <v>45</v>
      </c>
      <c r="B4039" t="s">
        <v>8042</v>
      </c>
      <c r="C4039" t="s">
        <v>47</v>
      </c>
      <c r="D4039" t="s">
        <v>8095</v>
      </c>
      <c r="E4039" t="s">
        <v>8095</v>
      </c>
      <c r="F4039" t="s">
        <v>49</v>
      </c>
      <c r="G4039" t="s">
        <v>8096</v>
      </c>
      <c r="H4039" t="s">
        <v>8097</v>
      </c>
      <c r="J4039" t="str">
        <f>HYPERLINK("https://www.youtube.com/watch?v=WFhlOwAtEvE&amp;lc=UgzvESb5-impO9-Ctxd4AaABAg","https://www.youtube.com/watch?v=WFhlOwAtEvE&amp;lc=UgzvESb5-impO9-Ctxd4AaABAg")</f>
        <v>https://www.youtube.com/watch?v=WFhlOwAtEvE&amp;lc=UgzvESb5-impO9-Ctxd4AaABAg</v>
      </c>
      <c r="O4039">
        <v>0</v>
      </c>
      <c r="P4039">
        <v>0</v>
      </c>
      <c r="Q4039">
        <v>0</v>
      </c>
      <c r="S4039">
        <v>0</v>
      </c>
      <c r="T4039">
        <v>0</v>
      </c>
      <c r="U4039">
        <v>0</v>
      </c>
      <c r="W4039" t="s">
        <v>52</v>
      </c>
    </row>
    <row r="4040" spans="1:23" x14ac:dyDescent="0.35">
      <c r="A4040" t="s">
        <v>45</v>
      </c>
      <c r="B4040" t="s">
        <v>8042</v>
      </c>
      <c r="C4040" t="s">
        <v>47</v>
      </c>
      <c r="D4040" t="s">
        <v>45</v>
      </c>
      <c r="E4040" t="s">
        <v>45</v>
      </c>
      <c r="F4040" t="s">
        <v>49</v>
      </c>
      <c r="G4040" t="s">
        <v>8098</v>
      </c>
      <c r="H4040" t="s">
        <v>8099</v>
      </c>
      <c r="J4040" t="str">
        <f>HYPERLINK("https://www.youtube.com/watch?v=Ass-55wu6qo","https://www.youtube.com/watch?v=Ass-55wu6qo")</f>
        <v>https://www.youtube.com/watch?v=Ass-55wu6qo</v>
      </c>
      <c r="O4040">
        <v>0</v>
      </c>
      <c r="P4040">
        <v>0</v>
      </c>
      <c r="Q4040">
        <v>0</v>
      </c>
      <c r="S4040">
        <v>0</v>
      </c>
      <c r="T4040">
        <v>0</v>
      </c>
      <c r="U4040">
        <v>0</v>
      </c>
      <c r="W4040" t="s">
        <v>346</v>
      </c>
    </row>
    <row r="4041" spans="1:23" x14ac:dyDescent="0.35">
      <c r="A4041" t="s">
        <v>45</v>
      </c>
      <c r="B4041" t="s">
        <v>8042</v>
      </c>
      <c r="C4041" t="s">
        <v>47</v>
      </c>
      <c r="D4041" t="s">
        <v>45</v>
      </c>
      <c r="E4041" t="s">
        <v>45</v>
      </c>
      <c r="F4041" t="s">
        <v>49</v>
      </c>
      <c r="G4041" t="s">
        <v>8100</v>
      </c>
      <c r="H4041" t="s">
        <v>8101</v>
      </c>
      <c r="J4041" t="str">
        <f>HYPERLINK("https://www.youtube.com/watch?v=-0omWvIqOFA","https://www.youtube.com/watch?v=-0omWvIqOFA")</f>
        <v>https://www.youtube.com/watch?v=-0omWvIqOFA</v>
      </c>
      <c r="O4041">
        <v>0</v>
      </c>
      <c r="P4041">
        <v>0</v>
      </c>
      <c r="Q4041">
        <v>0</v>
      </c>
      <c r="S4041">
        <v>0</v>
      </c>
      <c r="T4041">
        <v>0</v>
      </c>
      <c r="U4041">
        <v>0</v>
      </c>
      <c r="W4041" t="s">
        <v>346</v>
      </c>
    </row>
    <row r="4042" spans="1:23" x14ac:dyDescent="0.35">
      <c r="A4042" t="s">
        <v>45</v>
      </c>
      <c r="B4042" t="s">
        <v>8042</v>
      </c>
      <c r="C4042" t="s">
        <v>47</v>
      </c>
      <c r="D4042" t="s">
        <v>45</v>
      </c>
      <c r="E4042" t="s">
        <v>45</v>
      </c>
      <c r="F4042" t="s">
        <v>49</v>
      </c>
      <c r="G4042" t="s">
        <v>8102</v>
      </c>
      <c r="H4042" t="s">
        <v>8103</v>
      </c>
      <c r="J4042" t="str">
        <f>HYPERLINK("https://www.youtube.com/watch?v=E-DYTv7GnXw","https://www.youtube.com/watch?v=E-DYTv7GnXw")</f>
        <v>https://www.youtube.com/watch?v=E-DYTv7GnXw</v>
      </c>
      <c r="O4042">
        <v>0</v>
      </c>
      <c r="P4042">
        <v>0</v>
      </c>
      <c r="Q4042">
        <v>0</v>
      </c>
      <c r="S4042">
        <v>0</v>
      </c>
      <c r="T4042">
        <v>0</v>
      </c>
      <c r="U4042">
        <v>0</v>
      </c>
      <c r="W4042" t="s">
        <v>346</v>
      </c>
    </row>
    <row r="4043" spans="1:23" x14ac:dyDescent="0.35">
      <c r="A4043" t="s">
        <v>45</v>
      </c>
      <c r="B4043" t="s">
        <v>8042</v>
      </c>
      <c r="C4043" t="s">
        <v>47</v>
      </c>
      <c r="D4043" t="s">
        <v>8104</v>
      </c>
      <c r="E4043" t="s">
        <v>8104</v>
      </c>
      <c r="F4043" t="s">
        <v>54</v>
      </c>
      <c r="G4043" t="s">
        <v>8105</v>
      </c>
      <c r="H4043" t="s">
        <v>8106</v>
      </c>
      <c r="J4043" t="str">
        <f>HYPERLINK("https://www.youtube.com/watch?v=gIyuJbshDBM&amp;lc=UgwngVXOjbmmDuuW0vN4AaABAg","https://www.youtube.com/watch?v=gIyuJbshDBM&amp;lc=UgwngVXOjbmmDuuW0vN4AaABAg")</f>
        <v>https://www.youtube.com/watch?v=gIyuJbshDBM&amp;lc=UgwngVXOjbmmDuuW0vN4AaABAg</v>
      </c>
      <c r="O4043">
        <v>0</v>
      </c>
      <c r="P4043">
        <v>0</v>
      </c>
      <c r="Q4043">
        <v>0</v>
      </c>
      <c r="S4043">
        <v>0</v>
      </c>
      <c r="T4043">
        <v>0</v>
      </c>
      <c r="U4043">
        <v>0</v>
      </c>
      <c r="W4043" t="s">
        <v>52</v>
      </c>
    </row>
    <row r="4044" spans="1:23" x14ac:dyDescent="0.35">
      <c r="A4044" t="s">
        <v>45</v>
      </c>
      <c r="B4044" t="s">
        <v>8042</v>
      </c>
      <c r="C4044" t="s">
        <v>47</v>
      </c>
      <c r="D4044" t="s">
        <v>45</v>
      </c>
      <c r="E4044" t="s">
        <v>45</v>
      </c>
      <c r="F4044" t="s">
        <v>49</v>
      </c>
      <c r="G4044" t="s">
        <v>8107</v>
      </c>
      <c r="H4044" t="s">
        <v>8108</v>
      </c>
      <c r="J4044" t="str">
        <f>HYPERLINK("https://www.youtube.com/watch?v=WFhlOwAtEvE","https://www.youtube.com/watch?v=WFhlOwAtEvE")</f>
        <v>https://www.youtube.com/watch?v=WFhlOwAtEvE</v>
      </c>
      <c r="O4044">
        <v>0</v>
      </c>
      <c r="P4044">
        <v>0</v>
      </c>
      <c r="Q4044">
        <v>0</v>
      </c>
      <c r="S4044">
        <v>0</v>
      </c>
      <c r="T4044">
        <v>0</v>
      </c>
      <c r="U4044">
        <v>0</v>
      </c>
      <c r="W4044" t="s">
        <v>346</v>
      </c>
    </row>
    <row r="4045" spans="1:23" x14ac:dyDescent="0.35">
      <c r="A4045" t="s">
        <v>45</v>
      </c>
      <c r="B4045" t="s">
        <v>8042</v>
      </c>
      <c r="C4045" t="s">
        <v>47</v>
      </c>
      <c r="D4045" t="s">
        <v>45</v>
      </c>
      <c r="E4045" t="s">
        <v>45</v>
      </c>
      <c r="F4045" t="s">
        <v>49</v>
      </c>
      <c r="G4045" t="s">
        <v>8107</v>
      </c>
      <c r="H4045" t="s">
        <v>8109</v>
      </c>
      <c r="J4045" t="str">
        <f>HYPERLINK("https://www.youtube.com/watch?v=WFhlOwAtEvE","https://www.youtube.com/watch?v=WFhlOwAtEvE")</f>
        <v>https://www.youtube.com/watch?v=WFhlOwAtEvE</v>
      </c>
      <c r="O4045">
        <v>0</v>
      </c>
      <c r="P4045">
        <v>0</v>
      </c>
      <c r="Q4045">
        <v>0</v>
      </c>
      <c r="S4045">
        <v>0</v>
      </c>
      <c r="T4045">
        <v>0</v>
      </c>
      <c r="U4045">
        <v>0</v>
      </c>
      <c r="W4045" t="s">
        <v>346</v>
      </c>
    </row>
    <row r="4046" spans="1:23" x14ac:dyDescent="0.35">
      <c r="A4046" t="s">
        <v>45</v>
      </c>
      <c r="B4046" t="s">
        <v>8042</v>
      </c>
      <c r="C4046" t="s">
        <v>47</v>
      </c>
      <c r="D4046" t="s">
        <v>8110</v>
      </c>
      <c r="E4046" t="s">
        <v>8110</v>
      </c>
      <c r="F4046" t="s">
        <v>49</v>
      </c>
      <c r="G4046" t="s">
        <v>8111</v>
      </c>
      <c r="H4046" t="s">
        <v>8112</v>
      </c>
      <c r="J4046" t="str">
        <f>HYPERLINK("https://www.youtube.com/watch?v=gIyuJbshDBM&amp;lc=UgxBnwVslsTZQO-5fT94AaABAg","https://www.youtube.com/watch?v=gIyuJbshDBM&amp;lc=UgxBnwVslsTZQO-5fT94AaABAg")</f>
        <v>https://www.youtube.com/watch?v=gIyuJbshDBM&amp;lc=UgxBnwVslsTZQO-5fT94AaABAg</v>
      </c>
      <c r="O4046">
        <v>0</v>
      </c>
      <c r="P4046">
        <v>0</v>
      </c>
      <c r="Q4046">
        <v>0</v>
      </c>
      <c r="S4046">
        <v>0</v>
      </c>
      <c r="T4046">
        <v>0</v>
      </c>
      <c r="U4046">
        <v>0</v>
      </c>
      <c r="W4046" t="s">
        <v>52</v>
      </c>
    </row>
    <row r="4047" spans="1:23" x14ac:dyDescent="0.35">
      <c r="A4047" t="s">
        <v>45</v>
      </c>
      <c r="B4047" t="s">
        <v>8042</v>
      </c>
      <c r="C4047" t="s">
        <v>47</v>
      </c>
      <c r="D4047" t="s">
        <v>8110</v>
      </c>
      <c r="E4047" t="s">
        <v>8110</v>
      </c>
      <c r="F4047" t="s">
        <v>49</v>
      </c>
      <c r="G4047" t="s">
        <v>8111</v>
      </c>
      <c r="H4047" t="s">
        <v>8112</v>
      </c>
      <c r="J4047" t="str">
        <f>HYPERLINK("https://www.youtube.com/watch?v=gIyuJbshDBM&amp;lc=Ugx-ucVVqeR9HOGl79B4AaABAg","https://www.youtube.com/watch?v=gIyuJbshDBM&amp;lc=Ugx-ucVVqeR9HOGl79B4AaABAg")</f>
        <v>https://www.youtube.com/watch?v=gIyuJbshDBM&amp;lc=Ugx-ucVVqeR9HOGl79B4AaABAg</v>
      </c>
      <c r="O4047">
        <v>0</v>
      </c>
      <c r="P4047">
        <v>0</v>
      </c>
      <c r="Q4047">
        <v>0</v>
      </c>
      <c r="S4047">
        <v>0</v>
      </c>
      <c r="T4047">
        <v>0</v>
      </c>
      <c r="U4047">
        <v>0</v>
      </c>
      <c r="W4047" t="s">
        <v>52</v>
      </c>
    </row>
    <row r="4048" spans="1:23" x14ac:dyDescent="0.35">
      <c r="A4048" t="s">
        <v>45</v>
      </c>
      <c r="B4048" t="s">
        <v>8042</v>
      </c>
      <c r="C4048" t="s">
        <v>47</v>
      </c>
      <c r="D4048" t="s">
        <v>8104</v>
      </c>
      <c r="E4048" t="s">
        <v>8104</v>
      </c>
      <c r="F4048" t="s">
        <v>54</v>
      </c>
      <c r="G4048" t="s">
        <v>847</v>
      </c>
      <c r="H4048" t="s">
        <v>8113</v>
      </c>
      <c r="J4048" t="str">
        <f>HYPERLINK("https://www.youtube.com/watch?v=gIyuJbshDBM&amp;lc=UgxLn-76VH2hHp0qFoB4AaABAg","https://www.youtube.com/watch?v=gIyuJbshDBM&amp;lc=UgxLn-76VH2hHp0qFoB4AaABAg")</f>
        <v>https://www.youtube.com/watch?v=gIyuJbshDBM&amp;lc=UgxLn-76VH2hHp0qFoB4AaABAg</v>
      </c>
      <c r="O4048">
        <v>0</v>
      </c>
      <c r="P4048">
        <v>0</v>
      </c>
      <c r="Q4048">
        <v>0</v>
      </c>
      <c r="S4048">
        <v>0</v>
      </c>
      <c r="T4048">
        <v>0</v>
      </c>
      <c r="U4048">
        <v>0</v>
      </c>
      <c r="W4048" t="s">
        <v>52</v>
      </c>
    </row>
    <row r="4049" spans="1:23" x14ac:dyDescent="0.35">
      <c r="A4049" t="s">
        <v>45</v>
      </c>
      <c r="B4049" t="s">
        <v>8042</v>
      </c>
      <c r="C4049" t="s">
        <v>47</v>
      </c>
      <c r="D4049" t="s">
        <v>8114</v>
      </c>
      <c r="E4049" t="s">
        <v>8114</v>
      </c>
      <c r="F4049" t="s">
        <v>49</v>
      </c>
      <c r="G4049" t="s">
        <v>8115</v>
      </c>
      <c r="H4049" t="s">
        <v>8116</v>
      </c>
      <c r="J4049" t="str">
        <f>HYPERLINK("https://www.youtube.com/watch?v=gIyuJbshDBM&amp;lc=Ugw6xiG6nVl2P-bjnGV4AaABAg","https://www.youtube.com/watch?v=gIyuJbshDBM&amp;lc=Ugw6xiG6nVl2P-bjnGV4AaABAg")</f>
        <v>https://www.youtube.com/watch?v=gIyuJbshDBM&amp;lc=Ugw6xiG6nVl2P-bjnGV4AaABAg</v>
      </c>
      <c r="O4049">
        <v>0</v>
      </c>
      <c r="P4049">
        <v>0</v>
      </c>
      <c r="Q4049">
        <v>0</v>
      </c>
      <c r="S4049">
        <v>0</v>
      </c>
      <c r="T4049">
        <v>0</v>
      </c>
      <c r="U4049">
        <v>0</v>
      </c>
      <c r="W4049" t="s">
        <v>52</v>
      </c>
    </row>
    <row r="4050" spans="1:23" x14ac:dyDescent="0.35">
      <c r="A4050" t="s">
        <v>45</v>
      </c>
      <c r="B4050" t="s">
        <v>8042</v>
      </c>
      <c r="C4050" t="s">
        <v>47</v>
      </c>
      <c r="D4050" t="s">
        <v>45</v>
      </c>
      <c r="E4050" t="s">
        <v>45</v>
      </c>
      <c r="F4050" t="s">
        <v>49</v>
      </c>
      <c r="G4050" t="s">
        <v>8117</v>
      </c>
      <c r="H4050" t="s">
        <v>8118</v>
      </c>
      <c r="J4050" t="str">
        <f>HYPERLINK("https://www.youtube.com/watch?v=gIyuJbshDBM","https://www.youtube.com/watch?v=gIyuJbshDBM")</f>
        <v>https://www.youtube.com/watch?v=gIyuJbshDBM</v>
      </c>
      <c r="O4050">
        <v>0</v>
      </c>
      <c r="P4050">
        <v>0</v>
      </c>
      <c r="Q4050">
        <v>0</v>
      </c>
      <c r="S4050">
        <v>0</v>
      </c>
      <c r="T4050">
        <v>0</v>
      </c>
      <c r="U4050">
        <v>0</v>
      </c>
      <c r="W4050" t="s">
        <v>346</v>
      </c>
    </row>
    <row r="4051" spans="1:23" x14ac:dyDescent="0.35">
      <c r="A4051" t="s">
        <v>45</v>
      </c>
      <c r="B4051" t="s">
        <v>8042</v>
      </c>
      <c r="C4051" t="s">
        <v>47</v>
      </c>
      <c r="D4051" t="s">
        <v>45</v>
      </c>
      <c r="E4051" t="s">
        <v>45</v>
      </c>
      <c r="F4051" t="s">
        <v>49</v>
      </c>
      <c r="G4051" t="s">
        <v>8117</v>
      </c>
      <c r="H4051" t="s">
        <v>8119</v>
      </c>
      <c r="J4051" t="str">
        <f>HYPERLINK("https://www.youtube.com/watch?v=gIyuJbshDBM","https://www.youtube.com/watch?v=gIyuJbshDBM")</f>
        <v>https://www.youtube.com/watch?v=gIyuJbshDBM</v>
      </c>
      <c r="O4051">
        <v>0</v>
      </c>
      <c r="P4051">
        <v>0</v>
      </c>
      <c r="Q4051">
        <v>0</v>
      </c>
      <c r="S4051">
        <v>0</v>
      </c>
      <c r="T4051">
        <v>0</v>
      </c>
      <c r="U4051">
        <v>0</v>
      </c>
      <c r="W4051" t="s">
        <v>346</v>
      </c>
    </row>
    <row r="4052" spans="1:23" x14ac:dyDescent="0.35">
      <c r="A4052" t="s">
        <v>45</v>
      </c>
      <c r="B4052" t="s">
        <v>8042</v>
      </c>
      <c r="C4052" t="s">
        <v>47</v>
      </c>
      <c r="D4052" t="s">
        <v>45</v>
      </c>
      <c r="E4052" t="s">
        <v>45</v>
      </c>
      <c r="F4052" t="s">
        <v>49</v>
      </c>
      <c r="G4052" t="s">
        <v>8120</v>
      </c>
      <c r="H4052" t="s">
        <v>8121</v>
      </c>
      <c r="J4052" t="str">
        <f>HYPERLINK("https://www.youtube.com/watch?v=Om2Nt24MtaM","https://www.youtube.com/watch?v=Om2Nt24MtaM")</f>
        <v>https://www.youtube.com/watch?v=Om2Nt24MtaM</v>
      </c>
      <c r="O4052">
        <v>0</v>
      </c>
      <c r="P4052">
        <v>0</v>
      </c>
      <c r="Q4052">
        <v>0</v>
      </c>
      <c r="S4052">
        <v>0</v>
      </c>
      <c r="T4052">
        <v>0</v>
      </c>
      <c r="U4052">
        <v>0</v>
      </c>
      <c r="W4052" t="s">
        <v>346</v>
      </c>
    </row>
    <row r="4053" spans="1:23" x14ac:dyDescent="0.35">
      <c r="A4053" t="s">
        <v>45</v>
      </c>
      <c r="B4053" t="s">
        <v>8042</v>
      </c>
      <c r="C4053" t="s">
        <v>47</v>
      </c>
      <c r="D4053" t="s">
        <v>8122</v>
      </c>
      <c r="E4053" t="s">
        <v>8122</v>
      </c>
      <c r="F4053" t="s">
        <v>49</v>
      </c>
      <c r="G4053" t="s">
        <v>8123</v>
      </c>
      <c r="H4053" t="s">
        <v>8124</v>
      </c>
      <c r="J4053" t="str">
        <f>HYPERLINK("https://www.youtube.com/watch?v=FKS4YVa0aD0","https://www.youtube.com/watch?v=FKS4YVa0aD0")</f>
        <v>https://www.youtube.com/watch?v=FKS4YVa0aD0</v>
      </c>
      <c r="O4053">
        <v>0</v>
      </c>
      <c r="P4053">
        <v>0</v>
      </c>
      <c r="Q4053">
        <v>0</v>
      </c>
      <c r="S4053">
        <v>0</v>
      </c>
      <c r="T4053">
        <v>0</v>
      </c>
      <c r="U4053">
        <v>0</v>
      </c>
      <c r="W4053" t="s">
        <v>346</v>
      </c>
    </row>
    <row r="4054" spans="1:23" x14ac:dyDescent="0.35">
      <c r="A4054" t="s">
        <v>45</v>
      </c>
      <c r="B4054" t="s">
        <v>8042</v>
      </c>
      <c r="C4054" t="s">
        <v>60</v>
      </c>
      <c r="D4054" t="s">
        <v>8125</v>
      </c>
      <c r="E4054" t="s">
        <v>8125</v>
      </c>
      <c r="F4054" t="s">
        <v>49</v>
      </c>
      <c r="G4054" s="1" t="s">
        <v>8126</v>
      </c>
      <c r="H4054" t="s">
        <v>8127</v>
      </c>
      <c r="J4054" t="str">
        <f>HYPERLINK("https://www.facebook.com/634639855377280/posts/768501555324442?comment_id=1370970883625576","https://www.facebook.com/634639855377280/posts/768501555324442?comment_id=1370970883625576")</f>
        <v>https://www.facebook.com/634639855377280/posts/768501555324442?comment_id=1370970883625576</v>
      </c>
      <c r="O4054">
        <v>0</v>
      </c>
      <c r="P4054">
        <v>0</v>
      </c>
      <c r="Q4054">
        <v>0</v>
      </c>
      <c r="S4054">
        <v>0</v>
      </c>
      <c r="T4054">
        <v>0</v>
      </c>
      <c r="U4054">
        <v>0</v>
      </c>
      <c r="W4054" t="s">
        <v>52</v>
      </c>
    </row>
    <row r="4055" spans="1:23" x14ac:dyDescent="0.35">
      <c r="A4055" t="s">
        <v>45</v>
      </c>
      <c r="B4055" t="s">
        <v>8042</v>
      </c>
      <c r="C4055" t="s">
        <v>60</v>
      </c>
      <c r="D4055" t="s">
        <v>8125</v>
      </c>
      <c r="E4055" t="s">
        <v>8125</v>
      </c>
      <c r="F4055" t="s">
        <v>49</v>
      </c>
      <c r="G4055" s="1" t="s">
        <v>8126</v>
      </c>
      <c r="H4055" t="s">
        <v>8128</v>
      </c>
      <c r="J4055" t="str">
        <f>HYPERLINK("https://www.facebook.com/634639855377280/posts/768501555324442?comment_id=620291380199414","https://www.facebook.com/634639855377280/posts/768501555324442?comment_id=620291380199414")</f>
        <v>https://www.facebook.com/634639855377280/posts/768501555324442?comment_id=620291380199414</v>
      </c>
      <c r="O4055">
        <v>0</v>
      </c>
      <c r="P4055">
        <v>0</v>
      </c>
      <c r="Q4055">
        <v>0</v>
      </c>
      <c r="S4055">
        <v>0</v>
      </c>
      <c r="T4055">
        <v>0</v>
      </c>
      <c r="U4055">
        <v>0</v>
      </c>
      <c r="W4055" t="s">
        <v>52</v>
      </c>
    </row>
    <row r="4056" spans="1:23" x14ac:dyDescent="0.35">
      <c r="A4056" t="s">
        <v>45</v>
      </c>
      <c r="B4056" t="s">
        <v>8042</v>
      </c>
      <c r="C4056" t="s">
        <v>60</v>
      </c>
      <c r="D4056" t="s">
        <v>8125</v>
      </c>
      <c r="E4056" t="s">
        <v>8125</v>
      </c>
      <c r="F4056" t="s">
        <v>49</v>
      </c>
      <c r="G4056" s="1" t="s">
        <v>8126</v>
      </c>
      <c r="H4056" t="s">
        <v>8129</v>
      </c>
      <c r="J4056" t="str">
        <f>HYPERLINK("https://www.facebook.com/634639855377280/posts/769133368594594?comment_id=1088118815644229","https://www.facebook.com/634639855377280/posts/769133368594594?comment_id=1088118815644229")</f>
        <v>https://www.facebook.com/634639855377280/posts/769133368594594?comment_id=1088118815644229</v>
      </c>
      <c r="O4056">
        <v>0</v>
      </c>
      <c r="P4056">
        <v>0</v>
      </c>
      <c r="Q4056">
        <v>0</v>
      </c>
      <c r="S4056">
        <v>0</v>
      </c>
      <c r="T4056">
        <v>0</v>
      </c>
      <c r="U4056">
        <v>0</v>
      </c>
      <c r="W4056" t="s">
        <v>52</v>
      </c>
    </row>
    <row r="4057" spans="1:23" x14ac:dyDescent="0.35">
      <c r="A4057" t="s">
        <v>45</v>
      </c>
      <c r="B4057" t="s">
        <v>8042</v>
      </c>
      <c r="C4057" t="s">
        <v>60</v>
      </c>
      <c r="D4057" t="s">
        <v>61</v>
      </c>
      <c r="E4057" t="s">
        <v>61</v>
      </c>
      <c r="F4057" t="s">
        <v>49</v>
      </c>
      <c r="G4057" s="1" t="s">
        <v>8130</v>
      </c>
      <c r="H4057" t="s">
        <v>8131</v>
      </c>
      <c r="J4057" t="str">
        <f>HYPERLINK("https://www.facebook.com/634639855377280/posts/767295575445040?comment_id=910697147251653","https://www.facebook.com/634639855377280/posts/767295575445040?comment_id=910697147251653")</f>
        <v>https://www.facebook.com/634639855377280/posts/767295575445040?comment_id=910697147251653</v>
      </c>
      <c r="O4057">
        <v>0</v>
      </c>
      <c r="P4057">
        <v>0</v>
      </c>
      <c r="Q4057">
        <v>0</v>
      </c>
      <c r="S4057">
        <v>0</v>
      </c>
      <c r="T4057">
        <v>0</v>
      </c>
      <c r="U4057">
        <v>0</v>
      </c>
      <c r="W4057" t="s">
        <v>52</v>
      </c>
    </row>
    <row r="4058" spans="1:23" x14ac:dyDescent="0.35">
      <c r="A4058" t="s">
        <v>45</v>
      </c>
      <c r="B4058" t="s">
        <v>8042</v>
      </c>
      <c r="C4058" t="s">
        <v>60</v>
      </c>
      <c r="D4058" t="s">
        <v>61</v>
      </c>
      <c r="E4058" t="s">
        <v>61</v>
      </c>
      <c r="F4058" t="s">
        <v>49</v>
      </c>
      <c r="G4058" s="1" t="s">
        <v>8130</v>
      </c>
      <c r="H4058" t="s">
        <v>8132</v>
      </c>
      <c r="J4058" t="str">
        <f>HYPERLINK("https://www.facebook.com/634639855377280/posts/768501555324442?comment_id=394407063112417","https://www.facebook.com/634639855377280/posts/768501555324442?comment_id=394407063112417")</f>
        <v>https://www.facebook.com/634639855377280/posts/768501555324442?comment_id=394407063112417</v>
      </c>
      <c r="O4058">
        <v>0</v>
      </c>
      <c r="P4058">
        <v>0</v>
      </c>
      <c r="Q4058">
        <v>0</v>
      </c>
      <c r="S4058">
        <v>0</v>
      </c>
      <c r="T4058">
        <v>0</v>
      </c>
      <c r="U4058">
        <v>0</v>
      </c>
      <c r="W4058" t="s">
        <v>52</v>
      </c>
    </row>
    <row r="4059" spans="1:23" x14ac:dyDescent="0.35">
      <c r="A4059" t="s">
        <v>45</v>
      </c>
      <c r="B4059" t="s">
        <v>8042</v>
      </c>
      <c r="C4059" t="s">
        <v>60</v>
      </c>
      <c r="D4059" t="s">
        <v>61</v>
      </c>
      <c r="E4059" t="s">
        <v>61</v>
      </c>
      <c r="F4059" t="s">
        <v>49</v>
      </c>
      <c r="G4059" t="s">
        <v>8133</v>
      </c>
      <c r="H4059" t="s">
        <v>8134</v>
      </c>
      <c r="J4059" t="str">
        <f>HYPERLINK("https://www.facebook.com/634639855377280/posts/769133368594594?comment_id=812716484229049","https://www.facebook.com/634639855377280/posts/769133368594594?comment_id=812716484229049")</f>
        <v>https://www.facebook.com/634639855377280/posts/769133368594594?comment_id=812716484229049</v>
      </c>
      <c r="O4059">
        <v>0</v>
      </c>
      <c r="P4059">
        <v>0</v>
      </c>
      <c r="Q4059">
        <v>0</v>
      </c>
      <c r="S4059">
        <v>0</v>
      </c>
      <c r="T4059">
        <v>0</v>
      </c>
      <c r="U4059">
        <v>0</v>
      </c>
      <c r="W4059" t="s">
        <v>52</v>
      </c>
    </row>
    <row r="4060" spans="1:23" x14ac:dyDescent="0.35">
      <c r="A4060" t="s">
        <v>45</v>
      </c>
      <c r="B4060" t="s">
        <v>8042</v>
      </c>
      <c r="C4060" t="s">
        <v>60</v>
      </c>
      <c r="D4060" t="s">
        <v>61</v>
      </c>
      <c r="E4060" t="s">
        <v>61</v>
      </c>
      <c r="F4060" t="s">
        <v>49</v>
      </c>
      <c r="G4060" s="1" t="s">
        <v>8130</v>
      </c>
      <c r="H4060" t="s">
        <v>8135</v>
      </c>
      <c r="J4060" t="str">
        <f>HYPERLINK("https://www.facebook.com/634639855377280/posts/769133368594594?comment_id=400023739351539","https://www.facebook.com/634639855377280/posts/769133368594594?comment_id=400023739351539")</f>
        <v>https://www.facebook.com/634639855377280/posts/769133368594594?comment_id=400023739351539</v>
      </c>
      <c r="O4060">
        <v>0</v>
      </c>
      <c r="P4060">
        <v>0</v>
      </c>
      <c r="Q4060">
        <v>0</v>
      </c>
      <c r="S4060">
        <v>0</v>
      </c>
      <c r="T4060">
        <v>0</v>
      </c>
      <c r="U4060">
        <v>0</v>
      </c>
      <c r="W4060" t="s">
        <v>52</v>
      </c>
    </row>
    <row r="4061" spans="1:23" x14ac:dyDescent="0.35">
      <c r="A4061" t="s">
        <v>45</v>
      </c>
      <c r="B4061" t="s">
        <v>8136</v>
      </c>
      <c r="C4061" t="s">
        <v>47</v>
      </c>
      <c r="D4061" t="s">
        <v>8137</v>
      </c>
      <c r="E4061" t="s">
        <v>8137</v>
      </c>
      <c r="F4061" t="s">
        <v>49</v>
      </c>
      <c r="G4061" t="s">
        <v>8138</v>
      </c>
      <c r="H4061" t="s">
        <v>8139</v>
      </c>
      <c r="J4061" t="str">
        <f>HYPERLINK("https://www.youtube.com/watch?v=--SsTSqIa-4&amp;lc=UgyHerMDW4VVe3dIsTB4AaABAg","https://www.youtube.com/watch?v=--SsTSqIa-4&amp;lc=UgyHerMDW4VVe3dIsTB4AaABAg")</f>
        <v>https://www.youtube.com/watch?v=--SsTSqIa-4&amp;lc=UgyHerMDW4VVe3dIsTB4AaABAg</v>
      </c>
      <c r="O4061">
        <v>0</v>
      </c>
      <c r="P4061">
        <v>0</v>
      </c>
      <c r="Q4061">
        <v>0</v>
      </c>
      <c r="S4061">
        <v>0</v>
      </c>
      <c r="T4061">
        <v>0</v>
      </c>
      <c r="U4061">
        <v>0</v>
      </c>
      <c r="W4061" t="s">
        <v>52</v>
      </c>
    </row>
    <row r="4062" spans="1:23" x14ac:dyDescent="0.35">
      <c r="A4062" t="s">
        <v>45</v>
      </c>
      <c r="B4062" t="s">
        <v>8136</v>
      </c>
      <c r="C4062" t="s">
        <v>93</v>
      </c>
      <c r="D4062" t="s">
        <v>7880</v>
      </c>
      <c r="E4062" t="s">
        <v>7881</v>
      </c>
      <c r="F4062" t="s">
        <v>49</v>
      </c>
      <c r="G4062" t="s">
        <v>8140</v>
      </c>
      <c r="H4062" t="s">
        <v>8141</v>
      </c>
      <c r="J4062" t="str">
        <f>HYPERLINK("https://twitter.com/Warmbirds12/status/1745145747144912951","https://twitter.com/Warmbirds12/status/1745145747144912951")</f>
        <v>https://twitter.com/Warmbirds12/status/1745145747144912951</v>
      </c>
      <c r="O4062">
        <v>0</v>
      </c>
      <c r="P4062">
        <v>0</v>
      </c>
      <c r="Q4062">
        <v>11</v>
      </c>
      <c r="R4062" t="s">
        <v>5484</v>
      </c>
      <c r="S4062">
        <v>0</v>
      </c>
      <c r="T4062">
        <v>0</v>
      </c>
      <c r="U4062">
        <v>0</v>
      </c>
      <c r="W4062" t="s">
        <v>99</v>
      </c>
    </row>
    <row r="4063" spans="1:23" x14ac:dyDescent="0.35">
      <c r="A4063" t="s">
        <v>45</v>
      </c>
      <c r="B4063" t="s">
        <v>8136</v>
      </c>
      <c r="C4063" t="s">
        <v>47</v>
      </c>
      <c r="D4063" t="s">
        <v>6009</v>
      </c>
      <c r="E4063" t="s">
        <v>6009</v>
      </c>
      <c r="F4063" t="s">
        <v>49</v>
      </c>
      <c r="G4063" t="s">
        <v>8142</v>
      </c>
      <c r="H4063" t="s">
        <v>8143</v>
      </c>
      <c r="J4063" t="str">
        <f>HYPERLINK("https://www.youtube.com/watch?v=w_spCvVW92w&amp;lc=Ugxqp_utKxXQbFKpP3F4AaABAg","https://www.youtube.com/watch?v=w_spCvVW92w&amp;lc=Ugxqp_utKxXQbFKpP3F4AaABAg")</f>
        <v>https://www.youtube.com/watch?v=w_spCvVW92w&amp;lc=Ugxqp_utKxXQbFKpP3F4AaABAg</v>
      </c>
      <c r="O4063">
        <v>0</v>
      </c>
      <c r="P4063">
        <v>0</v>
      </c>
      <c r="Q4063">
        <v>0</v>
      </c>
      <c r="S4063">
        <v>0</v>
      </c>
      <c r="T4063">
        <v>0</v>
      </c>
      <c r="U4063">
        <v>0</v>
      </c>
      <c r="W4063" t="s">
        <v>52</v>
      </c>
    </row>
    <row r="4064" spans="1:23" x14ac:dyDescent="0.35">
      <c r="A4064" t="s">
        <v>45</v>
      </c>
      <c r="B4064" t="s">
        <v>8136</v>
      </c>
      <c r="C4064" t="s">
        <v>47</v>
      </c>
      <c r="D4064" t="s">
        <v>6009</v>
      </c>
      <c r="E4064" t="s">
        <v>6009</v>
      </c>
      <c r="F4064" t="s">
        <v>49</v>
      </c>
      <c r="G4064" t="s">
        <v>8144</v>
      </c>
      <c r="H4064" t="s">
        <v>8145</v>
      </c>
      <c r="J4064" t="str">
        <f>HYPERLINK("https://www.youtube.com/watch?v=w_spCvVW92w&amp;lc=UgzapYUYF6RR36TdDe14AaABAg","https://www.youtube.com/watch?v=w_spCvVW92w&amp;lc=UgzapYUYF6RR36TdDe14AaABAg")</f>
        <v>https://www.youtube.com/watch?v=w_spCvVW92w&amp;lc=UgzapYUYF6RR36TdDe14AaABAg</v>
      </c>
      <c r="O4064">
        <v>0</v>
      </c>
      <c r="P4064">
        <v>0</v>
      </c>
      <c r="Q4064">
        <v>0</v>
      </c>
      <c r="S4064">
        <v>0</v>
      </c>
      <c r="T4064">
        <v>0</v>
      </c>
      <c r="U4064">
        <v>0</v>
      </c>
      <c r="W4064" t="s">
        <v>52</v>
      </c>
    </row>
    <row r="4065" spans="1:23" x14ac:dyDescent="0.35">
      <c r="A4065" t="s">
        <v>45</v>
      </c>
      <c r="B4065" t="s">
        <v>8136</v>
      </c>
      <c r="C4065" t="s">
        <v>47</v>
      </c>
      <c r="D4065" t="s">
        <v>6009</v>
      </c>
      <c r="E4065" t="s">
        <v>6009</v>
      </c>
      <c r="F4065" t="s">
        <v>49</v>
      </c>
      <c r="G4065" t="s">
        <v>8146</v>
      </c>
      <c r="H4065" t="s">
        <v>8147</v>
      </c>
      <c r="J4065" t="str">
        <f>HYPERLINK("https://www.youtube.com/watch?v=w_spCvVW92w&amp;lc=UgyacrNvZ-QIUeq_8yp4AaABAg","https://www.youtube.com/watch?v=w_spCvVW92w&amp;lc=UgyacrNvZ-QIUeq_8yp4AaABAg")</f>
        <v>https://www.youtube.com/watch?v=w_spCvVW92w&amp;lc=UgyacrNvZ-QIUeq_8yp4AaABAg</v>
      </c>
      <c r="O4065">
        <v>0</v>
      </c>
      <c r="P4065">
        <v>0</v>
      </c>
      <c r="Q4065">
        <v>0</v>
      </c>
      <c r="S4065">
        <v>0</v>
      </c>
      <c r="T4065">
        <v>0</v>
      </c>
      <c r="U4065">
        <v>0</v>
      </c>
      <c r="W4065" t="s">
        <v>52</v>
      </c>
    </row>
    <row r="4066" spans="1:23" x14ac:dyDescent="0.35">
      <c r="A4066" t="s">
        <v>45</v>
      </c>
      <c r="B4066" t="s">
        <v>8136</v>
      </c>
      <c r="C4066" t="s">
        <v>93</v>
      </c>
      <c r="D4066" t="s">
        <v>7880</v>
      </c>
      <c r="E4066" t="s">
        <v>7881</v>
      </c>
      <c r="F4066" t="s">
        <v>49</v>
      </c>
      <c r="G4066" t="s">
        <v>8148</v>
      </c>
      <c r="H4066" t="s">
        <v>8149</v>
      </c>
      <c r="J4066" t="str">
        <f>HYPERLINK("https://twitter.com/Warmbirds12/status/1745138947326685344","https://twitter.com/Warmbirds12/status/1745138947326685344")</f>
        <v>https://twitter.com/Warmbirds12/status/1745138947326685344</v>
      </c>
      <c r="O4066">
        <v>0</v>
      </c>
      <c r="P4066">
        <v>0</v>
      </c>
      <c r="Q4066">
        <v>11</v>
      </c>
      <c r="R4066" t="s">
        <v>5484</v>
      </c>
      <c r="S4066">
        <v>0</v>
      </c>
      <c r="T4066">
        <v>0</v>
      </c>
      <c r="U4066">
        <v>0</v>
      </c>
      <c r="W4066" t="s">
        <v>99</v>
      </c>
    </row>
    <row r="4067" spans="1:23" x14ac:dyDescent="0.35">
      <c r="A4067" t="s">
        <v>45</v>
      </c>
      <c r="B4067" t="s">
        <v>8136</v>
      </c>
      <c r="C4067" t="s">
        <v>93</v>
      </c>
      <c r="D4067" t="s">
        <v>7880</v>
      </c>
      <c r="E4067" t="s">
        <v>7881</v>
      </c>
      <c r="F4067" t="s">
        <v>49</v>
      </c>
      <c r="G4067" t="s">
        <v>8150</v>
      </c>
      <c r="H4067" t="s">
        <v>8151</v>
      </c>
      <c r="J4067" t="str">
        <f>HYPERLINK("https://twitter.com/Warmbirds12/status/1745138046667010446","https://twitter.com/Warmbirds12/status/1745138046667010446")</f>
        <v>https://twitter.com/Warmbirds12/status/1745138046667010446</v>
      </c>
      <c r="O4067">
        <v>0</v>
      </c>
      <c r="P4067">
        <v>0</v>
      </c>
      <c r="Q4067">
        <v>11</v>
      </c>
      <c r="R4067" t="s">
        <v>5484</v>
      </c>
      <c r="S4067">
        <v>0</v>
      </c>
      <c r="T4067">
        <v>0</v>
      </c>
      <c r="U4067">
        <v>0</v>
      </c>
      <c r="W4067" t="s">
        <v>433</v>
      </c>
    </row>
    <row r="4068" spans="1:23" x14ac:dyDescent="0.35">
      <c r="A4068" t="s">
        <v>45</v>
      </c>
      <c r="B4068" t="s">
        <v>8136</v>
      </c>
      <c r="C4068" t="s">
        <v>93</v>
      </c>
      <c r="D4068" t="s">
        <v>7880</v>
      </c>
      <c r="E4068" t="s">
        <v>7881</v>
      </c>
      <c r="F4068" t="s">
        <v>49</v>
      </c>
      <c r="G4068" t="s">
        <v>8150</v>
      </c>
      <c r="H4068" t="s">
        <v>8152</v>
      </c>
      <c r="J4068" t="str">
        <f>HYPERLINK("https://twitter.com/Warmbirds12/status/1745137852529455464","https://twitter.com/Warmbirds12/status/1745137852529455464")</f>
        <v>https://twitter.com/Warmbirds12/status/1745137852529455464</v>
      </c>
      <c r="O4068">
        <v>0</v>
      </c>
      <c r="P4068">
        <v>0</v>
      </c>
      <c r="Q4068">
        <v>11</v>
      </c>
      <c r="R4068" t="s">
        <v>5484</v>
      </c>
      <c r="S4068">
        <v>0</v>
      </c>
      <c r="T4068">
        <v>0</v>
      </c>
      <c r="U4068">
        <v>0</v>
      </c>
      <c r="W4068" t="s">
        <v>99</v>
      </c>
    </row>
    <row r="4069" spans="1:23" x14ac:dyDescent="0.35">
      <c r="A4069" t="s">
        <v>45</v>
      </c>
      <c r="B4069" t="s">
        <v>8136</v>
      </c>
      <c r="C4069" t="s">
        <v>93</v>
      </c>
      <c r="D4069" t="s">
        <v>8153</v>
      </c>
      <c r="E4069" t="s">
        <v>8154</v>
      </c>
      <c r="F4069" t="s">
        <v>193</v>
      </c>
      <c r="G4069" t="s">
        <v>8155</v>
      </c>
      <c r="H4069" t="s">
        <v>8156</v>
      </c>
      <c r="J4069" t="str">
        <f>HYPERLINK("https://twitter.com/MdShamsad7860/status/1745128460874571777","https://twitter.com/MdShamsad7860/status/1745128460874571777")</f>
        <v>https://twitter.com/MdShamsad7860/status/1745128460874571777</v>
      </c>
      <c r="K4069" t="s">
        <v>67</v>
      </c>
      <c r="O4069">
        <v>0</v>
      </c>
      <c r="P4069">
        <v>0</v>
      </c>
      <c r="Q4069">
        <v>0</v>
      </c>
      <c r="S4069">
        <v>0</v>
      </c>
      <c r="T4069">
        <v>0</v>
      </c>
      <c r="U4069">
        <v>0</v>
      </c>
      <c r="W4069" t="s">
        <v>99</v>
      </c>
    </row>
    <row r="4070" spans="1:23" x14ac:dyDescent="0.35">
      <c r="A4070" t="s">
        <v>45</v>
      </c>
      <c r="B4070" t="s">
        <v>8136</v>
      </c>
      <c r="C4070" t="s">
        <v>93</v>
      </c>
      <c r="D4070" t="s">
        <v>8153</v>
      </c>
      <c r="E4070" t="s">
        <v>8154</v>
      </c>
      <c r="F4070" t="s">
        <v>193</v>
      </c>
      <c r="G4070" t="s">
        <v>8157</v>
      </c>
      <c r="H4070" t="s">
        <v>8158</v>
      </c>
      <c r="J4070" t="str">
        <f>HYPERLINK("https://twitter.com/MdShamsad7860/status/1745125144488820931","https://twitter.com/MdShamsad7860/status/1745125144488820931")</f>
        <v>https://twitter.com/MdShamsad7860/status/1745125144488820931</v>
      </c>
      <c r="K4070" t="s">
        <v>67</v>
      </c>
      <c r="O4070">
        <v>0</v>
      </c>
      <c r="P4070">
        <v>0</v>
      </c>
      <c r="Q4070">
        <v>0</v>
      </c>
      <c r="S4070">
        <v>0</v>
      </c>
      <c r="T4070">
        <v>0</v>
      </c>
      <c r="U4070">
        <v>0</v>
      </c>
      <c r="W4070" t="s">
        <v>99</v>
      </c>
    </row>
    <row r="4071" spans="1:23" x14ac:dyDescent="0.35">
      <c r="A4071" t="s">
        <v>45</v>
      </c>
      <c r="B4071" t="s">
        <v>8136</v>
      </c>
      <c r="C4071" t="s">
        <v>60</v>
      </c>
      <c r="D4071" t="s">
        <v>61</v>
      </c>
      <c r="E4071" t="s">
        <v>61</v>
      </c>
      <c r="F4071" t="s">
        <v>49</v>
      </c>
      <c r="G4071" t="s">
        <v>8159</v>
      </c>
      <c r="H4071" t="s">
        <v>8160</v>
      </c>
      <c r="J4071" t="str">
        <f>HYPERLINK("https://www.facebook.com/634639855377280/posts/769133368594594?comment_id=902359961389059","https://www.facebook.com/634639855377280/posts/769133368594594?comment_id=902359961389059")</f>
        <v>https://www.facebook.com/634639855377280/posts/769133368594594?comment_id=902359961389059</v>
      </c>
      <c r="O4071">
        <v>0</v>
      </c>
      <c r="P4071">
        <v>0</v>
      </c>
      <c r="Q4071">
        <v>0</v>
      </c>
      <c r="S4071">
        <v>0</v>
      </c>
      <c r="T4071">
        <v>0</v>
      </c>
      <c r="U4071">
        <v>0</v>
      </c>
      <c r="W4071" t="s">
        <v>52</v>
      </c>
    </row>
    <row r="4072" spans="1:23" x14ac:dyDescent="0.35">
      <c r="A4072" t="s">
        <v>45</v>
      </c>
      <c r="B4072" t="s">
        <v>8136</v>
      </c>
      <c r="C4072" t="s">
        <v>47</v>
      </c>
      <c r="D4072" t="s">
        <v>8161</v>
      </c>
      <c r="E4072" t="s">
        <v>8161</v>
      </c>
      <c r="F4072" t="s">
        <v>193</v>
      </c>
      <c r="G4072" t="s">
        <v>8162</v>
      </c>
      <c r="H4072" t="s">
        <v>8163</v>
      </c>
      <c r="J4072" t="str">
        <f>HYPERLINK("https://www.youtube.com/watch?v=w_spCvVW92w&amp;lc=Ugx80bx2y1GrORK6ihR4AaABAg","https://www.youtube.com/watch?v=w_spCvVW92w&amp;lc=Ugx80bx2y1GrORK6ihR4AaABAg")</f>
        <v>https://www.youtube.com/watch?v=w_spCvVW92w&amp;lc=Ugx80bx2y1GrORK6ihR4AaABAg</v>
      </c>
      <c r="O4072">
        <v>0</v>
      </c>
      <c r="P4072">
        <v>0</v>
      </c>
      <c r="Q4072">
        <v>0</v>
      </c>
      <c r="S4072">
        <v>0</v>
      </c>
      <c r="T4072">
        <v>0</v>
      </c>
      <c r="U4072">
        <v>0</v>
      </c>
      <c r="W4072" t="s">
        <v>52</v>
      </c>
    </row>
    <row r="4073" spans="1:23" x14ac:dyDescent="0.35">
      <c r="A4073" t="s">
        <v>45</v>
      </c>
      <c r="B4073" t="s">
        <v>8136</v>
      </c>
      <c r="C4073" t="s">
        <v>47</v>
      </c>
      <c r="D4073" t="s">
        <v>8164</v>
      </c>
      <c r="E4073" t="s">
        <v>8164</v>
      </c>
      <c r="F4073" t="s">
        <v>49</v>
      </c>
      <c r="G4073" t="s">
        <v>981</v>
      </c>
      <c r="H4073" t="s">
        <v>8165</v>
      </c>
      <c r="J4073" t="str">
        <f>HYPERLINK("https://www.youtube.com/watch?v=w_spCvVW92w&amp;lc=UgyyiBuOUo6kCsa0n054AaABAg","https://www.youtube.com/watch?v=w_spCvVW92w&amp;lc=UgyyiBuOUo6kCsa0n054AaABAg")</f>
        <v>https://www.youtube.com/watch?v=w_spCvVW92w&amp;lc=UgyyiBuOUo6kCsa0n054AaABAg</v>
      </c>
      <c r="O4073">
        <v>0</v>
      </c>
      <c r="P4073">
        <v>0</v>
      </c>
      <c r="Q4073">
        <v>0</v>
      </c>
      <c r="S4073">
        <v>0</v>
      </c>
      <c r="T4073">
        <v>0</v>
      </c>
      <c r="U4073">
        <v>0</v>
      </c>
      <c r="W4073" t="s">
        <v>52</v>
      </c>
    </row>
    <row r="4074" spans="1:23" x14ac:dyDescent="0.35">
      <c r="A4074" t="s">
        <v>45</v>
      </c>
      <c r="B4074" t="s">
        <v>8136</v>
      </c>
      <c r="C4074" t="s">
        <v>47</v>
      </c>
      <c r="D4074" t="s">
        <v>8166</v>
      </c>
      <c r="E4074" t="s">
        <v>8166</v>
      </c>
      <c r="F4074" t="s">
        <v>54</v>
      </c>
      <c r="G4074" t="s">
        <v>8167</v>
      </c>
      <c r="H4074" t="s">
        <v>8168</v>
      </c>
      <c r="J4074" t="str">
        <f>HYPERLINK("https://www.youtube.com/watch?v=vryirakqo_4&amp;lc=UgwiOknOkv3AJwFMgOd4AaABAg","https://www.youtube.com/watch?v=vryirakqo_4&amp;lc=UgwiOknOkv3AJwFMgOd4AaABAg")</f>
        <v>https://www.youtube.com/watch?v=vryirakqo_4&amp;lc=UgwiOknOkv3AJwFMgOd4AaABAg</v>
      </c>
      <c r="O4074">
        <v>0</v>
      </c>
      <c r="P4074">
        <v>0</v>
      </c>
      <c r="Q4074">
        <v>0</v>
      </c>
      <c r="S4074">
        <v>0</v>
      </c>
      <c r="T4074">
        <v>0</v>
      </c>
      <c r="U4074">
        <v>0</v>
      </c>
      <c r="W4074" t="s">
        <v>52</v>
      </c>
    </row>
    <row r="4075" spans="1:23" x14ac:dyDescent="0.35">
      <c r="A4075" t="s">
        <v>45</v>
      </c>
      <c r="B4075" t="s">
        <v>8136</v>
      </c>
      <c r="C4075" t="s">
        <v>60</v>
      </c>
      <c r="D4075" t="s">
        <v>61</v>
      </c>
      <c r="E4075" t="s">
        <v>61</v>
      </c>
      <c r="F4075" t="s">
        <v>54</v>
      </c>
      <c r="G4075" t="s">
        <v>8169</v>
      </c>
      <c r="H4075" t="s">
        <v>8170</v>
      </c>
      <c r="J4075" t="str">
        <f>HYPERLINK("https://www.facebook.com/634639855377280/posts/769133368594594?comment_id=2276200332570465","https://www.facebook.com/634639855377280/posts/769133368594594?comment_id=2276200332570465")</f>
        <v>https://www.facebook.com/634639855377280/posts/769133368594594?comment_id=2276200332570465</v>
      </c>
      <c r="O4075">
        <v>0</v>
      </c>
      <c r="P4075">
        <v>0</v>
      </c>
      <c r="Q4075">
        <v>0</v>
      </c>
      <c r="S4075">
        <v>0</v>
      </c>
      <c r="T4075">
        <v>0</v>
      </c>
      <c r="U4075">
        <v>0</v>
      </c>
      <c r="W4075" t="s">
        <v>52</v>
      </c>
    </row>
    <row r="4076" spans="1:23" x14ac:dyDescent="0.35">
      <c r="A4076" t="s">
        <v>45</v>
      </c>
      <c r="B4076" t="s">
        <v>8136</v>
      </c>
      <c r="C4076" t="s">
        <v>47</v>
      </c>
      <c r="D4076" t="s">
        <v>8171</v>
      </c>
      <c r="E4076" t="s">
        <v>8171</v>
      </c>
      <c r="F4076" t="s">
        <v>49</v>
      </c>
      <c r="G4076" t="s">
        <v>8172</v>
      </c>
      <c r="H4076" t="s">
        <v>8173</v>
      </c>
      <c r="J4076" t="str">
        <f>HYPERLINK("https://www.youtube.com/watch?v=w_spCvVW92w&amp;lc=UgzsTXGoT1j9zeRWeC54AaABAg.9zO1G0QWNi79zOKoK1xS6w","https://www.youtube.com/watch?v=w_spCvVW92w&amp;lc=UgzsTXGoT1j9zeRWeC54AaABAg.9zO1G0QWNi79zOKoK1xS6w")</f>
        <v>https://www.youtube.com/watch?v=w_spCvVW92w&amp;lc=UgzsTXGoT1j9zeRWeC54AaABAg.9zO1G0QWNi79zOKoK1xS6w</v>
      </c>
      <c r="O4076">
        <v>0</v>
      </c>
      <c r="P4076">
        <v>0</v>
      </c>
      <c r="Q4076">
        <v>0</v>
      </c>
      <c r="S4076">
        <v>0</v>
      </c>
      <c r="T4076">
        <v>0</v>
      </c>
      <c r="U4076">
        <v>0</v>
      </c>
      <c r="W4076" t="s">
        <v>52</v>
      </c>
    </row>
    <row r="4077" spans="1:23" x14ac:dyDescent="0.35">
      <c r="A4077" t="s">
        <v>45</v>
      </c>
      <c r="B4077" t="s">
        <v>8136</v>
      </c>
      <c r="C4077" t="s">
        <v>93</v>
      </c>
      <c r="D4077" t="s">
        <v>8174</v>
      </c>
      <c r="E4077" t="s">
        <v>8175</v>
      </c>
      <c r="F4077" t="s">
        <v>49</v>
      </c>
      <c r="G4077" t="s">
        <v>8176</v>
      </c>
      <c r="H4077" t="s">
        <v>8177</v>
      </c>
      <c r="J4077" t="str">
        <f>HYPERLINK("https://twitter.com/lalitmohanvar/status/1745054701446742275","https://twitter.com/lalitmohanvar/status/1745054701446742275")</f>
        <v>https://twitter.com/lalitmohanvar/status/1745054701446742275</v>
      </c>
      <c r="K4077" t="s">
        <v>67</v>
      </c>
      <c r="O4077">
        <v>0</v>
      </c>
      <c r="P4077">
        <v>0</v>
      </c>
      <c r="Q4077">
        <v>0</v>
      </c>
      <c r="S4077">
        <v>0</v>
      </c>
      <c r="T4077">
        <v>0</v>
      </c>
      <c r="U4077">
        <v>0</v>
      </c>
      <c r="W4077" t="s">
        <v>99</v>
      </c>
    </row>
    <row r="4078" spans="1:23" x14ac:dyDescent="0.35">
      <c r="A4078" t="s">
        <v>45</v>
      </c>
      <c r="B4078" t="s">
        <v>8136</v>
      </c>
      <c r="C4078" t="s">
        <v>60</v>
      </c>
      <c r="D4078" t="s">
        <v>64</v>
      </c>
      <c r="E4078" t="s">
        <v>64</v>
      </c>
      <c r="F4078" t="s">
        <v>49</v>
      </c>
      <c r="G4078" t="s">
        <v>270</v>
      </c>
      <c r="H4078" t="s">
        <v>8178</v>
      </c>
      <c r="J4078" t="str">
        <f>HYPERLINK("https://www.facebook.com/634639855377280/posts/768501555324442?comment_id=1997752230610819&amp;reply_comment_id=1661085127752779","https://www.facebook.com/634639855377280/posts/768501555324442?comment_id=1997752230610819&amp;reply_comment_id=1661085127752779")</f>
        <v>https://www.facebook.com/634639855377280/posts/768501555324442?comment_id=1997752230610819&amp;reply_comment_id=1661085127752779</v>
      </c>
      <c r="K4078" t="s">
        <v>67</v>
      </c>
      <c r="O4078">
        <v>0</v>
      </c>
      <c r="P4078">
        <v>0</v>
      </c>
      <c r="Q4078">
        <v>0</v>
      </c>
      <c r="S4078">
        <v>0</v>
      </c>
      <c r="T4078">
        <v>0</v>
      </c>
      <c r="U4078">
        <v>0</v>
      </c>
      <c r="W4078" t="s">
        <v>52</v>
      </c>
    </row>
    <row r="4079" spans="1:23" x14ac:dyDescent="0.35">
      <c r="A4079" t="s">
        <v>45</v>
      </c>
      <c r="B4079" t="s">
        <v>8136</v>
      </c>
      <c r="C4079" t="s">
        <v>60</v>
      </c>
      <c r="D4079" t="s">
        <v>64</v>
      </c>
      <c r="E4079" t="s">
        <v>64</v>
      </c>
      <c r="F4079" t="s">
        <v>49</v>
      </c>
      <c r="G4079" t="s">
        <v>454</v>
      </c>
      <c r="H4079" t="s">
        <v>8179</v>
      </c>
      <c r="J4079" t="str">
        <f>HYPERLINK("https://www.facebook.com/634639855377280/posts/769133368594594?comment_id=876844964137209&amp;reply_comment_id=1804590599979305","https://www.facebook.com/634639855377280/posts/769133368594594?comment_id=876844964137209&amp;reply_comment_id=1804590599979305")</f>
        <v>https://www.facebook.com/634639855377280/posts/769133368594594?comment_id=876844964137209&amp;reply_comment_id=1804590599979305</v>
      </c>
      <c r="K4079" t="s">
        <v>67</v>
      </c>
      <c r="O4079">
        <v>0</v>
      </c>
      <c r="P4079">
        <v>0</v>
      </c>
      <c r="Q4079">
        <v>0</v>
      </c>
      <c r="S4079">
        <v>0</v>
      </c>
      <c r="T4079">
        <v>0</v>
      </c>
      <c r="U4079">
        <v>0</v>
      </c>
      <c r="W4079" t="s">
        <v>52</v>
      </c>
    </row>
    <row r="4080" spans="1:23" x14ac:dyDescent="0.35">
      <c r="A4080" t="s">
        <v>45</v>
      </c>
      <c r="B4080" t="s">
        <v>8136</v>
      </c>
      <c r="C4080" t="s">
        <v>60</v>
      </c>
      <c r="D4080" t="s">
        <v>64</v>
      </c>
      <c r="E4080" t="s">
        <v>64</v>
      </c>
      <c r="F4080" t="s">
        <v>49</v>
      </c>
      <c r="G4080" t="s">
        <v>100</v>
      </c>
      <c r="H4080" t="s">
        <v>8180</v>
      </c>
      <c r="J4080" t="str">
        <f>HYPERLINK("https://www.facebook.com/634639855377280/posts/769133368594594?comment_id=388512657180921&amp;reply_comment_id=213276905188257","https://www.facebook.com/634639855377280/posts/769133368594594?comment_id=388512657180921&amp;reply_comment_id=213276905188257")</f>
        <v>https://www.facebook.com/634639855377280/posts/769133368594594?comment_id=388512657180921&amp;reply_comment_id=213276905188257</v>
      </c>
      <c r="K4080" t="s">
        <v>67</v>
      </c>
      <c r="O4080">
        <v>0</v>
      </c>
      <c r="P4080">
        <v>0</v>
      </c>
      <c r="Q4080">
        <v>0</v>
      </c>
      <c r="S4080">
        <v>0</v>
      </c>
      <c r="T4080">
        <v>0</v>
      </c>
      <c r="U4080">
        <v>0</v>
      </c>
      <c r="W4080" t="s">
        <v>52</v>
      </c>
    </row>
    <row r="4081" spans="1:23" x14ac:dyDescent="0.35">
      <c r="A4081" t="s">
        <v>45</v>
      </c>
      <c r="B4081" t="s">
        <v>8136</v>
      </c>
      <c r="C4081" t="s">
        <v>47</v>
      </c>
      <c r="D4081" t="s">
        <v>68</v>
      </c>
      <c r="E4081" t="s">
        <v>68</v>
      </c>
      <c r="F4081" t="s">
        <v>49</v>
      </c>
      <c r="G4081" t="s">
        <v>1595</v>
      </c>
      <c r="H4081" t="s">
        <v>8181</v>
      </c>
      <c r="J4081" t="str">
        <f>HYPERLINK("https://www.youtube.com/watch?v=otifGXuH01E&amp;lc=UgwRHdRNNfwTPgak0Xd4AaABAg.9zMHW48wQxt9zOK3EAHV2x","https://www.youtube.com/watch?v=otifGXuH01E&amp;lc=UgwRHdRNNfwTPgak0Xd4AaABAg.9zMHW48wQxt9zOK3EAHV2x")</f>
        <v>https://www.youtube.com/watch?v=otifGXuH01E&amp;lc=UgwRHdRNNfwTPgak0Xd4AaABAg.9zMHW48wQxt9zOK3EAHV2x</v>
      </c>
      <c r="O4081">
        <v>0</v>
      </c>
      <c r="P4081">
        <v>0</v>
      </c>
      <c r="Q4081">
        <v>0</v>
      </c>
      <c r="S4081">
        <v>0</v>
      </c>
      <c r="T4081">
        <v>0</v>
      </c>
      <c r="U4081">
        <v>0</v>
      </c>
      <c r="W4081" t="s">
        <v>52</v>
      </c>
    </row>
    <row r="4082" spans="1:23" x14ac:dyDescent="0.35">
      <c r="A4082" t="s">
        <v>45</v>
      </c>
      <c r="B4082" t="s">
        <v>8136</v>
      </c>
      <c r="C4082" t="s">
        <v>47</v>
      </c>
      <c r="D4082" t="s">
        <v>68</v>
      </c>
      <c r="E4082" t="s">
        <v>68</v>
      </c>
      <c r="F4082" t="s">
        <v>49</v>
      </c>
      <c r="G4082" t="s">
        <v>102</v>
      </c>
      <c r="H4082" t="s">
        <v>8182</v>
      </c>
      <c r="J4082" t="str">
        <f>HYPERLINK("https://www.youtube.com/watch?v=w_spCvVW92w&amp;lc=UgzsTXGoT1j9zeRWeC54AaABAg.9zO1G0QWNi79zOHo0ZEUlv","https://www.youtube.com/watch?v=w_spCvVW92w&amp;lc=UgzsTXGoT1j9zeRWeC54AaABAg.9zO1G0QWNi79zOHo0ZEUlv")</f>
        <v>https://www.youtube.com/watch?v=w_spCvVW92w&amp;lc=UgzsTXGoT1j9zeRWeC54AaABAg.9zO1G0QWNi79zOHo0ZEUlv</v>
      </c>
      <c r="O4082">
        <v>0</v>
      </c>
      <c r="P4082">
        <v>0</v>
      </c>
      <c r="Q4082">
        <v>0</v>
      </c>
      <c r="S4082">
        <v>0</v>
      </c>
      <c r="T4082">
        <v>0</v>
      </c>
      <c r="U4082">
        <v>0</v>
      </c>
      <c r="W4082" t="s">
        <v>52</v>
      </c>
    </row>
    <row r="4083" spans="1:23" x14ac:dyDescent="0.35">
      <c r="A4083" t="s">
        <v>45</v>
      </c>
      <c r="B4083" t="s">
        <v>8136</v>
      </c>
      <c r="C4083" t="s">
        <v>93</v>
      </c>
      <c r="D4083" t="s">
        <v>94</v>
      </c>
      <c r="E4083" t="s">
        <v>45</v>
      </c>
      <c r="F4083" t="s">
        <v>49</v>
      </c>
      <c r="G4083" t="s">
        <v>8183</v>
      </c>
      <c r="H4083" t="s">
        <v>8184</v>
      </c>
      <c r="J4083" t="str">
        <f>HYPERLINK("https://twitter.com/SpiceMoneyIndia/status/1745048176459968792","https://twitter.com/SpiceMoneyIndia/status/1745048176459968792")</f>
        <v>https://twitter.com/SpiceMoneyIndia/status/1745048176459968792</v>
      </c>
      <c r="K4083" t="s">
        <v>67</v>
      </c>
      <c r="O4083">
        <v>0</v>
      </c>
      <c r="P4083">
        <v>0</v>
      </c>
      <c r="Q4083">
        <v>5989</v>
      </c>
      <c r="R4083" t="s">
        <v>97</v>
      </c>
      <c r="S4083">
        <v>0</v>
      </c>
      <c r="T4083">
        <v>0</v>
      </c>
      <c r="U4083">
        <v>0</v>
      </c>
      <c r="V4083" t="s">
        <v>98</v>
      </c>
      <c r="W4083" t="s">
        <v>99</v>
      </c>
    </row>
    <row r="4084" spans="1:23" x14ac:dyDescent="0.35">
      <c r="A4084" t="s">
        <v>45</v>
      </c>
      <c r="B4084" t="s">
        <v>8136</v>
      </c>
      <c r="C4084" t="s">
        <v>60</v>
      </c>
      <c r="D4084" t="s">
        <v>61</v>
      </c>
      <c r="E4084" t="s">
        <v>61</v>
      </c>
      <c r="F4084" t="s">
        <v>49</v>
      </c>
      <c r="G4084" t="s">
        <v>8185</v>
      </c>
      <c r="H4084" t="s">
        <v>8186</v>
      </c>
      <c r="J4084" t="str">
        <f>HYPERLINK("https://www.facebook.com/634639855377280/posts/769133368594594?comment_id=1605731253564892","https://www.facebook.com/634639855377280/posts/769133368594594?comment_id=1605731253564892")</f>
        <v>https://www.facebook.com/634639855377280/posts/769133368594594?comment_id=1605731253564892</v>
      </c>
      <c r="O4084">
        <v>0</v>
      </c>
      <c r="P4084">
        <v>0</v>
      </c>
      <c r="Q4084">
        <v>0</v>
      </c>
      <c r="S4084">
        <v>0</v>
      </c>
      <c r="T4084">
        <v>0</v>
      </c>
      <c r="U4084">
        <v>0</v>
      </c>
      <c r="W4084" t="s">
        <v>52</v>
      </c>
    </row>
    <row r="4085" spans="1:23" x14ac:dyDescent="0.35">
      <c r="A4085" t="s">
        <v>45</v>
      </c>
      <c r="B4085" t="s">
        <v>8136</v>
      </c>
      <c r="C4085" t="s">
        <v>60</v>
      </c>
      <c r="D4085" t="s">
        <v>64</v>
      </c>
      <c r="E4085" t="s">
        <v>64</v>
      </c>
      <c r="F4085" t="s">
        <v>49</v>
      </c>
      <c r="G4085" t="s">
        <v>8187</v>
      </c>
      <c r="H4085" t="s">
        <v>8188</v>
      </c>
      <c r="J4085" t="str">
        <f>HYPERLINK("https://www.facebook.com/634639855377280/posts/769769495197648","https://www.facebook.com/634639855377280/posts/769769495197648")</f>
        <v>https://www.facebook.com/634639855377280/posts/769769495197648</v>
      </c>
      <c r="O4085">
        <v>0</v>
      </c>
      <c r="P4085">
        <v>0</v>
      </c>
      <c r="Q4085">
        <v>0</v>
      </c>
      <c r="S4085">
        <v>1</v>
      </c>
      <c r="T4085">
        <v>41</v>
      </c>
      <c r="U4085">
        <v>4</v>
      </c>
      <c r="W4085" t="s">
        <v>346</v>
      </c>
    </row>
    <row r="4086" spans="1:23" x14ac:dyDescent="0.35">
      <c r="A4086" t="s">
        <v>45</v>
      </c>
      <c r="B4086" t="s">
        <v>8136</v>
      </c>
      <c r="C4086" t="s">
        <v>93</v>
      </c>
      <c r="D4086" t="s">
        <v>94</v>
      </c>
      <c r="E4086" t="s">
        <v>45</v>
      </c>
      <c r="F4086" t="s">
        <v>49</v>
      </c>
      <c r="G4086" t="s">
        <v>8189</v>
      </c>
      <c r="H4086" t="s">
        <v>8190</v>
      </c>
      <c r="J4086" t="str">
        <f>HYPERLINK("https://twitter.com/SpiceMoneyIndia/status/1745032858635534729","https://twitter.com/SpiceMoneyIndia/status/1745032858635534729")</f>
        <v>https://twitter.com/SpiceMoneyIndia/status/1745032858635534729</v>
      </c>
      <c r="K4086" t="s">
        <v>67</v>
      </c>
      <c r="O4086">
        <v>0</v>
      </c>
      <c r="P4086">
        <v>0</v>
      </c>
      <c r="Q4086">
        <v>5989</v>
      </c>
      <c r="R4086" t="s">
        <v>97</v>
      </c>
      <c r="S4086">
        <v>0</v>
      </c>
      <c r="T4086">
        <v>0</v>
      </c>
      <c r="U4086">
        <v>0</v>
      </c>
      <c r="V4086" t="s">
        <v>98</v>
      </c>
      <c r="W4086" t="s">
        <v>99</v>
      </c>
    </row>
    <row r="4087" spans="1:23" x14ac:dyDescent="0.35">
      <c r="A4087" t="s">
        <v>45</v>
      </c>
      <c r="B4087" t="s">
        <v>8136</v>
      </c>
      <c r="C4087" t="s">
        <v>93</v>
      </c>
      <c r="D4087" t="s">
        <v>8191</v>
      </c>
      <c r="E4087" t="s">
        <v>8192</v>
      </c>
      <c r="F4087" t="s">
        <v>49</v>
      </c>
      <c r="G4087" t="s">
        <v>8193</v>
      </c>
      <c r="H4087" t="s">
        <v>8194</v>
      </c>
      <c r="J4087" t="str">
        <f>HYPERLINK("https://twitter.com/vishwasur/status/1745030975757893771","https://twitter.com/vishwasur/status/1745030975757893771")</f>
        <v>https://twitter.com/vishwasur/status/1745030975757893771</v>
      </c>
      <c r="O4087">
        <v>0</v>
      </c>
      <c r="P4087">
        <v>0</v>
      </c>
      <c r="Q4087">
        <v>228</v>
      </c>
      <c r="R4087" t="s">
        <v>8195</v>
      </c>
      <c r="S4087">
        <v>0</v>
      </c>
      <c r="T4087">
        <v>0</v>
      </c>
      <c r="U4087">
        <v>0</v>
      </c>
      <c r="W4087" t="s">
        <v>99</v>
      </c>
    </row>
    <row r="4088" spans="1:23" x14ac:dyDescent="0.35">
      <c r="A4088" t="s">
        <v>45</v>
      </c>
      <c r="B4088" t="s">
        <v>8136</v>
      </c>
      <c r="C4088" t="s">
        <v>47</v>
      </c>
      <c r="D4088" t="s">
        <v>8171</v>
      </c>
      <c r="E4088" t="s">
        <v>8171</v>
      </c>
      <c r="F4088" t="s">
        <v>49</v>
      </c>
      <c r="G4088" t="s">
        <v>8196</v>
      </c>
      <c r="H4088" t="s">
        <v>8197</v>
      </c>
      <c r="J4088" t="str">
        <f>HYPERLINK("https://www.youtube.com/watch?v=w_spCvVW92w&amp;lc=UgzsTXGoT1j9zeRWeC54AaABAg","https://www.youtube.com/watch?v=w_spCvVW92w&amp;lc=UgzsTXGoT1j9zeRWeC54AaABAg")</f>
        <v>https://www.youtube.com/watch?v=w_spCvVW92w&amp;lc=UgzsTXGoT1j9zeRWeC54AaABAg</v>
      </c>
      <c r="O4088">
        <v>0</v>
      </c>
      <c r="P4088">
        <v>0</v>
      </c>
      <c r="Q4088">
        <v>0</v>
      </c>
      <c r="S4088">
        <v>0</v>
      </c>
      <c r="T4088">
        <v>0</v>
      </c>
      <c r="U4088">
        <v>0</v>
      </c>
      <c r="W4088" t="s">
        <v>52</v>
      </c>
    </row>
    <row r="4089" spans="1:23" x14ac:dyDescent="0.35">
      <c r="A4089" t="s">
        <v>45</v>
      </c>
      <c r="B4089" t="s">
        <v>8136</v>
      </c>
      <c r="C4089" t="s">
        <v>47</v>
      </c>
      <c r="D4089" t="s">
        <v>8198</v>
      </c>
      <c r="E4089" t="s">
        <v>8198</v>
      </c>
      <c r="F4089" t="s">
        <v>49</v>
      </c>
      <c r="G4089" t="s">
        <v>8199</v>
      </c>
      <c r="H4089" t="s">
        <v>8200</v>
      </c>
      <c r="J4089" t="str">
        <f>HYPERLINK("https://www.youtube.com/watch?v=w_spCvVW92w&amp;lc=UgzOVf6hc6x_JjK_CWB4AaABAg","https://www.youtube.com/watch?v=w_spCvVW92w&amp;lc=UgzOVf6hc6x_JjK_CWB4AaABAg")</f>
        <v>https://www.youtube.com/watch?v=w_spCvVW92w&amp;lc=UgzOVf6hc6x_JjK_CWB4AaABAg</v>
      </c>
      <c r="O4089">
        <v>0</v>
      </c>
      <c r="P4089">
        <v>0</v>
      </c>
      <c r="Q4089">
        <v>0</v>
      </c>
      <c r="S4089">
        <v>0</v>
      </c>
      <c r="T4089">
        <v>0</v>
      </c>
      <c r="U4089">
        <v>0</v>
      </c>
      <c r="W4089" t="s">
        <v>52</v>
      </c>
    </row>
    <row r="4090" spans="1:23" x14ac:dyDescent="0.35">
      <c r="A4090" t="s">
        <v>45</v>
      </c>
      <c r="B4090" t="s">
        <v>8136</v>
      </c>
      <c r="C4090" t="s">
        <v>47</v>
      </c>
      <c r="D4090" t="s">
        <v>45</v>
      </c>
      <c r="E4090" t="s">
        <v>45</v>
      </c>
      <c r="F4090" t="s">
        <v>49</v>
      </c>
      <c r="G4090" t="s">
        <v>8201</v>
      </c>
      <c r="H4090" t="s">
        <v>8202</v>
      </c>
      <c r="J4090" t="str">
        <f>HYPERLINK("https://www.youtube.com/watch?v=w_spCvVW92w","https://www.youtube.com/watch?v=w_spCvVW92w")</f>
        <v>https://www.youtube.com/watch?v=w_spCvVW92w</v>
      </c>
      <c r="O4090">
        <v>0</v>
      </c>
      <c r="P4090">
        <v>0</v>
      </c>
      <c r="Q4090">
        <v>0</v>
      </c>
      <c r="S4090">
        <v>0</v>
      </c>
      <c r="T4090">
        <v>0</v>
      </c>
      <c r="U4090">
        <v>0</v>
      </c>
      <c r="W4090" t="s">
        <v>346</v>
      </c>
    </row>
    <row r="4091" spans="1:23" x14ac:dyDescent="0.35">
      <c r="A4091" t="s">
        <v>45</v>
      </c>
      <c r="B4091" t="s">
        <v>8136</v>
      </c>
      <c r="C4091" t="s">
        <v>47</v>
      </c>
      <c r="D4091" t="s">
        <v>8203</v>
      </c>
      <c r="E4091" t="s">
        <v>8203</v>
      </c>
      <c r="F4091" t="s">
        <v>49</v>
      </c>
      <c r="G4091" t="s">
        <v>8204</v>
      </c>
      <c r="H4091" t="s">
        <v>8205</v>
      </c>
      <c r="J4091" t="str">
        <f>HYPERLINK("https://www.youtube.com/watch?v=pJw8yRpVZew&amp;lc=Ugxh9c-4PTLnR1b7ve54AaABAg","https://www.youtube.com/watch?v=pJw8yRpVZew&amp;lc=Ugxh9c-4PTLnR1b7ve54AaABAg")</f>
        <v>https://www.youtube.com/watch?v=pJw8yRpVZew&amp;lc=Ugxh9c-4PTLnR1b7ve54AaABAg</v>
      </c>
      <c r="O4091">
        <v>0</v>
      </c>
      <c r="P4091">
        <v>0</v>
      </c>
      <c r="Q4091">
        <v>0</v>
      </c>
      <c r="S4091">
        <v>0</v>
      </c>
      <c r="T4091">
        <v>0</v>
      </c>
      <c r="U4091">
        <v>0</v>
      </c>
      <c r="W4091" t="s">
        <v>52</v>
      </c>
    </row>
    <row r="4092" spans="1:23" x14ac:dyDescent="0.35">
      <c r="A4092" t="s">
        <v>45</v>
      </c>
      <c r="B4092" t="s">
        <v>8136</v>
      </c>
      <c r="C4092" t="s">
        <v>60</v>
      </c>
      <c r="D4092" t="s">
        <v>61</v>
      </c>
      <c r="E4092" t="s">
        <v>61</v>
      </c>
      <c r="F4092" t="s">
        <v>49</v>
      </c>
      <c r="G4092" t="s">
        <v>8206</v>
      </c>
      <c r="H4092" t="s">
        <v>8207</v>
      </c>
      <c r="J4092" t="str">
        <f>HYPERLINK("https://www.facebook.com/634639855377280/posts/769133368594594?comment_id=388512657180921&amp;reply_comment_id=402495649015090","https://www.facebook.com/634639855377280/posts/769133368594594?comment_id=388512657180921&amp;reply_comment_id=402495649015090")</f>
        <v>https://www.facebook.com/634639855377280/posts/769133368594594?comment_id=388512657180921&amp;reply_comment_id=402495649015090</v>
      </c>
      <c r="O4092">
        <v>0</v>
      </c>
      <c r="P4092">
        <v>0</v>
      </c>
      <c r="Q4092">
        <v>0</v>
      </c>
      <c r="S4092">
        <v>0</v>
      </c>
      <c r="T4092">
        <v>0</v>
      </c>
      <c r="U4092">
        <v>0</v>
      </c>
      <c r="W4092" t="s">
        <v>52</v>
      </c>
    </row>
    <row r="4093" spans="1:23" x14ac:dyDescent="0.35">
      <c r="A4093" t="s">
        <v>45</v>
      </c>
      <c r="B4093" t="s">
        <v>8136</v>
      </c>
      <c r="C4093" t="s">
        <v>60</v>
      </c>
      <c r="D4093" t="s">
        <v>61</v>
      </c>
      <c r="E4093" t="s">
        <v>61</v>
      </c>
      <c r="F4093" t="s">
        <v>49</v>
      </c>
      <c r="G4093" t="s">
        <v>8208</v>
      </c>
      <c r="H4093" t="s">
        <v>8209</v>
      </c>
      <c r="J4093" t="str">
        <f>HYPERLINK("https://www.facebook.com/634639855377280/posts/769133368594594?comment_id=388512657180921&amp;reply_comment_id=3198257740482743","https://www.facebook.com/634639855377280/posts/769133368594594?comment_id=388512657180921&amp;reply_comment_id=3198257740482743")</f>
        <v>https://www.facebook.com/634639855377280/posts/769133368594594?comment_id=388512657180921&amp;reply_comment_id=3198257740482743</v>
      </c>
      <c r="O4093">
        <v>0</v>
      </c>
      <c r="P4093">
        <v>0</v>
      </c>
      <c r="Q4093">
        <v>0</v>
      </c>
      <c r="S4093">
        <v>0</v>
      </c>
      <c r="T4093">
        <v>0</v>
      </c>
      <c r="U4093">
        <v>0</v>
      </c>
      <c r="W4093" t="s">
        <v>52</v>
      </c>
    </row>
    <row r="4094" spans="1:23" x14ac:dyDescent="0.35">
      <c r="A4094" t="s">
        <v>45</v>
      </c>
      <c r="B4094" t="s">
        <v>8136</v>
      </c>
      <c r="C4094" t="s">
        <v>60</v>
      </c>
      <c r="D4094" t="s">
        <v>61</v>
      </c>
      <c r="E4094" t="s">
        <v>61</v>
      </c>
      <c r="F4094" t="s">
        <v>49</v>
      </c>
      <c r="G4094" t="s">
        <v>8210</v>
      </c>
      <c r="H4094" t="s">
        <v>8211</v>
      </c>
      <c r="J4094" t="str">
        <f>HYPERLINK("https://www.facebook.com/634639855377280/posts/769133368594594?comment_id=876844964137209","https://www.facebook.com/634639855377280/posts/769133368594594?comment_id=876844964137209")</f>
        <v>https://www.facebook.com/634639855377280/posts/769133368594594?comment_id=876844964137209</v>
      </c>
      <c r="O4094">
        <v>0</v>
      </c>
      <c r="P4094">
        <v>0</v>
      </c>
      <c r="Q4094">
        <v>0</v>
      </c>
      <c r="S4094">
        <v>0</v>
      </c>
      <c r="T4094">
        <v>0</v>
      </c>
      <c r="U4094">
        <v>0</v>
      </c>
      <c r="W4094" t="s">
        <v>52</v>
      </c>
    </row>
    <row r="4095" spans="1:23" x14ac:dyDescent="0.35">
      <c r="A4095" t="s">
        <v>45</v>
      </c>
      <c r="B4095" t="s">
        <v>8136</v>
      </c>
      <c r="C4095" t="s">
        <v>60</v>
      </c>
      <c r="D4095" t="s">
        <v>61</v>
      </c>
      <c r="E4095" t="s">
        <v>61</v>
      </c>
      <c r="F4095" t="s">
        <v>49</v>
      </c>
      <c r="G4095" t="s">
        <v>8212</v>
      </c>
      <c r="H4095" t="s">
        <v>8213</v>
      </c>
      <c r="J4095" t="str">
        <f>HYPERLINK("https://www.facebook.com/634639855377280/posts/768501555324442?comment_id=385755937446652&amp;reply_comment_id=762093555939783","https://www.facebook.com/634639855377280/posts/768501555324442?comment_id=385755937446652&amp;reply_comment_id=762093555939783")</f>
        <v>https://www.facebook.com/634639855377280/posts/768501555324442?comment_id=385755937446652&amp;reply_comment_id=762093555939783</v>
      </c>
      <c r="O4095">
        <v>0</v>
      </c>
      <c r="P4095">
        <v>0</v>
      </c>
      <c r="Q4095">
        <v>0</v>
      </c>
      <c r="S4095">
        <v>0</v>
      </c>
      <c r="T4095">
        <v>0</v>
      </c>
      <c r="U4095">
        <v>0</v>
      </c>
      <c r="W4095" t="s">
        <v>52</v>
      </c>
    </row>
    <row r="4096" spans="1:23" x14ac:dyDescent="0.35">
      <c r="A4096" t="s">
        <v>45</v>
      </c>
      <c r="B4096" t="s">
        <v>8136</v>
      </c>
      <c r="C4096" t="s">
        <v>60</v>
      </c>
      <c r="D4096" t="s">
        <v>64</v>
      </c>
      <c r="E4096" t="s">
        <v>64</v>
      </c>
      <c r="F4096" t="s">
        <v>49</v>
      </c>
      <c r="G4096" t="s">
        <v>164</v>
      </c>
      <c r="H4096" t="s">
        <v>8214</v>
      </c>
      <c r="J4096" t="str">
        <f>HYPERLINK("https://www.facebook.com/634639855377280/posts/768501555324442?comment_id=385755937446652&amp;reply_comment_id=1674953059580596","https://www.facebook.com/634639855377280/posts/768501555324442?comment_id=385755937446652&amp;reply_comment_id=1674953059580596")</f>
        <v>https://www.facebook.com/634639855377280/posts/768501555324442?comment_id=385755937446652&amp;reply_comment_id=1674953059580596</v>
      </c>
      <c r="K4096" t="s">
        <v>67</v>
      </c>
      <c r="O4096">
        <v>0</v>
      </c>
      <c r="P4096">
        <v>0</v>
      </c>
      <c r="Q4096">
        <v>0</v>
      </c>
      <c r="S4096">
        <v>0</v>
      </c>
      <c r="T4096">
        <v>0</v>
      </c>
      <c r="U4096">
        <v>0</v>
      </c>
      <c r="W4096" t="s">
        <v>52</v>
      </c>
    </row>
    <row r="4097" spans="1:23" x14ac:dyDescent="0.35">
      <c r="A4097" t="s">
        <v>45</v>
      </c>
      <c r="B4097" t="s">
        <v>8136</v>
      </c>
      <c r="C4097" t="s">
        <v>47</v>
      </c>
      <c r="D4097" t="s">
        <v>68</v>
      </c>
      <c r="E4097" t="s">
        <v>68</v>
      </c>
      <c r="F4097" t="s">
        <v>49</v>
      </c>
      <c r="G4097" t="s">
        <v>102</v>
      </c>
      <c r="H4097" t="s">
        <v>8215</v>
      </c>
      <c r="J4097" t="str">
        <f>HYPERLINK("https://www.youtube.com/watch?v=otifGXuH01E&amp;lc=UgxpkM0HjrzIakPZonl4AaABAg.9zM9QSwBItw9zNLUCo38sU","https://www.youtube.com/watch?v=otifGXuH01E&amp;lc=UgxpkM0HjrzIakPZonl4AaABAg.9zM9QSwBItw9zNLUCo38sU")</f>
        <v>https://www.youtube.com/watch?v=otifGXuH01E&amp;lc=UgxpkM0HjrzIakPZonl4AaABAg.9zM9QSwBItw9zNLUCo38sU</v>
      </c>
      <c r="O4097">
        <v>0</v>
      </c>
      <c r="P4097">
        <v>0</v>
      </c>
      <c r="Q4097">
        <v>0</v>
      </c>
      <c r="S4097">
        <v>0</v>
      </c>
      <c r="T4097">
        <v>0</v>
      </c>
      <c r="U4097">
        <v>0</v>
      </c>
      <c r="W4097" t="s">
        <v>52</v>
      </c>
    </row>
    <row r="4098" spans="1:23" x14ac:dyDescent="0.35">
      <c r="A4098" t="s">
        <v>45</v>
      </c>
      <c r="B4098" t="s">
        <v>8216</v>
      </c>
      <c r="C4098" t="s">
        <v>93</v>
      </c>
      <c r="D4098" t="s">
        <v>8217</v>
      </c>
      <c r="E4098" t="s">
        <v>8218</v>
      </c>
      <c r="F4098" t="s">
        <v>49</v>
      </c>
      <c r="G4098" t="s">
        <v>8219</v>
      </c>
      <c r="H4098" t="s">
        <v>8220</v>
      </c>
      <c r="J4098" t="str">
        <f>HYPERLINK("https://twitter.com/KAMALSH64944775/status/1744786965202182320","https://twitter.com/KAMALSH64944775/status/1744786965202182320")</f>
        <v>https://twitter.com/KAMALSH64944775/status/1744786965202182320</v>
      </c>
      <c r="K4098" t="s">
        <v>471</v>
      </c>
      <c r="O4098">
        <v>0</v>
      </c>
      <c r="P4098">
        <v>0</v>
      </c>
      <c r="Q4098">
        <v>0</v>
      </c>
      <c r="S4098">
        <v>0</v>
      </c>
      <c r="T4098">
        <v>0</v>
      </c>
      <c r="U4098">
        <v>0</v>
      </c>
      <c r="W4098" t="s">
        <v>99</v>
      </c>
    </row>
    <row r="4099" spans="1:23" x14ac:dyDescent="0.35">
      <c r="A4099" t="s">
        <v>45</v>
      </c>
      <c r="B4099" t="s">
        <v>8216</v>
      </c>
      <c r="C4099" t="s">
        <v>47</v>
      </c>
      <c r="D4099" t="s">
        <v>8221</v>
      </c>
      <c r="E4099" t="s">
        <v>8221</v>
      </c>
      <c r="F4099" t="s">
        <v>49</v>
      </c>
      <c r="G4099" t="s">
        <v>8222</v>
      </c>
      <c r="H4099" t="s">
        <v>8223</v>
      </c>
      <c r="J4099" t="str">
        <f>HYPERLINK("https://www.youtube.com/watch?v=otifGXuH01E&amp;lc=UgwRHdRNNfwTPgak0Xd4AaABAg","https://www.youtube.com/watch?v=otifGXuH01E&amp;lc=UgwRHdRNNfwTPgak0Xd4AaABAg")</f>
        <v>https://www.youtube.com/watch?v=otifGXuH01E&amp;lc=UgwRHdRNNfwTPgak0Xd4AaABAg</v>
      </c>
      <c r="O4099">
        <v>0</v>
      </c>
      <c r="P4099">
        <v>0</v>
      </c>
      <c r="Q4099">
        <v>0</v>
      </c>
      <c r="S4099">
        <v>0</v>
      </c>
      <c r="T4099">
        <v>0</v>
      </c>
      <c r="U4099">
        <v>0</v>
      </c>
      <c r="W4099" t="s">
        <v>52</v>
      </c>
    </row>
    <row r="4100" spans="1:23" x14ac:dyDescent="0.35">
      <c r="A4100" t="s">
        <v>45</v>
      </c>
      <c r="B4100" t="s">
        <v>8216</v>
      </c>
      <c r="C4100" t="s">
        <v>60</v>
      </c>
      <c r="D4100" t="s">
        <v>61</v>
      </c>
      <c r="E4100" t="s">
        <v>61</v>
      </c>
      <c r="F4100" t="s">
        <v>54</v>
      </c>
      <c r="G4100" t="s">
        <v>7776</v>
      </c>
      <c r="H4100" t="s">
        <v>8224</v>
      </c>
      <c r="J4100" t="str">
        <f>HYPERLINK("https://www.facebook.com/634639855377280/posts/769133368594594?comment_id=1022722045460485","https://www.facebook.com/634639855377280/posts/769133368594594?comment_id=1022722045460485")</f>
        <v>https://www.facebook.com/634639855377280/posts/769133368594594?comment_id=1022722045460485</v>
      </c>
      <c r="O4100">
        <v>0</v>
      </c>
      <c r="P4100">
        <v>0</v>
      </c>
      <c r="Q4100">
        <v>0</v>
      </c>
      <c r="S4100">
        <v>0</v>
      </c>
      <c r="T4100">
        <v>0</v>
      </c>
      <c r="U4100">
        <v>0</v>
      </c>
      <c r="W4100" t="s">
        <v>52</v>
      </c>
    </row>
    <row r="4101" spans="1:23" x14ac:dyDescent="0.35">
      <c r="A4101" t="s">
        <v>45</v>
      </c>
      <c r="B4101" t="s">
        <v>8216</v>
      </c>
      <c r="C4101" t="s">
        <v>93</v>
      </c>
      <c r="D4101" t="s">
        <v>8225</v>
      </c>
      <c r="E4101" t="s">
        <v>8226</v>
      </c>
      <c r="F4101" t="s">
        <v>193</v>
      </c>
      <c r="G4101" t="s">
        <v>8227</v>
      </c>
      <c r="H4101" t="s">
        <v>8228</v>
      </c>
      <c r="J4101" t="str">
        <f>HYPERLINK("https://twitter.com/jalam_inda__07/status/1744752178881802299","https://twitter.com/jalam_inda__07/status/1744752178881802299")</f>
        <v>https://twitter.com/jalam_inda__07/status/1744752178881802299</v>
      </c>
      <c r="K4101" t="s">
        <v>67</v>
      </c>
      <c r="O4101">
        <v>0</v>
      </c>
      <c r="P4101">
        <v>0</v>
      </c>
      <c r="Q4101">
        <v>0</v>
      </c>
      <c r="S4101">
        <v>0</v>
      </c>
      <c r="T4101">
        <v>0</v>
      </c>
      <c r="U4101">
        <v>0</v>
      </c>
      <c r="W4101" t="s">
        <v>433</v>
      </c>
    </row>
    <row r="4102" spans="1:23" x14ac:dyDescent="0.35">
      <c r="A4102" t="s">
        <v>45</v>
      </c>
      <c r="B4102" t="s">
        <v>8216</v>
      </c>
      <c r="C4102" t="s">
        <v>47</v>
      </c>
      <c r="D4102" t="s">
        <v>8229</v>
      </c>
      <c r="E4102" t="s">
        <v>8229</v>
      </c>
      <c r="F4102" t="s">
        <v>49</v>
      </c>
      <c r="G4102" t="s">
        <v>8230</v>
      </c>
      <c r="H4102" t="s">
        <v>8231</v>
      </c>
      <c r="J4102" t="str">
        <f>HYPERLINK("https://www.youtube.com/watch?v=otifGXuH01E&amp;lc=UgxpkM0HjrzIakPZonl4AaABAg","https://www.youtube.com/watch?v=otifGXuH01E&amp;lc=UgxpkM0HjrzIakPZonl4AaABAg")</f>
        <v>https://www.youtube.com/watch?v=otifGXuH01E&amp;lc=UgxpkM0HjrzIakPZonl4AaABAg</v>
      </c>
      <c r="O4102">
        <v>0</v>
      </c>
      <c r="P4102">
        <v>0</v>
      </c>
      <c r="Q4102">
        <v>0</v>
      </c>
      <c r="S4102">
        <v>0</v>
      </c>
      <c r="T4102">
        <v>0</v>
      </c>
      <c r="U4102">
        <v>0</v>
      </c>
      <c r="W4102" t="s">
        <v>52</v>
      </c>
    </row>
    <row r="4103" spans="1:23" x14ac:dyDescent="0.35">
      <c r="A4103" t="s">
        <v>45</v>
      </c>
      <c r="B4103" t="s">
        <v>8216</v>
      </c>
      <c r="C4103" t="s">
        <v>60</v>
      </c>
      <c r="D4103" t="s">
        <v>61</v>
      </c>
      <c r="E4103" t="s">
        <v>61</v>
      </c>
      <c r="F4103" t="s">
        <v>49</v>
      </c>
      <c r="G4103" t="s">
        <v>8232</v>
      </c>
      <c r="H4103" t="s">
        <v>8233</v>
      </c>
      <c r="J4103" t="str">
        <f>HYPERLINK("https://www.facebook.com/634639855377280/posts/766738295500768?comment_id=1738411106570608","https://www.facebook.com/634639855377280/posts/766738295500768?comment_id=1738411106570608")</f>
        <v>https://www.facebook.com/634639855377280/posts/766738295500768?comment_id=1738411106570608</v>
      </c>
      <c r="O4103">
        <v>0</v>
      </c>
      <c r="P4103">
        <v>0</v>
      </c>
      <c r="Q4103">
        <v>0</v>
      </c>
      <c r="S4103">
        <v>0</v>
      </c>
      <c r="T4103">
        <v>0</v>
      </c>
      <c r="U4103">
        <v>0</v>
      </c>
      <c r="W4103" t="s">
        <v>52</v>
      </c>
    </row>
    <row r="4104" spans="1:23" x14ac:dyDescent="0.35">
      <c r="A4104" t="s">
        <v>45</v>
      </c>
      <c r="B4104" t="s">
        <v>8216</v>
      </c>
      <c r="C4104" t="s">
        <v>60</v>
      </c>
      <c r="D4104" t="s">
        <v>61</v>
      </c>
      <c r="E4104" t="s">
        <v>61</v>
      </c>
      <c r="F4104" t="s">
        <v>49</v>
      </c>
      <c r="G4104" t="s">
        <v>8234</v>
      </c>
      <c r="H4104" t="s">
        <v>8235</v>
      </c>
      <c r="J4104" t="str">
        <f>HYPERLINK("https://www.facebook.com/634639855377280/posts/769133368594594?comment_id=1016872716071292","https://www.facebook.com/634639855377280/posts/769133368594594?comment_id=1016872716071292")</f>
        <v>https://www.facebook.com/634639855377280/posts/769133368594594?comment_id=1016872716071292</v>
      </c>
      <c r="O4104">
        <v>0</v>
      </c>
      <c r="P4104">
        <v>0</v>
      </c>
      <c r="Q4104">
        <v>0</v>
      </c>
      <c r="S4104">
        <v>0</v>
      </c>
      <c r="T4104">
        <v>0</v>
      </c>
      <c r="U4104">
        <v>0</v>
      </c>
      <c r="W4104" t="s">
        <v>52</v>
      </c>
    </row>
    <row r="4105" spans="1:23" x14ac:dyDescent="0.35">
      <c r="A4105" t="s">
        <v>45</v>
      </c>
      <c r="B4105" t="s">
        <v>8216</v>
      </c>
      <c r="C4105" t="s">
        <v>60</v>
      </c>
      <c r="D4105" t="s">
        <v>61</v>
      </c>
      <c r="E4105" t="s">
        <v>61</v>
      </c>
      <c r="F4105" t="s">
        <v>49</v>
      </c>
      <c r="G4105" t="s">
        <v>8236</v>
      </c>
      <c r="H4105" t="s">
        <v>8237</v>
      </c>
      <c r="J4105" t="str">
        <f>HYPERLINK("https://www.facebook.com/634639855377280/posts/768501555324442?comment_id=385755937446652&amp;reply_comment_id=383302457403550","https://www.facebook.com/634639855377280/posts/768501555324442?comment_id=385755937446652&amp;reply_comment_id=383302457403550")</f>
        <v>https://www.facebook.com/634639855377280/posts/768501555324442?comment_id=385755937446652&amp;reply_comment_id=383302457403550</v>
      </c>
      <c r="O4105">
        <v>0</v>
      </c>
      <c r="P4105">
        <v>0</v>
      </c>
      <c r="Q4105">
        <v>0</v>
      </c>
      <c r="S4105">
        <v>0</v>
      </c>
      <c r="T4105">
        <v>0</v>
      </c>
      <c r="U4105">
        <v>0</v>
      </c>
      <c r="W4105" t="s">
        <v>52</v>
      </c>
    </row>
    <row r="4106" spans="1:23" x14ac:dyDescent="0.35">
      <c r="A4106" t="s">
        <v>45</v>
      </c>
      <c r="B4106" t="s">
        <v>8216</v>
      </c>
      <c r="C4106" t="s">
        <v>60</v>
      </c>
      <c r="D4106" t="s">
        <v>61</v>
      </c>
      <c r="E4106" t="s">
        <v>61</v>
      </c>
      <c r="F4106" t="s">
        <v>54</v>
      </c>
      <c r="G4106" t="s">
        <v>8238</v>
      </c>
      <c r="H4106" t="s">
        <v>8239</v>
      </c>
      <c r="J4106" t="str">
        <f>HYPERLINK("https://www.facebook.com/634639855377280/posts/768501555324442?comment_id=2617884878704340","https://www.facebook.com/634639855377280/posts/768501555324442?comment_id=2617884878704340")</f>
        <v>https://www.facebook.com/634639855377280/posts/768501555324442?comment_id=2617884878704340</v>
      </c>
      <c r="O4106">
        <v>0</v>
      </c>
      <c r="P4106">
        <v>0</v>
      </c>
      <c r="Q4106">
        <v>0</v>
      </c>
      <c r="S4106">
        <v>0</v>
      </c>
      <c r="T4106">
        <v>0</v>
      </c>
      <c r="U4106">
        <v>0</v>
      </c>
      <c r="W4106" t="s">
        <v>52</v>
      </c>
    </row>
    <row r="4107" spans="1:23" x14ac:dyDescent="0.35">
      <c r="A4107" t="s">
        <v>45</v>
      </c>
      <c r="B4107" t="s">
        <v>8216</v>
      </c>
      <c r="C4107" t="s">
        <v>60</v>
      </c>
      <c r="D4107" t="s">
        <v>61</v>
      </c>
      <c r="E4107" t="s">
        <v>61</v>
      </c>
      <c r="F4107" t="s">
        <v>49</v>
      </c>
      <c r="G4107" t="s">
        <v>8240</v>
      </c>
      <c r="H4107" t="s">
        <v>8241</v>
      </c>
      <c r="J4107" t="str">
        <f>HYPERLINK("https://www.facebook.com/634639855377280/posts/768501555324442?comment_id=385755937446652&amp;reply_comment_id=695411865991703","https://www.facebook.com/634639855377280/posts/768501555324442?comment_id=385755937446652&amp;reply_comment_id=695411865991703")</f>
        <v>https://www.facebook.com/634639855377280/posts/768501555324442?comment_id=385755937446652&amp;reply_comment_id=695411865991703</v>
      </c>
      <c r="O4107">
        <v>0</v>
      </c>
      <c r="P4107">
        <v>0</v>
      </c>
      <c r="Q4107">
        <v>0</v>
      </c>
      <c r="S4107">
        <v>0</v>
      </c>
      <c r="T4107">
        <v>0</v>
      </c>
      <c r="U4107">
        <v>0</v>
      </c>
      <c r="W4107" t="s">
        <v>52</v>
      </c>
    </row>
    <row r="4108" spans="1:23" x14ac:dyDescent="0.35">
      <c r="A4108" t="s">
        <v>45</v>
      </c>
      <c r="B4108" t="s">
        <v>8216</v>
      </c>
      <c r="C4108" t="s">
        <v>60</v>
      </c>
      <c r="D4108" t="s">
        <v>61</v>
      </c>
      <c r="E4108" t="s">
        <v>61</v>
      </c>
      <c r="F4108" t="s">
        <v>49</v>
      </c>
      <c r="G4108" t="s">
        <v>8242</v>
      </c>
      <c r="H4108" t="s">
        <v>8243</v>
      </c>
      <c r="J4108" t="str">
        <f>HYPERLINK("https://www.facebook.com/634639855377280/posts/768501555324442?comment_id=1997752230610819","https://www.facebook.com/634639855377280/posts/768501555324442?comment_id=1997752230610819")</f>
        <v>https://www.facebook.com/634639855377280/posts/768501555324442?comment_id=1997752230610819</v>
      </c>
      <c r="O4108">
        <v>0</v>
      </c>
      <c r="P4108">
        <v>0</v>
      </c>
      <c r="Q4108">
        <v>0</v>
      </c>
      <c r="S4108">
        <v>0</v>
      </c>
      <c r="T4108">
        <v>0</v>
      </c>
      <c r="U4108">
        <v>0</v>
      </c>
      <c r="W4108" t="s">
        <v>52</v>
      </c>
    </row>
    <row r="4109" spans="1:23" x14ac:dyDescent="0.35">
      <c r="A4109" t="s">
        <v>45</v>
      </c>
      <c r="B4109" t="s">
        <v>8216</v>
      </c>
      <c r="C4109" t="s">
        <v>47</v>
      </c>
      <c r="D4109" t="s">
        <v>8244</v>
      </c>
      <c r="E4109" t="s">
        <v>8244</v>
      </c>
      <c r="F4109" t="s">
        <v>49</v>
      </c>
      <c r="G4109" t="s">
        <v>8245</v>
      </c>
      <c r="H4109" t="s">
        <v>8246</v>
      </c>
      <c r="J4109" t="str">
        <f>HYPERLINK("https://www.youtube.com/watch?v=mt9MrwjqolI","https://www.youtube.com/watch?v=mt9MrwjqolI")</f>
        <v>https://www.youtube.com/watch?v=mt9MrwjqolI</v>
      </c>
      <c r="O4109">
        <v>0</v>
      </c>
      <c r="P4109">
        <v>0</v>
      </c>
      <c r="Q4109">
        <v>0</v>
      </c>
      <c r="S4109">
        <v>0</v>
      </c>
      <c r="T4109">
        <v>0</v>
      </c>
      <c r="U4109">
        <v>0</v>
      </c>
      <c r="W4109" t="s">
        <v>346</v>
      </c>
    </row>
    <row r="4110" spans="1:23" x14ac:dyDescent="0.35">
      <c r="A4110" t="s">
        <v>45</v>
      </c>
      <c r="B4110" t="s">
        <v>8216</v>
      </c>
      <c r="C4110" t="s">
        <v>60</v>
      </c>
      <c r="D4110" t="s">
        <v>64</v>
      </c>
      <c r="E4110" t="s">
        <v>64</v>
      </c>
      <c r="F4110" t="s">
        <v>49</v>
      </c>
      <c r="G4110" t="s">
        <v>100</v>
      </c>
      <c r="H4110" t="s">
        <v>8247</v>
      </c>
      <c r="J4110" t="str">
        <f>HYPERLINK("https://www.facebook.com/634639855377280/posts/766738295500768?comment_id=358905366780184&amp;reply_comment_id=1313864542660525","https://www.facebook.com/634639855377280/posts/766738295500768?comment_id=358905366780184&amp;reply_comment_id=1313864542660525")</f>
        <v>https://www.facebook.com/634639855377280/posts/766738295500768?comment_id=358905366780184&amp;reply_comment_id=1313864542660525</v>
      </c>
      <c r="K4110" t="s">
        <v>67</v>
      </c>
      <c r="O4110">
        <v>0</v>
      </c>
      <c r="P4110">
        <v>0</v>
      </c>
      <c r="Q4110">
        <v>0</v>
      </c>
      <c r="S4110">
        <v>0</v>
      </c>
      <c r="T4110">
        <v>0</v>
      </c>
      <c r="U4110">
        <v>0</v>
      </c>
      <c r="W4110" t="s">
        <v>52</v>
      </c>
    </row>
    <row r="4111" spans="1:23" x14ac:dyDescent="0.35">
      <c r="A4111" t="s">
        <v>45</v>
      </c>
      <c r="B4111" t="s">
        <v>8216</v>
      </c>
      <c r="C4111" t="s">
        <v>93</v>
      </c>
      <c r="D4111" t="s">
        <v>94</v>
      </c>
      <c r="E4111" t="s">
        <v>45</v>
      </c>
      <c r="F4111" t="s">
        <v>49</v>
      </c>
      <c r="G4111" t="s">
        <v>8248</v>
      </c>
      <c r="H4111" t="s">
        <v>8249</v>
      </c>
      <c r="J4111" t="str">
        <f>HYPERLINK("https://twitter.com/SpiceMoneyIndia/status/1744698351977709954","https://twitter.com/SpiceMoneyIndia/status/1744698351977709954")</f>
        <v>https://twitter.com/SpiceMoneyIndia/status/1744698351977709954</v>
      </c>
      <c r="K4111" t="s">
        <v>67</v>
      </c>
      <c r="O4111">
        <v>0</v>
      </c>
      <c r="P4111">
        <v>0</v>
      </c>
      <c r="Q4111">
        <v>5988</v>
      </c>
      <c r="R4111" t="s">
        <v>97</v>
      </c>
      <c r="S4111">
        <v>0</v>
      </c>
      <c r="T4111">
        <v>0</v>
      </c>
      <c r="U4111">
        <v>0</v>
      </c>
      <c r="V4111" t="s">
        <v>98</v>
      </c>
      <c r="W4111" t="s">
        <v>99</v>
      </c>
    </row>
    <row r="4112" spans="1:23" x14ac:dyDescent="0.35">
      <c r="A4112" t="s">
        <v>45</v>
      </c>
      <c r="B4112" t="s">
        <v>8216</v>
      </c>
      <c r="C4112" t="s">
        <v>47</v>
      </c>
      <c r="D4112" t="s">
        <v>8250</v>
      </c>
      <c r="E4112" t="s">
        <v>8250</v>
      </c>
      <c r="F4112" t="s">
        <v>49</v>
      </c>
      <c r="G4112" t="s">
        <v>8251</v>
      </c>
      <c r="H4112" t="s">
        <v>8252</v>
      </c>
      <c r="J4112" t="str">
        <f>HYPERLINK("https://www.youtube.com/watch?v=02091qId50o","https://www.youtube.com/watch?v=02091qId50o")</f>
        <v>https://www.youtube.com/watch?v=02091qId50o</v>
      </c>
      <c r="O4112">
        <v>0</v>
      </c>
      <c r="P4112">
        <v>0</v>
      </c>
      <c r="Q4112">
        <v>0</v>
      </c>
      <c r="S4112">
        <v>0</v>
      </c>
      <c r="T4112">
        <v>0</v>
      </c>
      <c r="U4112">
        <v>0</v>
      </c>
      <c r="W4112" t="s">
        <v>346</v>
      </c>
    </row>
    <row r="4113" spans="1:23" x14ac:dyDescent="0.35">
      <c r="A4113" t="s">
        <v>45</v>
      </c>
      <c r="B4113" t="s">
        <v>8216</v>
      </c>
      <c r="C4113" t="s">
        <v>60</v>
      </c>
      <c r="D4113" t="s">
        <v>64</v>
      </c>
      <c r="E4113" t="s">
        <v>64</v>
      </c>
      <c r="F4113" t="s">
        <v>49</v>
      </c>
      <c r="G4113" t="s">
        <v>6836</v>
      </c>
      <c r="H4113" t="s">
        <v>8253</v>
      </c>
      <c r="J4113" t="str">
        <f>HYPERLINK("https://www.facebook.com/634639855377280/posts/768501555324442?comment_id=385755937446652&amp;reply_comment_id=1391301035110215","https://www.facebook.com/634639855377280/posts/768501555324442?comment_id=385755937446652&amp;reply_comment_id=1391301035110215")</f>
        <v>https://www.facebook.com/634639855377280/posts/768501555324442?comment_id=385755937446652&amp;reply_comment_id=1391301035110215</v>
      </c>
      <c r="K4113" t="s">
        <v>67</v>
      </c>
      <c r="O4113">
        <v>0</v>
      </c>
      <c r="P4113">
        <v>0</v>
      </c>
      <c r="Q4113">
        <v>0</v>
      </c>
      <c r="S4113">
        <v>0</v>
      </c>
      <c r="T4113">
        <v>0</v>
      </c>
      <c r="U4113">
        <v>0</v>
      </c>
      <c r="W4113" t="s">
        <v>52</v>
      </c>
    </row>
    <row r="4114" spans="1:23" x14ac:dyDescent="0.35">
      <c r="A4114" t="s">
        <v>45</v>
      </c>
      <c r="B4114" t="s">
        <v>8216</v>
      </c>
      <c r="C4114" t="s">
        <v>60</v>
      </c>
      <c r="D4114" t="s">
        <v>61</v>
      </c>
      <c r="E4114" t="s">
        <v>61</v>
      </c>
      <c r="F4114" t="s">
        <v>49</v>
      </c>
      <c r="G4114" t="s">
        <v>8254</v>
      </c>
      <c r="H4114" t="s">
        <v>8255</v>
      </c>
      <c r="J4114" t="str">
        <f>HYPERLINK("https://www.facebook.com/634639855377280/posts/766738295500768?comment_id=358905366780184&amp;reply_comment_id=712144977349727","https://www.facebook.com/634639855377280/posts/766738295500768?comment_id=358905366780184&amp;reply_comment_id=712144977349727")</f>
        <v>https://www.facebook.com/634639855377280/posts/766738295500768?comment_id=358905366780184&amp;reply_comment_id=712144977349727</v>
      </c>
      <c r="O4114">
        <v>0</v>
      </c>
      <c r="P4114">
        <v>0</v>
      </c>
      <c r="Q4114">
        <v>0</v>
      </c>
      <c r="S4114">
        <v>0</v>
      </c>
      <c r="T4114">
        <v>0</v>
      </c>
      <c r="U4114">
        <v>0</v>
      </c>
      <c r="W4114" t="s">
        <v>52</v>
      </c>
    </row>
    <row r="4115" spans="1:23" x14ac:dyDescent="0.35">
      <c r="A4115" t="s">
        <v>45</v>
      </c>
      <c r="B4115" t="s">
        <v>8216</v>
      </c>
      <c r="C4115" t="s">
        <v>93</v>
      </c>
      <c r="D4115" t="s">
        <v>94</v>
      </c>
      <c r="E4115" t="s">
        <v>45</v>
      </c>
      <c r="F4115" t="s">
        <v>49</v>
      </c>
      <c r="G4115" t="s">
        <v>8256</v>
      </c>
      <c r="H4115" t="s">
        <v>8255</v>
      </c>
      <c r="J4115" t="str">
        <f>HYPERLINK("https://twitter.com/SpiceMoneyIndia/status/1744697002162573764","https://twitter.com/SpiceMoneyIndia/status/1744697002162573764")</f>
        <v>https://twitter.com/SpiceMoneyIndia/status/1744697002162573764</v>
      </c>
      <c r="K4115" t="s">
        <v>67</v>
      </c>
      <c r="O4115">
        <v>0</v>
      </c>
      <c r="P4115">
        <v>0</v>
      </c>
      <c r="Q4115">
        <v>5988</v>
      </c>
      <c r="R4115" t="s">
        <v>97</v>
      </c>
      <c r="S4115">
        <v>0</v>
      </c>
      <c r="T4115">
        <v>0</v>
      </c>
      <c r="U4115">
        <v>0</v>
      </c>
      <c r="V4115" t="s">
        <v>98</v>
      </c>
      <c r="W4115" t="s">
        <v>99</v>
      </c>
    </row>
    <row r="4116" spans="1:23" x14ac:dyDescent="0.35">
      <c r="A4116" t="s">
        <v>45</v>
      </c>
      <c r="B4116" t="s">
        <v>8216</v>
      </c>
      <c r="C4116" t="s">
        <v>60</v>
      </c>
      <c r="D4116" t="s">
        <v>64</v>
      </c>
      <c r="E4116" t="s">
        <v>64</v>
      </c>
      <c r="F4116" t="s">
        <v>49</v>
      </c>
      <c r="G4116" t="s">
        <v>100</v>
      </c>
      <c r="H4116" t="s">
        <v>8257</v>
      </c>
      <c r="J4116" t="str">
        <f>HYPERLINK("https://www.facebook.com/634639855377280/posts/768501555324442?comment_id=2331244640395414&amp;reply_comment_id=2328548220674582","https://www.facebook.com/634639855377280/posts/768501555324442?comment_id=2331244640395414&amp;reply_comment_id=2328548220674582")</f>
        <v>https://www.facebook.com/634639855377280/posts/768501555324442?comment_id=2331244640395414&amp;reply_comment_id=2328548220674582</v>
      </c>
      <c r="K4116" t="s">
        <v>67</v>
      </c>
      <c r="O4116">
        <v>0</v>
      </c>
      <c r="P4116">
        <v>0</v>
      </c>
      <c r="Q4116">
        <v>0</v>
      </c>
      <c r="S4116">
        <v>0</v>
      </c>
      <c r="T4116">
        <v>0</v>
      </c>
      <c r="U4116">
        <v>0</v>
      </c>
      <c r="W4116" t="s">
        <v>52</v>
      </c>
    </row>
    <row r="4117" spans="1:23" x14ac:dyDescent="0.35">
      <c r="A4117" t="s">
        <v>45</v>
      </c>
      <c r="B4117" t="s">
        <v>8216</v>
      </c>
      <c r="C4117" t="s">
        <v>60</v>
      </c>
      <c r="D4117" t="s">
        <v>64</v>
      </c>
      <c r="E4117" t="s">
        <v>64</v>
      </c>
      <c r="F4117" t="s">
        <v>49</v>
      </c>
      <c r="G4117" t="s">
        <v>270</v>
      </c>
      <c r="H4117" t="s">
        <v>8258</v>
      </c>
      <c r="J4117" t="str">
        <f>HYPERLINK("https://www.facebook.com/634639855377280/posts/766738295500768?comment_id=358905366780184&amp;reply_comment_id=213506318495748","https://www.facebook.com/634639855377280/posts/766738295500768?comment_id=358905366780184&amp;reply_comment_id=213506318495748")</f>
        <v>https://www.facebook.com/634639855377280/posts/766738295500768?comment_id=358905366780184&amp;reply_comment_id=213506318495748</v>
      </c>
      <c r="K4117" t="s">
        <v>67</v>
      </c>
      <c r="O4117">
        <v>0</v>
      </c>
      <c r="P4117">
        <v>0</v>
      </c>
      <c r="Q4117">
        <v>0</v>
      </c>
      <c r="S4117">
        <v>0</v>
      </c>
      <c r="T4117">
        <v>0</v>
      </c>
      <c r="U4117">
        <v>0</v>
      </c>
      <c r="W4117" t="s">
        <v>52</v>
      </c>
    </row>
    <row r="4118" spans="1:23" x14ac:dyDescent="0.35">
      <c r="A4118" t="s">
        <v>45</v>
      </c>
      <c r="B4118" t="s">
        <v>8216</v>
      </c>
      <c r="C4118" t="s">
        <v>93</v>
      </c>
      <c r="D4118" t="s">
        <v>94</v>
      </c>
      <c r="E4118" t="s">
        <v>45</v>
      </c>
      <c r="F4118" t="s">
        <v>49</v>
      </c>
      <c r="G4118" t="s">
        <v>8259</v>
      </c>
      <c r="H4118" t="s">
        <v>8260</v>
      </c>
      <c r="J4118" t="str">
        <f>HYPERLINK("https://twitter.com/SpiceMoneyIndia/status/1744696202296283282","https://twitter.com/SpiceMoneyIndia/status/1744696202296283282")</f>
        <v>https://twitter.com/SpiceMoneyIndia/status/1744696202296283282</v>
      </c>
      <c r="K4118" t="s">
        <v>67</v>
      </c>
      <c r="O4118">
        <v>0</v>
      </c>
      <c r="P4118">
        <v>0</v>
      </c>
      <c r="Q4118">
        <v>5988</v>
      </c>
      <c r="R4118" t="s">
        <v>97</v>
      </c>
      <c r="S4118">
        <v>0</v>
      </c>
      <c r="T4118">
        <v>0</v>
      </c>
      <c r="U4118">
        <v>0</v>
      </c>
      <c r="V4118" t="s">
        <v>98</v>
      </c>
      <c r="W4118" t="s">
        <v>99</v>
      </c>
    </row>
    <row r="4119" spans="1:23" x14ac:dyDescent="0.35">
      <c r="A4119" t="s">
        <v>45</v>
      </c>
      <c r="B4119" t="s">
        <v>8216</v>
      </c>
      <c r="C4119" t="s">
        <v>60</v>
      </c>
      <c r="D4119" t="s">
        <v>64</v>
      </c>
      <c r="E4119" t="s">
        <v>64</v>
      </c>
      <c r="F4119" t="s">
        <v>49</v>
      </c>
      <c r="G4119" t="s">
        <v>270</v>
      </c>
      <c r="H4119" t="s">
        <v>8261</v>
      </c>
      <c r="J4119" t="str">
        <f>HYPERLINK("https://www.facebook.com/634639855377280/posts/769133368594594?comment_id=388512657180921&amp;reply_comment_id=904735897967700","https://www.facebook.com/634639855377280/posts/769133368594594?comment_id=388512657180921&amp;reply_comment_id=904735897967700")</f>
        <v>https://www.facebook.com/634639855377280/posts/769133368594594?comment_id=388512657180921&amp;reply_comment_id=904735897967700</v>
      </c>
      <c r="K4119" t="s">
        <v>67</v>
      </c>
      <c r="O4119">
        <v>0</v>
      </c>
      <c r="P4119">
        <v>0</v>
      </c>
      <c r="Q4119">
        <v>0</v>
      </c>
      <c r="S4119">
        <v>0</v>
      </c>
      <c r="T4119">
        <v>0</v>
      </c>
      <c r="U4119">
        <v>0</v>
      </c>
      <c r="W4119" t="s">
        <v>52</v>
      </c>
    </row>
    <row r="4120" spans="1:23" x14ac:dyDescent="0.35">
      <c r="A4120" t="s">
        <v>45</v>
      </c>
      <c r="B4120" t="s">
        <v>8216</v>
      </c>
      <c r="C4120" t="s">
        <v>60</v>
      </c>
      <c r="D4120" t="s">
        <v>64</v>
      </c>
      <c r="E4120" t="s">
        <v>64</v>
      </c>
      <c r="F4120" t="s">
        <v>49</v>
      </c>
      <c r="G4120" t="s">
        <v>1595</v>
      </c>
      <c r="H4120" t="s">
        <v>8262</v>
      </c>
      <c r="J4120" t="str">
        <f>HYPERLINK("https://www.facebook.com/634639855377280/posts/769133368594594?comment_id=408163698213176&amp;reply_comment_id=210377752070157","https://www.facebook.com/634639855377280/posts/769133368594594?comment_id=408163698213176&amp;reply_comment_id=210377752070157")</f>
        <v>https://www.facebook.com/634639855377280/posts/769133368594594?comment_id=408163698213176&amp;reply_comment_id=210377752070157</v>
      </c>
      <c r="K4120" t="s">
        <v>67</v>
      </c>
      <c r="O4120">
        <v>0</v>
      </c>
      <c r="P4120">
        <v>0</v>
      </c>
      <c r="Q4120">
        <v>0</v>
      </c>
      <c r="S4120">
        <v>0</v>
      </c>
      <c r="T4120">
        <v>0</v>
      </c>
      <c r="U4120">
        <v>0</v>
      </c>
      <c r="W4120" t="s">
        <v>52</v>
      </c>
    </row>
    <row r="4121" spans="1:23" x14ac:dyDescent="0.35">
      <c r="A4121" t="s">
        <v>45</v>
      </c>
      <c r="B4121" t="s">
        <v>8216</v>
      </c>
      <c r="C4121" t="s">
        <v>93</v>
      </c>
      <c r="D4121" t="s">
        <v>7886</v>
      </c>
      <c r="E4121" t="s">
        <v>7887</v>
      </c>
      <c r="F4121" t="s">
        <v>49</v>
      </c>
      <c r="G4121" t="s">
        <v>8263</v>
      </c>
      <c r="H4121" t="s">
        <v>8264</v>
      </c>
      <c r="J4121" t="str">
        <f>HYPERLINK("https://twitter.com/Shahealam8756/status/1744694985600201023","https://twitter.com/Shahealam8756/status/1744694985600201023")</f>
        <v>https://twitter.com/Shahealam8756/status/1744694985600201023</v>
      </c>
      <c r="K4121" t="s">
        <v>67</v>
      </c>
      <c r="O4121">
        <v>0</v>
      </c>
      <c r="P4121">
        <v>0</v>
      </c>
      <c r="Q4121">
        <v>199</v>
      </c>
      <c r="R4121" t="s">
        <v>7890</v>
      </c>
      <c r="S4121">
        <v>0</v>
      </c>
      <c r="T4121">
        <v>0</v>
      </c>
      <c r="U4121">
        <v>0</v>
      </c>
      <c r="W4121" t="s">
        <v>99</v>
      </c>
    </row>
    <row r="4122" spans="1:23" x14ac:dyDescent="0.35">
      <c r="A4122" t="s">
        <v>45</v>
      </c>
      <c r="B4122" t="s">
        <v>8216</v>
      </c>
      <c r="C4122" t="s">
        <v>60</v>
      </c>
      <c r="D4122" t="s">
        <v>64</v>
      </c>
      <c r="E4122" t="s">
        <v>64</v>
      </c>
      <c r="F4122" t="s">
        <v>49</v>
      </c>
      <c r="G4122" t="s">
        <v>8265</v>
      </c>
      <c r="H4122" t="s">
        <v>8266</v>
      </c>
      <c r="J4122" t="str">
        <f>HYPERLINK("https://www.facebook.com/634639855377280/posts/769133368594594?comment_id=349323467867980&amp;reply_comment_id=1104461684068168","https://www.facebook.com/634639855377280/posts/769133368594594?comment_id=349323467867980&amp;reply_comment_id=1104461684068168")</f>
        <v>https://www.facebook.com/634639855377280/posts/769133368594594?comment_id=349323467867980&amp;reply_comment_id=1104461684068168</v>
      </c>
      <c r="K4122" t="s">
        <v>67</v>
      </c>
      <c r="O4122">
        <v>0</v>
      </c>
      <c r="P4122">
        <v>0</v>
      </c>
      <c r="Q4122">
        <v>0</v>
      </c>
      <c r="S4122">
        <v>0</v>
      </c>
      <c r="T4122">
        <v>0</v>
      </c>
      <c r="U4122">
        <v>0</v>
      </c>
      <c r="W4122" t="s">
        <v>52</v>
      </c>
    </row>
    <row r="4123" spans="1:23" x14ac:dyDescent="0.35">
      <c r="A4123" t="s">
        <v>45</v>
      </c>
      <c r="B4123" t="s">
        <v>8216</v>
      </c>
      <c r="C4123" t="s">
        <v>47</v>
      </c>
      <c r="D4123" t="s">
        <v>68</v>
      </c>
      <c r="E4123" t="s">
        <v>68</v>
      </c>
      <c r="F4123" t="s">
        <v>49</v>
      </c>
      <c r="G4123" t="s">
        <v>293</v>
      </c>
      <c r="H4123" t="s">
        <v>8267</v>
      </c>
      <c r="J4123" t="str">
        <f>HYPERLINK("https://www.youtube.com/watch?v=fi0KMSdJZZY&amp;lc=UgyPnzhuAfY6JmeDlo54AaABAg.9zLgvdp2DEi9zLlvWzSVuD","https://www.youtube.com/watch?v=fi0KMSdJZZY&amp;lc=UgyPnzhuAfY6JmeDlo54AaABAg.9zLgvdp2DEi9zLlvWzSVuD")</f>
        <v>https://www.youtube.com/watch?v=fi0KMSdJZZY&amp;lc=UgyPnzhuAfY6JmeDlo54AaABAg.9zLgvdp2DEi9zLlvWzSVuD</v>
      </c>
      <c r="O4123">
        <v>0</v>
      </c>
      <c r="P4123">
        <v>0</v>
      </c>
      <c r="Q4123">
        <v>0</v>
      </c>
      <c r="S4123">
        <v>0</v>
      </c>
      <c r="T4123">
        <v>0</v>
      </c>
      <c r="U4123">
        <v>0</v>
      </c>
      <c r="W4123" t="s">
        <v>52</v>
      </c>
    </row>
    <row r="4124" spans="1:23" x14ac:dyDescent="0.35">
      <c r="A4124" t="s">
        <v>45</v>
      </c>
      <c r="B4124" t="s">
        <v>8216</v>
      </c>
      <c r="C4124" t="s">
        <v>93</v>
      </c>
      <c r="D4124" t="s">
        <v>94</v>
      </c>
      <c r="E4124" t="s">
        <v>45</v>
      </c>
      <c r="F4124" t="s">
        <v>49</v>
      </c>
      <c r="G4124" t="s">
        <v>8268</v>
      </c>
      <c r="H4124" t="s">
        <v>8269</v>
      </c>
      <c r="J4124" t="str">
        <f>HYPERLINK("https://twitter.com/SpiceMoneyIndia/status/1744694245607309776","https://twitter.com/SpiceMoneyIndia/status/1744694245607309776")</f>
        <v>https://twitter.com/SpiceMoneyIndia/status/1744694245607309776</v>
      </c>
      <c r="K4124" t="s">
        <v>67</v>
      </c>
      <c r="O4124">
        <v>0</v>
      </c>
      <c r="P4124">
        <v>0</v>
      </c>
      <c r="Q4124">
        <v>5987</v>
      </c>
      <c r="R4124" t="s">
        <v>97</v>
      </c>
      <c r="S4124">
        <v>0</v>
      </c>
      <c r="T4124">
        <v>0</v>
      </c>
      <c r="U4124">
        <v>0</v>
      </c>
      <c r="V4124" t="s">
        <v>98</v>
      </c>
      <c r="W4124" t="s">
        <v>99</v>
      </c>
    </row>
    <row r="4125" spans="1:23" x14ac:dyDescent="0.35">
      <c r="A4125" t="s">
        <v>45</v>
      </c>
      <c r="B4125" t="s">
        <v>8216</v>
      </c>
      <c r="C4125" t="s">
        <v>47</v>
      </c>
      <c r="D4125" t="s">
        <v>68</v>
      </c>
      <c r="E4125" t="s">
        <v>68</v>
      </c>
      <c r="F4125" t="s">
        <v>49</v>
      </c>
      <c r="G4125" t="s">
        <v>102</v>
      </c>
      <c r="H4125" t="s">
        <v>8270</v>
      </c>
      <c r="J4125" t="str">
        <f>HYPERLINK("https://www.youtube.com/watch?v=Un06w8WhYRg&amp;lc=UgwcawFLqIi6phV9e2J4AaABAg.9zKq9fpeIa09zLldrMvgBf","https://www.youtube.com/watch?v=Un06w8WhYRg&amp;lc=UgwcawFLqIi6phV9e2J4AaABAg.9zKq9fpeIa09zLldrMvgBf")</f>
        <v>https://www.youtube.com/watch?v=Un06w8WhYRg&amp;lc=UgwcawFLqIi6phV9e2J4AaABAg.9zKq9fpeIa09zLldrMvgBf</v>
      </c>
      <c r="O4125">
        <v>0</v>
      </c>
      <c r="P4125">
        <v>0</v>
      </c>
      <c r="Q4125">
        <v>0</v>
      </c>
      <c r="S4125">
        <v>0</v>
      </c>
      <c r="T4125">
        <v>0</v>
      </c>
      <c r="U4125">
        <v>0</v>
      </c>
      <c r="W4125" t="s">
        <v>52</v>
      </c>
    </row>
    <row r="4126" spans="1:23" x14ac:dyDescent="0.35">
      <c r="A4126" t="s">
        <v>45</v>
      </c>
      <c r="B4126" t="s">
        <v>8216</v>
      </c>
      <c r="C4126" t="s">
        <v>47</v>
      </c>
      <c r="D4126" t="s">
        <v>68</v>
      </c>
      <c r="E4126" t="s">
        <v>68</v>
      </c>
      <c r="F4126" t="s">
        <v>49</v>
      </c>
      <c r="G4126" t="s">
        <v>102</v>
      </c>
      <c r="H4126" t="s">
        <v>8271</v>
      </c>
      <c r="J4126" t="str">
        <f>HYPERLINK("https://www.youtube.com/watch?v=Un06w8WhYRg&amp;lc=UgzGaE6Wlm32stMzClZ4AaABAg.9zLKkALuRsp9zLlSgrIiBv","https://www.youtube.com/watch?v=Un06w8WhYRg&amp;lc=UgzGaE6Wlm32stMzClZ4AaABAg.9zLKkALuRsp9zLlSgrIiBv")</f>
        <v>https://www.youtube.com/watch?v=Un06w8WhYRg&amp;lc=UgzGaE6Wlm32stMzClZ4AaABAg.9zLKkALuRsp9zLlSgrIiBv</v>
      </c>
      <c r="O4126">
        <v>0</v>
      </c>
      <c r="P4126">
        <v>0</v>
      </c>
      <c r="Q4126">
        <v>0</v>
      </c>
      <c r="S4126">
        <v>0</v>
      </c>
      <c r="T4126">
        <v>0</v>
      </c>
      <c r="U4126">
        <v>0</v>
      </c>
      <c r="W4126" t="s">
        <v>52</v>
      </c>
    </row>
    <row r="4127" spans="1:23" x14ac:dyDescent="0.35">
      <c r="A4127" t="s">
        <v>45</v>
      </c>
      <c r="B4127" t="s">
        <v>8216</v>
      </c>
      <c r="C4127" t="s">
        <v>47</v>
      </c>
      <c r="D4127" t="s">
        <v>68</v>
      </c>
      <c r="E4127" t="s">
        <v>68</v>
      </c>
      <c r="F4127" t="s">
        <v>49</v>
      </c>
      <c r="G4127" t="s">
        <v>102</v>
      </c>
      <c r="H4127" t="s">
        <v>8272</v>
      </c>
      <c r="J4127" t="str">
        <f>HYPERLINK("https://www.youtube.com/watch?v=5DADCSRiE3A&amp;lc=Ugz0yWwZ8lyt0mIhIi54AaABAg.9zLG3_IgUNT9zLlJ3fGluk","https://www.youtube.com/watch?v=5DADCSRiE3A&amp;lc=Ugz0yWwZ8lyt0mIhIi54AaABAg.9zLG3_IgUNT9zLlJ3fGluk")</f>
        <v>https://www.youtube.com/watch?v=5DADCSRiE3A&amp;lc=Ugz0yWwZ8lyt0mIhIi54AaABAg.9zLG3_IgUNT9zLlJ3fGluk</v>
      </c>
      <c r="O4127">
        <v>0</v>
      </c>
      <c r="P4127">
        <v>0</v>
      </c>
      <c r="Q4127">
        <v>0</v>
      </c>
      <c r="S4127">
        <v>0</v>
      </c>
      <c r="T4127">
        <v>0</v>
      </c>
      <c r="U4127">
        <v>0</v>
      </c>
      <c r="W4127" t="s">
        <v>52</v>
      </c>
    </row>
    <row r="4128" spans="1:23" x14ac:dyDescent="0.35">
      <c r="A4128" t="s">
        <v>45</v>
      </c>
      <c r="B4128" t="s">
        <v>8216</v>
      </c>
      <c r="C4128" t="s">
        <v>93</v>
      </c>
      <c r="D4128" t="s">
        <v>94</v>
      </c>
      <c r="E4128" t="s">
        <v>45</v>
      </c>
      <c r="F4128" t="s">
        <v>49</v>
      </c>
      <c r="G4128" t="s">
        <v>8273</v>
      </c>
      <c r="H4128" t="s">
        <v>8274</v>
      </c>
      <c r="J4128" t="str">
        <f>HYPERLINK("https://twitter.com/SpiceMoneyIndia/status/1744689975440920911","https://twitter.com/SpiceMoneyIndia/status/1744689975440920911")</f>
        <v>https://twitter.com/SpiceMoneyIndia/status/1744689975440920911</v>
      </c>
      <c r="K4128" t="s">
        <v>67</v>
      </c>
      <c r="O4128">
        <v>0</v>
      </c>
      <c r="P4128">
        <v>0</v>
      </c>
      <c r="Q4128">
        <v>5987</v>
      </c>
      <c r="R4128" t="s">
        <v>97</v>
      </c>
      <c r="S4128">
        <v>0</v>
      </c>
      <c r="T4128">
        <v>0</v>
      </c>
      <c r="U4128">
        <v>0</v>
      </c>
      <c r="V4128" t="s">
        <v>98</v>
      </c>
      <c r="W4128" t="s">
        <v>99</v>
      </c>
    </row>
    <row r="4129" spans="1:23" x14ac:dyDescent="0.35">
      <c r="A4129" t="s">
        <v>45</v>
      </c>
      <c r="B4129" t="s">
        <v>8216</v>
      </c>
      <c r="C4129" t="s">
        <v>47</v>
      </c>
      <c r="D4129" t="s">
        <v>8275</v>
      </c>
      <c r="E4129" t="s">
        <v>8275</v>
      </c>
      <c r="F4129" t="s">
        <v>49</v>
      </c>
      <c r="G4129" t="s">
        <v>8276</v>
      </c>
      <c r="H4129" t="s">
        <v>8277</v>
      </c>
      <c r="J4129" t="str">
        <f>HYPERLINK("https://www.youtube.com/watch?v=fi0KMSdJZZY&amp;lc=UgyPnzhuAfY6JmeDlo54AaABAg","https://www.youtube.com/watch?v=fi0KMSdJZZY&amp;lc=UgyPnzhuAfY6JmeDlo54AaABAg")</f>
        <v>https://www.youtube.com/watch?v=fi0KMSdJZZY&amp;lc=UgyPnzhuAfY6JmeDlo54AaABAg</v>
      </c>
      <c r="O4129">
        <v>0</v>
      </c>
      <c r="P4129">
        <v>0</v>
      </c>
      <c r="Q4129">
        <v>0</v>
      </c>
      <c r="S4129">
        <v>0</v>
      </c>
      <c r="T4129">
        <v>0</v>
      </c>
      <c r="U4129">
        <v>0</v>
      </c>
      <c r="W4129" t="s">
        <v>52</v>
      </c>
    </row>
    <row r="4130" spans="1:23" x14ac:dyDescent="0.35">
      <c r="A4130" t="s">
        <v>45</v>
      </c>
      <c r="B4130" t="s">
        <v>8216</v>
      </c>
      <c r="C4130" t="s">
        <v>93</v>
      </c>
      <c r="D4130" t="s">
        <v>8278</v>
      </c>
      <c r="E4130" t="s">
        <v>8279</v>
      </c>
      <c r="F4130" t="s">
        <v>193</v>
      </c>
      <c r="G4130" t="s">
        <v>8227</v>
      </c>
      <c r="H4130" t="s">
        <v>8280</v>
      </c>
      <c r="J4130" t="str">
        <f>HYPERLINK("https://twitter.com/kshatriya_media/status/1744678152985833546","https://twitter.com/kshatriya_media/status/1744678152985833546")</f>
        <v>https://twitter.com/kshatriya_media/status/1744678152985833546</v>
      </c>
      <c r="O4130">
        <v>0</v>
      </c>
      <c r="P4130">
        <v>0</v>
      </c>
      <c r="Q4130">
        <v>2212</v>
      </c>
      <c r="R4130" t="s">
        <v>8281</v>
      </c>
      <c r="S4130">
        <v>0</v>
      </c>
      <c r="T4130">
        <v>0</v>
      </c>
      <c r="U4130">
        <v>0</v>
      </c>
      <c r="W4130" t="s">
        <v>433</v>
      </c>
    </row>
    <row r="4131" spans="1:23" x14ac:dyDescent="0.35">
      <c r="A4131" t="s">
        <v>45</v>
      </c>
      <c r="B4131" t="s">
        <v>8216</v>
      </c>
      <c r="C4131" t="s">
        <v>93</v>
      </c>
      <c r="D4131" t="s">
        <v>7886</v>
      </c>
      <c r="E4131" t="s">
        <v>7887</v>
      </c>
      <c r="F4131" t="s">
        <v>49</v>
      </c>
      <c r="G4131" t="s">
        <v>8282</v>
      </c>
      <c r="H4131" t="s">
        <v>8283</v>
      </c>
      <c r="J4131" t="str">
        <f>HYPERLINK("https://twitter.com/Shahealam8756/status/1744676651492106710","https://twitter.com/Shahealam8756/status/1744676651492106710")</f>
        <v>https://twitter.com/Shahealam8756/status/1744676651492106710</v>
      </c>
      <c r="K4131" t="s">
        <v>67</v>
      </c>
      <c r="O4131">
        <v>0</v>
      </c>
      <c r="P4131">
        <v>0</v>
      </c>
      <c r="Q4131">
        <v>199</v>
      </c>
      <c r="R4131" t="s">
        <v>7890</v>
      </c>
      <c r="S4131">
        <v>0</v>
      </c>
      <c r="T4131">
        <v>0</v>
      </c>
      <c r="U4131">
        <v>0</v>
      </c>
      <c r="W4131" t="s">
        <v>99</v>
      </c>
    </row>
    <row r="4132" spans="1:23" x14ac:dyDescent="0.35">
      <c r="A4132" t="s">
        <v>45</v>
      </c>
      <c r="B4132" t="s">
        <v>8216</v>
      </c>
      <c r="C4132" t="s">
        <v>93</v>
      </c>
      <c r="D4132" t="s">
        <v>8284</v>
      </c>
      <c r="E4132" t="s">
        <v>8285</v>
      </c>
      <c r="F4132" t="s">
        <v>193</v>
      </c>
      <c r="G4132" t="s">
        <v>8227</v>
      </c>
      <c r="H4132" t="s">
        <v>8286</v>
      </c>
      <c r="J4132" t="str">
        <f>HYPERLINK("https://twitter.com/PRGBishnoi/status/1744676162104647882","https://twitter.com/PRGBishnoi/status/1744676162104647882")</f>
        <v>https://twitter.com/PRGBishnoi/status/1744676162104647882</v>
      </c>
      <c r="K4132" t="s">
        <v>67</v>
      </c>
      <c r="O4132">
        <v>0</v>
      </c>
      <c r="P4132">
        <v>0</v>
      </c>
      <c r="Q4132">
        <v>9354</v>
      </c>
      <c r="R4132" t="s">
        <v>8287</v>
      </c>
      <c r="S4132">
        <v>0</v>
      </c>
      <c r="T4132">
        <v>0</v>
      </c>
      <c r="U4132">
        <v>0</v>
      </c>
      <c r="V4132" t="s">
        <v>98</v>
      </c>
      <c r="W4132" t="s">
        <v>433</v>
      </c>
    </row>
    <row r="4133" spans="1:23" x14ac:dyDescent="0.35">
      <c r="A4133" t="s">
        <v>45</v>
      </c>
      <c r="B4133" t="s">
        <v>8216</v>
      </c>
      <c r="C4133" t="s">
        <v>60</v>
      </c>
      <c r="D4133" t="s">
        <v>61</v>
      </c>
      <c r="E4133" t="s">
        <v>61</v>
      </c>
      <c r="F4133" t="s">
        <v>49</v>
      </c>
      <c r="G4133" t="s">
        <v>8288</v>
      </c>
      <c r="H4133" t="s">
        <v>8289</v>
      </c>
      <c r="J4133" t="str">
        <f>HYPERLINK("https://www.facebook.com/634639855377280/posts/769133368594594?comment_id=183421828162519","https://www.facebook.com/634639855377280/posts/769133368594594?comment_id=183421828162519")</f>
        <v>https://www.facebook.com/634639855377280/posts/769133368594594?comment_id=183421828162519</v>
      </c>
      <c r="O4133">
        <v>0</v>
      </c>
      <c r="P4133">
        <v>0</v>
      </c>
      <c r="Q4133">
        <v>0</v>
      </c>
      <c r="S4133">
        <v>0</v>
      </c>
      <c r="T4133">
        <v>0</v>
      </c>
      <c r="U4133">
        <v>0</v>
      </c>
      <c r="W4133" t="s">
        <v>52</v>
      </c>
    </row>
    <row r="4134" spans="1:23" x14ac:dyDescent="0.35">
      <c r="A4134" t="s">
        <v>45</v>
      </c>
      <c r="B4134" t="s">
        <v>8216</v>
      </c>
      <c r="C4134" t="s">
        <v>60</v>
      </c>
      <c r="D4134" t="s">
        <v>61</v>
      </c>
      <c r="E4134" t="s">
        <v>61</v>
      </c>
      <c r="F4134" t="s">
        <v>49</v>
      </c>
      <c r="G4134" t="s">
        <v>8290</v>
      </c>
      <c r="H4134" t="s">
        <v>8291</v>
      </c>
      <c r="J4134" t="str">
        <f>HYPERLINK("https://www.facebook.com/634639855377280/posts/769133368594594?comment_id=704935184751910","https://www.facebook.com/634639855377280/posts/769133368594594?comment_id=704935184751910")</f>
        <v>https://www.facebook.com/634639855377280/posts/769133368594594?comment_id=704935184751910</v>
      </c>
      <c r="O4134">
        <v>0</v>
      </c>
      <c r="P4134">
        <v>0</v>
      </c>
      <c r="Q4134">
        <v>0</v>
      </c>
      <c r="S4134">
        <v>0</v>
      </c>
      <c r="T4134">
        <v>0</v>
      </c>
      <c r="U4134">
        <v>0</v>
      </c>
      <c r="W4134" t="s">
        <v>52</v>
      </c>
    </row>
    <row r="4135" spans="1:23" x14ac:dyDescent="0.35">
      <c r="A4135" t="s">
        <v>45</v>
      </c>
      <c r="B4135" t="s">
        <v>8216</v>
      </c>
      <c r="C4135" t="s">
        <v>60</v>
      </c>
      <c r="D4135" t="s">
        <v>61</v>
      </c>
      <c r="E4135" t="s">
        <v>61</v>
      </c>
      <c r="F4135" t="s">
        <v>49</v>
      </c>
      <c r="G4135" t="s">
        <v>8292</v>
      </c>
      <c r="H4135" t="s">
        <v>8293</v>
      </c>
      <c r="J4135" t="str">
        <f>HYPERLINK("https://www.facebook.com/634639855377280/posts/769133368594594?comment_id=349323467867980","https://www.facebook.com/634639855377280/posts/769133368594594?comment_id=349323467867980")</f>
        <v>https://www.facebook.com/634639855377280/posts/769133368594594?comment_id=349323467867980</v>
      </c>
      <c r="O4135">
        <v>0</v>
      </c>
      <c r="P4135">
        <v>0</v>
      </c>
      <c r="Q4135">
        <v>0</v>
      </c>
      <c r="S4135">
        <v>0</v>
      </c>
      <c r="T4135">
        <v>0</v>
      </c>
      <c r="U4135">
        <v>0</v>
      </c>
      <c r="W4135" t="s">
        <v>52</v>
      </c>
    </row>
    <row r="4136" spans="1:23" x14ac:dyDescent="0.35">
      <c r="A4136" t="s">
        <v>45</v>
      </c>
      <c r="B4136" t="s">
        <v>8216</v>
      </c>
      <c r="C4136" t="s">
        <v>60</v>
      </c>
      <c r="D4136" t="s">
        <v>61</v>
      </c>
      <c r="E4136" t="s">
        <v>61</v>
      </c>
      <c r="F4136" t="s">
        <v>49</v>
      </c>
      <c r="G4136" t="s">
        <v>8294</v>
      </c>
      <c r="H4136" t="s">
        <v>8295</v>
      </c>
      <c r="J4136" t="str">
        <f>HYPERLINK("https://www.facebook.com/634639855377280/posts/766738295500768?comment_id=948910393438714","https://www.facebook.com/634639855377280/posts/766738295500768?comment_id=948910393438714")</f>
        <v>https://www.facebook.com/634639855377280/posts/766738295500768?comment_id=948910393438714</v>
      </c>
      <c r="O4136">
        <v>0</v>
      </c>
      <c r="P4136">
        <v>0</v>
      </c>
      <c r="Q4136">
        <v>0</v>
      </c>
      <c r="S4136">
        <v>0</v>
      </c>
      <c r="T4136">
        <v>0</v>
      </c>
      <c r="U4136">
        <v>0</v>
      </c>
      <c r="W4136" t="s">
        <v>52</v>
      </c>
    </row>
    <row r="4137" spans="1:23" x14ac:dyDescent="0.35">
      <c r="A4137" t="s">
        <v>45</v>
      </c>
      <c r="B4137" t="s">
        <v>8216</v>
      </c>
      <c r="C4137" t="s">
        <v>60</v>
      </c>
      <c r="D4137" t="s">
        <v>61</v>
      </c>
      <c r="E4137" t="s">
        <v>61</v>
      </c>
      <c r="F4137" t="s">
        <v>49</v>
      </c>
      <c r="G4137" t="s">
        <v>8296</v>
      </c>
      <c r="H4137" t="s">
        <v>8297</v>
      </c>
      <c r="J4137" t="str">
        <f>HYPERLINK("https://www.facebook.com/634639855377280/posts/769133368594594?comment_id=408163698213176","https://www.facebook.com/634639855377280/posts/769133368594594?comment_id=408163698213176")</f>
        <v>https://www.facebook.com/634639855377280/posts/769133368594594?comment_id=408163698213176</v>
      </c>
      <c r="O4137">
        <v>0</v>
      </c>
      <c r="P4137">
        <v>0</v>
      </c>
      <c r="Q4137">
        <v>0</v>
      </c>
      <c r="S4137">
        <v>0</v>
      </c>
      <c r="T4137">
        <v>0</v>
      </c>
      <c r="U4137">
        <v>0</v>
      </c>
      <c r="W4137" t="s">
        <v>52</v>
      </c>
    </row>
    <row r="4138" spans="1:23" x14ac:dyDescent="0.35">
      <c r="A4138" t="s">
        <v>45</v>
      </c>
      <c r="B4138" t="s">
        <v>8216</v>
      </c>
      <c r="C4138" t="s">
        <v>60</v>
      </c>
      <c r="D4138" t="s">
        <v>61</v>
      </c>
      <c r="E4138" t="s">
        <v>61</v>
      </c>
      <c r="F4138" t="s">
        <v>49</v>
      </c>
      <c r="G4138" t="s">
        <v>8298</v>
      </c>
      <c r="H4138" t="s">
        <v>8299</v>
      </c>
      <c r="J4138" t="str">
        <f>HYPERLINK("https://www.facebook.com/634639855377280/posts/769133368594594?comment_id=754626166585217","https://www.facebook.com/634639855377280/posts/769133368594594?comment_id=754626166585217")</f>
        <v>https://www.facebook.com/634639855377280/posts/769133368594594?comment_id=754626166585217</v>
      </c>
      <c r="O4138">
        <v>0</v>
      </c>
      <c r="P4138">
        <v>0</v>
      </c>
      <c r="Q4138">
        <v>0</v>
      </c>
      <c r="S4138">
        <v>0</v>
      </c>
      <c r="T4138">
        <v>0</v>
      </c>
      <c r="U4138">
        <v>0</v>
      </c>
      <c r="W4138" t="s">
        <v>52</v>
      </c>
    </row>
    <row r="4139" spans="1:23" x14ac:dyDescent="0.35">
      <c r="A4139" t="s">
        <v>45</v>
      </c>
      <c r="B4139" t="s">
        <v>8216</v>
      </c>
      <c r="C4139" t="s">
        <v>60</v>
      </c>
      <c r="D4139" t="s">
        <v>61</v>
      </c>
      <c r="E4139" t="s">
        <v>61</v>
      </c>
      <c r="F4139" t="s">
        <v>49</v>
      </c>
      <c r="G4139" t="s">
        <v>8300</v>
      </c>
      <c r="H4139" t="s">
        <v>8301</v>
      </c>
      <c r="J4139" t="str">
        <f>HYPERLINK("https://www.facebook.com/634639855377280/posts/769133368594594?comment_id=388512657180921","https://www.facebook.com/634639855377280/posts/769133368594594?comment_id=388512657180921")</f>
        <v>https://www.facebook.com/634639855377280/posts/769133368594594?comment_id=388512657180921</v>
      </c>
      <c r="O4139">
        <v>0</v>
      </c>
      <c r="P4139">
        <v>0</v>
      </c>
      <c r="Q4139">
        <v>0</v>
      </c>
      <c r="S4139">
        <v>0</v>
      </c>
      <c r="T4139">
        <v>0</v>
      </c>
      <c r="U4139">
        <v>0</v>
      </c>
      <c r="W4139" t="s">
        <v>52</v>
      </c>
    </row>
    <row r="4140" spans="1:23" x14ac:dyDescent="0.35">
      <c r="A4140" t="s">
        <v>45</v>
      </c>
      <c r="B4140" t="s">
        <v>8216</v>
      </c>
      <c r="C4140" t="s">
        <v>60</v>
      </c>
      <c r="D4140" t="s">
        <v>61</v>
      </c>
      <c r="E4140" t="s">
        <v>61</v>
      </c>
      <c r="F4140" t="s">
        <v>49</v>
      </c>
      <c r="G4140" t="s">
        <v>8302</v>
      </c>
      <c r="H4140" t="s">
        <v>8303</v>
      </c>
      <c r="J4140" t="str">
        <f>HYPERLINK("https://www.facebook.com/634639855377280/posts/769133368594594?comment_id=1374050163269458","https://www.facebook.com/634639855377280/posts/769133368594594?comment_id=1374050163269458")</f>
        <v>https://www.facebook.com/634639855377280/posts/769133368594594?comment_id=1374050163269458</v>
      </c>
      <c r="O4140">
        <v>0</v>
      </c>
      <c r="P4140">
        <v>0</v>
      </c>
      <c r="Q4140">
        <v>0</v>
      </c>
      <c r="S4140">
        <v>0</v>
      </c>
      <c r="T4140">
        <v>0</v>
      </c>
      <c r="U4140">
        <v>0</v>
      </c>
      <c r="W4140" t="s">
        <v>52</v>
      </c>
    </row>
    <row r="4141" spans="1:23" x14ac:dyDescent="0.35">
      <c r="A4141" t="s">
        <v>45</v>
      </c>
      <c r="B4141" t="s">
        <v>8216</v>
      </c>
      <c r="C4141" t="s">
        <v>93</v>
      </c>
      <c r="D4141" t="s">
        <v>94</v>
      </c>
      <c r="E4141" t="s">
        <v>45</v>
      </c>
      <c r="F4141" t="s">
        <v>49</v>
      </c>
      <c r="G4141" t="s">
        <v>8304</v>
      </c>
      <c r="H4141" t="s">
        <v>8305</v>
      </c>
      <c r="J4141" t="str">
        <f>HYPERLINK("https://twitter.com/SpiceMoneyIndia/status/1744651357443981579","https://twitter.com/SpiceMoneyIndia/status/1744651357443981579")</f>
        <v>https://twitter.com/SpiceMoneyIndia/status/1744651357443981579</v>
      </c>
      <c r="K4141" t="s">
        <v>67</v>
      </c>
      <c r="O4141">
        <v>0</v>
      </c>
      <c r="P4141">
        <v>0</v>
      </c>
      <c r="Q4141">
        <v>5983</v>
      </c>
      <c r="R4141" t="s">
        <v>97</v>
      </c>
      <c r="S4141">
        <v>0</v>
      </c>
      <c r="T4141">
        <v>0</v>
      </c>
      <c r="U4141">
        <v>0</v>
      </c>
      <c r="V4141" t="s">
        <v>98</v>
      </c>
      <c r="W4141" t="s">
        <v>99</v>
      </c>
    </row>
    <row r="4142" spans="1:23" x14ac:dyDescent="0.35">
      <c r="A4142" t="s">
        <v>45</v>
      </c>
      <c r="B4142" t="s">
        <v>8216</v>
      </c>
      <c r="C4142" t="s">
        <v>60</v>
      </c>
      <c r="D4142" t="s">
        <v>64</v>
      </c>
      <c r="E4142" t="s">
        <v>64</v>
      </c>
      <c r="F4142" t="s">
        <v>49</v>
      </c>
      <c r="G4142" t="s">
        <v>8306</v>
      </c>
      <c r="H4142" t="s">
        <v>8307</v>
      </c>
      <c r="J4142" t="str">
        <f>HYPERLINK("https://www.facebook.com/634639855377280/posts/769133368594594","https://www.facebook.com/634639855377280/posts/769133368594594")</f>
        <v>https://www.facebook.com/634639855377280/posts/769133368594594</v>
      </c>
      <c r="O4142">
        <v>0</v>
      </c>
      <c r="P4142">
        <v>0</v>
      </c>
      <c r="Q4142">
        <v>0</v>
      </c>
      <c r="S4142">
        <v>24</v>
      </c>
      <c r="T4142">
        <v>103</v>
      </c>
      <c r="U4142">
        <v>9</v>
      </c>
      <c r="W4142" t="s">
        <v>346</v>
      </c>
    </row>
    <row r="4143" spans="1:23" x14ac:dyDescent="0.35">
      <c r="A4143" t="s">
        <v>45</v>
      </c>
      <c r="B4143" t="s">
        <v>8216</v>
      </c>
      <c r="C4143" t="s">
        <v>47</v>
      </c>
      <c r="D4143" t="s">
        <v>8308</v>
      </c>
      <c r="E4143" t="s">
        <v>8308</v>
      </c>
      <c r="F4143" t="s">
        <v>49</v>
      </c>
      <c r="G4143" t="s">
        <v>8309</v>
      </c>
      <c r="H4143" t="s">
        <v>8310</v>
      </c>
      <c r="J4143" t="str">
        <f>HYPERLINK("https://www.youtube.com/watch?v=Un06w8WhYRg&amp;lc=UgzGaE6Wlm32stMzClZ4AaABAg","https://www.youtube.com/watch?v=Un06w8WhYRg&amp;lc=UgzGaE6Wlm32stMzClZ4AaABAg")</f>
        <v>https://www.youtube.com/watch?v=Un06w8WhYRg&amp;lc=UgzGaE6Wlm32stMzClZ4AaABAg</v>
      </c>
      <c r="O4143">
        <v>0</v>
      </c>
      <c r="P4143">
        <v>0</v>
      </c>
      <c r="Q4143">
        <v>0</v>
      </c>
      <c r="S4143">
        <v>0</v>
      </c>
      <c r="T4143">
        <v>0</v>
      </c>
      <c r="U4143">
        <v>0</v>
      </c>
      <c r="W4143" t="s">
        <v>52</v>
      </c>
    </row>
    <row r="4144" spans="1:23" x14ac:dyDescent="0.35">
      <c r="A4144" t="s">
        <v>45</v>
      </c>
      <c r="B4144" t="s">
        <v>8216</v>
      </c>
      <c r="C4144" t="s">
        <v>93</v>
      </c>
      <c r="D4144" t="s">
        <v>8311</v>
      </c>
      <c r="E4144" t="s">
        <v>8312</v>
      </c>
      <c r="F4144" t="s">
        <v>49</v>
      </c>
      <c r="G4144" t="s">
        <v>8313</v>
      </c>
      <c r="H4144" t="s">
        <v>8314</v>
      </c>
      <c r="J4144" t="str">
        <f>HYPERLINK("https://twitter.com/blsdewatu/status/1744629963989631036","https://twitter.com/blsdewatu/status/1744629963989631036")</f>
        <v>https://twitter.com/blsdewatu/status/1744629963989631036</v>
      </c>
      <c r="K4144" t="s">
        <v>67</v>
      </c>
      <c r="O4144">
        <v>0</v>
      </c>
      <c r="P4144">
        <v>0</v>
      </c>
      <c r="Q4144">
        <v>20</v>
      </c>
      <c r="R4144" t="s">
        <v>8315</v>
      </c>
      <c r="S4144">
        <v>0</v>
      </c>
      <c r="T4144">
        <v>0</v>
      </c>
      <c r="U4144">
        <v>0</v>
      </c>
      <c r="W4144" t="s">
        <v>99</v>
      </c>
    </row>
    <row r="4145" spans="1:23" x14ac:dyDescent="0.35">
      <c r="A4145" t="s">
        <v>45</v>
      </c>
      <c r="B4145" t="s">
        <v>8216</v>
      </c>
      <c r="C4145" t="s">
        <v>93</v>
      </c>
      <c r="D4145" t="s">
        <v>6487</v>
      </c>
      <c r="E4145" t="s">
        <v>6488</v>
      </c>
      <c r="F4145" t="s">
        <v>193</v>
      </c>
      <c r="G4145" t="s">
        <v>8227</v>
      </c>
      <c r="H4145" t="s">
        <v>8316</v>
      </c>
      <c r="J4145" t="str">
        <f>HYPERLINK("https://twitter.com/jalam_inda_07/status/1744629124814307700","https://twitter.com/jalam_inda_07/status/1744629124814307700")</f>
        <v>https://twitter.com/jalam_inda_07/status/1744629124814307700</v>
      </c>
      <c r="K4145" t="s">
        <v>67</v>
      </c>
      <c r="O4145">
        <v>0</v>
      </c>
      <c r="P4145">
        <v>0</v>
      </c>
      <c r="Q4145">
        <v>0</v>
      </c>
      <c r="S4145">
        <v>0</v>
      </c>
      <c r="T4145">
        <v>0</v>
      </c>
      <c r="U4145">
        <v>0</v>
      </c>
      <c r="W4145" t="s">
        <v>99</v>
      </c>
    </row>
    <row r="4146" spans="1:23" x14ac:dyDescent="0.35">
      <c r="A4146" t="s">
        <v>45</v>
      </c>
      <c r="B4146" t="s">
        <v>8216</v>
      </c>
      <c r="C4146" t="s">
        <v>93</v>
      </c>
      <c r="D4146" t="s">
        <v>94</v>
      </c>
      <c r="E4146" t="s">
        <v>45</v>
      </c>
      <c r="F4146" t="s">
        <v>49</v>
      </c>
      <c r="G4146" t="s">
        <v>8317</v>
      </c>
      <c r="H4146" t="s">
        <v>8318</v>
      </c>
      <c r="J4146" t="str">
        <f>HYPERLINK("https://twitter.com/SpiceMoneyIndia/status/1744626826427707697","https://twitter.com/SpiceMoneyIndia/status/1744626826427707697")</f>
        <v>https://twitter.com/SpiceMoneyIndia/status/1744626826427707697</v>
      </c>
      <c r="K4146" t="s">
        <v>67</v>
      </c>
      <c r="O4146">
        <v>0</v>
      </c>
      <c r="P4146">
        <v>0</v>
      </c>
      <c r="Q4146">
        <v>5984</v>
      </c>
      <c r="R4146" t="s">
        <v>97</v>
      </c>
      <c r="S4146">
        <v>0</v>
      </c>
      <c r="T4146">
        <v>0</v>
      </c>
      <c r="U4146">
        <v>0</v>
      </c>
      <c r="V4146" t="s">
        <v>98</v>
      </c>
      <c r="W4146" t="s">
        <v>99</v>
      </c>
    </row>
    <row r="4147" spans="1:23" x14ac:dyDescent="0.35">
      <c r="A4147" t="s">
        <v>45</v>
      </c>
      <c r="B4147" t="s">
        <v>8216</v>
      </c>
      <c r="C4147" t="s">
        <v>47</v>
      </c>
      <c r="D4147" t="s">
        <v>8319</v>
      </c>
      <c r="E4147" t="s">
        <v>8319</v>
      </c>
      <c r="F4147" t="s">
        <v>49</v>
      </c>
      <c r="G4147" t="s">
        <v>8320</v>
      </c>
      <c r="H4147" t="s">
        <v>8321</v>
      </c>
      <c r="J4147" t="str">
        <f>HYPERLINK("https://www.youtube.com/watch?v=5DADCSRiE3A&amp;lc=Ugz0yWwZ8lyt0mIhIi54AaABAg","https://www.youtube.com/watch?v=5DADCSRiE3A&amp;lc=Ugz0yWwZ8lyt0mIhIi54AaABAg")</f>
        <v>https://www.youtube.com/watch?v=5DADCSRiE3A&amp;lc=Ugz0yWwZ8lyt0mIhIi54AaABAg</v>
      </c>
      <c r="O4147">
        <v>0</v>
      </c>
      <c r="P4147">
        <v>0</v>
      </c>
      <c r="Q4147">
        <v>0</v>
      </c>
      <c r="S4147">
        <v>0</v>
      </c>
      <c r="T4147">
        <v>0</v>
      </c>
      <c r="U4147">
        <v>0</v>
      </c>
      <c r="W4147" t="s">
        <v>52</v>
      </c>
    </row>
    <row r="4148" spans="1:23" x14ac:dyDescent="0.35">
      <c r="A4148" t="s">
        <v>45</v>
      </c>
      <c r="B4148" t="s">
        <v>8216</v>
      </c>
      <c r="C4148" t="s">
        <v>47</v>
      </c>
      <c r="D4148" t="s">
        <v>45</v>
      </c>
      <c r="E4148" t="s">
        <v>45</v>
      </c>
      <c r="F4148" t="s">
        <v>49</v>
      </c>
      <c r="G4148" t="s">
        <v>8322</v>
      </c>
      <c r="H4148" t="s">
        <v>8323</v>
      </c>
      <c r="J4148" t="str">
        <f>HYPERLINK("https://www.youtube.com/watch?v=c1gD_ygXVEg","https://www.youtube.com/watch?v=c1gD_ygXVEg")</f>
        <v>https://www.youtube.com/watch?v=c1gD_ygXVEg</v>
      </c>
      <c r="O4148">
        <v>0</v>
      </c>
      <c r="P4148">
        <v>0</v>
      </c>
      <c r="Q4148">
        <v>0</v>
      </c>
      <c r="S4148">
        <v>0</v>
      </c>
      <c r="T4148">
        <v>0</v>
      </c>
      <c r="U4148">
        <v>0</v>
      </c>
      <c r="W4148" t="s">
        <v>346</v>
      </c>
    </row>
    <row r="4149" spans="1:23" x14ac:dyDescent="0.35">
      <c r="A4149" t="s">
        <v>45</v>
      </c>
      <c r="B4149" t="s">
        <v>8216</v>
      </c>
      <c r="C4149" t="s">
        <v>93</v>
      </c>
      <c r="D4149" t="s">
        <v>8068</v>
      </c>
      <c r="E4149" t="s">
        <v>8069</v>
      </c>
      <c r="F4149" t="s">
        <v>49</v>
      </c>
      <c r="G4149" t="s">
        <v>8324</v>
      </c>
      <c r="H4149" t="s">
        <v>8325</v>
      </c>
      <c r="J4149" t="str">
        <f>HYPERLINK("https://twitter.com/SailenduKhuntia/status/1744578934875079042","https://twitter.com/SailenduKhuntia/status/1744578934875079042")</f>
        <v>https://twitter.com/SailenduKhuntia/status/1744578934875079042</v>
      </c>
      <c r="K4149" t="s">
        <v>67</v>
      </c>
      <c r="O4149">
        <v>0</v>
      </c>
      <c r="P4149">
        <v>0</v>
      </c>
      <c r="Q4149">
        <v>1</v>
      </c>
      <c r="R4149" t="s">
        <v>8072</v>
      </c>
      <c r="S4149">
        <v>0</v>
      </c>
      <c r="T4149">
        <v>0</v>
      </c>
      <c r="U4149">
        <v>0</v>
      </c>
      <c r="W4149" t="s">
        <v>99</v>
      </c>
    </row>
    <row r="4150" spans="1:23" x14ac:dyDescent="0.35">
      <c r="A4150" t="s">
        <v>45</v>
      </c>
      <c r="B4150" t="s">
        <v>8216</v>
      </c>
      <c r="C4150" t="s">
        <v>47</v>
      </c>
      <c r="D4150" t="s">
        <v>6009</v>
      </c>
      <c r="E4150" t="s">
        <v>6009</v>
      </c>
      <c r="F4150" t="s">
        <v>49</v>
      </c>
      <c r="G4150" t="s">
        <v>8326</v>
      </c>
      <c r="H4150" t="s">
        <v>8327</v>
      </c>
      <c r="J4150" t="str">
        <f>HYPERLINK("https://www.youtube.com/watch?v=Un06w8WhYRg&amp;lc=UgzIT8luyEMb8cbYbhh4AaABAg.9zGa73GQ3Ej9zKuaag28_S","https://www.youtube.com/watch?v=Un06w8WhYRg&amp;lc=UgzIT8luyEMb8cbYbhh4AaABAg.9zGa73GQ3Ej9zKuaag28_S")</f>
        <v>https://www.youtube.com/watch?v=Un06w8WhYRg&amp;lc=UgzIT8luyEMb8cbYbhh4AaABAg.9zGa73GQ3Ej9zKuaag28_S</v>
      </c>
      <c r="O4150">
        <v>0</v>
      </c>
      <c r="P4150">
        <v>0</v>
      </c>
      <c r="Q4150">
        <v>0</v>
      </c>
      <c r="S4150">
        <v>0</v>
      </c>
      <c r="T4150">
        <v>0</v>
      </c>
      <c r="U4150">
        <v>0</v>
      </c>
      <c r="W4150" t="s">
        <v>52</v>
      </c>
    </row>
    <row r="4151" spans="1:23" x14ac:dyDescent="0.35">
      <c r="A4151" t="s">
        <v>45</v>
      </c>
      <c r="B4151" t="s">
        <v>8216</v>
      </c>
      <c r="C4151" t="s">
        <v>47</v>
      </c>
      <c r="D4151" t="s">
        <v>6009</v>
      </c>
      <c r="E4151" t="s">
        <v>6009</v>
      </c>
      <c r="F4151" t="s">
        <v>49</v>
      </c>
      <c r="G4151" t="s">
        <v>8328</v>
      </c>
      <c r="H4151" t="s">
        <v>8329</v>
      </c>
      <c r="J4151" t="str">
        <f>HYPERLINK("https://www.youtube.com/watch?v=Un06w8WhYRg&amp;lc=UgzIT8luyEMb8cbYbhh4AaABAg.9zGa73GQ3Ej9zKuXicXSV_","https://www.youtube.com/watch?v=Un06w8WhYRg&amp;lc=UgzIT8luyEMb8cbYbhh4AaABAg.9zGa73GQ3Ej9zKuXicXSV_")</f>
        <v>https://www.youtube.com/watch?v=Un06w8WhYRg&amp;lc=UgzIT8luyEMb8cbYbhh4AaABAg.9zGa73GQ3Ej9zKuXicXSV_</v>
      </c>
      <c r="O4151">
        <v>0</v>
      </c>
      <c r="P4151">
        <v>0</v>
      </c>
      <c r="Q4151">
        <v>0</v>
      </c>
      <c r="S4151">
        <v>0</v>
      </c>
      <c r="T4151">
        <v>0</v>
      </c>
      <c r="U4151">
        <v>0</v>
      </c>
      <c r="W4151" t="s">
        <v>52</v>
      </c>
    </row>
    <row r="4152" spans="1:23" x14ac:dyDescent="0.35">
      <c r="A4152" t="s">
        <v>45</v>
      </c>
      <c r="B4152" t="s">
        <v>8216</v>
      </c>
      <c r="C4152" t="s">
        <v>47</v>
      </c>
      <c r="D4152" t="s">
        <v>68</v>
      </c>
      <c r="E4152" t="s">
        <v>68</v>
      </c>
      <c r="F4152" t="s">
        <v>49</v>
      </c>
      <c r="G4152" t="s">
        <v>162</v>
      </c>
      <c r="H4152" t="s">
        <v>8330</v>
      </c>
      <c r="J4152" t="str">
        <f>HYPERLINK("https://www.youtube.com/watch?v=vryirakqo_4&amp;lc=Ugx31IfDOYkxAQr9Xph4AaABAg.9zDIm6jA0eY9zKuXYQAkuE","https://www.youtube.com/watch?v=vryirakqo_4&amp;lc=Ugx31IfDOYkxAQr9Xph4AaABAg.9zDIm6jA0eY9zKuXYQAkuE")</f>
        <v>https://www.youtube.com/watch?v=vryirakqo_4&amp;lc=Ugx31IfDOYkxAQr9Xph4AaABAg.9zDIm6jA0eY9zKuXYQAkuE</v>
      </c>
      <c r="O4152">
        <v>0</v>
      </c>
      <c r="P4152">
        <v>0</v>
      </c>
      <c r="Q4152">
        <v>0</v>
      </c>
      <c r="S4152">
        <v>0</v>
      </c>
      <c r="T4152">
        <v>0</v>
      </c>
      <c r="U4152">
        <v>0</v>
      </c>
      <c r="W4152" t="s">
        <v>52</v>
      </c>
    </row>
    <row r="4153" spans="1:23" x14ac:dyDescent="0.35">
      <c r="A4153" t="s">
        <v>45</v>
      </c>
      <c r="B4153" t="s">
        <v>8216</v>
      </c>
      <c r="C4153" t="s">
        <v>47</v>
      </c>
      <c r="D4153" t="s">
        <v>68</v>
      </c>
      <c r="E4153" t="s">
        <v>68</v>
      </c>
      <c r="F4153" t="s">
        <v>49</v>
      </c>
      <c r="G4153" t="s">
        <v>162</v>
      </c>
      <c r="H4153" t="s">
        <v>8331</v>
      </c>
      <c r="J4153" t="str">
        <f>HYPERLINK("https://www.youtube.com/watch?v=vryirakqo_4&amp;lc=Ugx4SrvAJ945rjKiPxN4AaABAg.9zDGetfyWK-9zKuX82y0Fe","https://www.youtube.com/watch?v=vryirakqo_4&amp;lc=Ugx4SrvAJ945rjKiPxN4AaABAg.9zDGetfyWK-9zKuX82y0Fe")</f>
        <v>https://www.youtube.com/watch?v=vryirakqo_4&amp;lc=Ugx4SrvAJ945rjKiPxN4AaABAg.9zDGetfyWK-9zKuX82y0Fe</v>
      </c>
      <c r="O4153">
        <v>0</v>
      </c>
      <c r="P4153">
        <v>0</v>
      </c>
      <c r="Q4153">
        <v>0</v>
      </c>
      <c r="S4153">
        <v>0</v>
      </c>
      <c r="T4153">
        <v>0</v>
      </c>
      <c r="U4153">
        <v>0</v>
      </c>
      <c r="W4153" t="s">
        <v>52</v>
      </c>
    </row>
    <row r="4154" spans="1:23" x14ac:dyDescent="0.35">
      <c r="A4154" t="s">
        <v>45</v>
      </c>
      <c r="B4154" t="s">
        <v>8216</v>
      </c>
      <c r="C4154" t="s">
        <v>47</v>
      </c>
      <c r="D4154" t="s">
        <v>68</v>
      </c>
      <c r="E4154" t="s">
        <v>68</v>
      </c>
      <c r="F4154" t="s">
        <v>49</v>
      </c>
      <c r="G4154" t="s">
        <v>8332</v>
      </c>
      <c r="H4154" t="s">
        <v>8333</v>
      </c>
      <c r="J4154" t="str">
        <f>HYPERLINK("https://www.youtube.com/watch?v=vryirakqo_4&amp;lc=Ugxi_seipfkpTzUKQ0V4AaABAg.9zCspVCk0Ao9zKuWGpWr0K","https://www.youtube.com/watch?v=vryirakqo_4&amp;lc=Ugxi_seipfkpTzUKQ0V4AaABAg.9zCspVCk0Ao9zKuWGpWr0K")</f>
        <v>https://www.youtube.com/watch?v=vryirakqo_4&amp;lc=Ugxi_seipfkpTzUKQ0V4AaABAg.9zCspVCk0Ao9zKuWGpWr0K</v>
      </c>
      <c r="O4154">
        <v>0</v>
      </c>
      <c r="P4154">
        <v>0</v>
      </c>
      <c r="Q4154">
        <v>0</v>
      </c>
      <c r="S4154">
        <v>0</v>
      </c>
      <c r="T4154">
        <v>0</v>
      </c>
      <c r="U4154">
        <v>0</v>
      </c>
      <c r="W4154" t="s">
        <v>52</v>
      </c>
    </row>
    <row r="4155" spans="1:23" x14ac:dyDescent="0.35">
      <c r="A4155" t="s">
        <v>45</v>
      </c>
      <c r="B4155" t="s">
        <v>8216</v>
      </c>
      <c r="C4155" t="s">
        <v>47</v>
      </c>
      <c r="D4155" t="s">
        <v>68</v>
      </c>
      <c r="E4155" t="s">
        <v>68</v>
      </c>
      <c r="F4155" t="s">
        <v>49</v>
      </c>
      <c r="G4155" t="s">
        <v>162</v>
      </c>
      <c r="H4155" t="s">
        <v>8334</v>
      </c>
      <c r="J4155" t="str">
        <f>HYPERLINK("https://www.youtube.com/watch?v=vryirakqo_4&amp;lc=Ugz6D1fPmF6xuGcB-894AaABAg.9zBsvxeVIJ29zKuUr3wrQy","https://www.youtube.com/watch?v=vryirakqo_4&amp;lc=Ugz6D1fPmF6xuGcB-894AaABAg.9zBsvxeVIJ29zKuUr3wrQy")</f>
        <v>https://www.youtube.com/watch?v=vryirakqo_4&amp;lc=Ugz6D1fPmF6xuGcB-894AaABAg.9zBsvxeVIJ29zKuUr3wrQy</v>
      </c>
      <c r="O4155">
        <v>0</v>
      </c>
      <c r="P4155">
        <v>0</v>
      </c>
      <c r="Q4155">
        <v>0</v>
      </c>
      <c r="S4155">
        <v>0</v>
      </c>
      <c r="T4155">
        <v>0</v>
      </c>
      <c r="U4155">
        <v>0</v>
      </c>
      <c r="W4155" t="s">
        <v>52</v>
      </c>
    </row>
    <row r="4156" spans="1:23" x14ac:dyDescent="0.35">
      <c r="A4156" t="s">
        <v>45</v>
      </c>
      <c r="B4156" t="s">
        <v>8216</v>
      </c>
      <c r="C4156" t="s">
        <v>93</v>
      </c>
      <c r="D4156" t="s">
        <v>8335</v>
      </c>
      <c r="E4156" t="s">
        <v>8336</v>
      </c>
      <c r="F4156" t="s">
        <v>49</v>
      </c>
      <c r="G4156" t="s">
        <v>8337</v>
      </c>
      <c r="H4156" t="s">
        <v>8338</v>
      </c>
      <c r="J4156" t="str">
        <f>HYPERLINK("https://twitter.com/mithilasales1/status/1744572456155881925","https://twitter.com/mithilasales1/status/1744572456155881925")</f>
        <v>https://twitter.com/mithilasales1/status/1744572456155881925</v>
      </c>
      <c r="O4156">
        <v>0</v>
      </c>
      <c r="P4156">
        <v>0</v>
      </c>
      <c r="Q4156">
        <v>14</v>
      </c>
      <c r="R4156" t="s">
        <v>6253</v>
      </c>
      <c r="S4156">
        <v>0</v>
      </c>
      <c r="T4156">
        <v>0</v>
      </c>
      <c r="U4156">
        <v>0</v>
      </c>
      <c r="W4156" t="s">
        <v>99</v>
      </c>
    </row>
    <row r="4157" spans="1:23" x14ac:dyDescent="0.35">
      <c r="A4157" t="s">
        <v>45</v>
      </c>
      <c r="B4157" t="s">
        <v>8216</v>
      </c>
      <c r="C4157" t="s">
        <v>93</v>
      </c>
      <c r="D4157" t="s">
        <v>8335</v>
      </c>
      <c r="E4157" t="s">
        <v>8336</v>
      </c>
      <c r="F4157" t="s">
        <v>49</v>
      </c>
      <c r="G4157" t="s">
        <v>8339</v>
      </c>
      <c r="H4157" t="s">
        <v>8340</v>
      </c>
      <c r="J4157" t="str">
        <f>HYPERLINK("https://twitter.com/mithilasales1/status/1744572084318302691","https://twitter.com/mithilasales1/status/1744572084318302691")</f>
        <v>https://twitter.com/mithilasales1/status/1744572084318302691</v>
      </c>
      <c r="O4157">
        <v>0</v>
      </c>
      <c r="P4157">
        <v>0</v>
      </c>
      <c r="Q4157">
        <v>14</v>
      </c>
      <c r="R4157" t="s">
        <v>6253</v>
      </c>
      <c r="S4157">
        <v>0</v>
      </c>
      <c r="T4157">
        <v>0</v>
      </c>
      <c r="U4157">
        <v>0</v>
      </c>
      <c r="W4157" t="s">
        <v>433</v>
      </c>
    </row>
    <row r="4158" spans="1:23" x14ac:dyDescent="0.35">
      <c r="A4158" t="s">
        <v>45</v>
      </c>
      <c r="B4158" t="s">
        <v>8216</v>
      </c>
      <c r="C4158" t="s">
        <v>47</v>
      </c>
      <c r="D4158" t="s">
        <v>68</v>
      </c>
      <c r="E4158" t="s">
        <v>68</v>
      </c>
      <c r="F4158" t="s">
        <v>49</v>
      </c>
      <c r="G4158" t="s">
        <v>102</v>
      </c>
      <c r="H4158" t="s">
        <v>8341</v>
      </c>
      <c r="J4158" t="str">
        <f>HYPERLINK("https://www.youtube.com/watch?v=Un06w8WhYRg&amp;lc=UgzIT8luyEMb8cbYbhh4AaABAg.9zGa73GQ3Ej9zKu7rwt4qn","https://www.youtube.com/watch?v=Un06w8WhYRg&amp;lc=UgzIT8luyEMb8cbYbhh4AaABAg.9zGa73GQ3Ej9zKu7rwt4qn")</f>
        <v>https://www.youtube.com/watch?v=Un06w8WhYRg&amp;lc=UgzIT8luyEMb8cbYbhh4AaABAg.9zGa73GQ3Ej9zKu7rwt4qn</v>
      </c>
      <c r="O4158">
        <v>0</v>
      </c>
      <c r="P4158">
        <v>0</v>
      </c>
      <c r="Q4158">
        <v>0</v>
      </c>
      <c r="S4158">
        <v>0</v>
      </c>
      <c r="T4158">
        <v>0</v>
      </c>
      <c r="U4158">
        <v>0</v>
      </c>
      <c r="W4158" t="s">
        <v>52</v>
      </c>
    </row>
    <row r="4159" spans="1:23" x14ac:dyDescent="0.35">
      <c r="A4159" t="s">
        <v>45</v>
      </c>
      <c r="B4159" t="s">
        <v>8216</v>
      </c>
      <c r="C4159" t="s">
        <v>47</v>
      </c>
      <c r="D4159" t="s">
        <v>68</v>
      </c>
      <c r="E4159" t="s">
        <v>68</v>
      </c>
      <c r="F4159" t="s">
        <v>49</v>
      </c>
      <c r="G4159" t="s">
        <v>102</v>
      </c>
      <c r="H4159" t="s">
        <v>8342</v>
      </c>
      <c r="J4159" t="str">
        <f>HYPERLINK("https://www.youtube.com/watch?v=Un06w8WhYRg&amp;lc=UgxpPP9dm_qqYuYcNfN4AaABAg.9zG_wr7cgCJ9zKu6frWMQe","https://www.youtube.com/watch?v=Un06w8WhYRg&amp;lc=UgxpPP9dm_qqYuYcNfN4AaABAg.9zG_wr7cgCJ9zKu6frWMQe")</f>
        <v>https://www.youtube.com/watch?v=Un06w8WhYRg&amp;lc=UgxpPP9dm_qqYuYcNfN4AaABAg.9zG_wr7cgCJ9zKu6frWMQe</v>
      </c>
      <c r="O4159">
        <v>0</v>
      </c>
      <c r="P4159">
        <v>0</v>
      </c>
      <c r="Q4159">
        <v>0</v>
      </c>
      <c r="S4159">
        <v>0</v>
      </c>
      <c r="T4159">
        <v>0</v>
      </c>
      <c r="U4159">
        <v>0</v>
      </c>
      <c r="W4159" t="s">
        <v>52</v>
      </c>
    </row>
    <row r="4160" spans="1:23" x14ac:dyDescent="0.35">
      <c r="A4160" t="s">
        <v>45</v>
      </c>
      <c r="B4160" t="s">
        <v>8216</v>
      </c>
      <c r="C4160" t="s">
        <v>93</v>
      </c>
      <c r="D4160" t="s">
        <v>94</v>
      </c>
      <c r="E4160" t="s">
        <v>45</v>
      </c>
      <c r="F4160" t="s">
        <v>49</v>
      </c>
      <c r="G4160" t="s">
        <v>8339</v>
      </c>
      <c r="H4160" t="s">
        <v>8343</v>
      </c>
      <c r="J4160" t="str">
        <f>HYPERLINK("https://twitter.com/SpiceMoneyIndia/status/1744570316653793303","https://twitter.com/SpiceMoneyIndia/status/1744570316653793303")</f>
        <v>https://twitter.com/SpiceMoneyIndia/status/1744570316653793303</v>
      </c>
      <c r="K4160" t="s">
        <v>67</v>
      </c>
      <c r="O4160">
        <v>0</v>
      </c>
      <c r="P4160">
        <v>0</v>
      </c>
      <c r="Q4160">
        <v>5984</v>
      </c>
      <c r="R4160" t="s">
        <v>97</v>
      </c>
      <c r="S4160">
        <v>0</v>
      </c>
      <c r="T4160">
        <v>0</v>
      </c>
      <c r="U4160">
        <v>0</v>
      </c>
      <c r="V4160" t="s">
        <v>98</v>
      </c>
      <c r="W4160" t="s">
        <v>99</v>
      </c>
    </row>
    <row r="4161" spans="1:23" x14ac:dyDescent="0.35">
      <c r="A4161" t="s">
        <v>45</v>
      </c>
      <c r="B4161" t="s">
        <v>8216</v>
      </c>
      <c r="C4161" t="s">
        <v>47</v>
      </c>
      <c r="D4161" t="s">
        <v>68</v>
      </c>
      <c r="E4161" t="s">
        <v>68</v>
      </c>
      <c r="F4161" t="s">
        <v>49</v>
      </c>
      <c r="G4161" t="s">
        <v>102</v>
      </c>
      <c r="H4161" t="s">
        <v>8344</v>
      </c>
      <c r="J4161" t="str">
        <f>HYPERLINK("https://www.youtube.com/watch?v=Un06w8WhYRg&amp;lc=UgwzuAo3muwgjywk8dZ4AaABAg.9zJU9j62ILk9zKtNedCdXA","https://www.youtube.com/watch?v=Un06w8WhYRg&amp;lc=UgwzuAo3muwgjywk8dZ4AaABAg.9zJU9j62ILk9zKtNedCdXA")</f>
        <v>https://www.youtube.com/watch?v=Un06w8WhYRg&amp;lc=UgwzuAo3muwgjywk8dZ4AaABAg.9zJU9j62ILk9zKtNedCdXA</v>
      </c>
      <c r="O4161">
        <v>0</v>
      </c>
      <c r="P4161">
        <v>0</v>
      </c>
      <c r="Q4161">
        <v>0</v>
      </c>
      <c r="S4161">
        <v>0</v>
      </c>
      <c r="T4161">
        <v>0</v>
      </c>
      <c r="U4161">
        <v>0</v>
      </c>
      <c r="W4161" t="s">
        <v>52</v>
      </c>
    </row>
    <row r="4162" spans="1:23" x14ac:dyDescent="0.35">
      <c r="A4162" t="s">
        <v>45</v>
      </c>
      <c r="B4162" t="s">
        <v>8216</v>
      </c>
      <c r="C4162" t="s">
        <v>60</v>
      </c>
      <c r="D4162" t="s">
        <v>64</v>
      </c>
      <c r="E4162" t="s">
        <v>64</v>
      </c>
      <c r="F4162" t="s">
        <v>49</v>
      </c>
      <c r="G4162" t="s">
        <v>5897</v>
      </c>
      <c r="H4162" t="s">
        <v>8345</v>
      </c>
      <c r="J4162" t="str">
        <f>HYPERLINK("https://www.facebook.com/634639855377280/posts/768501555324442?comment_id=3983192215241518&amp;reply_comment_id=1150660753015601","https://www.facebook.com/634639855377280/posts/768501555324442?comment_id=3983192215241518&amp;reply_comment_id=1150660753015601")</f>
        <v>https://www.facebook.com/634639855377280/posts/768501555324442?comment_id=3983192215241518&amp;reply_comment_id=1150660753015601</v>
      </c>
      <c r="K4162" t="s">
        <v>67</v>
      </c>
      <c r="O4162">
        <v>0</v>
      </c>
      <c r="P4162">
        <v>0</v>
      </c>
      <c r="Q4162">
        <v>0</v>
      </c>
      <c r="S4162">
        <v>0</v>
      </c>
      <c r="T4162">
        <v>0</v>
      </c>
      <c r="U4162">
        <v>0</v>
      </c>
      <c r="W4162" t="s">
        <v>52</v>
      </c>
    </row>
    <row r="4163" spans="1:23" x14ac:dyDescent="0.35">
      <c r="A4163" t="s">
        <v>45</v>
      </c>
      <c r="B4163" t="s">
        <v>8216</v>
      </c>
      <c r="C4163" t="s">
        <v>47</v>
      </c>
      <c r="D4163" t="s">
        <v>8346</v>
      </c>
      <c r="E4163" t="s">
        <v>8346</v>
      </c>
      <c r="F4163" t="s">
        <v>49</v>
      </c>
      <c r="G4163" t="s">
        <v>8347</v>
      </c>
      <c r="H4163" t="s">
        <v>8348</v>
      </c>
      <c r="J4163" t="str">
        <f>HYPERLINK("https://www.youtube.com/watch?v=otifGXuH01E&amp;lc=Ugzz6dReNzIs7-WF9sh4AaABAg.9zJemBI6USi9zKr_qvxrSR","https://www.youtube.com/watch?v=otifGXuH01E&amp;lc=Ugzz6dReNzIs7-WF9sh4AaABAg.9zJemBI6USi9zKr_qvxrSR")</f>
        <v>https://www.youtube.com/watch?v=otifGXuH01E&amp;lc=Ugzz6dReNzIs7-WF9sh4AaABAg.9zJemBI6USi9zKr_qvxrSR</v>
      </c>
      <c r="O4163">
        <v>0</v>
      </c>
      <c r="P4163">
        <v>0</v>
      </c>
      <c r="Q4163">
        <v>0</v>
      </c>
      <c r="S4163">
        <v>0</v>
      </c>
      <c r="T4163">
        <v>0</v>
      </c>
      <c r="U4163">
        <v>0</v>
      </c>
      <c r="W4163" t="s">
        <v>52</v>
      </c>
    </row>
    <row r="4164" spans="1:23" x14ac:dyDescent="0.35">
      <c r="A4164" t="s">
        <v>45</v>
      </c>
      <c r="B4164" t="s">
        <v>8216</v>
      </c>
      <c r="C4164" t="s">
        <v>47</v>
      </c>
      <c r="D4164" t="s">
        <v>68</v>
      </c>
      <c r="E4164" t="s">
        <v>68</v>
      </c>
      <c r="F4164" t="s">
        <v>49</v>
      </c>
      <c r="G4164" t="s">
        <v>8349</v>
      </c>
      <c r="H4164" t="s">
        <v>8350</v>
      </c>
      <c r="J4164" t="str">
        <f>HYPERLINK("https://www.youtube.com/watch?v=Un06w8WhYRg&amp;lc=Ugya_8U-nIVAC1QVel94AaABAg.9zJGRRU74Q99zKrDU-3OVs","https://www.youtube.com/watch?v=Un06w8WhYRg&amp;lc=Ugya_8U-nIVAC1QVel94AaABAg.9zJGRRU74Q99zKrDU-3OVs")</f>
        <v>https://www.youtube.com/watch?v=Un06w8WhYRg&amp;lc=Ugya_8U-nIVAC1QVel94AaABAg.9zJGRRU74Q99zKrDU-3OVs</v>
      </c>
      <c r="O4164">
        <v>0</v>
      </c>
      <c r="P4164">
        <v>0</v>
      </c>
      <c r="Q4164">
        <v>0</v>
      </c>
      <c r="S4164">
        <v>0</v>
      </c>
      <c r="T4164">
        <v>0</v>
      </c>
      <c r="U4164">
        <v>0</v>
      </c>
      <c r="W4164" t="s">
        <v>52</v>
      </c>
    </row>
    <row r="4165" spans="1:23" x14ac:dyDescent="0.35">
      <c r="A4165" t="s">
        <v>45</v>
      </c>
      <c r="B4165" t="s">
        <v>8216</v>
      </c>
      <c r="C4165" t="s">
        <v>47</v>
      </c>
      <c r="D4165" t="s">
        <v>8351</v>
      </c>
      <c r="E4165" t="s">
        <v>8351</v>
      </c>
      <c r="F4165" t="s">
        <v>49</v>
      </c>
      <c r="G4165" t="s">
        <v>8352</v>
      </c>
      <c r="H4165" t="s">
        <v>8353</v>
      </c>
      <c r="J4165" t="str">
        <f>HYPERLINK("https://www.youtube.com/watch?v=Un06w8WhYRg&amp;lc=UgwcawFLqIi6phV9e2J4AaABAg","https://www.youtube.com/watch?v=Un06w8WhYRg&amp;lc=UgwcawFLqIi6phV9e2J4AaABAg")</f>
        <v>https://www.youtube.com/watch?v=Un06w8WhYRg&amp;lc=UgwcawFLqIi6phV9e2J4AaABAg</v>
      </c>
      <c r="O4165">
        <v>0</v>
      </c>
      <c r="P4165">
        <v>0</v>
      </c>
      <c r="Q4165">
        <v>0</v>
      </c>
      <c r="S4165">
        <v>0</v>
      </c>
      <c r="T4165">
        <v>0</v>
      </c>
      <c r="U4165">
        <v>0</v>
      </c>
      <c r="W4165" t="s">
        <v>52</v>
      </c>
    </row>
    <row r="4166" spans="1:23" x14ac:dyDescent="0.35">
      <c r="A4166" t="s">
        <v>45</v>
      </c>
      <c r="B4166" t="s">
        <v>8216</v>
      </c>
      <c r="C4166" t="s">
        <v>60</v>
      </c>
      <c r="D4166" t="s">
        <v>61</v>
      </c>
      <c r="E4166" t="s">
        <v>61</v>
      </c>
      <c r="F4166" t="s">
        <v>49</v>
      </c>
      <c r="G4166" t="s">
        <v>8354</v>
      </c>
      <c r="H4166" t="s">
        <v>8355</v>
      </c>
      <c r="J4166" t="str">
        <f>HYPERLINK("https://www.facebook.com/634639855377280/posts/766738295500768?comment_id=908632434200904","https://www.facebook.com/634639855377280/posts/766738295500768?comment_id=908632434200904")</f>
        <v>https://www.facebook.com/634639855377280/posts/766738295500768?comment_id=908632434200904</v>
      </c>
      <c r="O4166">
        <v>0</v>
      </c>
      <c r="P4166">
        <v>0</v>
      </c>
      <c r="Q4166">
        <v>0</v>
      </c>
      <c r="S4166">
        <v>0</v>
      </c>
      <c r="T4166">
        <v>0</v>
      </c>
      <c r="U4166">
        <v>0</v>
      </c>
      <c r="W4166" t="s">
        <v>52</v>
      </c>
    </row>
    <row r="4167" spans="1:23" x14ac:dyDescent="0.35">
      <c r="A4167" t="s">
        <v>45</v>
      </c>
      <c r="B4167" t="s">
        <v>8216</v>
      </c>
      <c r="C4167" t="s">
        <v>93</v>
      </c>
      <c r="D4167" t="s">
        <v>8356</v>
      </c>
      <c r="E4167" t="s">
        <v>8357</v>
      </c>
      <c r="F4167" t="s">
        <v>49</v>
      </c>
      <c r="G4167" t="s">
        <v>8358</v>
      </c>
      <c r="H4167" t="s">
        <v>8359</v>
      </c>
      <c r="J4167" t="str">
        <f>HYPERLINK("https://twitter.com/AdvIshulodhi/status/1744556140766306424","https://twitter.com/AdvIshulodhi/status/1744556140766306424")</f>
        <v>https://twitter.com/AdvIshulodhi/status/1744556140766306424</v>
      </c>
      <c r="K4167" t="s">
        <v>67</v>
      </c>
      <c r="O4167">
        <v>0</v>
      </c>
      <c r="P4167">
        <v>0</v>
      </c>
      <c r="Q4167">
        <v>0</v>
      </c>
      <c r="S4167">
        <v>0</v>
      </c>
      <c r="T4167">
        <v>0</v>
      </c>
      <c r="U4167">
        <v>0</v>
      </c>
      <c r="W4167" t="s">
        <v>99</v>
      </c>
    </row>
    <row r="4168" spans="1:23" x14ac:dyDescent="0.35">
      <c r="A4168" t="s">
        <v>45</v>
      </c>
      <c r="B4168" t="s">
        <v>8216</v>
      </c>
      <c r="C4168" t="s">
        <v>47</v>
      </c>
      <c r="D4168" t="s">
        <v>68</v>
      </c>
      <c r="E4168" t="s">
        <v>68</v>
      </c>
      <c r="F4168" t="s">
        <v>49</v>
      </c>
      <c r="G4168" t="s">
        <v>5897</v>
      </c>
      <c r="H4168" t="s">
        <v>8360</v>
      </c>
      <c r="J4168" t="str">
        <f>HYPERLINK("https://www.youtube.com/watch?v=otifGXuH01E&amp;lc=Ugzz6dReNzIs7-WF9sh4AaABAg.9zJemBI6USi9zKmIECXLWp","https://www.youtube.com/watch?v=otifGXuH01E&amp;lc=Ugzz6dReNzIs7-WF9sh4AaABAg.9zJemBI6USi9zKmIECXLWp")</f>
        <v>https://www.youtube.com/watch?v=otifGXuH01E&amp;lc=Ugzz6dReNzIs7-WF9sh4AaABAg.9zJemBI6USi9zKmIECXLWp</v>
      </c>
      <c r="O4168">
        <v>0</v>
      </c>
      <c r="P4168">
        <v>0</v>
      </c>
      <c r="Q4168">
        <v>0</v>
      </c>
      <c r="S4168">
        <v>0</v>
      </c>
      <c r="T4168">
        <v>0</v>
      </c>
      <c r="U4168">
        <v>0</v>
      </c>
      <c r="W4168" t="s">
        <v>52</v>
      </c>
    </row>
    <row r="4169" spans="1:23" x14ac:dyDescent="0.35">
      <c r="A4169" t="s">
        <v>45</v>
      </c>
      <c r="B4169" t="s">
        <v>8216</v>
      </c>
      <c r="C4169" t="s">
        <v>47</v>
      </c>
      <c r="D4169" t="s">
        <v>68</v>
      </c>
      <c r="E4169" t="s">
        <v>68</v>
      </c>
      <c r="F4169" t="s">
        <v>49</v>
      </c>
      <c r="G4169" t="s">
        <v>293</v>
      </c>
      <c r="H4169" t="s">
        <v>8361</v>
      </c>
      <c r="J4169" t="str">
        <f>HYPERLINK("https://www.youtube.com/watch?v=fi0KMSdJZZY&amp;lc=Ugxk9msgEolFQkBxxdV4AaABAg.9zJ_JNCQ81N9zKmAc25qBJ","https://www.youtube.com/watch?v=fi0KMSdJZZY&amp;lc=Ugxk9msgEolFQkBxxdV4AaABAg.9zJ_JNCQ81N9zKmAc25qBJ")</f>
        <v>https://www.youtube.com/watch?v=fi0KMSdJZZY&amp;lc=Ugxk9msgEolFQkBxxdV4AaABAg.9zJ_JNCQ81N9zKmAc25qBJ</v>
      </c>
      <c r="O4169">
        <v>0</v>
      </c>
      <c r="P4169">
        <v>0</v>
      </c>
      <c r="Q4169">
        <v>0</v>
      </c>
      <c r="S4169">
        <v>0</v>
      </c>
      <c r="T4169">
        <v>0</v>
      </c>
      <c r="U4169">
        <v>0</v>
      </c>
      <c r="W4169" t="s">
        <v>52</v>
      </c>
    </row>
    <row r="4170" spans="1:23" x14ac:dyDescent="0.35">
      <c r="A4170" t="s">
        <v>45</v>
      </c>
      <c r="B4170" t="s">
        <v>8216</v>
      </c>
      <c r="C4170" t="s">
        <v>47</v>
      </c>
      <c r="D4170" t="s">
        <v>8362</v>
      </c>
      <c r="E4170" t="s">
        <v>8362</v>
      </c>
      <c r="F4170" t="s">
        <v>49</v>
      </c>
      <c r="G4170" t="s">
        <v>8363</v>
      </c>
      <c r="H4170" t="s">
        <v>8364</v>
      </c>
      <c r="J4170" t="str">
        <f>HYPERLINK("https://www.youtube.com/watch?v=Un06w8WhYRg&amp;lc=Ugya_8U-nIVAC1QVel94AaABAg.9zJGRRU74Q99zKiWA34Qlv","https://www.youtube.com/watch?v=Un06w8WhYRg&amp;lc=Ugya_8U-nIVAC1QVel94AaABAg.9zJGRRU74Q99zKiWA34Qlv")</f>
        <v>https://www.youtube.com/watch?v=Un06w8WhYRg&amp;lc=Ugya_8U-nIVAC1QVel94AaABAg.9zJGRRU74Q99zKiWA34Qlv</v>
      </c>
      <c r="O4170">
        <v>0</v>
      </c>
      <c r="P4170">
        <v>0</v>
      </c>
      <c r="Q4170">
        <v>0</v>
      </c>
      <c r="S4170">
        <v>0</v>
      </c>
      <c r="T4170">
        <v>0</v>
      </c>
      <c r="U4170">
        <v>0</v>
      </c>
      <c r="W4170" t="s">
        <v>52</v>
      </c>
    </row>
    <row r="4171" spans="1:23" x14ac:dyDescent="0.35">
      <c r="A4171" t="s">
        <v>45</v>
      </c>
      <c r="B4171" t="s">
        <v>8216</v>
      </c>
      <c r="C4171" t="s">
        <v>60</v>
      </c>
      <c r="D4171" t="s">
        <v>61</v>
      </c>
      <c r="E4171" t="s">
        <v>61</v>
      </c>
      <c r="F4171" t="s">
        <v>49</v>
      </c>
      <c r="G4171" t="s">
        <v>8365</v>
      </c>
      <c r="H4171" t="s">
        <v>8366</v>
      </c>
      <c r="J4171" t="str">
        <f>HYPERLINK("https://www.facebook.com/634639855377280/posts/768501555324442?comment_id=1443411016583536","https://www.facebook.com/634639855377280/posts/768501555324442?comment_id=1443411016583536")</f>
        <v>https://www.facebook.com/634639855377280/posts/768501555324442?comment_id=1443411016583536</v>
      </c>
      <c r="O4171">
        <v>0</v>
      </c>
      <c r="P4171">
        <v>0</v>
      </c>
      <c r="Q4171">
        <v>0</v>
      </c>
      <c r="S4171">
        <v>0</v>
      </c>
      <c r="T4171">
        <v>0</v>
      </c>
      <c r="U4171">
        <v>0</v>
      </c>
      <c r="W4171" t="s">
        <v>52</v>
      </c>
    </row>
    <row r="4172" spans="1:23" x14ac:dyDescent="0.35">
      <c r="A4172" t="s">
        <v>45</v>
      </c>
      <c r="B4172" t="s">
        <v>8216</v>
      </c>
      <c r="C4172" t="s">
        <v>60</v>
      </c>
      <c r="D4172" t="s">
        <v>61</v>
      </c>
      <c r="E4172" t="s">
        <v>61</v>
      </c>
      <c r="F4172" t="s">
        <v>49</v>
      </c>
      <c r="G4172" t="s">
        <v>8367</v>
      </c>
      <c r="H4172" t="s">
        <v>8368</v>
      </c>
      <c r="J4172" t="str">
        <f>HYPERLINK("https://www.facebook.com/634639855377280/posts/767295575445040?comment_id=725323609522885","https://www.facebook.com/634639855377280/posts/767295575445040?comment_id=725323609522885")</f>
        <v>https://www.facebook.com/634639855377280/posts/767295575445040?comment_id=725323609522885</v>
      </c>
      <c r="O4172">
        <v>0</v>
      </c>
      <c r="P4172">
        <v>0</v>
      </c>
      <c r="Q4172">
        <v>0</v>
      </c>
      <c r="S4172">
        <v>0</v>
      </c>
      <c r="T4172">
        <v>0</v>
      </c>
      <c r="U4172">
        <v>0</v>
      </c>
      <c r="W4172" t="s">
        <v>52</v>
      </c>
    </row>
    <row r="4173" spans="1:23" x14ac:dyDescent="0.35">
      <c r="A4173" t="s">
        <v>45</v>
      </c>
      <c r="B4173" t="s">
        <v>8216</v>
      </c>
      <c r="C4173" t="s">
        <v>60</v>
      </c>
      <c r="D4173" t="s">
        <v>61</v>
      </c>
      <c r="E4173" t="s">
        <v>61</v>
      </c>
      <c r="F4173" t="s">
        <v>49</v>
      </c>
      <c r="G4173" t="s">
        <v>8367</v>
      </c>
      <c r="H4173" t="s">
        <v>8369</v>
      </c>
      <c r="J4173" t="str">
        <f>HYPERLINK("https://www.facebook.com/634639855377280/posts/766738295500768?comment_id=3393954024235890","https://www.facebook.com/634639855377280/posts/766738295500768?comment_id=3393954024235890")</f>
        <v>https://www.facebook.com/634639855377280/posts/766738295500768?comment_id=3393954024235890</v>
      </c>
      <c r="O4173">
        <v>0</v>
      </c>
      <c r="P4173">
        <v>0</v>
      </c>
      <c r="Q4173">
        <v>0</v>
      </c>
      <c r="S4173">
        <v>0</v>
      </c>
      <c r="T4173">
        <v>0</v>
      </c>
      <c r="U4173">
        <v>0</v>
      </c>
      <c r="W4173" t="s">
        <v>52</v>
      </c>
    </row>
    <row r="4174" spans="1:23" x14ac:dyDescent="0.35">
      <c r="A4174" t="s">
        <v>45</v>
      </c>
      <c r="B4174" t="s">
        <v>8216</v>
      </c>
      <c r="C4174" t="s">
        <v>60</v>
      </c>
      <c r="D4174" t="s">
        <v>61</v>
      </c>
      <c r="E4174" t="s">
        <v>61</v>
      </c>
      <c r="F4174" t="s">
        <v>49</v>
      </c>
      <c r="G4174" t="s">
        <v>8367</v>
      </c>
      <c r="H4174" t="s">
        <v>8370</v>
      </c>
      <c r="J4174" t="str">
        <f>HYPERLINK("https://www.facebook.com/634639855377280/posts/768501555324442?comment_id=327904480222258","https://www.facebook.com/634639855377280/posts/768501555324442?comment_id=327904480222258")</f>
        <v>https://www.facebook.com/634639855377280/posts/768501555324442?comment_id=327904480222258</v>
      </c>
      <c r="O4174">
        <v>0</v>
      </c>
      <c r="P4174">
        <v>0</v>
      </c>
      <c r="Q4174">
        <v>0</v>
      </c>
      <c r="S4174">
        <v>0</v>
      </c>
      <c r="T4174">
        <v>0</v>
      </c>
      <c r="U4174">
        <v>0</v>
      </c>
      <c r="W4174" t="s">
        <v>52</v>
      </c>
    </row>
    <row r="4175" spans="1:23" x14ac:dyDescent="0.35">
      <c r="A4175" t="s">
        <v>45</v>
      </c>
      <c r="B4175" t="s">
        <v>8371</v>
      </c>
      <c r="C4175" t="s">
        <v>93</v>
      </c>
      <c r="D4175" t="s">
        <v>8372</v>
      </c>
      <c r="E4175" t="s">
        <v>8373</v>
      </c>
      <c r="F4175" t="s">
        <v>193</v>
      </c>
      <c r="G4175" t="s">
        <v>8374</v>
      </c>
      <c r="H4175" t="s">
        <v>8375</v>
      </c>
      <c r="J4175" t="str">
        <f>HYPERLINK("https://twitter.com/YOGENDRA266481/status/1744415020946178206","https://twitter.com/YOGENDRA266481/status/1744415020946178206")</f>
        <v>https://twitter.com/YOGENDRA266481/status/1744415020946178206</v>
      </c>
      <c r="K4175" t="s">
        <v>67</v>
      </c>
      <c r="O4175">
        <v>0</v>
      </c>
      <c r="P4175">
        <v>0</v>
      </c>
      <c r="Q4175">
        <v>0</v>
      </c>
      <c r="R4175" t="s">
        <v>8376</v>
      </c>
      <c r="S4175">
        <v>0</v>
      </c>
      <c r="T4175">
        <v>0</v>
      </c>
      <c r="U4175">
        <v>0</v>
      </c>
      <c r="W4175" t="s">
        <v>99</v>
      </c>
    </row>
    <row r="4176" spans="1:23" x14ac:dyDescent="0.35">
      <c r="A4176" t="s">
        <v>45</v>
      </c>
      <c r="B4176" t="s">
        <v>8371</v>
      </c>
      <c r="C4176" t="s">
        <v>93</v>
      </c>
      <c r="D4176" t="s">
        <v>8377</v>
      </c>
      <c r="E4176" t="s">
        <v>8378</v>
      </c>
      <c r="F4176" t="s">
        <v>49</v>
      </c>
      <c r="G4176" t="s">
        <v>8379</v>
      </c>
      <c r="H4176" t="s">
        <v>8380</v>
      </c>
      <c r="J4176" t="str">
        <f>HYPERLINK("https://twitter.com/thenadeemsarwar/status/1744403833089057112","https://twitter.com/thenadeemsarwar/status/1744403833089057112")</f>
        <v>https://twitter.com/thenadeemsarwar/status/1744403833089057112</v>
      </c>
      <c r="K4176" t="s">
        <v>67</v>
      </c>
      <c r="O4176">
        <v>0</v>
      </c>
      <c r="P4176">
        <v>0</v>
      </c>
      <c r="Q4176">
        <v>81</v>
      </c>
      <c r="R4176" t="s">
        <v>8381</v>
      </c>
      <c r="S4176">
        <v>0</v>
      </c>
      <c r="T4176">
        <v>0</v>
      </c>
      <c r="U4176">
        <v>0</v>
      </c>
      <c r="W4176" t="s">
        <v>99</v>
      </c>
    </row>
    <row r="4177" spans="1:23" x14ac:dyDescent="0.35">
      <c r="A4177" t="s">
        <v>45</v>
      </c>
      <c r="B4177" t="s">
        <v>8371</v>
      </c>
      <c r="C4177" t="s">
        <v>60</v>
      </c>
      <c r="D4177" t="s">
        <v>61</v>
      </c>
      <c r="E4177" t="s">
        <v>61</v>
      </c>
      <c r="F4177" t="s">
        <v>49</v>
      </c>
      <c r="G4177" t="s">
        <v>8382</v>
      </c>
      <c r="H4177" t="s">
        <v>8383</v>
      </c>
      <c r="J4177" t="str">
        <f>HYPERLINK("https://www.facebook.com/634639855377280/posts/768501555324442?comment_id=3983192215241518","https://www.facebook.com/634639855377280/posts/768501555324442?comment_id=3983192215241518")</f>
        <v>https://www.facebook.com/634639855377280/posts/768501555324442?comment_id=3983192215241518</v>
      </c>
      <c r="O4177">
        <v>0</v>
      </c>
      <c r="P4177">
        <v>0</v>
      </c>
      <c r="Q4177">
        <v>0</v>
      </c>
      <c r="S4177">
        <v>0</v>
      </c>
      <c r="T4177">
        <v>0</v>
      </c>
      <c r="U4177">
        <v>0</v>
      </c>
      <c r="W4177" t="s">
        <v>52</v>
      </c>
    </row>
    <row r="4178" spans="1:23" x14ac:dyDescent="0.35">
      <c r="A4178" t="s">
        <v>45</v>
      </c>
      <c r="B4178" t="s">
        <v>8371</v>
      </c>
      <c r="C4178" t="s">
        <v>47</v>
      </c>
      <c r="D4178" t="s">
        <v>8346</v>
      </c>
      <c r="E4178" t="s">
        <v>8346</v>
      </c>
      <c r="F4178" t="s">
        <v>49</v>
      </c>
      <c r="G4178" t="s">
        <v>8384</v>
      </c>
      <c r="H4178" t="s">
        <v>8385</v>
      </c>
      <c r="J4178" t="str">
        <f>HYPERLINK("https://www.youtube.com/watch?v=otifGXuH01E&amp;lc=Ugzz6dReNzIs7-WF9sh4AaABAg","https://www.youtube.com/watch?v=otifGXuH01E&amp;lc=Ugzz6dReNzIs7-WF9sh4AaABAg")</f>
        <v>https://www.youtube.com/watch?v=otifGXuH01E&amp;lc=Ugzz6dReNzIs7-WF9sh4AaABAg</v>
      </c>
      <c r="O4178">
        <v>0</v>
      </c>
      <c r="P4178">
        <v>0</v>
      </c>
      <c r="Q4178">
        <v>0</v>
      </c>
      <c r="S4178">
        <v>0</v>
      </c>
      <c r="T4178">
        <v>0</v>
      </c>
      <c r="U4178">
        <v>0</v>
      </c>
      <c r="W4178" t="s">
        <v>52</v>
      </c>
    </row>
    <row r="4179" spans="1:23" x14ac:dyDescent="0.35">
      <c r="A4179" t="s">
        <v>45</v>
      </c>
      <c r="B4179" t="s">
        <v>8371</v>
      </c>
      <c r="C4179" t="s">
        <v>60</v>
      </c>
      <c r="D4179" t="s">
        <v>61</v>
      </c>
      <c r="E4179" t="s">
        <v>61</v>
      </c>
      <c r="F4179" t="s">
        <v>49</v>
      </c>
      <c r="G4179" t="s">
        <v>8386</v>
      </c>
      <c r="H4179" t="s">
        <v>8387</v>
      </c>
      <c r="J4179" t="str">
        <f>HYPERLINK("https://www.facebook.com/634639855377280/posts/768501555324442?comment_id=3675663459355816","https://www.facebook.com/634639855377280/posts/768501555324442?comment_id=3675663459355816")</f>
        <v>https://www.facebook.com/634639855377280/posts/768501555324442?comment_id=3675663459355816</v>
      </c>
      <c r="O4179">
        <v>0</v>
      </c>
      <c r="P4179">
        <v>0</v>
      </c>
      <c r="Q4179">
        <v>0</v>
      </c>
      <c r="S4179">
        <v>0</v>
      </c>
      <c r="T4179">
        <v>0</v>
      </c>
      <c r="U4179">
        <v>0</v>
      </c>
      <c r="W4179" t="s">
        <v>52</v>
      </c>
    </row>
    <row r="4180" spans="1:23" x14ac:dyDescent="0.35">
      <c r="A4180" t="s">
        <v>45</v>
      </c>
      <c r="B4180" t="s">
        <v>8371</v>
      </c>
      <c r="C4180" t="s">
        <v>47</v>
      </c>
      <c r="D4180" t="s">
        <v>8388</v>
      </c>
      <c r="E4180" t="s">
        <v>8388</v>
      </c>
      <c r="F4180" t="s">
        <v>193</v>
      </c>
      <c r="G4180" t="s">
        <v>8389</v>
      </c>
      <c r="H4180" t="s">
        <v>8390</v>
      </c>
      <c r="J4180" t="str">
        <f>HYPERLINK("https://www.youtube.com/watch?v=fi0KMSdJZZY&amp;lc=Ugxk9msgEolFQkBxxdV4AaABAg","https://www.youtube.com/watch?v=fi0KMSdJZZY&amp;lc=Ugxk9msgEolFQkBxxdV4AaABAg")</f>
        <v>https://www.youtube.com/watch?v=fi0KMSdJZZY&amp;lc=Ugxk9msgEolFQkBxxdV4AaABAg</v>
      </c>
      <c r="O4180">
        <v>0</v>
      </c>
      <c r="P4180">
        <v>0</v>
      </c>
      <c r="Q4180">
        <v>0</v>
      </c>
      <c r="S4180">
        <v>0</v>
      </c>
      <c r="T4180">
        <v>0</v>
      </c>
      <c r="U4180">
        <v>0</v>
      </c>
      <c r="W4180" t="s">
        <v>52</v>
      </c>
    </row>
    <row r="4181" spans="1:23" x14ac:dyDescent="0.35">
      <c r="A4181" t="s">
        <v>45</v>
      </c>
      <c r="B4181" t="s">
        <v>8371</v>
      </c>
      <c r="C4181" t="s">
        <v>47</v>
      </c>
      <c r="D4181" t="s">
        <v>8391</v>
      </c>
      <c r="E4181" t="s">
        <v>8391</v>
      </c>
      <c r="F4181" t="s">
        <v>49</v>
      </c>
      <c r="G4181" t="s">
        <v>8392</v>
      </c>
      <c r="H4181" t="s">
        <v>8393</v>
      </c>
      <c r="J4181" t="str">
        <f>HYPERLINK("https://www.youtube.com/watch?v=Un06w8WhYRg&amp;lc=UgwzuAo3muwgjywk8dZ4AaABAg.9zJU9j62ILk9zJUC8_8KAA","https://www.youtube.com/watch?v=Un06w8WhYRg&amp;lc=UgwzuAo3muwgjywk8dZ4AaABAg.9zJU9j62ILk9zJUC8_8KAA")</f>
        <v>https://www.youtube.com/watch?v=Un06w8WhYRg&amp;lc=UgwzuAo3muwgjywk8dZ4AaABAg.9zJU9j62ILk9zJUC8_8KAA</v>
      </c>
      <c r="O4181">
        <v>0</v>
      </c>
      <c r="P4181">
        <v>0</v>
      </c>
      <c r="Q4181">
        <v>0</v>
      </c>
      <c r="S4181">
        <v>0</v>
      </c>
      <c r="T4181">
        <v>0</v>
      </c>
      <c r="U4181">
        <v>0</v>
      </c>
      <c r="W4181" t="s">
        <v>52</v>
      </c>
    </row>
    <row r="4182" spans="1:23" x14ac:dyDescent="0.35">
      <c r="A4182" t="s">
        <v>45</v>
      </c>
      <c r="B4182" t="s">
        <v>8371</v>
      </c>
      <c r="C4182" t="s">
        <v>47</v>
      </c>
      <c r="D4182" t="s">
        <v>8391</v>
      </c>
      <c r="E4182" t="s">
        <v>8391</v>
      </c>
      <c r="F4182" t="s">
        <v>49</v>
      </c>
      <c r="G4182" t="s">
        <v>8394</v>
      </c>
      <c r="H4182" t="s">
        <v>8395</v>
      </c>
      <c r="J4182" t="str">
        <f>HYPERLINK("https://www.youtube.com/watch?v=Un06w8WhYRg&amp;lc=UgwzuAo3muwgjywk8dZ4AaABAg","https://www.youtube.com/watch?v=Un06w8WhYRg&amp;lc=UgwzuAo3muwgjywk8dZ4AaABAg")</f>
        <v>https://www.youtube.com/watch?v=Un06w8WhYRg&amp;lc=UgwzuAo3muwgjywk8dZ4AaABAg</v>
      </c>
      <c r="O4182">
        <v>0</v>
      </c>
      <c r="P4182">
        <v>0</v>
      </c>
      <c r="Q4182">
        <v>0</v>
      </c>
      <c r="S4182">
        <v>0</v>
      </c>
      <c r="T4182">
        <v>0</v>
      </c>
      <c r="U4182">
        <v>0</v>
      </c>
      <c r="W4182" t="s">
        <v>52</v>
      </c>
    </row>
    <row r="4183" spans="1:23" x14ac:dyDescent="0.35">
      <c r="A4183" t="s">
        <v>45</v>
      </c>
      <c r="B4183" t="s">
        <v>8371</v>
      </c>
      <c r="C4183" t="s">
        <v>60</v>
      </c>
      <c r="D4183" t="s">
        <v>61</v>
      </c>
      <c r="E4183" t="s">
        <v>61</v>
      </c>
      <c r="F4183" t="s">
        <v>49</v>
      </c>
      <c r="G4183" t="s">
        <v>8396</v>
      </c>
      <c r="H4183" t="s">
        <v>8397</v>
      </c>
      <c r="J4183" t="str">
        <f>HYPERLINK("https://www.facebook.com/634639855377280/posts/768501555324442?comment_id=1850229178723716&amp;reply_comment_id=3742462419315643","https://www.facebook.com/634639855377280/posts/768501555324442?comment_id=1850229178723716&amp;reply_comment_id=3742462419315643")</f>
        <v>https://www.facebook.com/634639855377280/posts/768501555324442?comment_id=1850229178723716&amp;reply_comment_id=3742462419315643</v>
      </c>
      <c r="O4183">
        <v>0</v>
      </c>
      <c r="P4183">
        <v>0</v>
      </c>
      <c r="Q4183">
        <v>0</v>
      </c>
      <c r="S4183">
        <v>0</v>
      </c>
      <c r="T4183">
        <v>0</v>
      </c>
      <c r="U4183">
        <v>0</v>
      </c>
      <c r="W4183" t="s">
        <v>52</v>
      </c>
    </row>
    <row r="4184" spans="1:23" x14ac:dyDescent="0.35">
      <c r="A4184" t="s">
        <v>45</v>
      </c>
      <c r="B4184" t="s">
        <v>8371</v>
      </c>
      <c r="C4184" t="s">
        <v>93</v>
      </c>
      <c r="D4184" t="s">
        <v>8335</v>
      </c>
      <c r="E4184" t="s">
        <v>8336</v>
      </c>
      <c r="F4184" t="s">
        <v>193</v>
      </c>
      <c r="G4184" t="s">
        <v>8398</v>
      </c>
      <c r="H4184" t="s">
        <v>8399</v>
      </c>
      <c r="J4184" t="str">
        <f>HYPERLINK("https://twitter.com/mithilasales1/status/1744358706811199868","https://twitter.com/mithilasales1/status/1744358706811199868")</f>
        <v>https://twitter.com/mithilasales1/status/1744358706811199868</v>
      </c>
      <c r="O4184">
        <v>0</v>
      </c>
      <c r="P4184">
        <v>0</v>
      </c>
      <c r="Q4184">
        <v>14</v>
      </c>
      <c r="R4184" t="s">
        <v>6253</v>
      </c>
      <c r="S4184">
        <v>0</v>
      </c>
      <c r="T4184">
        <v>0</v>
      </c>
      <c r="U4184">
        <v>0</v>
      </c>
      <c r="W4184" t="s">
        <v>99</v>
      </c>
    </row>
    <row r="4185" spans="1:23" x14ac:dyDescent="0.35">
      <c r="A4185" t="s">
        <v>45</v>
      </c>
      <c r="B4185" t="s">
        <v>8371</v>
      </c>
      <c r="C4185" t="s">
        <v>60</v>
      </c>
      <c r="D4185" t="s">
        <v>61</v>
      </c>
      <c r="E4185" t="s">
        <v>61</v>
      </c>
      <c r="F4185" t="s">
        <v>49</v>
      </c>
      <c r="G4185" t="s">
        <v>8400</v>
      </c>
      <c r="H4185" t="s">
        <v>8401</v>
      </c>
      <c r="J4185" t="str">
        <f>HYPERLINK("https://www.facebook.com/634639855377280/posts/768501555324442?comment_id=385755937446652","https://www.facebook.com/634639855377280/posts/768501555324442?comment_id=385755937446652")</f>
        <v>https://www.facebook.com/634639855377280/posts/768501555324442?comment_id=385755937446652</v>
      </c>
      <c r="O4185">
        <v>0</v>
      </c>
      <c r="P4185">
        <v>0</v>
      </c>
      <c r="Q4185">
        <v>0</v>
      </c>
      <c r="S4185">
        <v>0</v>
      </c>
      <c r="T4185">
        <v>0</v>
      </c>
      <c r="U4185">
        <v>0</v>
      </c>
      <c r="W4185" t="s">
        <v>52</v>
      </c>
    </row>
    <row r="4186" spans="1:23" x14ac:dyDescent="0.35">
      <c r="A4186" t="s">
        <v>45</v>
      </c>
      <c r="B4186" t="s">
        <v>8371</v>
      </c>
      <c r="C4186" t="s">
        <v>60</v>
      </c>
      <c r="D4186" t="s">
        <v>61</v>
      </c>
      <c r="E4186" t="s">
        <v>61</v>
      </c>
      <c r="F4186" t="s">
        <v>49</v>
      </c>
      <c r="G4186" t="s">
        <v>8402</v>
      </c>
      <c r="H4186" t="s">
        <v>8403</v>
      </c>
      <c r="J4186" t="str">
        <f>HYPERLINK("https://www.facebook.com/634639855377280/posts/768501555324442?comment_id=1850229178723716&amp;reply_comment_id=2103992906600588","https://www.facebook.com/634639855377280/posts/768501555324442?comment_id=1850229178723716&amp;reply_comment_id=2103992906600588")</f>
        <v>https://www.facebook.com/634639855377280/posts/768501555324442?comment_id=1850229178723716&amp;reply_comment_id=2103992906600588</v>
      </c>
      <c r="O4186">
        <v>0</v>
      </c>
      <c r="P4186">
        <v>0</v>
      </c>
      <c r="Q4186">
        <v>0</v>
      </c>
      <c r="S4186">
        <v>0</v>
      </c>
      <c r="T4186">
        <v>0</v>
      </c>
      <c r="U4186">
        <v>0</v>
      </c>
      <c r="W4186" t="s">
        <v>52</v>
      </c>
    </row>
    <row r="4187" spans="1:23" x14ac:dyDescent="0.35">
      <c r="A4187" t="s">
        <v>45</v>
      </c>
      <c r="B4187" t="s">
        <v>8371</v>
      </c>
      <c r="C4187" t="s">
        <v>93</v>
      </c>
      <c r="D4187" t="s">
        <v>8404</v>
      </c>
      <c r="E4187" t="s">
        <v>8405</v>
      </c>
      <c r="F4187" t="s">
        <v>49</v>
      </c>
      <c r="G4187" t="s">
        <v>8406</v>
      </c>
      <c r="H4187" t="s">
        <v>8407</v>
      </c>
      <c r="J4187" t="str">
        <f>HYPERLINK("https://twitter.com/GovCsc8259/status/1744345075067322444","https://twitter.com/GovCsc8259/status/1744345075067322444")</f>
        <v>https://twitter.com/GovCsc8259/status/1744345075067322444</v>
      </c>
      <c r="K4187" t="s">
        <v>67</v>
      </c>
      <c r="O4187">
        <v>0</v>
      </c>
      <c r="P4187">
        <v>0</v>
      </c>
      <c r="Q4187">
        <v>0</v>
      </c>
      <c r="S4187">
        <v>0</v>
      </c>
      <c r="T4187">
        <v>0</v>
      </c>
      <c r="U4187">
        <v>0</v>
      </c>
      <c r="W4187" t="s">
        <v>99</v>
      </c>
    </row>
    <row r="4188" spans="1:23" x14ac:dyDescent="0.35">
      <c r="A4188" t="s">
        <v>45</v>
      </c>
      <c r="B4188" t="s">
        <v>8371</v>
      </c>
      <c r="C4188" t="s">
        <v>93</v>
      </c>
      <c r="D4188" t="s">
        <v>8404</v>
      </c>
      <c r="E4188" t="s">
        <v>8405</v>
      </c>
      <c r="F4188" t="s">
        <v>49</v>
      </c>
      <c r="G4188" t="s">
        <v>8408</v>
      </c>
      <c r="H4188" t="s">
        <v>8409</v>
      </c>
      <c r="J4188" t="str">
        <f>HYPERLINK("https://twitter.com/GovCsc8259/status/1744344926945501267","https://twitter.com/GovCsc8259/status/1744344926945501267")</f>
        <v>https://twitter.com/GovCsc8259/status/1744344926945501267</v>
      </c>
      <c r="K4188" t="s">
        <v>67</v>
      </c>
      <c r="O4188">
        <v>0</v>
      </c>
      <c r="P4188">
        <v>0</v>
      </c>
      <c r="Q4188">
        <v>0</v>
      </c>
      <c r="S4188">
        <v>0</v>
      </c>
      <c r="T4188">
        <v>0</v>
      </c>
      <c r="U4188">
        <v>0</v>
      </c>
      <c r="W4188" t="s">
        <v>99</v>
      </c>
    </row>
    <row r="4189" spans="1:23" x14ac:dyDescent="0.35">
      <c r="A4189" t="s">
        <v>45</v>
      </c>
      <c r="B4189" t="s">
        <v>8371</v>
      </c>
      <c r="C4189" t="s">
        <v>93</v>
      </c>
      <c r="D4189" t="s">
        <v>8404</v>
      </c>
      <c r="E4189" t="s">
        <v>8405</v>
      </c>
      <c r="F4189" t="s">
        <v>49</v>
      </c>
      <c r="G4189" t="s">
        <v>8410</v>
      </c>
      <c r="H4189" t="s">
        <v>8411</v>
      </c>
      <c r="J4189" t="str">
        <f>HYPERLINK("https://twitter.com/GovCsc8259/status/1744344891377778855","https://twitter.com/GovCsc8259/status/1744344891377778855")</f>
        <v>https://twitter.com/GovCsc8259/status/1744344891377778855</v>
      </c>
      <c r="K4189" t="s">
        <v>67</v>
      </c>
      <c r="O4189">
        <v>0</v>
      </c>
      <c r="P4189">
        <v>0</v>
      </c>
      <c r="Q4189">
        <v>0</v>
      </c>
      <c r="S4189">
        <v>0</v>
      </c>
      <c r="T4189">
        <v>0</v>
      </c>
      <c r="U4189">
        <v>0</v>
      </c>
      <c r="W4189" t="s">
        <v>99</v>
      </c>
    </row>
    <row r="4190" spans="1:23" x14ac:dyDescent="0.35">
      <c r="A4190" t="s">
        <v>45</v>
      </c>
      <c r="B4190" t="s">
        <v>8371</v>
      </c>
      <c r="C4190" t="s">
        <v>93</v>
      </c>
      <c r="D4190" t="s">
        <v>8404</v>
      </c>
      <c r="E4190" t="s">
        <v>8405</v>
      </c>
      <c r="F4190" t="s">
        <v>49</v>
      </c>
      <c r="G4190" t="s">
        <v>8412</v>
      </c>
      <c r="H4190" t="s">
        <v>8413</v>
      </c>
      <c r="J4190" t="str">
        <f>HYPERLINK("https://twitter.com/GovCsc8259/status/1744344879046472036","https://twitter.com/GovCsc8259/status/1744344879046472036")</f>
        <v>https://twitter.com/GovCsc8259/status/1744344879046472036</v>
      </c>
      <c r="K4190" t="s">
        <v>67</v>
      </c>
      <c r="O4190">
        <v>0</v>
      </c>
      <c r="P4190">
        <v>0</v>
      </c>
      <c r="Q4190">
        <v>0</v>
      </c>
      <c r="S4190">
        <v>0</v>
      </c>
      <c r="T4190">
        <v>0</v>
      </c>
      <c r="U4190">
        <v>0</v>
      </c>
      <c r="W4190" t="s">
        <v>99</v>
      </c>
    </row>
    <row r="4191" spans="1:23" x14ac:dyDescent="0.35">
      <c r="A4191" t="s">
        <v>45</v>
      </c>
      <c r="B4191" t="s">
        <v>8371</v>
      </c>
      <c r="C4191" t="s">
        <v>47</v>
      </c>
      <c r="D4191" t="s">
        <v>8414</v>
      </c>
      <c r="E4191" t="s">
        <v>8414</v>
      </c>
      <c r="F4191" t="s">
        <v>49</v>
      </c>
      <c r="G4191" t="s">
        <v>8415</v>
      </c>
      <c r="H4191" t="s">
        <v>8416</v>
      </c>
      <c r="J4191" t="str">
        <f>HYPERLINK("https://www.youtube.com/watch?v=Un06w8WhYRg&amp;lc=Ugya_8U-nIVAC1QVel94AaABAg","https://www.youtube.com/watch?v=Un06w8WhYRg&amp;lc=Ugya_8U-nIVAC1QVel94AaABAg")</f>
        <v>https://www.youtube.com/watch?v=Un06w8WhYRg&amp;lc=Ugya_8U-nIVAC1QVel94AaABAg</v>
      </c>
      <c r="O4191">
        <v>0</v>
      </c>
      <c r="P4191">
        <v>0</v>
      </c>
      <c r="Q4191">
        <v>0</v>
      </c>
      <c r="S4191">
        <v>0</v>
      </c>
      <c r="T4191">
        <v>0</v>
      </c>
      <c r="U4191">
        <v>0</v>
      </c>
      <c r="W4191" t="s">
        <v>52</v>
      </c>
    </row>
    <row r="4192" spans="1:23" x14ac:dyDescent="0.35">
      <c r="A4192" t="s">
        <v>45</v>
      </c>
      <c r="B4192" t="s">
        <v>8371</v>
      </c>
      <c r="C4192" t="s">
        <v>47</v>
      </c>
      <c r="D4192" t="s">
        <v>8414</v>
      </c>
      <c r="E4192" t="s">
        <v>8414</v>
      </c>
      <c r="F4192" t="s">
        <v>193</v>
      </c>
      <c r="G4192" t="s">
        <v>8417</v>
      </c>
      <c r="H4192" t="s">
        <v>8418</v>
      </c>
      <c r="J4192" t="str">
        <f>HYPERLINK("https://www.youtube.com/watch?v=Un06w8WhYRg&amp;lc=Ugz6buOjEQcpw2yLldh4AaABAg","https://www.youtube.com/watch?v=Un06w8WhYRg&amp;lc=Ugz6buOjEQcpw2yLldh4AaABAg")</f>
        <v>https://www.youtube.com/watch?v=Un06w8WhYRg&amp;lc=Ugz6buOjEQcpw2yLldh4AaABAg</v>
      </c>
      <c r="O4192">
        <v>0</v>
      </c>
      <c r="P4192">
        <v>0</v>
      </c>
      <c r="Q4192">
        <v>0</v>
      </c>
      <c r="S4192">
        <v>0</v>
      </c>
      <c r="T4192">
        <v>0</v>
      </c>
      <c r="U4192">
        <v>0</v>
      </c>
      <c r="W4192" t="s">
        <v>52</v>
      </c>
    </row>
    <row r="4193" spans="1:23" x14ac:dyDescent="0.35">
      <c r="A4193" t="s">
        <v>45</v>
      </c>
      <c r="B4193" t="s">
        <v>8371</v>
      </c>
      <c r="C4193" t="s">
        <v>60</v>
      </c>
      <c r="D4193" t="s">
        <v>61</v>
      </c>
      <c r="E4193" t="s">
        <v>61</v>
      </c>
      <c r="F4193" t="s">
        <v>49</v>
      </c>
      <c r="G4193" t="s">
        <v>8419</v>
      </c>
      <c r="H4193" t="s">
        <v>8420</v>
      </c>
      <c r="J4193" t="str">
        <f>HYPERLINK("https://www.facebook.com/634639855377280/posts/768501555324442?comment_id=2331244640395414","https://www.facebook.com/634639855377280/posts/768501555324442?comment_id=2331244640395414")</f>
        <v>https://www.facebook.com/634639855377280/posts/768501555324442?comment_id=2331244640395414</v>
      </c>
      <c r="O4193">
        <v>0</v>
      </c>
      <c r="P4193">
        <v>0</v>
      </c>
      <c r="Q4193">
        <v>0</v>
      </c>
      <c r="S4193">
        <v>0</v>
      </c>
      <c r="T4193">
        <v>0</v>
      </c>
      <c r="U4193">
        <v>0</v>
      </c>
      <c r="W4193" t="s">
        <v>52</v>
      </c>
    </row>
    <row r="4194" spans="1:23" x14ac:dyDescent="0.35">
      <c r="A4194" t="s">
        <v>45</v>
      </c>
      <c r="B4194" t="s">
        <v>8371</v>
      </c>
      <c r="C4194" t="s">
        <v>60</v>
      </c>
      <c r="D4194" t="s">
        <v>61</v>
      </c>
      <c r="E4194" t="s">
        <v>61</v>
      </c>
      <c r="F4194" t="s">
        <v>193</v>
      </c>
      <c r="G4194" t="s">
        <v>8421</v>
      </c>
      <c r="H4194" t="s">
        <v>8422</v>
      </c>
      <c r="J4194" t="str">
        <f>HYPERLINK("https://www.facebook.com/634639855377280/posts/766738295500768?comment_id=358905366780184","https://www.facebook.com/634639855377280/posts/766738295500768?comment_id=358905366780184")</f>
        <v>https://www.facebook.com/634639855377280/posts/766738295500768?comment_id=358905366780184</v>
      </c>
      <c r="O4194">
        <v>0</v>
      </c>
      <c r="P4194">
        <v>0</v>
      </c>
      <c r="Q4194">
        <v>0</v>
      </c>
      <c r="S4194">
        <v>0</v>
      </c>
      <c r="T4194">
        <v>0</v>
      </c>
      <c r="U4194">
        <v>0</v>
      </c>
      <c r="W4194" t="s">
        <v>52</v>
      </c>
    </row>
    <row r="4195" spans="1:23" x14ac:dyDescent="0.35">
      <c r="A4195" t="s">
        <v>45</v>
      </c>
      <c r="B4195" t="s">
        <v>8371</v>
      </c>
      <c r="C4195" t="s">
        <v>60</v>
      </c>
      <c r="D4195" t="s">
        <v>61</v>
      </c>
      <c r="E4195" t="s">
        <v>61</v>
      </c>
      <c r="F4195" t="s">
        <v>49</v>
      </c>
      <c r="G4195" t="s">
        <v>8423</v>
      </c>
      <c r="H4195" t="s">
        <v>8424</v>
      </c>
      <c r="J4195" t="str">
        <f>HYPERLINK("https://www.facebook.com/634639855377280/posts/768501555324442?comment_id=2849507461852818","https://www.facebook.com/634639855377280/posts/768501555324442?comment_id=2849507461852818")</f>
        <v>https://www.facebook.com/634639855377280/posts/768501555324442?comment_id=2849507461852818</v>
      </c>
      <c r="O4195">
        <v>0</v>
      </c>
      <c r="P4195">
        <v>0</v>
      </c>
      <c r="Q4195">
        <v>0</v>
      </c>
      <c r="S4195">
        <v>0</v>
      </c>
      <c r="T4195">
        <v>0</v>
      </c>
      <c r="U4195">
        <v>0</v>
      </c>
      <c r="W4195" t="s">
        <v>52</v>
      </c>
    </row>
    <row r="4196" spans="1:23" x14ac:dyDescent="0.35">
      <c r="A4196" t="s">
        <v>45</v>
      </c>
      <c r="B4196" t="s">
        <v>8371</v>
      </c>
      <c r="C4196" t="s">
        <v>60</v>
      </c>
      <c r="D4196" t="s">
        <v>61</v>
      </c>
      <c r="E4196" t="s">
        <v>61</v>
      </c>
      <c r="F4196" t="s">
        <v>49</v>
      </c>
      <c r="G4196" t="s">
        <v>8425</v>
      </c>
      <c r="H4196" t="s">
        <v>8426</v>
      </c>
      <c r="J4196" t="str">
        <f>HYPERLINK("https://www.facebook.com/634639855377280/posts/768501555324442?comment_id=613976870833717&amp;reply_comment_id=1453420111890657","https://www.facebook.com/634639855377280/posts/768501555324442?comment_id=613976870833717&amp;reply_comment_id=1453420111890657")</f>
        <v>https://www.facebook.com/634639855377280/posts/768501555324442?comment_id=613976870833717&amp;reply_comment_id=1453420111890657</v>
      </c>
      <c r="O4196">
        <v>0</v>
      </c>
      <c r="P4196">
        <v>0</v>
      </c>
      <c r="Q4196">
        <v>0</v>
      </c>
      <c r="S4196">
        <v>0</v>
      </c>
      <c r="T4196">
        <v>0</v>
      </c>
      <c r="U4196">
        <v>0</v>
      </c>
      <c r="W4196" t="s">
        <v>52</v>
      </c>
    </row>
    <row r="4197" spans="1:23" x14ac:dyDescent="0.35">
      <c r="A4197" t="s">
        <v>45</v>
      </c>
      <c r="B4197" t="s">
        <v>8371</v>
      </c>
      <c r="C4197" t="s">
        <v>60</v>
      </c>
      <c r="D4197" t="s">
        <v>64</v>
      </c>
      <c r="E4197" t="s">
        <v>64</v>
      </c>
      <c r="F4197" t="s">
        <v>49</v>
      </c>
      <c r="G4197" t="s">
        <v>6836</v>
      </c>
      <c r="H4197" t="s">
        <v>8427</v>
      </c>
      <c r="J4197" t="str">
        <f>HYPERLINK("https://www.facebook.com/634639855377280/posts/768501555324442?comment_id=613976870833717&amp;reply_comment_id=350502547837521","https://www.facebook.com/634639855377280/posts/768501555324442?comment_id=613976870833717&amp;reply_comment_id=350502547837521")</f>
        <v>https://www.facebook.com/634639855377280/posts/768501555324442?comment_id=613976870833717&amp;reply_comment_id=350502547837521</v>
      </c>
      <c r="K4197" t="s">
        <v>67</v>
      </c>
      <c r="O4197">
        <v>0</v>
      </c>
      <c r="P4197">
        <v>0</v>
      </c>
      <c r="Q4197">
        <v>0</v>
      </c>
      <c r="S4197">
        <v>0</v>
      </c>
      <c r="T4197">
        <v>0</v>
      </c>
      <c r="U4197">
        <v>0</v>
      </c>
      <c r="W4197" t="s">
        <v>52</v>
      </c>
    </row>
    <row r="4198" spans="1:23" x14ac:dyDescent="0.35">
      <c r="A4198" t="s">
        <v>45</v>
      </c>
      <c r="B4198" t="s">
        <v>8371</v>
      </c>
      <c r="C4198" t="s">
        <v>60</v>
      </c>
      <c r="D4198" t="s">
        <v>64</v>
      </c>
      <c r="E4198" t="s">
        <v>64</v>
      </c>
      <c r="F4198" t="s">
        <v>49</v>
      </c>
      <c r="G4198" t="s">
        <v>8428</v>
      </c>
      <c r="H4198" t="s">
        <v>8429</v>
      </c>
      <c r="J4198" t="str">
        <f>HYPERLINK("https://www.facebook.com/634639855377280/posts/768501555324442?comment_id=1850229178723716&amp;reply_comment_id=1594479131290966","https://www.facebook.com/634639855377280/posts/768501555324442?comment_id=1850229178723716&amp;reply_comment_id=1594479131290966")</f>
        <v>https://www.facebook.com/634639855377280/posts/768501555324442?comment_id=1850229178723716&amp;reply_comment_id=1594479131290966</v>
      </c>
      <c r="K4198" t="s">
        <v>67</v>
      </c>
      <c r="O4198">
        <v>0</v>
      </c>
      <c r="P4198">
        <v>0</v>
      </c>
      <c r="Q4198">
        <v>0</v>
      </c>
      <c r="S4198">
        <v>0</v>
      </c>
      <c r="T4198">
        <v>0</v>
      </c>
      <c r="U4198">
        <v>0</v>
      </c>
      <c r="W4198" t="s">
        <v>52</v>
      </c>
    </row>
    <row r="4199" spans="1:23" x14ac:dyDescent="0.35">
      <c r="A4199" t="s">
        <v>45</v>
      </c>
      <c r="B4199" t="s">
        <v>8371</v>
      </c>
      <c r="C4199" t="s">
        <v>60</v>
      </c>
      <c r="D4199" t="s">
        <v>61</v>
      </c>
      <c r="E4199" t="s">
        <v>61</v>
      </c>
      <c r="F4199" t="s">
        <v>49</v>
      </c>
      <c r="G4199" t="s">
        <v>8014</v>
      </c>
      <c r="H4199" t="s">
        <v>8430</v>
      </c>
      <c r="J4199" t="str">
        <f>HYPERLINK("https://www.facebook.com/634639855377280/posts/766738295500768?comment_id=420411160308804","https://www.facebook.com/634639855377280/posts/766738295500768?comment_id=420411160308804")</f>
        <v>https://www.facebook.com/634639855377280/posts/766738295500768?comment_id=420411160308804</v>
      </c>
      <c r="O4199">
        <v>0</v>
      </c>
      <c r="P4199">
        <v>0</v>
      </c>
      <c r="Q4199">
        <v>0</v>
      </c>
      <c r="S4199">
        <v>0</v>
      </c>
      <c r="T4199">
        <v>0</v>
      </c>
      <c r="U4199">
        <v>0</v>
      </c>
      <c r="W4199" t="s">
        <v>52</v>
      </c>
    </row>
    <row r="4200" spans="1:23" x14ac:dyDescent="0.35">
      <c r="A4200" t="s">
        <v>45</v>
      </c>
      <c r="B4200" t="s">
        <v>8371</v>
      </c>
      <c r="C4200" t="s">
        <v>60</v>
      </c>
      <c r="D4200" t="s">
        <v>64</v>
      </c>
      <c r="E4200" t="s">
        <v>64</v>
      </c>
      <c r="F4200" t="s">
        <v>49</v>
      </c>
      <c r="G4200" t="s">
        <v>266</v>
      </c>
      <c r="H4200" t="s">
        <v>8431</v>
      </c>
      <c r="J4200" t="str">
        <f>HYPERLINK("https://www.facebook.com/634639855377280/posts/768501555324442?comment_id=893452825894349&amp;reply_comment_id=758745435626524","https://www.facebook.com/634639855377280/posts/768501555324442?comment_id=893452825894349&amp;reply_comment_id=758745435626524")</f>
        <v>https://www.facebook.com/634639855377280/posts/768501555324442?comment_id=893452825894349&amp;reply_comment_id=758745435626524</v>
      </c>
      <c r="K4200" t="s">
        <v>67</v>
      </c>
      <c r="O4200">
        <v>0</v>
      </c>
      <c r="P4200">
        <v>0</v>
      </c>
      <c r="Q4200">
        <v>0</v>
      </c>
      <c r="S4200">
        <v>0</v>
      </c>
      <c r="T4200">
        <v>0</v>
      </c>
      <c r="U4200">
        <v>0</v>
      </c>
      <c r="W4200" t="s">
        <v>52</v>
      </c>
    </row>
    <row r="4201" spans="1:23" x14ac:dyDescent="0.35">
      <c r="A4201" t="s">
        <v>45</v>
      </c>
      <c r="B4201" t="s">
        <v>8371</v>
      </c>
      <c r="C4201" t="s">
        <v>60</v>
      </c>
      <c r="D4201" t="s">
        <v>61</v>
      </c>
      <c r="E4201" t="s">
        <v>61</v>
      </c>
      <c r="F4201" t="s">
        <v>49</v>
      </c>
      <c r="G4201" t="s">
        <v>8014</v>
      </c>
      <c r="H4201" t="s">
        <v>8432</v>
      </c>
      <c r="J4201" t="str">
        <f>HYPERLINK("https://www.facebook.com/634639855377280/posts/768501555324442?comment_id=3640989559447474","https://www.facebook.com/634639855377280/posts/768501555324442?comment_id=3640989559447474")</f>
        <v>https://www.facebook.com/634639855377280/posts/768501555324442?comment_id=3640989559447474</v>
      </c>
      <c r="O4201">
        <v>0</v>
      </c>
      <c r="P4201">
        <v>0</v>
      </c>
      <c r="Q4201">
        <v>0</v>
      </c>
      <c r="S4201">
        <v>0</v>
      </c>
      <c r="T4201">
        <v>0</v>
      </c>
      <c r="U4201">
        <v>0</v>
      </c>
      <c r="W4201" t="s">
        <v>52</v>
      </c>
    </row>
    <row r="4202" spans="1:23" x14ac:dyDescent="0.35">
      <c r="A4202" t="s">
        <v>45</v>
      </c>
      <c r="B4202" t="s">
        <v>8371</v>
      </c>
      <c r="C4202" t="s">
        <v>60</v>
      </c>
      <c r="D4202" t="s">
        <v>61</v>
      </c>
      <c r="E4202" t="s">
        <v>61</v>
      </c>
      <c r="F4202" t="s">
        <v>49</v>
      </c>
      <c r="G4202" t="s">
        <v>8433</v>
      </c>
      <c r="H4202" t="s">
        <v>8434</v>
      </c>
      <c r="J4202" t="str">
        <f>HYPERLINK("https://www.facebook.com/634639855377280/posts/768501555324442?comment_id=613976870833717","https://www.facebook.com/634639855377280/posts/768501555324442?comment_id=613976870833717")</f>
        <v>https://www.facebook.com/634639855377280/posts/768501555324442?comment_id=613976870833717</v>
      </c>
      <c r="O4202">
        <v>0</v>
      </c>
      <c r="P4202">
        <v>0</v>
      </c>
      <c r="Q4202">
        <v>0</v>
      </c>
      <c r="S4202">
        <v>0</v>
      </c>
      <c r="T4202">
        <v>0</v>
      </c>
      <c r="U4202">
        <v>0</v>
      </c>
      <c r="W4202" t="s">
        <v>52</v>
      </c>
    </row>
    <row r="4203" spans="1:23" x14ac:dyDescent="0.35">
      <c r="A4203" t="s">
        <v>45</v>
      </c>
      <c r="B4203" t="s">
        <v>8371</v>
      </c>
      <c r="C4203" t="s">
        <v>93</v>
      </c>
      <c r="D4203" t="s">
        <v>94</v>
      </c>
      <c r="E4203" t="s">
        <v>45</v>
      </c>
      <c r="F4203" t="s">
        <v>49</v>
      </c>
      <c r="G4203" t="s">
        <v>8435</v>
      </c>
      <c r="H4203" t="s">
        <v>8436</v>
      </c>
      <c r="J4203" t="str">
        <f>HYPERLINK("https://twitter.com/SpiceMoneyIndia/status/1744335269304664547","https://twitter.com/SpiceMoneyIndia/status/1744335269304664547")</f>
        <v>https://twitter.com/SpiceMoneyIndia/status/1744335269304664547</v>
      </c>
      <c r="K4203" t="s">
        <v>67</v>
      </c>
      <c r="O4203">
        <v>0</v>
      </c>
      <c r="P4203">
        <v>0</v>
      </c>
      <c r="Q4203">
        <v>5984</v>
      </c>
      <c r="R4203" t="s">
        <v>97</v>
      </c>
      <c r="S4203">
        <v>0</v>
      </c>
      <c r="T4203">
        <v>0</v>
      </c>
      <c r="U4203">
        <v>0</v>
      </c>
      <c r="V4203" t="s">
        <v>98</v>
      </c>
      <c r="W4203" t="s">
        <v>99</v>
      </c>
    </row>
    <row r="4204" spans="1:23" x14ac:dyDescent="0.35">
      <c r="A4204" t="s">
        <v>45</v>
      </c>
      <c r="B4204" t="s">
        <v>8371</v>
      </c>
      <c r="C4204" t="s">
        <v>60</v>
      </c>
      <c r="D4204" t="s">
        <v>61</v>
      </c>
      <c r="E4204" t="s">
        <v>61</v>
      </c>
      <c r="F4204" t="s">
        <v>49</v>
      </c>
      <c r="G4204" t="s">
        <v>8437</v>
      </c>
      <c r="H4204" t="s">
        <v>8438</v>
      </c>
      <c r="J4204" t="str">
        <f>HYPERLINK("https://www.facebook.com/634639855377280/posts/768501555324442?comment_id=1850229178723716","https://www.facebook.com/634639855377280/posts/768501555324442?comment_id=1850229178723716")</f>
        <v>https://www.facebook.com/634639855377280/posts/768501555324442?comment_id=1850229178723716</v>
      </c>
      <c r="O4204">
        <v>0</v>
      </c>
      <c r="P4204">
        <v>0</v>
      </c>
      <c r="Q4204">
        <v>0</v>
      </c>
      <c r="S4204">
        <v>0</v>
      </c>
      <c r="T4204">
        <v>0</v>
      </c>
      <c r="U4204">
        <v>0</v>
      </c>
      <c r="W4204" t="s">
        <v>52</v>
      </c>
    </row>
    <row r="4205" spans="1:23" x14ac:dyDescent="0.35">
      <c r="A4205" t="s">
        <v>45</v>
      </c>
      <c r="B4205" t="s">
        <v>8371</v>
      </c>
      <c r="C4205" t="s">
        <v>60</v>
      </c>
      <c r="D4205" t="s">
        <v>61</v>
      </c>
      <c r="E4205" t="s">
        <v>61</v>
      </c>
      <c r="F4205" t="s">
        <v>49</v>
      </c>
      <c r="G4205" t="s">
        <v>8439</v>
      </c>
      <c r="H4205" t="s">
        <v>8440</v>
      </c>
      <c r="J4205" t="str">
        <f>HYPERLINK("https://www.facebook.com/634639855377280/posts/768501555324442?comment_id=893452825894349","https://www.facebook.com/634639855377280/posts/768501555324442?comment_id=893452825894349")</f>
        <v>https://www.facebook.com/634639855377280/posts/768501555324442?comment_id=893452825894349</v>
      </c>
      <c r="O4205">
        <v>0</v>
      </c>
      <c r="P4205">
        <v>0</v>
      </c>
      <c r="Q4205">
        <v>0</v>
      </c>
      <c r="S4205">
        <v>0</v>
      </c>
      <c r="T4205">
        <v>0</v>
      </c>
      <c r="U4205">
        <v>0</v>
      </c>
      <c r="W4205" t="s">
        <v>52</v>
      </c>
    </row>
    <row r="4206" spans="1:23" x14ac:dyDescent="0.35">
      <c r="A4206" t="s">
        <v>45</v>
      </c>
      <c r="B4206" t="s">
        <v>8371</v>
      </c>
      <c r="C4206" t="s">
        <v>93</v>
      </c>
      <c r="D4206" t="s">
        <v>8441</v>
      </c>
      <c r="E4206" t="s">
        <v>8442</v>
      </c>
      <c r="F4206" t="s">
        <v>49</v>
      </c>
      <c r="G4206" t="s">
        <v>8443</v>
      </c>
      <c r="H4206" t="s">
        <v>8444</v>
      </c>
      <c r="J4206" t="str">
        <f>HYPERLINK("https://twitter.com/PremYogi566/status/1744331817514394020","https://twitter.com/PremYogi566/status/1744331817514394020")</f>
        <v>https://twitter.com/PremYogi566/status/1744331817514394020</v>
      </c>
      <c r="K4206" t="s">
        <v>67</v>
      </c>
      <c r="O4206">
        <v>0</v>
      </c>
      <c r="P4206">
        <v>0</v>
      </c>
      <c r="Q4206">
        <v>12</v>
      </c>
      <c r="S4206">
        <v>0</v>
      </c>
      <c r="T4206">
        <v>0</v>
      </c>
      <c r="U4206">
        <v>0</v>
      </c>
      <c r="W4206" t="s">
        <v>99</v>
      </c>
    </row>
    <row r="4207" spans="1:23" x14ac:dyDescent="0.35">
      <c r="A4207" t="s">
        <v>45</v>
      </c>
      <c r="B4207" t="s">
        <v>8371</v>
      </c>
      <c r="C4207" t="s">
        <v>60</v>
      </c>
      <c r="D4207" t="s">
        <v>64</v>
      </c>
      <c r="E4207" t="s">
        <v>64</v>
      </c>
      <c r="F4207" t="s">
        <v>49</v>
      </c>
      <c r="G4207" t="s">
        <v>270</v>
      </c>
      <c r="H4207" t="s">
        <v>8445</v>
      </c>
      <c r="J4207" t="str">
        <f>HYPERLINK("https://www.facebook.com/634639855377280/posts/768501555324442?comment_id=740383524651380&amp;reply_comment_id=1757202684748273","https://www.facebook.com/634639855377280/posts/768501555324442?comment_id=740383524651380&amp;reply_comment_id=1757202684748273")</f>
        <v>https://www.facebook.com/634639855377280/posts/768501555324442?comment_id=740383524651380&amp;reply_comment_id=1757202684748273</v>
      </c>
      <c r="K4207" t="s">
        <v>67</v>
      </c>
      <c r="O4207">
        <v>0</v>
      </c>
      <c r="P4207">
        <v>0</v>
      </c>
      <c r="Q4207">
        <v>0</v>
      </c>
      <c r="S4207">
        <v>0</v>
      </c>
      <c r="T4207">
        <v>0</v>
      </c>
      <c r="U4207">
        <v>0</v>
      </c>
      <c r="W4207" t="s">
        <v>52</v>
      </c>
    </row>
    <row r="4208" spans="1:23" x14ac:dyDescent="0.35">
      <c r="A4208" t="s">
        <v>45</v>
      </c>
      <c r="B4208" t="s">
        <v>8371</v>
      </c>
      <c r="C4208" t="s">
        <v>93</v>
      </c>
      <c r="D4208" t="s">
        <v>8441</v>
      </c>
      <c r="E4208" t="s">
        <v>8442</v>
      </c>
      <c r="F4208" t="s">
        <v>193</v>
      </c>
      <c r="G4208" t="s">
        <v>8446</v>
      </c>
      <c r="H4208" t="s">
        <v>8447</v>
      </c>
      <c r="J4208" t="str">
        <f>HYPERLINK("https://twitter.com/PremYogi566/status/1744330947770957858","https://twitter.com/PremYogi566/status/1744330947770957858")</f>
        <v>https://twitter.com/PremYogi566/status/1744330947770957858</v>
      </c>
      <c r="K4208" t="s">
        <v>67</v>
      </c>
      <c r="O4208">
        <v>0</v>
      </c>
      <c r="P4208">
        <v>0</v>
      </c>
      <c r="Q4208">
        <v>12</v>
      </c>
      <c r="S4208">
        <v>0</v>
      </c>
      <c r="T4208">
        <v>0</v>
      </c>
      <c r="U4208">
        <v>0</v>
      </c>
      <c r="W4208" t="s">
        <v>99</v>
      </c>
    </row>
    <row r="4209" spans="1:23" x14ac:dyDescent="0.35">
      <c r="A4209" t="s">
        <v>45</v>
      </c>
      <c r="B4209" t="s">
        <v>8371</v>
      </c>
      <c r="C4209" t="s">
        <v>60</v>
      </c>
      <c r="D4209" t="s">
        <v>64</v>
      </c>
      <c r="E4209" t="s">
        <v>64</v>
      </c>
      <c r="F4209" t="s">
        <v>49</v>
      </c>
      <c r="G4209" t="s">
        <v>454</v>
      </c>
      <c r="H4209" t="s">
        <v>8448</v>
      </c>
      <c r="J4209" t="str">
        <f>HYPERLINK("https://www.facebook.com/634639855377280/posts/766738295500768?comment_id=1413102029591419&amp;reply_comment_id=894488658698741","https://www.facebook.com/634639855377280/posts/766738295500768?comment_id=1413102029591419&amp;reply_comment_id=894488658698741")</f>
        <v>https://www.facebook.com/634639855377280/posts/766738295500768?comment_id=1413102029591419&amp;reply_comment_id=894488658698741</v>
      </c>
      <c r="K4209" t="s">
        <v>67</v>
      </c>
      <c r="O4209">
        <v>0</v>
      </c>
      <c r="P4209">
        <v>0</v>
      </c>
      <c r="Q4209">
        <v>0</v>
      </c>
      <c r="S4209">
        <v>0</v>
      </c>
      <c r="T4209">
        <v>0</v>
      </c>
      <c r="U4209">
        <v>0</v>
      </c>
      <c r="W4209" t="s">
        <v>52</v>
      </c>
    </row>
    <row r="4210" spans="1:23" x14ac:dyDescent="0.35">
      <c r="A4210" t="s">
        <v>45</v>
      </c>
      <c r="B4210" t="s">
        <v>8371</v>
      </c>
      <c r="C4210" t="s">
        <v>60</v>
      </c>
      <c r="D4210" t="s">
        <v>61</v>
      </c>
      <c r="E4210" t="s">
        <v>61</v>
      </c>
      <c r="F4210" t="s">
        <v>49</v>
      </c>
      <c r="G4210" t="s">
        <v>8449</v>
      </c>
      <c r="H4210" t="s">
        <v>8450</v>
      </c>
      <c r="J4210" t="str">
        <f>HYPERLINK("https://www.facebook.com/634639855377280/posts/768501555324442?comment_id=903082647880253","https://www.facebook.com/634639855377280/posts/768501555324442?comment_id=903082647880253")</f>
        <v>https://www.facebook.com/634639855377280/posts/768501555324442?comment_id=903082647880253</v>
      </c>
      <c r="O4210">
        <v>0</v>
      </c>
      <c r="P4210">
        <v>0</v>
      </c>
      <c r="Q4210">
        <v>0</v>
      </c>
      <c r="S4210">
        <v>0</v>
      </c>
      <c r="T4210">
        <v>0</v>
      </c>
      <c r="U4210">
        <v>0</v>
      </c>
      <c r="W4210" t="s">
        <v>52</v>
      </c>
    </row>
    <row r="4211" spans="1:23" x14ac:dyDescent="0.35">
      <c r="A4211" t="s">
        <v>45</v>
      </c>
      <c r="B4211" t="s">
        <v>8371</v>
      </c>
      <c r="C4211" t="s">
        <v>47</v>
      </c>
      <c r="D4211" t="s">
        <v>68</v>
      </c>
      <c r="E4211" t="s">
        <v>68</v>
      </c>
      <c r="F4211" t="s">
        <v>49</v>
      </c>
      <c r="G4211" t="s">
        <v>8451</v>
      </c>
      <c r="H4211" t="s">
        <v>8452</v>
      </c>
      <c r="J4211" t="str">
        <f>HYPERLINK("https://www.youtube.com/watch?v=otifGXuH01E&amp;lc=UgzJm-osE7knIR0teGd4AaABAg.9zIxp6CbaTK9zJ9mnhN4u4","https://www.youtube.com/watch?v=otifGXuH01E&amp;lc=UgzJm-osE7knIR0teGd4AaABAg.9zIxp6CbaTK9zJ9mnhN4u4")</f>
        <v>https://www.youtube.com/watch?v=otifGXuH01E&amp;lc=UgzJm-osE7knIR0teGd4AaABAg.9zIxp6CbaTK9zJ9mnhN4u4</v>
      </c>
      <c r="O4211">
        <v>0</v>
      </c>
      <c r="P4211">
        <v>0</v>
      </c>
      <c r="Q4211">
        <v>0</v>
      </c>
      <c r="S4211">
        <v>0</v>
      </c>
      <c r="T4211">
        <v>0</v>
      </c>
      <c r="U4211">
        <v>0</v>
      </c>
      <c r="W4211" t="s">
        <v>52</v>
      </c>
    </row>
    <row r="4212" spans="1:23" x14ac:dyDescent="0.35">
      <c r="A4212" t="s">
        <v>45</v>
      </c>
      <c r="B4212" t="s">
        <v>8371</v>
      </c>
      <c r="C4212" t="s">
        <v>93</v>
      </c>
      <c r="D4212" t="s">
        <v>8453</v>
      </c>
      <c r="E4212" t="s">
        <v>8454</v>
      </c>
      <c r="F4212" t="s">
        <v>49</v>
      </c>
      <c r="G4212" t="s">
        <v>8455</v>
      </c>
      <c r="H4212" t="s">
        <v>8456</v>
      </c>
      <c r="J4212" t="str">
        <f>HYPERLINK("https://twitter.com/ShivamK96412892/status/1744325414447895017","https://twitter.com/ShivamK96412892/status/1744325414447895017")</f>
        <v>https://twitter.com/ShivamK96412892/status/1744325414447895017</v>
      </c>
      <c r="K4212" t="s">
        <v>67</v>
      </c>
      <c r="O4212">
        <v>0</v>
      </c>
      <c r="P4212">
        <v>0</v>
      </c>
      <c r="Q4212">
        <v>0</v>
      </c>
      <c r="S4212">
        <v>0</v>
      </c>
      <c r="T4212">
        <v>0</v>
      </c>
      <c r="U4212">
        <v>0</v>
      </c>
      <c r="W4212" t="s">
        <v>99</v>
      </c>
    </row>
    <row r="4213" spans="1:23" x14ac:dyDescent="0.35">
      <c r="A4213" t="s">
        <v>45</v>
      </c>
      <c r="B4213" t="s">
        <v>8371</v>
      </c>
      <c r="C4213" t="s">
        <v>60</v>
      </c>
      <c r="D4213" t="s">
        <v>61</v>
      </c>
      <c r="E4213" t="s">
        <v>61</v>
      </c>
      <c r="F4213" t="s">
        <v>49</v>
      </c>
      <c r="G4213" t="s">
        <v>8457</v>
      </c>
      <c r="H4213" t="s">
        <v>8458</v>
      </c>
      <c r="J4213" t="str">
        <f>HYPERLINK("https://www.facebook.com/634639855377280/posts/766738295500768?comment_id=1413102029591419","https://www.facebook.com/634639855377280/posts/766738295500768?comment_id=1413102029591419")</f>
        <v>https://www.facebook.com/634639855377280/posts/766738295500768?comment_id=1413102029591419</v>
      </c>
      <c r="O4213">
        <v>0</v>
      </c>
      <c r="P4213">
        <v>0</v>
      </c>
      <c r="Q4213">
        <v>0</v>
      </c>
      <c r="S4213">
        <v>0</v>
      </c>
      <c r="T4213">
        <v>0</v>
      </c>
      <c r="U4213">
        <v>0</v>
      </c>
      <c r="W4213" t="s">
        <v>52</v>
      </c>
    </row>
    <row r="4214" spans="1:23" x14ac:dyDescent="0.35">
      <c r="A4214" t="s">
        <v>45</v>
      </c>
      <c r="B4214" t="s">
        <v>8371</v>
      </c>
      <c r="C4214" t="s">
        <v>60</v>
      </c>
      <c r="D4214" t="s">
        <v>61</v>
      </c>
      <c r="E4214" t="s">
        <v>61</v>
      </c>
      <c r="F4214" t="s">
        <v>49</v>
      </c>
      <c r="G4214" t="s">
        <v>8457</v>
      </c>
      <c r="H4214" t="s">
        <v>8459</v>
      </c>
      <c r="J4214" t="str">
        <f>HYPERLINK("https://www.facebook.com/634639855377280/posts/767295575445040?comment_id=1059476535177149","https://www.facebook.com/634639855377280/posts/767295575445040?comment_id=1059476535177149")</f>
        <v>https://www.facebook.com/634639855377280/posts/767295575445040?comment_id=1059476535177149</v>
      </c>
      <c r="O4214">
        <v>0</v>
      </c>
      <c r="P4214">
        <v>0</v>
      </c>
      <c r="Q4214">
        <v>0</v>
      </c>
      <c r="S4214">
        <v>0</v>
      </c>
      <c r="T4214">
        <v>0</v>
      </c>
      <c r="U4214">
        <v>0</v>
      </c>
      <c r="W4214" t="s">
        <v>52</v>
      </c>
    </row>
    <row r="4215" spans="1:23" x14ac:dyDescent="0.35">
      <c r="A4215" t="s">
        <v>45</v>
      </c>
      <c r="B4215" t="s">
        <v>8371</v>
      </c>
      <c r="C4215" t="s">
        <v>93</v>
      </c>
      <c r="D4215" t="s">
        <v>8460</v>
      </c>
      <c r="E4215" t="s">
        <v>8461</v>
      </c>
      <c r="F4215" t="s">
        <v>193</v>
      </c>
      <c r="G4215" t="s">
        <v>7056</v>
      </c>
      <c r="H4215" t="s">
        <v>8462</v>
      </c>
      <c r="J4215" t="str">
        <f>HYPERLINK("https://twitter.com/MdSameer792736/status/1744314002501706102","https://twitter.com/MdSameer792736/status/1744314002501706102")</f>
        <v>https://twitter.com/MdSameer792736/status/1744314002501706102</v>
      </c>
      <c r="O4215">
        <v>0</v>
      </c>
      <c r="P4215">
        <v>0</v>
      </c>
      <c r="Q4215">
        <v>0</v>
      </c>
      <c r="S4215">
        <v>0</v>
      </c>
      <c r="T4215">
        <v>0</v>
      </c>
      <c r="U4215">
        <v>0</v>
      </c>
      <c r="W4215" t="s">
        <v>99</v>
      </c>
    </row>
    <row r="4216" spans="1:23" x14ac:dyDescent="0.35">
      <c r="A4216" t="s">
        <v>45</v>
      </c>
      <c r="B4216" t="s">
        <v>8371</v>
      </c>
      <c r="C4216" t="s">
        <v>47</v>
      </c>
      <c r="D4216" t="s">
        <v>6981</v>
      </c>
      <c r="E4216" t="s">
        <v>6981</v>
      </c>
      <c r="F4216" t="s">
        <v>193</v>
      </c>
      <c r="G4216" t="s">
        <v>8463</v>
      </c>
      <c r="H4216" t="s">
        <v>8464</v>
      </c>
      <c r="J4216" t="str">
        <f>HYPERLINK("https://www.youtube.com/watch?v=Un06w8WhYRg&amp;lc=UgyX4fBXHDwTUG4hk5p4AaABAg","https://www.youtube.com/watch?v=Un06w8WhYRg&amp;lc=UgyX4fBXHDwTUG4hk5p4AaABAg")</f>
        <v>https://www.youtube.com/watch?v=Un06w8WhYRg&amp;lc=UgyX4fBXHDwTUG4hk5p4AaABAg</v>
      </c>
      <c r="O4216">
        <v>0</v>
      </c>
      <c r="P4216">
        <v>0</v>
      </c>
      <c r="Q4216">
        <v>0</v>
      </c>
      <c r="S4216">
        <v>0</v>
      </c>
      <c r="T4216">
        <v>0</v>
      </c>
      <c r="U4216">
        <v>0</v>
      </c>
      <c r="W4216" t="s">
        <v>52</v>
      </c>
    </row>
    <row r="4217" spans="1:23" x14ac:dyDescent="0.35">
      <c r="A4217" t="s">
        <v>45</v>
      </c>
      <c r="B4217" t="s">
        <v>8371</v>
      </c>
      <c r="C4217" t="s">
        <v>47</v>
      </c>
      <c r="D4217" t="s">
        <v>8465</v>
      </c>
      <c r="E4217" t="s">
        <v>8465</v>
      </c>
      <c r="F4217" t="s">
        <v>49</v>
      </c>
      <c r="G4217" t="s">
        <v>8466</v>
      </c>
      <c r="H4217" t="s">
        <v>8467</v>
      </c>
      <c r="J4217" t="str">
        <f>HYPERLINK("https://www.youtube.com/watch?v=otifGXuH01E&amp;lc=UgzJm-osE7knIR0teGd4AaABAg","https://www.youtube.com/watch?v=otifGXuH01E&amp;lc=UgzJm-osE7knIR0teGd4AaABAg")</f>
        <v>https://www.youtube.com/watch?v=otifGXuH01E&amp;lc=UgzJm-osE7knIR0teGd4AaABAg</v>
      </c>
      <c r="O4217">
        <v>0</v>
      </c>
      <c r="P4217">
        <v>0</v>
      </c>
      <c r="Q4217">
        <v>0</v>
      </c>
      <c r="S4217">
        <v>0</v>
      </c>
      <c r="T4217">
        <v>0</v>
      </c>
      <c r="U4217">
        <v>0</v>
      </c>
      <c r="W4217" t="s">
        <v>52</v>
      </c>
    </row>
    <row r="4218" spans="1:23" x14ac:dyDescent="0.35">
      <c r="A4218" t="s">
        <v>45</v>
      </c>
      <c r="B4218" t="s">
        <v>8371</v>
      </c>
      <c r="C4218" t="s">
        <v>47</v>
      </c>
      <c r="D4218" t="s">
        <v>8465</v>
      </c>
      <c r="E4218" t="s">
        <v>8465</v>
      </c>
      <c r="F4218" t="s">
        <v>49</v>
      </c>
      <c r="G4218" t="s">
        <v>8468</v>
      </c>
      <c r="H4218" t="s">
        <v>8469</v>
      </c>
      <c r="J4218" t="str">
        <f>HYPERLINK("https://www.youtube.com/watch?v=otifGXuH01E&amp;lc=UgxsHGo_EDuBAf8pew14AaABAg","https://www.youtube.com/watch?v=otifGXuH01E&amp;lc=UgxsHGo_EDuBAf8pew14AaABAg")</f>
        <v>https://www.youtube.com/watch?v=otifGXuH01E&amp;lc=UgxsHGo_EDuBAf8pew14AaABAg</v>
      </c>
      <c r="O4218">
        <v>0</v>
      </c>
      <c r="P4218">
        <v>0</v>
      </c>
      <c r="Q4218">
        <v>0</v>
      </c>
      <c r="S4218">
        <v>0</v>
      </c>
      <c r="T4218">
        <v>0</v>
      </c>
      <c r="U4218">
        <v>0</v>
      </c>
      <c r="W4218" t="s">
        <v>52</v>
      </c>
    </row>
    <row r="4219" spans="1:23" x14ac:dyDescent="0.35">
      <c r="A4219" t="s">
        <v>45</v>
      </c>
      <c r="B4219" t="s">
        <v>8371</v>
      </c>
      <c r="C4219" t="s">
        <v>60</v>
      </c>
      <c r="D4219" t="s">
        <v>61</v>
      </c>
      <c r="E4219" t="s">
        <v>61</v>
      </c>
      <c r="F4219" t="s">
        <v>49</v>
      </c>
      <c r="G4219" t="s">
        <v>8470</v>
      </c>
      <c r="H4219" t="s">
        <v>8471</v>
      </c>
      <c r="J4219" t="str">
        <f>HYPERLINK("https://www.facebook.com/634639855377280/posts/768501555324442?comment_id=676554078012904","https://www.facebook.com/634639855377280/posts/768501555324442?comment_id=676554078012904")</f>
        <v>https://www.facebook.com/634639855377280/posts/768501555324442?comment_id=676554078012904</v>
      </c>
      <c r="O4219">
        <v>0</v>
      </c>
      <c r="P4219">
        <v>0</v>
      </c>
      <c r="Q4219">
        <v>0</v>
      </c>
      <c r="S4219">
        <v>0</v>
      </c>
      <c r="T4219">
        <v>0</v>
      </c>
      <c r="U4219">
        <v>0</v>
      </c>
      <c r="W4219" t="s">
        <v>52</v>
      </c>
    </row>
    <row r="4220" spans="1:23" x14ac:dyDescent="0.35">
      <c r="A4220" t="s">
        <v>45</v>
      </c>
      <c r="B4220" t="s">
        <v>8371</v>
      </c>
      <c r="C4220" t="s">
        <v>60</v>
      </c>
      <c r="D4220" t="s">
        <v>61</v>
      </c>
      <c r="E4220" t="s">
        <v>61</v>
      </c>
      <c r="F4220" t="s">
        <v>49</v>
      </c>
      <c r="G4220" t="s">
        <v>8457</v>
      </c>
      <c r="H4220" t="s">
        <v>8472</v>
      </c>
      <c r="J4220" t="str">
        <f>HYPERLINK("https://www.facebook.com/634639855377280/posts/766738295500768?comment_id=287663820956943","https://www.facebook.com/634639855377280/posts/766738295500768?comment_id=287663820956943")</f>
        <v>https://www.facebook.com/634639855377280/posts/766738295500768?comment_id=287663820956943</v>
      </c>
      <c r="O4220">
        <v>0</v>
      </c>
      <c r="P4220">
        <v>0</v>
      </c>
      <c r="Q4220">
        <v>0</v>
      </c>
      <c r="S4220">
        <v>0</v>
      </c>
      <c r="T4220">
        <v>0</v>
      </c>
      <c r="U4220">
        <v>0</v>
      </c>
      <c r="W4220" t="s">
        <v>52</v>
      </c>
    </row>
    <row r="4221" spans="1:23" x14ac:dyDescent="0.35">
      <c r="A4221" t="s">
        <v>45</v>
      </c>
      <c r="B4221" t="s">
        <v>8371</v>
      </c>
      <c r="C4221" t="s">
        <v>60</v>
      </c>
      <c r="D4221" t="s">
        <v>61</v>
      </c>
      <c r="E4221" t="s">
        <v>61</v>
      </c>
      <c r="F4221" t="s">
        <v>49</v>
      </c>
      <c r="G4221" t="s">
        <v>8457</v>
      </c>
      <c r="H4221" t="s">
        <v>8473</v>
      </c>
      <c r="J4221" t="str">
        <f>HYPERLINK("https://www.facebook.com/634639855377280/posts/767295575445040?comment_id=1421092392171380","https://www.facebook.com/634639855377280/posts/767295575445040?comment_id=1421092392171380")</f>
        <v>https://www.facebook.com/634639855377280/posts/767295575445040?comment_id=1421092392171380</v>
      </c>
      <c r="O4221">
        <v>0</v>
      </c>
      <c r="P4221">
        <v>0</v>
      </c>
      <c r="Q4221">
        <v>0</v>
      </c>
      <c r="S4221">
        <v>0</v>
      </c>
      <c r="T4221">
        <v>0</v>
      </c>
      <c r="U4221">
        <v>0</v>
      </c>
      <c r="W4221" t="s">
        <v>52</v>
      </c>
    </row>
    <row r="4222" spans="1:23" x14ac:dyDescent="0.35">
      <c r="A4222" t="s">
        <v>45</v>
      </c>
      <c r="B4222" t="s">
        <v>8371</v>
      </c>
      <c r="C4222" t="s">
        <v>60</v>
      </c>
      <c r="D4222" t="s">
        <v>61</v>
      </c>
      <c r="E4222" t="s">
        <v>61</v>
      </c>
      <c r="F4222" t="s">
        <v>49</v>
      </c>
      <c r="G4222" t="s">
        <v>8457</v>
      </c>
      <c r="H4222" t="s">
        <v>8474</v>
      </c>
      <c r="J4222" t="str">
        <f>HYPERLINK("https://www.facebook.com/634639855377280/posts/768501555324442?comment_id=370013312296109","https://www.facebook.com/634639855377280/posts/768501555324442?comment_id=370013312296109")</f>
        <v>https://www.facebook.com/634639855377280/posts/768501555324442?comment_id=370013312296109</v>
      </c>
      <c r="O4222">
        <v>0</v>
      </c>
      <c r="P4222">
        <v>0</v>
      </c>
      <c r="Q4222">
        <v>0</v>
      </c>
      <c r="S4222">
        <v>0</v>
      </c>
      <c r="T4222">
        <v>0</v>
      </c>
      <c r="U4222">
        <v>0</v>
      </c>
      <c r="W4222" t="s">
        <v>52</v>
      </c>
    </row>
    <row r="4223" spans="1:23" x14ac:dyDescent="0.35">
      <c r="A4223" t="s">
        <v>45</v>
      </c>
      <c r="B4223" t="s">
        <v>8371</v>
      </c>
      <c r="C4223" t="s">
        <v>60</v>
      </c>
      <c r="D4223" t="s">
        <v>61</v>
      </c>
      <c r="E4223" t="s">
        <v>61</v>
      </c>
      <c r="F4223" t="s">
        <v>49</v>
      </c>
      <c r="G4223" t="s">
        <v>8475</v>
      </c>
      <c r="H4223" t="s">
        <v>8476</v>
      </c>
      <c r="J4223" t="str">
        <f>HYPERLINK("https://www.facebook.com/634639855377280/posts/768501555324442?comment_id=1392382088050323","https://www.facebook.com/634639855377280/posts/768501555324442?comment_id=1392382088050323")</f>
        <v>https://www.facebook.com/634639855377280/posts/768501555324442?comment_id=1392382088050323</v>
      </c>
      <c r="O4223">
        <v>0</v>
      </c>
      <c r="P4223">
        <v>0</v>
      </c>
      <c r="Q4223">
        <v>0</v>
      </c>
      <c r="S4223">
        <v>0</v>
      </c>
      <c r="T4223">
        <v>0</v>
      </c>
      <c r="U4223">
        <v>0</v>
      </c>
      <c r="W4223" t="s">
        <v>52</v>
      </c>
    </row>
    <row r="4224" spans="1:23" x14ac:dyDescent="0.35">
      <c r="A4224" t="s">
        <v>45</v>
      </c>
      <c r="B4224" t="s">
        <v>8371</v>
      </c>
      <c r="C4224" t="s">
        <v>60</v>
      </c>
      <c r="D4224" t="s">
        <v>61</v>
      </c>
      <c r="E4224" t="s">
        <v>61</v>
      </c>
      <c r="F4224" t="s">
        <v>49</v>
      </c>
      <c r="G4224" t="s">
        <v>8477</v>
      </c>
      <c r="H4224" t="s">
        <v>8478</v>
      </c>
      <c r="J4224" t="str">
        <f>HYPERLINK("https://www.facebook.com/634639855377280/posts/768501555324442?comment_id=740383524651380","https://www.facebook.com/634639855377280/posts/768501555324442?comment_id=740383524651380")</f>
        <v>https://www.facebook.com/634639855377280/posts/768501555324442?comment_id=740383524651380</v>
      </c>
      <c r="O4224">
        <v>0</v>
      </c>
      <c r="P4224">
        <v>0</v>
      </c>
      <c r="Q4224">
        <v>0</v>
      </c>
      <c r="S4224">
        <v>0</v>
      </c>
      <c r="T4224">
        <v>0</v>
      </c>
      <c r="U4224">
        <v>0</v>
      </c>
      <c r="W4224" t="s">
        <v>52</v>
      </c>
    </row>
    <row r="4225" spans="1:23" x14ac:dyDescent="0.35">
      <c r="A4225" t="s">
        <v>45</v>
      </c>
      <c r="B4225" t="s">
        <v>8371</v>
      </c>
      <c r="C4225" t="s">
        <v>93</v>
      </c>
      <c r="D4225" t="s">
        <v>94</v>
      </c>
      <c r="E4225" t="s">
        <v>45</v>
      </c>
      <c r="F4225" t="s">
        <v>49</v>
      </c>
      <c r="G4225" t="s">
        <v>8479</v>
      </c>
      <c r="H4225" t="s">
        <v>8480</v>
      </c>
      <c r="J4225" t="str">
        <f>HYPERLINK("https://twitter.com/SpiceMoneyIndia/status/1744265927707984274","https://twitter.com/SpiceMoneyIndia/status/1744265927707984274")</f>
        <v>https://twitter.com/SpiceMoneyIndia/status/1744265927707984274</v>
      </c>
      <c r="K4225" t="s">
        <v>67</v>
      </c>
      <c r="O4225">
        <v>0</v>
      </c>
      <c r="P4225">
        <v>0</v>
      </c>
      <c r="Q4225">
        <v>5984</v>
      </c>
      <c r="R4225" t="s">
        <v>97</v>
      </c>
      <c r="S4225">
        <v>0</v>
      </c>
      <c r="T4225">
        <v>0</v>
      </c>
      <c r="U4225">
        <v>0</v>
      </c>
      <c r="V4225" t="s">
        <v>98</v>
      </c>
      <c r="W4225" t="s">
        <v>99</v>
      </c>
    </row>
    <row r="4226" spans="1:23" x14ac:dyDescent="0.35">
      <c r="A4226" t="s">
        <v>45</v>
      </c>
      <c r="B4226" t="s">
        <v>8371</v>
      </c>
      <c r="C4226" t="s">
        <v>60</v>
      </c>
      <c r="D4226" t="s">
        <v>64</v>
      </c>
      <c r="E4226" t="s">
        <v>64</v>
      </c>
      <c r="F4226" t="s">
        <v>49</v>
      </c>
      <c r="G4226" t="s">
        <v>8481</v>
      </c>
      <c r="H4226" t="s">
        <v>8482</v>
      </c>
      <c r="J4226" t="str">
        <f>HYPERLINK("https://www.facebook.com/634639855377280/posts/768501555324442","https://www.facebook.com/634639855377280/posts/768501555324442")</f>
        <v>https://www.facebook.com/634639855377280/posts/768501555324442</v>
      </c>
      <c r="O4226">
        <v>0</v>
      </c>
      <c r="P4226">
        <v>0</v>
      </c>
      <c r="Q4226">
        <v>0</v>
      </c>
      <c r="S4226">
        <v>24</v>
      </c>
      <c r="T4226">
        <v>109</v>
      </c>
      <c r="U4226">
        <v>4</v>
      </c>
      <c r="W4226" t="s">
        <v>346</v>
      </c>
    </row>
    <row r="4227" spans="1:23" x14ac:dyDescent="0.35">
      <c r="A4227" t="s">
        <v>45</v>
      </c>
      <c r="B4227" t="s">
        <v>8371</v>
      </c>
      <c r="C4227" t="s">
        <v>47</v>
      </c>
      <c r="D4227" t="s">
        <v>8483</v>
      </c>
      <c r="E4227" t="s">
        <v>8483</v>
      </c>
      <c r="F4227" t="s">
        <v>49</v>
      </c>
      <c r="G4227" t="s">
        <v>8484</v>
      </c>
      <c r="H4227" t="s">
        <v>8485</v>
      </c>
      <c r="J4227" t="str">
        <f>HYPERLINK("https://www.youtube.com/watch?v=vryirakqo_4&amp;lc=UgzK6KX3gKquMKfTaGF4AaABAg.9zBl9-0-bxi9zIarY5zh_H","https://www.youtube.com/watch?v=vryirakqo_4&amp;lc=UgzK6KX3gKquMKfTaGF4AaABAg.9zBl9-0-bxi9zIarY5zh_H")</f>
        <v>https://www.youtube.com/watch?v=vryirakqo_4&amp;lc=UgzK6KX3gKquMKfTaGF4AaABAg.9zBl9-0-bxi9zIarY5zh_H</v>
      </c>
      <c r="O4227">
        <v>0</v>
      </c>
      <c r="P4227">
        <v>0</v>
      </c>
      <c r="Q4227">
        <v>0</v>
      </c>
      <c r="S4227">
        <v>0</v>
      </c>
      <c r="T4227">
        <v>0</v>
      </c>
      <c r="U4227">
        <v>0</v>
      </c>
      <c r="W4227" t="s">
        <v>52</v>
      </c>
    </row>
    <row r="4228" spans="1:23" x14ac:dyDescent="0.35">
      <c r="A4228" t="s">
        <v>45</v>
      </c>
      <c r="B4228" t="s">
        <v>8371</v>
      </c>
      <c r="C4228" t="s">
        <v>47</v>
      </c>
      <c r="D4228" t="s">
        <v>8483</v>
      </c>
      <c r="E4228" t="s">
        <v>8483</v>
      </c>
      <c r="F4228" t="s">
        <v>49</v>
      </c>
      <c r="G4228" t="s">
        <v>8486</v>
      </c>
      <c r="H4228" t="s">
        <v>8487</v>
      </c>
      <c r="J4228" t="str">
        <f>HYPERLINK("https://www.youtube.com/watch?v=vryirakqo_4&amp;lc=UgzK6KX3gKquMKfTaGF4AaABAg.9zBl9-0-bxi9zIagBKIk0q","https://www.youtube.com/watch?v=vryirakqo_4&amp;lc=UgzK6KX3gKquMKfTaGF4AaABAg.9zBl9-0-bxi9zIagBKIk0q")</f>
        <v>https://www.youtube.com/watch?v=vryirakqo_4&amp;lc=UgzK6KX3gKquMKfTaGF4AaABAg.9zBl9-0-bxi9zIagBKIk0q</v>
      </c>
      <c r="O4228">
        <v>0</v>
      </c>
      <c r="P4228">
        <v>0</v>
      </c>
      <c r="Q4228">
        <v>0</v>
      </c>
      <c r="S4228">
        <v>0</v>
      </c>
      <c r="T4228">
        <v>0</v>
      </c>
      <c r="U4228">
        <v>0</v>
      </c>
      <c r="W4228" t="s">
        <v>52</v>
      </c>
    </row>
    <row r="4229" spans="1:23" x14ac:dyDescent="0.35">
      <c r="A4229" t="s">
        <v>45</v>
      </c>
      <c r="B4229" t="s">
        <v>8371</v>
      </c>
      <c r="C4229" t="s">
        <v>93</v>
      </c>
      <c r="D4229" t="s">
        <v>8488</v>
      </c>
      <c r="E4229" t="s">
        <v>8489</v>
      </c>
      <c r="F4229" t="s">
        <v>49</v>
      </c>
      <c r="G4229" t="s">
        <v>8490</v>
      </c>
      <c r="H4229" t="s">
        <v>8491</v>
      </c>
      <c r="J4229" t="str">
        <f>HYPERLINK("https://twitter.com/CSCegov_/status/1744226947327270950","https://twitter.com/CSCegov_/status/1744226947327270950")</f>
        <v>https://twitter.com/CSCegov_/status/1744226947327270950</v>
      </c>
      <c r="O4229">
        <v>0</v>
      </c>
      <c r="P4229">
        <v>0</v>
      </c>
      <c r="Q4229">
        <v>326517</v>
      </c>
      <c r="R4229" t="s">
        <v>8492</v>
      </c>
      <c r="S4229">
        <v>0</v>
      </c>
      <c r="T4229">
        <v>0</v>
      </c>
      <c r="U4229">
        <v>0</v>
      </c>
      <c r="W4229" t="s">
        <v>99</v>
      </c>
    </row>
    <row r="4230" spans="1:23" x14ac:dyDescent="0.35">
      <c r="A4230" t="s">
        <v>45</v>
      </c>
      <c r="B4230" t="s">
        <v>8371</v>
      </c>
      <c r="C4230" t="s">
        <v>47</v>
      </c>
      <c r="D4230" t="s">
        <v>8493</v>
      </c>
      <c r="E4230" t="s">
        <v>8493</v>
      </c>
      <c r="F4230" t="s">
        <v>49</v>
      </c>
      <c r="G4230" t="s">
        <v>8494</v>
      </c>
      <c r="H4230" t="s">
        <v>8495</v>
      </c>
      <c r="J4230" t="str">
        <f>HYPERLINK("https://www.youtube.com/watch?v=5DADCSRiE3A&amp;lc=UgwaohgYhezzWD7h9p54AaABAg","https://www.youtube.com/watch?v=5DADCSRiE3A&amp;lc=UgwaohgYhezzWD7h9p54AaABAg")</f>
        <v>https://www.youtube.com/watch?v=5DADCSRiE3A&amp;lc=UgwaohgYhezzWD7h9p54AaABAg</v>
      </c>
      <c r="O4230">
        <v>0</v>
      </c>
      <c r="P4230">
        <v>0</v>
      </c>
      <c r="Q4230">
        <v>0</v>
      </c>
      <c r="S4230">
        <v>0</v>
      </c>
      <c r="T4230">
        <v>0</v>
      </c>
      <c r="U4230">
        <v>0</v>
      </c>
      <c r="W4230" t="s">
        <v>52</v>
      </c>
    </row>
    <row r="4231" spans="1:23" x14ac:dyDescent="0.35">
      <c r="A4231" t="s">
        <v>45</v>
      </c>
      <c r="B4231" t="s">
        <v>8371</v>
      </c>
      <c r="C4231" t="s">
        <v>93</v>
      </c>
      <c r="D4231" t="s">
        <v>8404</v>
      </c>
      <c r="E4231" t="s">
        <v>8405</v>
      </c>
      <c r="F4231" t="s">
        <v>49</v>
      </c>
      <c r="G4231" t="s">
        <v>8496</v>
      </c>
      <c r="H4231" t="s">
        <v>8497</v>
      </c>
      <c r="J4231" t="str">
        <f>HYPERLINK("https://twitter.com/GovCsc8259/status/1744208960511517120","https://twitter.com/GovCsc8259/status/1744208960511517120")</f>
        <v>https://twitter.com/GovCsc8259/status/1744208960511517120</v>
      </c>
      <c r="K4231" t="s">
        <v>67</v>
      </c>
      <c r="O4231">
        <v>0</v>
      </c>
      <c r="P4231">
        <v>0</v>
      </c>
      <c r="Q4231">
        <v>0</v>
      </c>
      <c r="S4231">
        <v>0</v>
      </c>
      <c r="T4231">
        <v>0</v>
      </c>
      <c r="U4231">
        <v>0</v>
      </c>
      <c r="W4231" t="s">
        <v>99</v>
      </c>
    </row>
    <row r="4232" spans="1:23" x14ac:dyDescent="0.35">
      <c r="A4232" t="s">
        <v>45</v>
      </c>
      <c r="B4232" t="s">
        <v>8371</v>
      </c>
      <c r="C4232" t="s">
        <v>47</v>
      </c>
      <c r="D4232" t="s">
        <v>68</v>
      </c>
      <c r="E4232" t="s">
        <v>68</v>
      </c>
      <c r="F4232" t="s">
        <v>49</v>
      </c>
      <c r="G4232" t="s">
        <v>293</v>
      </c>
      <c r="H4232" t="s">
        <v>8498</v>
      </c>
      <c r="J4232" t="str">
        <f>HYPERLINK("https://www.youtube.com/watch?v=Un06w8WhYRg&amp;lc=UgyqcRWXc4Lq8Gu_jyt4AaABAg.9zIBW_MzoM79zIJzs7G9ul","https://www.youtube.com/watch?v=Un06w8WhYRg&amp;lc=UgyqcRWXc4Lq8Gu_jyt4AaABAg.9zIBW_MzoM79zIJzs7G9ul")</f>
        <v>https://www.youtube.com/watch?v=Un06w8WhYRg&amp;lc=UgyqcRWXc4Lq8Gu_jyt4AaABAg.9zIBW_MzoM79zIJzs7G9ul</v>
      </c>
      <c r="O4232">
        <v>0</v>
      </c>
      <c r="P4232">
        <v>0</v>
      </c>
      <c r="Q4232">
        <v>0</v>
      </c>
      <c r="S4232">
        <v>0</v>
      </c>
      <c r="T4232">
        <v>0</v>
      </c>
      <c r="U4232">
        <v>0</v>
      </c>
      <c r="W4232" t="s">
        <v>52</v>
      </c>
    </row>
    <row r="4233" spans="1:23" x14ac:dyDescent="0.35">
      <c r="A4233" t="s">
        <v>45</v>
      </c>
      <c r="B4233" t="s">
        <v>8371</v>
      </c>
      <c r="C4233" t="s">
        <v>47</v>
      </c>
      <c r="D4233" t="s">
        <v>68</v>
      </c>
      <c r="E4233" t="s">
        <v>68</v>
      </c>
      <c r="F4233" t="s">
        <v>49</v>
      </c>
      <c r="G4233" t="s">
        <v>1595</v>
      </c>
      <c r="H4233" t="s">
        <v>8499</v>
      </c>
      <c r="J4233" t="str">
        <f>HYPERLINK("https://www.youtube.com/watch?v=Un06w8WhYRg&amp;lc=Ugy4kRK3LIQZ1pAKfeh4AaABAg.9zGrknl58mG9zIJqjJvNtd","https://www.youtube.com/watch?v=Un06w8WhYRg&amp;lc=Ugy4kRK3LIQZ1pAKfeh4AaABAg.9zGrknl58mG9zIJqjJvNtd")</f>
        <v>https://www.youtube.com/watch?v=Un06w8WhYRg&amp;lc=Ugy4kRK3LIQZ1pAKfeh4AaABAg.9zGrknl58mG9zIJqjJvNtd</v>
      </c>
      <c r="O4233">
        <v>0</v>
      </c>
      <c r="P4233">
        <v>0</v>
      </c>
      <c r="Q4233">
        <v>0</v>
      </c>
      <c r="S4233">
        <v>0</v>
      </c>
      <c r="T4233">
        <v>0</v>
      </c>
      <c r="U4233">
        <v>0</v>
      </c>
      <c r="W4233" t="s">
        <v>52</v>
      </c>
    </row>
    <row r="4234" spans="1:23" x14ac:dyDescent="0.35">
      <c r="A4234" t="s">
        <v>45</v>
      </c>
      <c r="B4234" t="s">
        <v>8371</v>
      </c>
      <c r="C4234" t="s">
        <v>47</v>
      </c>
      <c r="D4234" t="s">
        <v>68</v>
      </c>
      <c r="E4234" t="s">
        <v>68</v>
      </c>
      <c r="F4234" t="s">
        <v>49</v>
      </c>
      <c r="G4234" t="s">
        <v>102</v>
      </c>
      <c r="H4234" t="s">
        <v>8500</v>
      </c>
      <c r="J4234" t="str">
        <f>HYPERLINK("https://www.youtube.com/watch?v=Un06w8WhYRg&amp;lc=Ugw4v_eX8k3ZIMNghKN4AaABAg.9zH17VakUVD9zIJlQ76GaN","https://www.youtube.com/watch?v=Un06w8WhYRg&amp;lc=Ugw4v_eX8k3ZIMNghKN4AaABAg.9zH17VakUVD9zIJlQ76GaN")</f>
        <v>https://www.youtube.com/watch?v=Un06w8WhYRg&amp;lc=Ugw4v_eX8k3ZIMNghKN4AaABAg.9zH17VakUVD9zIJlQ76GaN</v>
      </c>
      <c r="O4234">
        <v>0</v>
      </c>
      <c r="P4234">
        <v>0</v>
      </c>
      <c r="Q4234">
        <v>0</v>
      </c>
      <c r="S4234">
        <v>0</v>
      </c>
      <c r="T4234">
        <v>0</v>
      </c>
      <c r="U4234">
        <v>0</v>
      </c>
      <c r="W4234" t="s">
        <v>52</v>
      </c>
    </row>
    <row r="4235" spans="1:23" x14ac:dyDescent="0.35">
      <c r="A4235" t="s">
        <v>45</v>
      </c>
      <c r="B4235" t="s">
        <v>8371</v>
      </c>
      <c r="C4235" t="s">
        <v>47</v>
      </c>
      <c r="D4235" t="s">
        <v>68</v>
      </c>
      <c r="E4235" t="s">
        <v>68</v>
      </c>
      <c r="F4235" t="s">
        <v>49</v>
      </c>
      <c r="G4235" t="s">
        <v>102</v>
      </c>
      <c r="H4235" t="s">
        <v>8501</v>
      </c>
      <c r="J4235" t="str">
        <f>HYPERLINK("https://www.youtube.com/watch?v=otifGXuH01E&amp;lc=UgxjZGhrWrx0HG02njl4AaABAg.9zGwPqYIZgb9zIJjsKZRLB","https://www.youtube.com/watch?v=otifGXuH01E&amp;lc=UgxjZGhrWrx0HG02njl4AaABAg.9zGwPqYIZgb9zIJjsKZRLB")</f>
        <v>https://www.youtube.com/watch?v=otifGXuH01E&amp;lc=UgxjZGhrWrx0HG02njl4AaABAg.9zGwPqYIZgb9zIJjsKZRLB</v>
      </c>
      <c r="O4235">
        <v>0</v>
      </c>
      <c r="P4235">
        <v>0</v>
      </c>
      <c r="Q4235">
        <v>0</v>
      </c>
      <c r="S4235">
        <v>0</v>
      </c>
      <c r="T4235">
        <v>0</v>
      </c>
      <c r="U4235">
        <v>0</v>
      </c>
      <c r="W4235" t="s">
        <v>52</v>
      </c>
    </row>
    <row r="4236" spans="1:23" x14ac:dyDescent="0.35">
      <c r="A4236" t="s">
        <v>45</v>
      </c>
      <c r="B4236" t="s">
        <v>8371</v>
      </c>
      <c r="C4236" t="s">
        <v>47</v>
      </c>
      <c r="D4236" t="s">
        <v>8502</v>
      </c>
      <c r="E4236" t="s">
        <v>8502</v>
      </c>
      <c r="F4236" t="s">
        <v>49</v>
      </c>
      <c r="G4236" t="s">
        <v>8503</v>
      </c>
      <c r="H4236" t="s">
        <v>8504</v>
      </c>
      <c r="J4236" t="str">
        <f>HYPERLINK("https://www.youtube.com/watch?v=Un06w8WhYRg&amp;lc=UgyqcRWXc4Lq8Gu_jyt4AaABAg","https://www.youtube.com/watch?v=Un06w8WhYRg&amp;lc=UgyqcRWXc4Lq8Gu_jyt4AaABAg")</f>
        <v>https://www.youtube.com/watch?v=Un06w8WhYRg&amp;lc=UgyqcRWXc4Lq8Gu_jyt4AaABAg</v>
      </c>
      <c r="O4236">
        <v>0</v>
      </c>
      <c r="P4236">
        <v>0</v>
      </c>
      <c r="Q4236">
        <v>0</v>
      </c>
      <c r="S4236">
        <v>0</v>
      </c>
      <c r="T4236">
        <v>0</v>
      </c>
      <c r="U4236">
        <v>0</v>
      </c>
      <c r="W4236" t="s">
        <v>52</v>
      </c>
    </row>
    <row r="4237" spans="1:23" x14ac:dyDescent="0.35">
      <c r="A4237" t="s">
        <v>45</v>
      </c>
      <c r="B4237" t="s">
        <v>8505</v>
      </c>
      <c r="C4237" t="s">
        <v>47</v>
      </c>
      <c r="D4237" t="s">
        <v>8506</v>
      </c>
      <c r="E4237" t="s">
        <v>8506</v>
      </c>
      <c r="F4237" t="s">
        <v>49</v>
      </c>
      <c r="G4237" t="s">
        <v>8507</v>
      </c>
      <c r="H4237" t="s">
        <v>8508</v>
      </c>
      <c r="J4237" t="str">
        <f>HYPERLINK("https://www.youtube.com/watch?v=Un06w8WhYRg&amp;lc=Ugy4kRK3LIQZ1pAKfeh4AaABAg.9zGrknl58mG9zHEpuZ6t_E","https://www.youtube.com/watch?v=Un06w8WhYRg&amp;lc=Ugy4kRK3LIQZ1pAKfeh4AaABAg.9zGrknl58mG9zHEpuZ6t_E")</f>
        <v>https://www.youtube.com/watch?v=Un06w8WhYRg&amp;lc=Ugy4kRK3LIQZ1pAKfeh4AaABAg.9zGrknl58mG9zHEpuZ6t_E</v>
      </c>
      <c r="O4237">
        <v>0</v>
      </c>
      <c r="P4237">
        <v>0</v>
      </c>
      <c r="Q4237">
        <v>0</v>
      </c>
      <c r="S4237">
        <v>0</v>
      </c>
      <c r="T4237">
        <v>0</v>
      </c>
      <c r="U4237">
        <v>0</v>
      </c>
      <c r="W4237" t="s">
        <v>52</v>
      </c>
    </row>
    <row r="4238" spans="1:23" x14ac:dyDescent="0.35">
      <c r="A4238" t="s">
        <v>45</v>
      </c>
      <c r="B4238" t="s">
        <v>8505</v>
      </c>
      <c r="C4238" t="s">
        <v>47</v>
      </c>
      <c r="D4238" t="s">
        <v>8509</v>
      </c>
      <c r="E4238" t="s">
        <v>8509</v>
      </c>
      <c r="F4238" t="s">
        <v>49</v>
      </c>
      <c r="G4238" t="s">
        <v>8510</v>
      </c>
      <c r="H4238" t="s">
        <v>8511</v>
      </c>
      <c r="J4238" t="str">
        <f>HYPERLINK("https://www.youtube.com/watch?v=Un06w8WhYRg&amp;lc=Ugy4kRK3LIQZ1pAKfeh4AaABAg.9zGrknl58mG9zHDHK5f7cc","https://www.youtube.com/watch?v=Un06w8WhYRg&amp;lc=Ugy4kRK3LIQZ1pAKfeh4AaABAg.9zGrknl58mG9zHDHK5f7cc")</f>
        <v>https://www.youtube.com/watch?v=Un06w8WhYRg&amp;lc=Ugy4kRK3LIQZ1pAKfeh4AaABAg.9zGrknl58mG9zHDHK5f7cc</v>
      </c>
      <c r="O4238">
        <v>0</v>
      </c>
      <c r="P4238">
        <v>0</v>
      </c>
      <c r="Q4238">
        <v>0</v>
      </c>
      <c r="S4238">
        <v>0</v>
      </c>
      <c r="T4238">
        <v>0</v>
      </c>
      <c r="U4238">
        <v>0</v>
      </c>
      <c r="W4238" t="s">
        <v>52</v>
      </c>
    </row>
    <row r="4239" spans="1:23" x14ac:dyDescent="0.35">
      <c r="A4239" t="s">
        <v>45</v>
      </c>
      <c r="B4239" t="s">
        <v>8505</v>
      </c>
      <c r="C4239" t="s">
        <v>47</v>
      </c>
      <c r="D4239" t="s">
        <v>8506</v>
      </c>
      <c r="E4239" t="s">
        <v>8506</v>
      </c>
      <c r="F4239" t="s">
        <v>49</v>
      </c>
      <c r="G4239" t="s">
        <v>8512</v>
      </c>
      <c r="H4239" t="s">
        <v>8513</v>
      </c>
      <c r="J4239" t="str">
        <f>HYPERLINK("https://www.youtube.com/watch?v=Un06w8WhYRg&amp;lc=Ugy4kRK3LIQZ1pAKfeh4AaABAg.9zGrknl58mG9zH9TCJoHbY","https://www.youtube.com/watch?v=Un06w8WhYRg&amp;lc=Ugy4kRK3LIQZ1pAKfeh4AaABAg.9zGrknl58mG9zH9TCJoHbY")</f>
        <v>https://www.youtube.com/watch?v=Un06w8WhYRg&amp;lc=Ugy4kRK3LIQZ1pAKfeh4AaABAg.9zGrknl58mG9zH9TCJoHbY</v>
      </c>
      <c r="O4239">
        <v>0</v>
      </c>
      <c r="P4239">
        <v>0</v>
      </c>
      <c r="Q4239">
        <v>0</v>
      </c>
      <c r="S4239">
        <v>0</v>
      </c>
      <c r="T4239">
        <v>0</v>
      </c>
      <c r="U4239">
        <v>0</v>
      </c>
      <c r="W4239" t="s">
        <v>52</v>
      </c>
    </row>
    <row r="4240" spans="1:23" x14ac:dyDescent="0.35">
      <c r="A4240" t="s">
        <v>45</v>
      </c>
      <c r="B4240" t="s">
        <v>8505</v>
      </c>
      <c r="C4240" t="s">
        <v>47</v>
      </c>
      <c r="D4240" t="s">
        <v>8506</v>
      </c>
      <c r="E4240" t="s">
        <v>8506</v>
      </c>
      <c r="F4240" t="s">
        <v>54</v>
      </c>
      <c r="G4240" t="s">
        <v>8514</v>
      </c>
      <c r="H4240" t="s">
        <v>8515</v>
      </c>
      <c r="J4240" t="str">
        <f>HYPERLINK("https://www.youtube.com/watch?v=Un06w8WhYRg&amp;lc=UgyMhHi4TtCaILMDCSt4AaABAg.9zF_OH1UTOH9zH9KiTbabo","https://www.youtube.com/watch?v=Un06w8WhYRg&amp;lc=UgyMhHi4TtCaILMDCSt4AaABAg.9zF_OH1UTOH9zH9KiTbabo")</f>
        <v>https://www.youtube.com/watch?v=Un06w8WhYRg&amp;lc=UgyMhHi4TtCaILMDCSt4AaABAg.9zF_OH1UTOH9zH9KiTbabo</v>
      </c>
      <c r="O4240">
        <v>0</v>
      </c>
      <c r="P4240">
        <v>0</v>
      </c>
      <c r="Q4240">
        <v>0</v>
      </c>
      <c r="S4240">
        <v>0</v>
      </c>
      <c r="T4240">
        <v>0</v>
      </c>
      <c r="U4240">
        <v>0</v>
      </c>
      <c r="W4240" t="s">
        <v>52</v>
      </c>
    </row>
    <row r="4241" spans="1:23" x14ac:dyDescent="0.35">
      <c r="A4241" t="s">
        <v>45</v>
      </c>
      <c r="B4241" t="s">
        <v>8505</v>
      </c>
      <c r="C4241" t="s">
        <v>47</v>
      </c>
      <c r="D4241" t="s">
        <v>8516</v>
      </c>
      <c r="E4241" t="s">
        <v>8516</v>
      </c>
      <c r="F4241" t="s">
        <v>49</v>
      </c>
      <c r="G4241" t="s">
        <v>8517</v>
      </c>
      <c r="H4241" t="s">
        <v>8518</v>
      </c>
      <c r="J4241" t="str">
        <f>HYPERLINK("https://www.youtube.com/watch?v=Un06w8WhYRg&amp;lc=Ugw4v_eX8k3ZIMNghKN4AaABAg","https://www.youtube.com/watch?v=Un06w8WhYRg&amp;lc=Ugw4v_eX8k3ZIMNghKN4AaABAg")</f>
        <v>https://www.youtube.com/watch?v=Un06w8WhYRg&amp;lc=Ugw4v_eX8k3ZIMNghKN4AaABAg</v>
      </c>
      <c r="O4241">
        <v>0</v>
      </c>
      <c r="P4241">
        <v>0</v>
      </c>
      <c r="Q4241">
        <v>0</v>
      </c>
      <c r="S4241">
        <v>0</v>
      </c>
      <c r="T4241">
        <v>0</v>
      </c>
      <c r="U4241">
        <v>0</v>
      </c>
      <c r="W4241" t="s">
        <v>52</v>
      </c>
    </row>
    <row r="4242" spans="1:23" x14ac:dyDescent="0.35">
      <c r="A4242" t="s">
        <v>45</v>
      </c>
      <c r="B4242" t="s">
        <v>8505</v>
      </c>
      <c r="C4242" t="s">
        <v>47</v>
      </c>
      <c r="D4242" t="s">
        <v>8516</v>
      </c>
      <c r="E4242" t="s">
        <v>8516</v>
      </c>
      <c r="F4242" t="s">
        <v>49</v>
      </c>
      <c r="G4242" t="s">
        <v>8519</v>
      </c>
      <c r="H4242" t="s">
        <v>8520</v>
      </c>
      <c r="J4242" t="str">
        <f>HYPERLINK("https://www.youtube.com/watch?v=Un06w8WhYRg&amp;lc=UgzuirAdUeyVU7HbeMN4AaABAg","https://www.youtube.com/watch?v=Un06w8WhYRg&amp;lc=UgzuirAdUeyVU7HbeMN4AaABAg")</f>
        <v>https://www.youtube.com/watch?v=Un06w8WhYRg&amp;lc=UgzuirAdUeyVU7HbeMN4AaABAg</v>
      </c>
      <c r="O4242">
        <v>0</v>
      </c>
      <c r="P4242">
        <v>0</v>
      </c>
      <c r="Q4242">
        <v>0</v>
      </c>
      <c r="S4242">
        <v>0</v>
      </c>
      <c r="T4242">
        <v>0</v>
      </c>
      <c r="U4242">
        <v>0</v>
      </c>
      <c r="W4242" t="s">
        <v>52</v>
      </c>
    </row>
    <row r="4243" spans="1:23" x14ac:dyDescent="0.35">
      <c r="A4243" t="s">
        <v>45</v>
      </c>
      <c r="B4243" t="s">
        <v>8505</v>
      </c>
      <c r="C4243" t="s">
        <v>47</v>
      </c>
      <c r="D4243" t="s">
        <v>8521</v>
      </c>
      <c r="E4243" t="s">
        <v>8521</v>
      </c>
      <c r="F4243" t="s">
        <v>49</v>
      </c>
      <c r="G4243" t="s">
        <v>8522</v>
      </c>
      <c r="H4243" t="s">
        <v>8523</v>
      </c>
      <c r="J4243" t="str">
        <f>HYPERLINK("https://www.youtube.com/watch?v=otifGXuH01E&amp;lc=UgxjZGhrWrx0HG02njl4AaABAg","https://www.youtube.com/watch?v=otifGXuH01E&amp;lc=UgxjZGhrWrx0HG02njl4AaABAg")</f>
        <v>https://www.youtube.com/watch?v=otifGXuH01E&amp;lc=UgxjZGhrWrx0HG02njl4AaABAg</v>
      </c>
      <c r="O4243">
        <v>0</v>
      </c>
      <c r="P4243">
        <v>0</v>
      </c>
      <c r="Q4243">
        <v>0</v>
      </c>
      <c r="S4243">
        <v>0</v>
      </c>
      <c r="T4243">
        <v>0</v>
      </c>
      <c r="U4243">
        <v>0</v>
      </c>
      <c r="W4243" t="s">
        <v>52</v>
      </c>
    </row>
    <row r="4244" spans="1:23" x14ac:dyDescent="0.35">
      <c r="A4244" t="s">
        <v>45</v>
      </c>
      <c r="B4244" t="s">
        <v>8505</v>
      </c>
      <c r="C4244" t="s">
        <v>47</v>
      </c>
      <c r="D4244" t="s">
        <v>8524</v>
      </c>
      <c r="E4244" t="s">
        <v>8524</v>
      </c>
      <c r="F4244" t="s">
        <v>49</v>
      </c>
      <c r="G4244" t="s">
        <v>8525</v>
      </c>
      <c r="H4244" t="s">
        <v>8526</v>
      </c>
      <c r="J4244" t="str">
        <f>HYPERLINK("https://www.youtube.com/watch?v=otifGXuH01E&amp;lc=UgyRn8ktmpH77hL7nrJ4AaABAg","https://www.youtube.com/watch?v=otifGXuH01E&amp;lc=UgyRn8ktmpH77hL7nrJ4AaABAg")</f>
        <v>https://www.youtube.com/watch?v=otifGXuH01E&amp;lc=UgyRn8ktmpH77hL7nrJ4AaABAg</v>
      </c>
      <c r="O4244">
        <v>0</v>
      </c>
      <c r="P4244">
        <v>0</v>
      </c>
      <c r="Q4244">
        <v>0</v>
      </c>
      <c r="S4244">
        <v>0</v>
      </c>
      <c r="T4244">
        <v>0</v>
      </c>
      <c r="U4244">
        <v>0</v>
      </c>
      <c r="W4244" t="s">
        <v>52</v>
      </c>
    </row>
    <row r="4245" spans="1:23" x14ac:dyDescent="0.35">
      <c r="A4245" t="s">
        <v>45</v>
      </c>
      <c r="B4245" t="s">
        <v>8505</v>
      </c>
      <c r="C4245" t="s">
        <v>47</v>
      </c>
      <c r="D4245" t="s">
        <v>8509</v>
      </c>
      <c r="E4245" t="s">
        <v>8509</v>
      </c>
      <c r="F4245" t="s">
        <v>49</v>
      </c>
      <c r="G4245" t="s">
        <v>8527</v>
      </c>
      <c r="H4245" t="s">
        <v>8528</v>
      </c>
      <c r="J4245" t="str">
        <f>HYPERLINK("https://www.youtube.com/watch?v=Un06w8WhYRg&amp;lc=Ugy4kRK3LIQZ1pAKfeh4AaABAg","https://www.youtube.com/watch?v=Un06w8WhYRg&amp;lc=Ugy4kRK3LIQZ1pAKfeh4AaABAg")</f>
        <v>https://www.youtube.com/watch?v=Un06w8WhYRg&amp;lc=Ugy4kRK3LIQZ1pAKfeh4AaABAg</v>
      </c>
      <c r="O4245">
        <v>0</v>
      </c>
      <c r="P4245">
        <v>0</v>
      </c>
      <c r="Q4245">
        <v>0</v>
      </c>
      <c r="S4245">
        <v>0</v>
      </c>
      <c r="T4245">
        <v>0</v>
      </c>
      <c r="U4245">
        <v>0</v>
      </c>
      <c r="W4245" t="s">
        <v>52</v>
      </c>
    </row>
    <row r="4246" spans="1:23" x14ac:dyDescent="0.35">
      <c r="A4246" t="s">
        <v>45</v>
      </c>
      <c r="B4246" t="s">
        <v>8505</v>
      </c>
      <c r="C4246" t="s">
        <v>60</v>
      </c>
      <c r="D4246" t="s">
        <v>61</v>
      </c>
      <c r="E4246" t="s">
        <v>61</v>
      </c>
      <c r="F4246" t="s">
        <v>49</v>
      </c>
      <c r="G4246" t="s">
        <v>8529</v>
      </c>
      <c r="H4246" t="s">
        <v>8530</v>
      </c>
      <c r="J4246" t="str">
        <f>HYPERLINK("https://www.facebook.com/634639855377280/posts/765118255662772?comment_id=1017402555995553&amp;reply_comment_id=895323822030517","https://www.facebook.com/634639855377280/posts/765118255662772?comment_id=1017402555995553&amp;reply_comment_id=895323822030517")</f>
        <v>https://www.facebook.com/634639855377280/posts/765118255662772?comment_id=1017402555995553&amp;reply_comment_id=895323822030517</v>
      </c>
      <c r="O4246">
        <v>0</v>
      </c>
      <c r="P4246">
        <v>0</v>
      </c>
      <c r="Q4246">
        <v>0</v>
      </c>
      <c r="S4246">
        <v>0</v>
      </c>
      <c r="T4246">
        <v>0</v>
      </c>
      <c r="U4246">
        <v>0</v>
      </c>
      <c r="W4246" t="s">
        <v>52</v>
      </c>
    </row>
    <row r="4247" spans="1:23" x14ac:dyDescent="0.35">
      <c r="A4247" t="s">
        <v>45</v>
      </c>
      <c r="B4247" t="s">
        <v>8505</v>
      </c>
      <c r="C4247" t="s">
        <v>47</v>
      </c>
      <c r="D4247" t="s">
        <v>6009</v>
      </c>
      <c r="E4247" t="s">
        <v>6009</v>
      </c>
      <c r="F4247" t="s">
        <v>49</v>
      </c>
      <c r="G4247" t="s">
        <v>8531</v>
      </c>
      <c r="H4247" t="s">
        <v>8532</v>
      </c>
      <c r="J4247" t="str">
        <f>HYPERLINK("https://www.youtube.com/watch?v=Un06w8WhYRg&amp;lc=Ugx0VYQwF9VU8F284bJ4AaABAg","https://www.youtube.com/watch?v=Un06w8WhYRg&amp;lc=Ugx0VYQwF9VU8F284bJ4AaABAg")</f>
        <v>https://www.youtube.com/watch?v=Un06w8WhYRg&amp;lc=Ugx0VYQwF9VU8F284bJ4AaABAg</v>
      </c>
      <c r="O4247">
        <v>0</v>
      </c>
      <c r="P4247">
        <v>0</v>
      </c>
      <c r="Q4247">
        <v>0</v>
      </c>
      <c r="S4247">
        <v>0</v>
      </c>
      <c r="T4247">
        <v>0</v>
      </c>
      <c r="U4247">
        <v>0</v>
      </c>
      <c r="W4247" t="s">
        <v>52</v>
      </c>
    </row>
    <row r="4248" spans="1:23" x14ac:dyDescent="0.35">
      <c r="A4248" t="s">
        <v>45</v>
      </c>
      <c r="B4248" t="s">
        <v>8505</v>
      </c>
      <c r="C4248" t="s">
        <v>47</v>
      </c>
      <c r="D4248" t="s">
        <v>6009</v>
      </c>
      <c r="E4248" t="s">
        <v>6009</v>
      </c>
      <c r="F4248" t="s">
        <v>49</v>
      </c>
      <c r="G4248" t="s">
        <v>8533</v>
      </c>
      <c r="H4248" t="s">
        <v>8534</v>
      </c>
      <c r="J4248" t="str">
        <f>HYPERLINK("https://www.youtube.com/watch?v=Un06w8WhYRg&amp;lc=UgzIT8luyEMb8cbYbhh4AaABAg","https://www.youtube.com/watch?v=Un06w8WhYRg&amp;lc=UgzIT8luyEMb8cbYbhh4AaABAg")</f>
        <v>https://www.youtube.com/watch?v=Un06w8WhYRg&amp;lc=UgzIT8luyEMb8cbYbhh4AaABAg</v>
      </c>
      <c r="O4248">
        <v>0</v>
      </c>
      <c r="P4248">
        <v>0</v>
      </c>
      <c r="Q4248">
        <v>0</v>
      </c>
      <c r="S4248">
        <v>0</v>
      </c>
      <c r="T4248">
        <v>0</v>
      </c>
      <c r="U4248">
        <v>0</v>
      </c>
      <c r="W4248" t="s">
        <v>52</v>
      </c>
    </row>
    <row r="4249" spans="1:23" x14ac:dyDescent="0.35">
      <c r="A4249" t="s">
        <v>45</v>
      </c>
      <c r="B4249" t="s">
        <v>8505</v>
      </c>
      <c r="C4249" t="s">
        <v>47</v>
      </c>
      <c r="D4249" t="s">
        <v>6009</v>
      </c>
      <c r="E4249" t="s">
        <v>6009</v>
      </c>
      <c r="F4249" t="s">
        <v>49</v>
      </c>
      <c r="G4249" t="s">
        <v>8535</v>
      </c>
      <c r="H4249" t="s">
        <v>8536</v>
      </c>
      <c r="J4249" t="str">
        <f>HYPERLINK("https://www.youtube.com/watch?v=Un06w8WhYRg&amp;lc=UgxpPP9dm_qqYuYcNfN4AaABAg","https://www.youtube.com/watch?v=Un06w8WhYRg&amp;lc=UgxpPP9dm_qqYuYcNfN4AaABAg")</f>
        <v>https://www.youtube.com/watch?v=Un06w8WhYRg&amp;lc=UgxpPP9dm_qqYuYcNfN4AaABAg</v>
      </c>
      <c r="O4249">
        <v>0</v>
      </c>
      <c r="P4249">
        <v>0</v>
      </c>
      <c r="Q4249">
        <v>0</v>
      </c>
      <c r="S4249">
        <v>0</v>
      </c>
      <c r="T4249">
        <v>0</v>
      </c>
      <c r="U4249">
        <v>0</v>
      </c>
      <c r="W4249" t="s">
        <v>52</v>
      </c>
    </row>
    <row r="4250" spans="1:23" x14ac:dyDescent="0.35">
      <c r="A4250" t="s">
        <v>45</v>
      </c>
      <c r="B4250" t="s">
        <v>8505</v>
      </c>
      <c r="C4250" t="s">
        <v>47</v>
      </c>
      <c r="D4250" t="s">
        <v>8537</v>
      </c>
      <c r="E4250" t="s">
        <v>8537</v>
      </c>
      <c r="F4250" t="s">
        <v>49</v>
      </c>
      <c r="G4250" t="s">
        <v>8538</v>
      </c>
      <c r="H4250" t="s">
        <v>8539</v>
      </c>
      <c r="J4250" t="str">
        <f>HYPERLINK("https://www.youtube.com/watch?v=zf9oNBZcbw0","https://www.youtube.com/watch?v=zf9oNBZcbw0")</f>
        <v>https://www.youtube.com/watch?v=zf9oNBZcbw0</v>
      </c>
      <c r="O4250">
        <v>0</v>
      </c>
      <c r="P4250">
        <v>0</v>
      </c>
      <c r="Q4250">
        <v>0</v>
      </c>
      <c r="S4250">
        <v>0</v>
      </c>
      <c r="T4250">
        <v>0</v>
      </c>
      <c r="U4250">
        <v>0</v>
      </c>
      <c r="W4250" t="s">
        <v>346</v>
      </c>
    </row>
    <row r="4251" spans="1:23" x14ac:dyDescent="0.35">
      <c r="A4251" t="s">
        <v>45</v>
      </c>
      <c r="B4251" t="s">
        <v>8505</v>
      </c>
      <c r="C4251" t="s">
        <v>47</v>
      </c>
      <c r="D4251" t="s">
        <v>68</v>
      </c>
      <c r="E4251" t="s">
        <v>68</v>
      </c>
      <c r="F4251" t="s">
        <v>49</v>
      </c>
      <c r="G4251" t="s">
        <v>102</v>
      </c>
      <c r="H4251" t="s">
        <v>8540</v>
      </c>
      <c r="J4251" t="str">
        <f>HYPERLINK("https://www.youtube.com/watch?v=otifGXuH01E&amp;lc=Ugy42XryBQoaZEawMUF4AaABAg.9zGK6hUlQnL9zGRn1FebQt","https://www.youtube.com/watch?v=otifGXuH01E&amp;lc=Ugy42XryBQoaZEawMUF4AaABAg.9zGK6hUlQnL9zGRn1FebQt")</f>
        <v>https://www.youtube.com/watch?v=otifGXuH01E&amp;lc=Ugy42XryBQoaZEawMUF4AaABAg.9zGK6hUlQnL9zGRn1FebQt</v>
      </c>
      <c r="O4251">
        <v>0</v>
      </c>
      <c r="P4251">
        <v>0</v>
      </c>
      <c r="Q4251">
        <v>0</v>
      </c>
      <c r="S4251">
        <v>0</v>
      </c>
      <c r="T4251">
        <v>0</v>
      </c>
      <c r="U4251">
        <v>0</v>
      </c>
      <c r="W4251" t="s">
        <v>52</v>
      </c>
    </row>
    <row r="4252" spans="1:23" x14ac:dyDescent="0.35">
      <c r="A4252" t="s">
        <v>45</v>
      </c>
      <c r="B4252" t="s">
        <v>8505</v>
      </c>
      <c r="C4252" t="s">
        <v>60</v>
      </c>
      <c r="D4252" t="s">
        <v>64</v>
      </c>
      <c r="E4252" t="s">
        <v>64</v>
      </c>
      <c r="F4252" t="s">
        <v>49</v>
      </c>
      <c r="G4252" t="s">
        <v>1276</v>
      </c>
      <c r="H4252" t="s">
        <v>8541</v>
      </c>
      <c r="J4252" t="str">
        <f>HYPERLINK("https://www.facebook.com/634639855377280/posts/765118255662772?comment_id=750878126891036&amp;reply_comment_id=339451645563606","https://www.facebook.com/634639855377280/posts/765118255662772?comment_id=750878126891036&amp;reply_comment_id=339451645563606")</f>
        <v>https://www.facebook.com/634639855377280/posts/765118255662772?comment_id=750878126891036&amp;reply_comment_id=339451645563606</v>
      </c>
      <c r="K4252" t="s">
        <v>67</v>
      </c>
      <c r="O4252">
        <v>0</v>
      </c>
      <c r="P4252">
        <v>0</v>
      </c>
      <c r="Q4252">
        <v>0</v>
      </c>
      <c r="S4252">
        <v>0</v>
      </c>
      <c r="T4252">
        <v>0</v>
      </c>
      <c r="U4252">
        <v>0</v>
      </c>
      <c r="W4252" t="s">
        <v>52</v>
      </c>
    </row>
    <row r="4253" spans="1:23" x14ac:dyDescent="0.35">
      <c r="A4253" t="s">
        <v>45</v>
      </c>
      <c r="B4253" t="s">
        <v>8505</v>
      </c>
      <c r="C4253" t="s">
        <v>47</v>
      </c>
      <c r="D4253" t="s">
        <v>68</v>
      </c>
      <c r="E4253" t="s">
        <v>68</v>
      </c>
      <c r="F4253" t="s">
        <v>49</v>
      </c>
      <c r="G4253" t="s">
        <v>102</v>
      </c>
      <c r="H4253" t="s">
        <v>8542</v>
      </c>
      <c r="J4253" t="str">
        <f>HYPERLINK("https://www.youtube.com/watch?v=pbnn5P17ItI&amp;lc=UgxQTSTdasgVfCxYX8J4AaABAg.9zFn0PLirKW9zGKVRH52Jg","https://www.youtube.com/watch?v=pbnn5P17ItI&amp;lc=UgxQTSTdasgVfCxYX8J4AaABAg.9zFn0PLirKW9zGKVRH52Jg")</f>
        <v>https://www.youtube.com/watch?v=pbnn5P17ItI&amp;lc=UgxQTSTdasgVfCxYX8J4AaABAg.9zFn0PLirKW9zGKVRH52Jg</v>
      </c>
      <c r="O4253">
        <v>0</v>
      </c>
      <c r="P4253">
        <v>0</v>
      </c>
      <c r="Q4253">
        <v>0</v>
      </c>
      <c r="S4253">
        <v>0</v>
      </c>
      <c r="T4253">
        <v>0</v>
      </c>
      <c r="U4253">
        <v>0</v>
      </c>
      <c r="W4253" t="s">
        <v>52</v>
      </c>
    </row>
    <row r="4254" spans="1:23" x14ac:dyDescent="0.35">
      <c r="A4254" t="s">
        <v>45</v>
      </c>
      <c r="B4254" t="s">
        <v>8505</v>
      </c>
      <c r="C4254" t="s">
        <v>47</v>
      </c>
      <c r="D4254" t="s">
        <v>550</v>
      </c>
      <c r="E4254" t="s">
        <v>550</v>
      </c>
      <c r="F4254" t="s">
        <v>49</v>
      </c>
      <c r="G4254" t="s">
        <v>8543</v>
      </c>
      <c r="H4254" t="s">
        <v>8544</v>
      </c>
      <c r="J4254" t="str">
        <f>HYPERLINK("https://www.youtube.com/watch?v=otifGXuH01E&amp;lc=Ugy42XryBQoaZEawMUF4AaABAg","https://www.youtube.com/watch?v=otifGXuH01E&amp;lc=Ugy42XryBQoaZEawMUF4AaABAg")</f>
        <v>https://www.youtube.com/watch?v=otifGXuH01E&amp;lc=Ugy42XryBQoaZEawMUF4AaABAg</v>
      </c>
      <c r="O4254">
        <v>0</v>
      </c>
      <c r="P4254">
        <v>0</v>
      </c>
      <c r="Q4254">
        <v>0</v>
      </c>
      <c r="S4254">
        <v>0</v>
      </c>
      <c r="T4254">
        <v>0</v>
      </c>
      <c r="U4254">
        <v>0</v>
      </c>
      <c r="W4254" t="s">
        <v>52</v>
      </c>
    </row>
    <row r="4255" spans="1:23" x14ac:dyDescent="0.35">
      <c r="A4255" t="s">
        <v>45</v>
      </c>
      <c r="B4255" t="s">
        <v>8505</v>
      </c>
      <c r="C4255" t="s">
        <v>47</v>
      </c>
      <c r="D4255" t="s">
        <v>68</v>
      </c>
      <c r="E4255" t="s">
        <v>68</v>
      </c>
      <c r="F4255" t="s">
        <v>49</v>
      </c>
      <c r="G4255" t="s">
        <v>1276</v>
      </c>
      <c r="H4255" t="s">
        <v>8545</v>
      </c>
      <c r="J4255" t="str">
        <f>HYPERLINK("https://www.youtube.com/watch?v=otifGXuH01E&amp;lc=UgwqmTb7GDgbcrFYEtd4AaABAg.9zGF077SIzI9zGJx_xsgNA","https://www.youtube.com/watch?v=otifGXuH01E&amp;lc=UgwqmTb7GDgbcrFYEtd4AaABAg.9zGF077SIzI9zGJx_xsgNA")</f>
        <v>https://www.youtube.com/watch?v=otifGXuH01E&amp;lc=UgwqmTb7GDgbcrFYEtd4AaABAg.9zGF077SIzI9zGJx_xsgNA</v>
      </c>
      <c r="O4255">
        <v>0</v>
      </c>
      <c r="P4255">
        <v>0</v>
      </c>
      <c r="Q4255">
        <v>0</v>
      </c>
      <c r="S4255">
        <v>0</v>
      </c>
      <c r="T4255">
        <v>0</v>
      </c>
      <c r="U4255">
        <v>0</v>
      </c>
      <c r="W4255" t="s">
        <v>52</v>
      </c>
    </row>
    <row r="4256" spans="1:23" x14ac:dyDescent="0.35">
      <c r="A4256" t="s">
        <v>45</v>
      </c>
      <c r="B4256" t="s">
        <v>8505</v>
      </c>
      <c r="C4256" t="s">
        <v>47</v>
      </c>
      <c r="D4256" t="s">
        <v>68</v>
      </c>
      <c r="E4256" t="s">
        <v>68</v>
      </c>
      <c r="F4256" t="s">
        <v>49</v>
      </c>
      <c r="G4256" t="s">
        <v>102</v>
      </c>
      <c r="H4256" t="s">
        <v>8546</v>
      </c>
      <c r="J4256" t="str">
        <f>HYPERLINK("https://www.youtube.com/watch?v=tcT5qAtiTFE&amp;lc=Ugw2iWUHSMi1ZPDvk794AaABAg.9zGByBOSI5H9zGJrF8KtpQ","https://www.youtube.com/watch?v=tcT5qAtiTFE&amp;lc=Ugw2iWUHSMi1ZPDvk794AaABAg.9zGByBOSI5H9zGJrF8KtpQ")</f>
        <v>https://www.youtube.com/watch?v=tcT5qAtiTFE&amp;lc=Ugw2iWUHSMi1ZPDvk794AaABAg.9zGByBOSI5H9zGJrF8KtpQ</v>
      </c>
      <c r="O4256">
        <v>0</v>
      </c>
      <c r="P4256">
        <v>0</v>
      </c>
      <c r="Q4256">
        <v>0</v>
      </c>
      <c r="S4256">
        <v>0</v>
      </c>
      <c r="T4256">
        <v>0</v>
      </c>
      <c r="U4256">
        <v>0</v>
      </c>
      <c r="W4256" t="s">
        <v>52</v>
      </c>
    </row>
    <row r="4257" spans="1:23" x14ac:dyDescent="0.35">
      <c r="A4257" t="s">
        <v>45</v>
      </c>
      <c r="B4257" t="s">
        <v>8505</v>
      </c>
      <c r="C4257" t="s">
        <v>47</v>
      </c>
      <c r="D4257" t="s">
        <v>8547</v>
      </c>
      <c r="E4257" t="s">
        <v>8547</v>
      </c>
      <c r="F4257" t="s">
        <v>54</v>
      </c>
      <c r="G4257" t="s">
        <v>8548</v>
      </c>
      <c r="H4257" t="s">
        <v>8549</v>
      </c>
      <c r="J4257" t="str">
        <f>HYPERLINK("https://www.youtube.com/watch?v=otifGXuH01E&amp;lc=UgwqmTb7GDgbcrFYEtd4AaABAg","https://www.youtube.com/watch?v=otifGXuH01E&amp;lc=UgwqmTb7GDgbcrFYEtd4AaABAg")</f>
        <v>https://www.youtube.com/watch?v=otifGXuH01E&amp;lc=UgwqmTb7GDgbcrFYEtd4AaABAg</v>
      </c>
      <c r="O4257">
        <v>0</v>
      </c>
      <c r="P4257">
        <v>0</v>
      </c>
      <c r="Q4257">
        <v>0</v>
      </c>
      <c r="S4257">
        <v>0</v>
      </c>
      <c r="T4257">
        <v>0</v>
      </c>
      <c r="U4257">
        <v>0</v>
      </c>
      <c r="W4257" t="s">
        <v>52</v>
      </c>
    </row>
    <row r="4258" spans="1:23" x14ac:dyDescent="0.35">
      <c r="A4258" t="s">
        <v>45</v>
      </c>
      <c r="B4258" t="s">
        <v>8505</v>
      </c>
      <c r="C4258" t="s">
        <v>47</v>
      </c>
      <c r="D4258" t="s">
        <v>8550</v>
      </c>
      <c r="E4258" t="s">
        <v>8550</v>
      </c>
      <c r="F4258" t="s">
        <v>49</v>
      </c>
      <c r="G4258" t="s">
        <v>8551</v>
      </c>
      <c r="H4258" t="s">
        <v>8552</v>
      </c>
      <c r="J4258" t="str">
        <f>HYPERLINK("https://www.youtube.com/watch?v=tcT5qAtiTFE&amp;lc=Ugw2iWUHSMi1ZPDvk794AaABAg","https://www.youtube.com/watch?v=tcT5qAtiTFE&amp;lc=Ugw2iWUHSMi1ZPDvk794AaABAg")</f>
        <v>https://www.youtube.com/watch?v=tcT5qAtiTFE&amp;lc=Ugw2iWUHSMi1ZPDvk794AaABAg</v>
      </c>
      <c r="O4258">
        <v>0</v>
      </c>
      <c r="P4258">
        <v>0</v>
      </c>
      <c r="Q4258">
        <v>0</v>
      </c>
      <c r="S4258">
        <v>0</v>
      </c>
      <c r="T4258">
        <v>0</v>
      </c>
      <c r="U4258">
        <v>0</v>
      </c>
      <c r="W4258" t="s">
        <v>52</v>
      </c>
    </row>
    <row r="4259" spans="1:23" x14ac:dyDescent="0.35">
      <c r="A4259" t="s">
        <v>45</v>
      </c>
      <c r="B4259" t="s">
        <v>8505</v>
      </c>
      <c r="C4259" t="s">
        <v>47</v>
      </c>
      <c r="D4259" t="s">
        <v>8553</v>
      </c>
      <c r="E4259" t="s">
        <v>8553</v>
      </c>
      <c r="F4259" t="s">
        <v>54</v>
      </c>
      <c r="G4259" t="s">
        <v>8554</v>
      </c>
      <c r="H4259" t="s">
        <v>8555</v>
      </c>
      <c r="J4259" t="str">
        <f>HYPERLINK("https://www.youtube.com/watch?v=vryirakqo_4&amp;lc=Ugz8WjDZ1yWy-wg_Epd4AaABAg","https://www.youtube.com/watch?v=vryirakqo_4&amp;lc=Ugz8WjDZ1yWy-wg_Epd4AaABAg")</f>
        <v>https://www.youtube.com/watch?v=vryirakqo_4&amp;lc=Ugz8WjDZ1yWy-wg_Epd4AaABAg</v>
      </c>
      <c r="O4259">
        <v>0</v>
      </c>
      <c r="P4259">
        <v>0</v>
      </c>
      <c r="Q4259">
        <v>0</v>
      </c>
      <c r="S4259">
        <v>0</v>
      </c>
      <c r="T4259">
        <v>0</v>
      </c>
      <c r="U4259">
        <v>0</v>
      </c>
      <c r="W4259" t="s">
        <v>52</v>
      </c>
    </row>
    <row r="4260" spans="1:23" x14ac:dyDescent="0.35">
      <c r="A4260" t="s">
        <v>45</v>
      </c>
      <c r="B4260" t="s">
        <v>8505</v>
      </c>
      <c r="C4260" t="s">
        <v>47</v>
      </c>
      <c r="D4260" t="s">
        <v>6637</v>
      </c>
      <c r="E4260" t="s">
        <v>6637</v>
      </c>
      <c r="F4260" t="s">
        <v>49</v>
      </c>
      <c r="G4260" t="s">
        <v>8556</v>
      </c>
      <c r="H4260" t="s">
        <v>8557</v>
      </c>
      <c r="J4260" t="str">
        <f>HYPERLINK("https://www.youtube.com/watch?v=ArFbWrTPsVk","https://www.youtube.com/watch?v=ArFbWrTPsVk")</f>
        <v>https://www.youtube.com/watch?v=ArFbWrTPsVk</v>
      </c>
      <c r="O4260">
        <v>0</v>
      </c>
      <c r="P4260">
        <v>0</v>
      </c>
      <c r="Q4260">
        <v>0</v>
      </c>
      <c r="S4260">
        <v>0</v>
      </c>
      <c r="T4260">
        <v>0</v>
      </c>
      <c r="U4260">
        <v>0</v>
      </c>
      <c r="W4260" t="s">
        <v>346</v>
      </c>
    </row>
    <row r="4261" spans="1:23" x14ac:dyDescent="0.35">
      <c r="A4261" t="s">
        <v>45</v>
      </c>
      <c r="B4261" t="s">
        <v>8505</v>
      </c>
      <c r="C4261" t="s">
        <v>93</v>
      </c>
      <c r="D4261" t="s">
        <v>7417</v>
      </c>
      <c r="E4261" t="s">
        <v>7418</v>
      </c>
      <c r="F4261" t="s">
        <v>49</v>
      </c>
      <c r="G4261" t="s">
        <v>8558</v>
      </c>
      <c r="H4261" t="s">
        <v>8559</v>
      </c>
      <c r="J4261" t="str">
        <f>HYPERLINK("https://twitter.com/Shobhitvar97831/status/1743871921316651025","https://twitter.com/Shobhitvar97831/status/1743871921316651025")</f>
        <v>https://twitter.com/Shobhitvar97831/status/1743871921316651025</v>
      </c>
      <c r="K4261" t="s">
        <v>67</v>
      </c>
      <c r="O4261">
        <v>0</v>
      </c>
      <c r="P4261">
        <v>0</v>
      </c>
      <c r="Q4261">
        <v>2</v>
      </c>
      <c r="S4261">
        <v>0</v>
      </c>
      <c r="T4261">
        <v>0</v>
      </c>
      <c r="U4261">
        <v>0</v>
      </c>
      <c r="W4261" t="s">
        <v>99</v>
      </c>
    </row>
    <row r="4262" spans="1:23" x14ac:dyDescent="0.35">
      <c r="A4262" t="s">
        <v>45</v>
      </c>
      <c r="B4262" t="s">
        <v>8505</v>
      </c>
      <c r="C4262" t="s">
        <v>60</v>
      </c>
      <c r="D4262" t="s">
        <v>64</v>
      </c>
      <c r="E4262" t="s">
        <v>64</v>
      </c>
      <c r="F4262" t="s">
        <v>49</v>
      </c>
      <c r="G4262" t="s">
        <v>162</v>
      </c>
      <c r="H4262" t="s">
        <v>8560</v>
      </c>
      <c r="J4262" t="str">
        <f>HYPERLINK("https://www.facebook.com/634639855377280/posts/767295575445040?comment_id=5663777067080310&amp;reply_comment_id=260654430187608","https://www.facebook.com/634639855377280/posts/767295575445040?comment_id=5663777067080310&amp;reply_comment_id=260654430187608")</f>
        <v>https://www.facebook.com/634639855377280/posts/767295575445040?comment_id=5663777067080310&amp;reply_comment_id=260654430187608</v>
      </c>
      <c r="K4262" t="s">
        <v>67</v>
      </c>
      <c r="O4262">
        <v>0</v>
      </c>
      <c r="P4262">
        <v>0</v>
      </c>
      <c r="Q4262">
        <v>0</v>
      </c>
      <c r="S4262">
        <v>0</v>
      </c>
      <c r="T4262">
        <v>0</v>
      </c>
      <c r="U4262">
        <v>0</v>
      </c>
      <c r="W4262" t="s">
        <v>52</v>
      </c>
    </row>
    <row r="4263" spans="1:23" x14ac:dyDescent="0.35">
      <c r="A4263" t="s">
        <v>45</v>
      </c>
      <c r="B4263" t="s">
        <v>8505</v>
      </c>
      <c r="C4263" t="s">
        <v>47</v>
      </c>
      <c r="D4263" t="s">
        <v>8561</v>
      </c>
      <c r="E4263" t="s">
        <v>8561</v>
      </c>
      <c r="F4263" t="s">
        <v>49</v>
      </c>
      <c r="G4263" t="s">
        <v>8562</v>
      </c>
      <c r="H4263" t="s">
        <v>8563</v>
      </c>
      <c r="J4263" t="str">
        <f>HYPERLINK("https://www.youtube.com/watch?v=zgoSFN-ibtI","https://www.youtube.com/watch?v=zgoSFN-ibtI")</f>
        <v>https://www.youtube.com/watch?v=zgoSFN-ibtI</v>
      </c>
      <c r="O4263">
        <v>0</v>
      </c>
      <c r="P4263">
        <v>0</v>
      </c>
      <c r="Q4263">
        <v>0</v>
      </c>
      <c r="S4263">
        <v>0</v>
      </c>
      <c r="T4263">
        <v>0</v>
      </c>
      <c r="U4263">
        <v>0</v>
      </c>
      <c r="W4263" t="s">
        <v>346</v>
      </c>
    </row>
    <row r="4264" spans="1:23" x14ac:dyDescent="0.35">
      <c r="A4264" t="s">
        <v>45</v>
      </c>
      <c r="B4264" t="s">
        <v>8505</v>
      </c>
      <c r="C4264" t="s">
        <v>47</v>
      </c>
      <c r="D4264" t="s">
        <v>8564</v>
      </c>
      <c r="E4264" t="s">
        <v>8564</v>
      </c>
      <c r="F4264" t="s">
        <v>49</v>
      </c>
      <c r="G4264" t="s">
        <v>8565</v>
      </c>
      <c r="H4264" t="s">
        <v>8566</v>
      </c>
      <c r="J4264" t="str">
        <f>HYPERLINK("https://www.youtube.com/watch?v=pbnn5P17ItI&amp;lc=UgxQTSTdasgVfCxYX8J4AaABAg","https://www.youtube.com/watch?v=pbnn5P17ItI&amp;lc=UgxQTSTdasgVfCxYX8J4AaABAg")</f>
        <v>https://www.youtube.com/watch?v=pbnn5P17ItI&amp;lc=UgxQTSTdasgVfCxYX8J4AaABAg</v>
      </c>
      <c r="O4264">
        <v>0</v>
      </c>
      <c r="P4264">
        <v>0</v>
      </c>
      <c r="Q4264">
        <v>0</v>
      </c>
      <c r="S4264">
        <v>0</v>
      </c>
      <c r="T4264">
        <v>0</v>
      </c>
      <c r="U4264">
        <v>0</v>
      </c>
      <c r="W4264" t="s">
        <v>52</v>
      </c>
    </row>
    <row r="4265" spans="1:23" x14ac:dyDescent="0.35">
      <c r="A4265" t="s">
        <v>45</v>
      </c>
      <c r="B4265" t="s">
        <v>8505</v>
      </c>
      <c r="C4265" t="s">
        <v>60</v>
      </c>
      <c r="D4265" t="s">
        <v>61</v>
      </c>
      <c r="E4265" t="s">
        <v>61</v>
      </c>
      <c r="F4265" t="s">
        <v>54</v>
      </c>
      <c r="G4265" t="s">
        <v>8567</v>
      </c>
      <c r="H4265" t="s">
        <v>8568</v>
      </c>
      <c r="J4265" t="str">
        <f>HYPERLINK("https://www.facebook.com/634639855377280/posts/767295575445040?comment_id=5663777067080310","https://www.facebook.com/634639855377280/posts/767295575445040?comment_id=5663777067080310")</f>
        <v>https://www.facebook.com/634639855377280/posts/767295575445040?comment_id=5663777067080310</v>
      </c>
      <c r="O4265">
        <v>0</v>
      </c>
      <c r="P4265">
        <v>0</v>
      </c>
      <c r="Q4265">
        <v>0</v>
      </c>
      <c r="S4265">
        <v>0</v>
      </c>
      <c r="T4265">
        <v>0</v>
      </c>
      <c r="U4265">
        <v>0</v>
      </c>
      <c r="W4265" t="s">
        <v>52</v>
      </c>
    </row>
    <row r="4266" spans="1:23" x14ac:dyDescent="0.35">
      <c r="A4266" t="s">
        <v>45</v>
      </c>
      <c r="B4266" t="s">
        <v>8505</v>
      </c>
      <c r="C4266" t="s">
        <v>47</v>
      </c>
      <c r="D4266" t="s">
        <v>8569</v>
      </c>
      <c r="E4266" t="s">
        <v>8569</v>
      </c>
      <c r="F4266" t="s">
        <v>193</v>
      </c>
      <c r="G4266" t="s">
        <v>8570</v>
      </c>
      <c r="H4266" t="s">
        <v>8571</v>
      </c>
      <c r="J4266" t="str">
        <f>HYPERLINK("https://www.youtube.com/watch?v=Un06w8WhYRg&amp;lc=UgyqMC1ak7WbCmGR0Hd4AaABAg","https://www.youtube.com/watch?v=Un06w8WhYRg&amp;lc=UgyqMC1ak7WbCmGR0Hd4AaABAg")</f>
        <v>https://www.youtube.com/watch?v=Un06w8WhYRg&amp;lc=UgyqMC1ak7WbCmGR0Hd4AaABAg</v>
      </c>
      <c r="O4266">
        <v>0</v>
      </c>
      <c r="P4266">
        <v>0</v>
      </c>
      <c r="Q4266">
        <v>0</v>
      </c>
      <c r="S4266">
        <v>0</v>
      </c>
      <c r="T4266">
        <v>0</v>
      </c>
      <c r="U4266">
        <v>0</v>
      </c>
      <c r="W4266" t="s">
        <v>52</v>
      </c>
    </row>
    <row r="4267" spans="1:23" x14ac:dyDescent="0.35">
      <c r="A4267" t="s">
        <v>45</v>
      </c>
      <c r="B4267" t="s">
        <v>8505</v>
      </c>
      <c r="C4267" t="s">
        <v>47</v>
      </c>
      <c r="D4267" t="s">
        <v>68</v>
      </c>
      <c r="E4267" t="s">
        <v>68</v>
      </c>
      <c r="F4267" t="s">
        <v>49</v>
      </c>
      <c r="G4267" t="s">
        <v>102</v>
      </c>
      <c r="H4267" t="s">
        <v>8572</v>
      </c>
      <c r="J4267" t="str">
        <f>HYPERLINK("https://www.youtube.com/watch?v=otifGXuH01E&amp;lc=UgzDIKBxy2sqrPeu9U14AaABAg.9zFadkNczYr9zFdxUwD4RK","https://www.youtube.com/watch?v=otifGXuH01E&amp;lc=UgzDIKBxy2sqrPeu9U14AaABAg.9zFadkNczYr9zFdxUwD4RK")</f>
        <v>https://www.youtube.com/watch?v=otifGXuH01E&amp;lc=UgzDIKBxy2sqrPeu9U14AaABAg.9zFadkNczYr9zFdxUwD4RK</v>
      </c>
      <c r="O4267">
        <v>0</v>
      </c>
      <c r="P4267">
        <v>0</v>
      </c>
      <c r="Q4267">
        <v>0</v>
      </c>
      <c r="S4267">
        <v>0</v>
      </c>
      <c r="T4267">
        <v>0</v>
      </c>
      <c r="U4267">
        <v>0</v>
      </c>
      <c r="W4267" t="s">
        <v>52</v>
      </c>
    </row>
    <row r="4268" spans="1:23" x14ac:dyDescent="0.35">
      <c r="A4268" t="s">
        <v>45</v>
      </c>
      <c r="B4268" t="s">
        <v>8505</v>
      </c>
      <c r="C4268" t="s">
        <v>93</v>
      </c>
      <c r="D4268" t="s">
        <v>94</v>
      </c>
      <c r="E4268" t="s">
        <v>45</v>
      </c>
      <c r="F4268" t="s">
        <v>49</v>
      </c>
      <c r="G4268" t="s">
        <v>8573</v>
      </c>
      <c r="H4268" t="s">
        <v>8574</v>
      </c>
      <c r="J4268" t="str">
        <f>HYPERLINK("https://twitter.com/SpiceMoneyIndia/status/1743826618521424040","https://twitter.com/SpiceMoneyIndia/status/1743826618521424040")</f>
        <v>https://twitter.com/SpiceMoneyIndia/status/1743826618521424040</v>
      </c>
      <c r="K4268" t="s">
        <v>67</v>
      </c>
      <c r="O4268">
        <v>0</v>
      </c>
      <c r="P4268">
        <v>0</v>
      </c>
      <c r="Q4268">
        <v>5985</v>
      </c>
      <c r="R4268" t="s">
        <v>97</v>
      </c>
      <c r="S4268">
        <v>0</v>
      </c>
      <c r="T4268">
        <v>0</v>
      </c>
      <c r="U4268">
        <v>0</v>
      </c>
      <c r="V4268" t="s">
        <v>98</v>
      </c>
      <c r="W4268" t="s">
        <v>99</v>
      </c>
    </row>
    <row r="4269" spans="1:23" x14ac:dyDescent="0.35">
      <c r="A4269" t="s">
        <v>45</v>
      </c>
      <c r="B4269" t="s">
        <v>8505</v>
      </c>
      <c r="C4269" t="s">
        <v>47</v>
      </c>
      <c r="D4269" t="s">
        <v>68</v>
      </c>
      <c r="E4269" t="s">
        <v>68</v>
      </c>
      <c r="F4269" t="s">
        <v>49</v>
      </c>
      <c r="G4269" t="s">
        <v>8428</v>
      </c>
      <c r="H4269" t="s">
        <v>8575</v>
      </c>
      <c r="J4269" t="str">
        <f>HYPERLINK("https://www.youtube.com/watch?v=pJw8yRpVZew&amp;lc=UgwidyWURhK-NTZnGvF4AaABAg.9zENfnJpufs9zFb0JHXNq4","https://www.youtube.com/watch?v=pJw8yRpVZew&amp;lc=UgwidyWURhK-NTZnGvF4AaABAg.9zENfnJpufs9zFb0JHXNq4")</f>
        <v>https://www.youtube.com/watch?v=pJw8yRpVZew&amp;lc=UgwidyWURhK-NTZnGvF4AaABAg.9zENfnJpufs9zFb0JHXNq4</v>
      </c>
      <c r="O4269">
        <v>0</v>
      </c>
      <c r="P4269">
        <v>0</v>
      </c>
      <c r="Q4269">
        <v>0</v>
      </c>
      <c r="S4269">
        <v>0</v>
      </c>
      <c r="T4269">
        <v>0</v>
      </c>
      <c r="U4269">
        <v>0</v>
      </c>
      <c r="W4269" t="s">
        <v>52</v>
      </c>
    </row>
    <row r="4270" spans="1:23" x14ac:dyDescent="0.35">
      <c r="A4270" t="s">
        <v>45</v>
      </c>
      <c r="B4270" t="s">
        <v>8505</v>
      </c>
      <c r="C4270" t="s">
        <v>47</v>
      </c>
      <c r="D4270" t="s">
        <v>68</v>
      </c>
      <c r="E4270" t="s">
        <v>68</v>
      </c>
      <c r="F4270" t="s">
        <v>49</v>
      </c>
      <c r="G4270" t="s">
        <v>293</v>
      </c>
      <c r="H4270" t="s">
        <v>8576</v>
      </c>
      <c r="J4270" t="str">
        <f>HYPERLINK("https://www.youtube.com/watch?v=Un06w8WhYRg&amp;lc=UgyclilxZPfm1h9kIrR4AaABAg.9zEZl5ELzYI9zFav0MtsXg","https://www.youtube.com/watch?v=Un06w8WhYRg&amp;lc=UgyclilxZPfm1h9kIrR4AaABAg.9zEZl5ELzYI9zFav0MtsXg")</f>
        <v>https://www.youtube.com/watch?v=Un06w8WhYRg&amp;lc=UgyclilxZPfm1h9kIrR4AaABAg.9zEZl5ELzYI9zFav0MtsXg</v>
      </c>
      <c r="O4270">
        <v>0</v>
      </c>
      <c r="P4270">
        <v>0</v>
      </c>
      <c r="Q4270">
        <v>0</v>
      </c>
      <c r="S4270">
        <v>0</v>
      </c>
      <c r="T4270">
        <v>0</v>
      </c>
      <c r="U4270">
        <v>0</v>
      </c>
      <c r="W4270" t="s">
        <v>52</v>
      </c>
    </row>
    <row r="4271" spans="1:23" x14ac:dyDescent="0.35">
      <c r="A4271" t="s">
        <v>45</v>
      </c>
      <c r="B4271" t="s">
        <v>8505</v>
      </c>
      <c r="C4271" t="s">
        <v>47</v>
      </c>
      <c r="D4271" t="s">
        <v>68</v>
      </c>
      <c r="E4271" t="s">
        <v>68</v>
      </c>
      <c r="F4271" t="s">
        <v>49</v>
      </c>
      <c r="G4271" t="s">
        <v>1595</v>
      </c>
      <c r="H4271" t="s">
        <v>8577</v>
      </c>
      <c r="J4271" t="str">
        <f>HYPERLINK("https://www.youtube.com/watch?v=Un06w8WhYRg&amp;lc=Ugyhjq3tTQvEghDE8vJ4AaABAg.9zF7Cxt7PJU9zFanPs_LIE","https://www.youtube.com/watch?v=Un06w8WhYRg&amp;lc=Ugyhjq3tTQvEghDE8vJ4AaABAg.9zF7Cxt7PJU9zFanPs_LIE")</f>
        <v>https://www.youtube.com/watch?v=Un06w8WhYRg&amp;lc=Ugyhjq3tTQvEghDE8vJ4AaABAg.9zF7Cxt7PJU9zFanPs_LIE</v>
      </c>
      <c r="O4271">
        <v>0</v>
      </c>
      <c r="P4271">
        <v>0</v>
      </c>
      <c r="Q4271">
        <v>0</v>
      </c>
      <c r="S4271">
        <v>0</v>
      </c>
      <c r="T4271">
        <v>0</v>
      </c>
      <c r="U4271">
        <v>0</v>
      </c>
      <c r="W4271" t="s">
        <v>52</v>
      </c>
    </row>
    <row r="4272" spans="1:23" x14ac:dyDescent="0.35">
      <c r="A4272" t="s">
        <v>45</v>
      </c>
      <c r="B4272" t="s">
        <v>8505</v>
      </c>
      <c r="C4272" t="s">
        <v>47</v>
      </c>
      <c r="D4272" t="s">
        <v>68</v>
      </c>
      <c r="E4272" t="s">
        <v>68</v>
      </c>
      <c r="F4272" t="s">
        <v>49</v>
      </c>
      <c r="G4272" t="s">
        <v>1595</v>
      </c>
      <c r="H4272" t="s">
        <v>8578</v>
      </c>
      <c r="J4272" t="str">
        <f>HYPERLINK("https://www.youtube.com/watch?v=otifGXuH01E&amp;lc=Ugyz0pvHto7nJsqXGnB4AaABAg.9zFVOoeBosC9zFalDQ8Dea","https://www.youtube.com/watch?v=otifGXuH01E&amp;lc=Ugyz0pvHto7nJsqXGnB4AaABAg.9zFVOoeBosC9zFalDQ8Dea")</f>
        <v>https://www.youtube.com/watch?v=otifGXuH01E&amp;lc=Ugyz0pvHto7nJsqXGnB4AaABAg.9zFVOoeBosC9zFalDQ8Dea</v>
      </c>
      <c r="O4272">
        <v>0</v>
      </c>
      <c r="P4272">
        <v>0</v>
      </c>
      <c r="Q4272">
        <v>0</v>
      </c>
      <c r="S4272">
        <v>0</v>
      </c>
      <c r="T4272">
        <v>0</v>
      </c>
      <c r="U4272">
        <v>0</v>
      </c>
      <c r="W4272" t="s">
        <v>52</v>
      </c>
    </row>
    <row r="4273" spans="1:23" x14ac:dyDescent="0.35">
      <c r="A4273" t="s">
        <v>45</v>
      </c>
      <c r="B4273" t="s">
        <v>8505</v>
      </c>
      <c r="C4273" t="s">
        <v>47</v>
      </c>
      <c r="D4273" t="s">
        <v>8579</v>
      </c>
      <c r="E4273" t="s">
        <v>8579</v>
      </c>
      <c r="F4273" t="s">
        <v>54</v>
      </c>
      <c r="G4273" t="s">
        <v>8580</v>
      </c>
      <c r="H4273" t="s">
        <v>8581</v>
      </c>
      <c r="J4273" t="str">
        <f>HYPERLINK("https://www.youtube.com/watch?v=otifGXuH01E&amp;lc=UgzDIKBxy2sqrPeu9U14AaABAg","https://www.youtube.com/watch?v=otifGXuH01E&amp;lc=UgzDIKBxy2sqrPeu9U14AaABAg")</f>
        <v>https://www.youtube.com/watch?v=otifGXuH01E&amp;lc=UgzDIKBxy2sqrPeu9U14AaABAg</v>
      </c>
      <c r="O4273">
        <v>0</v>
      </c>
      <c r="P4273">
        <v>0</v>
      </c>
      <c r="Q4273">
        <v>0</v>
      </c>
      <c r="S4273">
        <v>0</v>
      </c>
      <c r="T4273">
        <v>0</v>
      </c>
      <c r="U4273">
        <v>0</v>
      </c>
      <c r="W4273" t="s">
        <v>52</v>
      </c>
    </row>
    <row r="4274" spans="1:23" x14ac:dyDescent="0.35">
      <c r="A4274" t="s">
        <v>45</v>
      </c>
      <c r="B4274" t="s">
        <v>8505</v>
      </c>
      <c r="C4274" t="s">
        <v>47</v>
      </c>
      <c r="D4274" t="s">
        <v>8582</v>
      </c>
      <c r="E4274" t="s">
        <v>8582</v>
      </c>
      <c r="F4274" t="s">
        <v>193</v>
      </c>
      <c r="G4274" t="s">
        <v>8583</v>
      </c>
      <c r="H4274" t="s">
        <v>8584</v>
      </c>
      <c r="J4274" t="str">
        <f>HYPERLINK("https://www.youtube.com/watch?v=Un06w8WhYRg&amp;lc=UgyMhHi4TtCaILMDCSt4AaABAg","https://www.youtube.com/watch?v=Un06w8WhYRg&amp;lc=UgyMhHi4TtCaILMDCSt4AaABAg")</f>
        <v>https://www.youtube.com/watch?v=Un06w8WhYRg&amp;lc=UgyMhHi4TtCaILMDCSt4AaABAg</v>
      </c>
      <c r="O4274">
        <v>0</v>
      </c>
      <c r="P4274">
        <v>0</v>
      </c>
      <c r="Q4274">
        <v>0</v>
      </c>
      <c r="S4274">
        <v>0</v>
      </c>
      <c r="T4274">
        <v>0</v>
      </c>
      <c r="U4274">
        <v>0</v>
      </c>
      <c r="W4274" t="s">
        <v>52</v>
      </c>
    </row>
    <row r="4275" spans="1:23" x14ac:dyDescent="0.35">
      <c r="A4275" t="s">
        <v>45</v>
      </c>
      <c r="B4275" t="s">
        <v>8505</v>
      </c>
      <c r="C4275" t="s">
        <v>47</v>
      </c>
      <c r="D4275" t="s">
        <v>8585</v>
      </c>
      <c r="E4275" t="s">
        <v>8585</v>
      </c>
      <c r="F4275" t="s">
        <v>49</v>
      </c>
      <c r="G4275" t="s">
        <v>8586</v>
      </c>
      <c r="H4275" t="s">
        <v>8587</v>
      </c>
      <c r="J4275" t="str">
        <f>HYPERLINK("https://www.youtube.com/watch?v=otifGXuH01E&amp;lc=Ugyz0pvHto7nJsqXGnB4AaABAg","https://www.youtube.com/watch?v=otifGXuH01E&amp;lc=Ugyz0pvHto7nJsqXGnB4AaABAg")</f>
        <v>https://www.youtube.com/watch?v=otifGXuH01E&amp;lc=Ugyz0pvHto7nJsqXGnB4AaABAg</v>
      </c>
      <c r="O4275">
        <v>0</v>
      </c>
      <c r="P4275">
        <v>0</v>
      </c>
      <c r="Q4275">
        <v>0</v>
      </c>
      <c r="S4275">
        <v>0</v>
      </c>
      <c r="T4275">
        <v>0</v>
      </c>
      <c r="U4275">
        <v>0</v>
      </c>
      <c r="W4275" t="s">
        <v>52</v>
      </c>
    </row>
    <row r="4276" spans="1:23" x14ac:dyDescent="0.35">
      <c r="A4276" t="s">
        <v>45</v>
      </c>
      <c r="B4276" t="s">
        <v>8505</v>
      </c>
      <c r="C4276" t="s">
        <v>47</v>
      </c>
      <c r="D4276" t="s">
        <v>7542</v>
      </c>
      <c r="E4276" t="s">
        <v>7542</v>
      </c>
      <c r="F4276" t="s">
        <v>49</v>
      </c>
      <c r="G4276" t="s">
        <v>8588</v>
      </c>
      <c r="H4276" t="s">
        <v>8589</v>
      </c>
      <c r="J4276" t="str">
        <f>HYPERLINK("https://www.youtube.com/watch?v=Un06w8WhYRg&amp;lc=Ugyhjq3tTQvEghDE8vJ4AaABAg","https://www.youtube.com/watch?v=Un06w8WhYRg&amp;lc=Ugyhjq3tTQvEghDE8vJ4AaABAg")</f>
        <v>https://www.youtube.com/watch?v=Un06w8WhYRg&amp;lc=Ugyhjq3tTQvEghDE8vJ4AaABAg</v>
      </c>
      <c r="O4276">
        <v>0</v>
      </c>
      <c r="P4276">
        <v>0</v>
      </c>
      <c r="Q4276">
        <v>0</v>
      </c>
      <c r="S4276">
        <v>0</v>
      </c>
      <c r="T4276">
        <v>0</v>
      </c>
      <c r="U4276">
        <v>0</v>
      </c>
      <c r="W4276" t="s">
        <v>52</v>
      </c>
    </row>
    <row r="4277" spans="1:23" x14ac:dyDescent="0.35">
      <c r="A4277" t="s">
        <v>45</v>
      </c>
      <c r="B4277" t="s">
        <v>8590</v>
      </c>
      <c r="C4277" t="s">
        <v>47</v>
      </c>
      <c r="D4277" t="s">
        <v>8591</v>
      </c>
      <c r="E4277" t="s">
        <v>8591</v>
      </c>
      <c r="F4277" t="s">
        <v>193</v>
      </c>
      <c r="G4277" t="s">
        <v>8592</v>
      </c>
      <c r="H4277" t="s">
        <v>8593</v>
      </c>
      <c r="J4277" t="str">
        <f>HYPERLINK("https://www.youtube.com/watch?v=Un06w8WhYRg&amp;lc=UgyclilxZPfm1h9kIrR4AaABAg","https://www.youtube.com/watch?v=Un06w8WhYRg&amp;lc=UgyclilxZPfm1h9kIrR4AaABAg")</f>
        <v>https://www.youtube.com/watch?v=Un06w8WhYRg&amp;lc=UgyclilxZPfm1h9kIrR4AaABAg</v>
      </c>
      <c r="O4277">
        <v>0</v>
      </c>
      <c r="P4277">
        <v>0</v>
      </c>
      <c r="Q4277">
        <v>0</v>
      </c>
      <c r="S4277">
        <v>0</v>
      </c>
      <c r="T4277">
        <v>0</v>
      </c>
      <c r="U4277">
        <v>0</v>
      </c>
      <c r="W4277" t="s">
        <v>52</v>
      </c>
    </row>
    <row r="4278" spans="1:23" x14ac:dyDescent="0.35">
      <c r="A4278" t="s">
        <v>45</v>
      </c>
      <c r="B4278" t="s">
        <v>8590</v>
      </c>
      <c r="C4278" t="s">
        <v>47</v>
      </c>
      <c r="D4278" t="s">
        <v>3303</v>
      </c>
      <c r="E4278" t="s">
        <v>3303</v>
      </c>
      <c r="F4278" t="s">
        <v>54</v>
      </c>
      <c r="G4278" t="s">
        <v>3304</v>
      </c>
      <c r="H4278" t="s">
        <v>8594</v>
      </c>
      <c r="J4278" t="str">
        <f>HYPERLINK("https://www.youtube.com/watch?v=Un06w8WhYRg&amp;lc=Ugwlhi2H3-YL73VvgHh4AaABAg","https://www.youtube.com/watch?v=Un06w8WhYRg&amp;lc=Ugwlhi2H3-YL73VvgHh4AaABAg")</f>
        <v>https://www.youtube.com/watch?v=Un06w8WhYRg&amp;lc=Ugwlhi2H3-YL73VvgHh4AaABAg</v>
      </c>
      <c r="O4278">
        <v>0</v>
      </c>
      <c r="P4278">
        <v>0</v>
      </c>
      <c r="Q4278">
        <v>0</v>
      </c>
      <c r="S4278">
        <v>0</v>
      </c>
      <c r="T4278">
        <v>0</v>
      </c>
      <c r="U4278">
        <v>0</v>
      </c>
      <c r="W4278" t="s">
        <v>52</v>
      </c>
    </row>
    <row r="4279" spans="1:23" x14ac:dyDescent="0.35">
      <c r="A4279" t="s">
        <v>45</v>
      </c>
      <c r="B4279" t="s">
        <v>8590</v>
      </c>
      <c r="C4279" t="s">
        <v>47</v>
      </c>
      <c r="D4279" t="s">
        <v>3303</v>
      </c>
      <c r="E4279" t="s">
        <v>3303</v>
      </c>
      <c r="F4279" t="s">
        <v>54</v>
      </c>
      <c r="G4279" t="s">
        <v>3304</v>
      </c>
      <c r="H4279" t="s">
        <v>8595</v>
      </c>
      <c r="J4279" t="str">
        <f>HYPERLINK("https://www.youtube.com/watch?v=vryirakqo_4&amp;lc=UgzENKb9JOceRLe1s2h4AaABAg","https://www.youtube.com/watch?v=vryirakqo_4&amp;lc=UgzENKb9JOceRLe1s2h4AaABAg")</f>
        <v>https://www.youtube.com/watch?v=vryirakqo_4&amp;lc=UgzENKb9JOceRLe1s2h4AaABAg</v>
      </c>
      <c r="O4279">
        <v>0</v>
      </c>
      <c r="P4279">
        <v>0</v>
      </c>
      <c r="Q4279">
        <v>0</v>
      </c>
      <c r="S4279">
        <v>0</v>
      </c>
      <c r="T4279">
        <v>0</v>
      </c>
      <c r="U4279">
        <v>0</v>
      </c>
      <c r="W4279" t="s">
        <v>52</v>
      </c>
    </row>
    <row r="4280" spans="1:23" x14ac:dyDescent="0.35">
      <c r="A4280" t="s">
        <v>45</v>
      </c>
      <c r="B4280" t="s">
        <v>8590</v>
      </c>
      <c r="C4280" t="s">
        <v>93</v>
      </c>
      <c r="D4280" t="s">
        <v>8356</v>
      </c>
      <c r="E4280" t="s">
        <v>8357</v>
      </c>
      <c r="F4280" t="s">
        <v>54</v>
      </c>
      <c r="G4280" t="s">
        <v>8596</v>
      </c>
      <c r="H4280" t="s">
        <v>8597</v>
      </c>
      <c r="J4280" t="str">
        <f>HYPERLINK("https://twitter.com/AdvIshulodhi/status/1743670313945293143","https://twitter.com/AdvIshulodhi/status/1743670313945293143")</f>
        <v>https://twitter.com/AdvIshulodhi/status/1743670313945293143</v>
      </c>
      <c r="K4280" t="s">
        <v>67</v>
      </c>
      <c r="O4280">
        <v>0</v>
      </c>
      <c r="P4280">
        <v>0</v>
      </c>
      <c r="Q4280">
        <v>0</v>
      </c>
      <c r="S4280">
        <v>0</v>
      </c>
      <c r="T4280">
        <v>0</v>
      </c>
      <c r="U4280">
        <v>0</v>
      </c>
      <c r="W4280" t="s">
        <v>99</v>
      </c>
    </row>
    <row r="4281" spans="1:23" x14ac:dyDescent="0.35">
      <c r="A4281" t="s">
        <v>45</v>
      </c>
      <c r="B4281" t="s">
        <v>8590</v>
      </c>
      <c r="C4281" t="s">
        <v>47</v>
      </c>
      <c r="D4281" t="s">
        <v>6009</v>
      </c>
      <c r="E4281" t="s">
        <v>6009</v>
      </c>
      <c r="F4281" t="s">
        <v>49</v>
      </c>
      <c r="G4281" t="s">
        <v>8598</v>
      </c>
      <c r="H4281" t="s">
        <v>8599</v>
      </c>
      <c r="J4281" t="str">
        <f>HYPERLINK("https://www.youtube.com/watch?v=otifGXuH01E&amp;lc=UgyL7L-tBpoNZUfLFCB4AaABAg","https://www.youtube.com/watch?v=otifGXuH01E&amp;lc=UgyL7L-tBpoNZUfLFCB4AaABAg")</f>
        <v>https://www.youtube.com/watch?v=otifGXuH01E&amp;lc=UgyL7L-tBpoNZUfLFCB4AaABAg</v>
      </c>
      <c r="O4281">
        <v>0</v>
      </c>
      <c r="P4281">
        <v>0</v>
      </c>
      <c r="Q4281">
        <v>0</v>
      </c>
      <c r="S4281">
        <v>0</v>
      </c>
      <c r="T4281">
        <v>0</v>
      </c>
      <c r="U4281">
        <v>0</v>
      </c>
      <c r="W4281" t="s">
        <v>52</v>
      </c>
    </row>
    <row r="4282" spans="1:23" x14ac:dyDescent="0.35">
      <c r="A4282" t="s">
        <v>45</v>
      </c>
      <c r="B4282" t="s">
        <v>8590</v>
      </c>
      <c r="C4282" t="s">
        <v>47</v>
      </c>
      <c r="D4282" t="s">
        <v>8600</v>
      </c>
      <c r="E4282" t="s">
        <v>8600</v>
      </c>
      <c r="F4282" t="s">
        <v>49</v>
      </c>
      <c r="G4282" t="s">
        <v>8245</v>
      </c>
      <c r="H4282" t="s">
        <v>8601</v>
      </c>
      <c r="J4282" t="str">
        <f>HYPERLINK("https://www.youtube.com/watch?v=FBF26fiVahs","https://www.youtube.com/watch?v=FBF26fiVahs")</f>
        <v>https://www.youtube.com/watch?v=FBF26fiVahs</v>
      </c>
      <c r="O4282">
        <v>0</v>
      </c>
      <c r="P4282">
        <v>0</v>
      </c>
      <c r="Q4282">
        <v>0</v>
      </c>
      <c r="S4282">
        <v>0</v>
      </c>
      <c r="T4282">
        <v>0</v>
      </c>
      <c r="U4282">
        <v>0</v>
      </c>
      <c r="W4282" t="s">
        <v>346</v>
      </c>
    </row>
    <row r="4283" spans="1:23" x14ac:dyDescent="0.35">
      <c r="A4283" t="s">
        <v>45</v>
      </c>
      <c r="B4283" t="s">
        <v>8590</v>
      </c>
      <c r="C4283" t="s">
        <v>60</v>
      </c>
      <c r="D4283" t="s">
        <v>61</v>
      </c>
      <c r="E4283" t="s">
        <v>61</v>
      </c>
      <c r="F4283" t="s">
        <v>193</v>
      </c>
      <c r="G4283" t="s">
        <v>8602</v>
      </c>
      <c r="H4283" t="s">
        <v>8603</v>
      </c>
      <c r="J4283" t="str">
        <f>HYPERLINK("https://www.facebook.com/634639855377280/posts/765118255662772?comment_id=375694775043065","https://www.facebook.com/634639855377280/posts/765118255662772?comment_id=375694775043065")</f>
        <v>https://www.facebook.com/634639855377280/posts/765118255662772?comment_id=375694775043065</v>
      </c>
      <c r="O4283">
        <v>0</v>
      </c>
      <c r="P4283">
        <v>0</v>
      </c>
      <c r="Q4283">
        <v>0</v>
      </c>
      <c r="S4283">
        <v>0</v>
      </c>
      <c r="T4283">
        <v>0</v>
      </c>
      <c r="U4283">
        <v>0</v>
      </c>
      <c r="W4283" t="s">
        <v>52</v>
      </c>
    </row>
    <row r="4284" spans="1:23" x14ac:dyDescent="0.35">
      <c r="A4284" t="s">
        <v>45</v>
      </c>
      <c r="B4284" t="s">
        <v>8590</v>
      </c>
      <c r="C4284" t="s">
        <v>47</v>
      </c>
      <c r="D4284" t="s">
        <v>8604</v>
      </c>
      <c r="E4284" t="s">
        <v>8604</v>
      </c>
      <c r="F4284" t="s">
        <v>49</v>
      </c>
      <c r="G4284" t="s">
        <v>8605</v>
      </c>
      <c r="H4284" t="s">
        <v>8606</v>
      </c>
      <c r="J4284" t="str">
        <f>HYPERLINK("https://www.youtube.com/watch?v=pJw8yRpVZew&amp;lc=UgwidyWURhK-NTZnGvF4AaABAg","https://www.youtube.com/watch?v=pJw8yRpVZew&amp;lc=UgwidyWURhK-NTZnGvF4AaABAg")</f>
        <v>https://www.youtube.com/watch?v=pJw8yRpVZew&amp;lc=UgwidyWURhK-NTZnGvF4AaABAg</v>
      </c>
      <c r="O4284">
        <v>0</v>
      </c>
      <c r="P4284">
        <v>0</v>
      </c>
      <c r="Q4284">
        <v>0</v>
      </c>
      <c r="S4284">
        <v>0</v>
      </c>
      <c r="T4284">
        <v>0</v>
      </c>
      <c r="U4284">
        <v>0</v>
      </c>
      <c r="W4284" t="s">
        <v>52</v>
      </c>
    </row>
    <row r="4285" spans="1:23" x14ac:dyDescent="0.35">
      <c r="A4285" t="s">
        <v>45</v>
      </c>
      <c r="B4285" t="s">
        <v>8590</v>
      </c>
      <c r="C4285" t="s">
        <v>47</v>
      </c>
      <c r="D4285" t="s">
        <v>8604</v>
      </c>
      <c r="E4285" t="s">
        <v>8604</v>
      </c>
      <c r="F4285" t="s">
        <v>49</v>
      </c>
      <c r="G4285" t="s">
        <v>8607</v>
      </c>
      <c r="H4285" t="s">
        <v>8608</v>
      </c>
      <c r="J4285" t="str">
        <f>HYPERLINK("https://www.youtube.com/watch?v=pJw8yRpVZew&amp;lc=Ugydn4Z8BBQ7BhEq6UZ4AaABAg","https://www.youtube.com/watch?v=pJw8yRpVZew&amp;lc=Ugydn4Z8BBQ7BhEq6UZ4AaABAg")</f>
        <v>https://www.youtube.com/watch?v=pJw8yRpVZew&amp;lc=Ugydn4Z8BBQ7BhEq6UZ4AaABAg</v>
      </c>
      <c r="O4285">
        <v>0</v>
      </c>
      <c r="P4285">
        <v>0</v>
      </c>
      <c r="Q4285">
        <v>0</v>
      </c>
      <c r="S4285">
        <v>0</v>
      </c>
      <c r="T4285">
        <v>0</v>
      </c>
      <c r="U4285">
        <v>0</v>
      </c>
      <c r="W4285" t="s">
        <v>52</v>
      </c>
    </row>
    <row r="4286" spans="1:23" x14ac:dyDescent="0.35">
      <c r="A4286" t="s">
        <v>45</v>
      </c>
      <c r="B4286" t="s">
        <v>8590</v>
      </c>
      <c r="C4286" t="s">
        <v>60</v>
      </c>
      <c r="D4286" t="s">
        <v>61</v>
      </c>
      <c r="E4286" t="s">
        <v>61</v>
      </c>
      <c r="F4286" t="s">
        <v>49</v>
      </c>
      <c r="G4286" t="s">
        <v>8609</v>
      </c>
      <c r="H4286" t="s">
        <v>8610</v>
      </c>
      <c r="J4286" t="str">
        <f>HYPERLINK("https://www.facebook.com/634639855377280/posts/765118255662772?comment_id=750878126891036&amp;reply_comment_id=701802615413058","https://www.facebook.com/634639855377280/posts/765118255662772?comment_id=750878126891036&amp;reply_comment_id=701802615413058")</f>
        <v>https://www.facebook.com/634639855377280/posts/765118255662772?comment_id=750878126891036&amp;reply_comment_id=701802615413058</v>
      </c>
      <c r="O4286">
        <v>0</v>
      </c>
      <c r="P4286">
        <v>0</v>
      </c>
      <c r="Q4286">
        <v>0</v>
      </c>
      <c r="S4286">
        <v>0</v>
      </c>
      <c r="T4286">
        <v>0</v>
      </c>
      <c r="U4286">
        <v>0</v>
      </c>
      <c r="W4286" t="s">
        <v>52</v>
      </c>
    </row>
    <row r="4287" spans="1:23" x14ac:dyDescent="0.35">
      <c r="A4287" t="s">
        <v>45</v>
      </c>
      <c r="B4287" t="s">
        <v>8590</v>
      </c>
      <c r="C4287" t="s">
        <v>47</v>
      </c>
      <c r="D4287" t="s">
        <v>4031</v>
      </c>
      <c r="E4287" t="s">
        <v>4031</v>
      </c>
      <c r="F4287" t="s">
        <v>54</v>
      </c>
      <c r="G4287" t="s">
        <v>4032</v>
      </c>
      <c r="H4287" t="s">
        <v>8611</v>
      </c>
      <c r="J4287" t="str">
        <f>HYPERLINK("https://www.youtube.com/watch?v=vryirakqo_4&amp;lc=UgwWM0dT79ZqlXTZiDh4AaABAg","https://www.youtube.com/watch?v=vryirakqo_4&amp;lc=UgwWM0dT79ZqlXTZiDh4AaABAg")</f>
        <v>https://www.youtube.com/watch?v=vryirakqo_4&amp;lc=UgwWM0dT79ZqlXTZiDh4AaABAg</v>
      </c>
      <c r="O4287">
        <v>0</v>
      </c>
      <c r="P4287">
        <v>0</v>
      </c>
      <c r="Q4287">
        <v>0</v>
      </c>
      <c r="S4287">
        <v>0</v>
      </c>
      <c r="T4287">
        <v>0</v>
      </c>
      <c r="U4287">
        <v>0</v>
      </c>
      <c r="W4287" t="s">
        <v>52</v>
      </c>
    </row>
    <row r="4288" spans="1:23" x14ac:dyDescent="0.35">
      <c r="A4288" t="s">
        <v>45</v>
      </c>
      <c r="B4288" t="s">
        <v>8590</v>
      </c>
      <c r="C4288" t="s">
        <v>47</v>
      </c>
      <c r="D4288" t="s">
        <v>4031</v>
      </c>
      <c r="E4288" t="s">
        <v>4031</v>
      </c>
      <c r="F4288" t="s">
        <v>54</v>
      </c>
      <c r="G4288" t="s">
        <v>3758</v>
      </c>
      <c r="H4288" t="s">
        <v>8612</v>
      </c>
      <c r="J4288" t="str">
        <f>HYPERLINK("https://www.youtube.com/watch?v=Un06w8WhYRg&amp;lc=UgxFVORilE8MWLu3I2x4AaABAg","https://www.youtube.com/watch?v=Un06w8WhYRg&amp;lc=UgxFVORilE8MWLu3I2x4AaABAg")</f>
        <v>https://www.youtube.com/watch?v=Un06w8WhYRg&amp;lc=UgxFVORilE8MWLu3I2x4AaABAg</v>
      </c>
      <c r="O4288">
        <v>0</v>
      </c>
      <c r="P4288">
        <v>0</v>
      </c>
      <c r="Q4288">
        <v>0</v>
      </c>
      <c r="S4288">
        <v>0</v>
      </c>
      <c r="T4288">
        <v>0</v>
      </c>
      <c r="U4288">
        <v>0</v>
      </c>
      <c r="W4288" t="s">
        <v>52</v>
      </c>
    </row>
    <row r="4289" spans="1:23" x14ac:dyDescent="0.35">
      <c r="A4289" t="s">
        <v>45</v>
      </c>
      <c r="B4289" t="s">
        <v>8590</v>
      </c>
      <c r="C4289" t="s">
        <v>60</v>
      </c>
      <c r="D4289" t="s">
        <v>61</v>
      </c>
      <c r="E4289" t="s">
        <v>61</v>
      </c>
      <c r="F4289" t="s">
        <v>49</v>
      </c>
      <c r="G4289" t="s">
        <v>8613</v>
      </c>
      <c r="H4289" t="s">
        <v>8614</v>
      </c>
      <c r="J4289" t="str">
        <f>HYPERLINK("https://www.facebook.com/634639855377280/posts/765118255662772?comment_id=2350692141783108","https://www.facebook.com/634639855377280/posts/765118255662772?comment_id=2350692141783108")</f>
        <v>https://www.facebook.com/634639855377280/posts/765118255662772?comment_id=2350692141783108</v>
      </c>
      <c r="O4289">
        <v>0</v>
      </c>
      <c r="P4289">
        <v>0</v>
      </c>
      <c r="Q4289">
        <v>0</v>
      </c>
      <c r="S4289">
        <v>0</v>
      </c>
      <c r="T4289">
        <v>0</v>
      </c>
      <c r="U4289">
        <v>0</v>
      </c>
      <c r="W4289" t="s">
        <v>52</v>
      </c>
    </row>
    <row r="4290" spans="1:23" x14ac:dyDescent="0.35">
      <c r="A4290" t="s">
        <v>45</v>
      </c>
      <c r="B4290" t="s">
        <v>8590</v>
      </c>
      <c r="C4290" t="s">
        <v>93</v>
      </c>
      <c r="D4290" t="s">
        <v>94</v>
      </c>
      <c r="E4290" t="s">
        <v>45</v>
      </c>
      <c r="F4290" t="s">
        <v>49</v>
      </c>
      <c r="G4290" t="s">
        <v>8615</v>
      </c>
      <c r="H4290" t="s">
        <v>8616</v>
      </c>
      <c r="J4290" t="str">
        <f>HYPERLINK("https://twitter.com/SpiceMoneyIndia/status/1743609452194828622","https://twitter.com/SpiceMoneyIndia/status/1743609452194828622")</f>
        <v>https://twitter.com/SpiceMoneyIndia/status/1743609452194828622</v>
      </c>
      <c r="K4290" t="s">
        <v>67</v>
      </c>
      <c r="O4290">
        <v>0</v>
      </c>
      <c r="P4290">
        <v>0</v>
      </c>
      <c r="Q4290">
        <v>5985</v>
      </c>
      <c r="R4290" t="s">
        <v>97</v>
      </c>
      <c r="S4290">
        <v>0</v>
      </c>
      <c r="T4290">
        <v>0</v>
      </c>
      <c r="U4290">
        <v>0</v>
      </c>
      <c r="V4290" t="s">
        <v>98</v>
      </c>
      <c r="W4290" t="s">
        <v>99</v>
      </c>
    </row>
    <row r="4291" spans="1:23" x14ac:dyDescent="0.35">
      <c r="A4291" t="s">
        <v>45</v>
      </c>
      <c r="B4291" t="s">
        <v>8590</v>
      </c>
      <c r="C4291" t="s">
        <v>93</v>
      </c>
      <c r="D4291" t="s">
        <v>94</v>
      </c>
      <c r="E4291" t="s">
        <v>45</v>
      </c>
      <c r="F4291" t="s">
        <v>49</v>
      </c>
      <c r="G4291" t="s">
        <v>8617</v>
      </c>
      <c r="H4291" t="s">
        <v>8618</v>
      </c>
      <c r="J4291" t="str">
        <f>HYPERLINK("https://twitter.com/SpiceMoneyIndia/status/1743605244423016598","https://twitter.com/SpiceMoneyIndia/status/1743605244423016598")</f>
        <v>https://twitter.com/SpiceMoneyIndia/status/1743605244423016598</v>
      </c>
      <c r="K4291" t="s">
        <v>67</v>
      </c>
      <c r="O4291">
        <v>0</v>
      </c>
      <c r="P4291">
        <v>0</v>
      </c>
      <c r="Q4291">
        <v>5985</v>
      </c>
      <c r="R4291" t="s">
        <v>97</v>
      </c>
      <c r="S4291">
        <v>0</v>
      </c>
      <c r="T4291">
        <v>0</v>
      </c>
      <c r="U4291">
        <v>0</v>
      </c>
      <c r="V4291" t="s">
        <v>98</v>
      </c>
      <c r="W4291" t="s">
        <v>99</v>
      </c>
    </row>
    <row r="4292" spans="1:23" x14ac:dyDescent="0.35">
      <c r="A4292" t="s">
        <v>45</v>
      </c>
      <c r="B4292" t="s">
        <v>8590</v>
      </c>
      <c r="C4292" t="s">
        <v>93</v>
      </c>
      <c r="D4292" t="s">
        <v>94</v>
      </c>
      <c r="E4292" t="s">
        <v>45</v>
      </c>
      <c r="F4292" t="s">
        <v>49</v>
      </c>
      <c r="G4292" t="s">
        <v>8619</v>
      </c>
      <c r="H4292" t="s">
        <v>8620</v>
      </c>
      <c r="J4292" t="str">
        <f>HYPERLINK("https://twitter.com/SpiceMoneyIndia/status/1743604273215090809","https://twitter.com/SpiceMoneyIndia/status/1743604273215090809")</f>
        <v>https://twitter.com/SpiceMoneyIndia/status/1743604273215090809</v>
      </c>
      <c r="K4292" t="s">
        <v>67</v>
      </c>
      <c r="O4292">
        <v>0</v>
      </c>
      <c r="P4292">
        <v>0</v>
      </c>
      <c r="Q4292">
        <v>5985</v>
      </c>
      <c r="R4292" t="s">
        <v>97</v>
      </c>
      <c r="S4292">
        <v>0</v>
      </c>
      <c r="T4292">
        <v>0</v>
      </c>
      <c r="U4292">
        <v>0</v>
      </c>
      <c r="V4292" t="s">
        <v>98</v>
      </c>
      <c r="W4292" t="s">
        <v>99</v>
      </c>
    </row>
    <row r="4293" spans="1:23" x14ac:dyDescent="0.35">
      <c r="A4293" t="s">
        <v>45</v>
      </c>
      <c r="B4293" t="s">
        <v>8590</v>
      </c>
      <c r="C4293" t="s">
        <v>47</v>
      </c>
      <c r="D4293" t="s">
        <v>68</v>
      </c>
      <c r="E4293" t="s">
        <v>68</v>
      </c>
      <c r="F4293" t="s">
        <v>49</v>
      </c>
      <c r="G4293" t="s">
        <v>162</v>
      </c>
      <c r="H4293" t="s">
        <v>8621</v>
      </c>
      <c r="J4293" t="str">
        <f>HYPERLINK("https://www.youtube.com/watch?v=wDVpKG8jfSo&amp;lc=UgzWxIGus4TCXpMBpdN4AaABAg.9zDtlIrHHh-9zE0gojeog9","https://www.youtube.com/watch?v=wDVpKG8jfSo&amp;lc=UgzWxIGus4TCXpMBpdN4AaABAg.9zDtlIrHHh-9zE0gojeog9")</f>
        <v>https://www.youtube.com/watch?v=wDVpKG8jfSo&amp;lc=UgzWxIGus4TCXpMBpdN4AaABAg.9zDtlIrHHh-9zE0gojeog9</v>
      </c>
      <c r="O4293">
        <v>0</v>
      </c>
      <c r="P4293">
        <v>0</v>
      </c>
      <c r="Q4293">
        <v>0</v>
      </c>
      <c r="S4293">
        <v>0</v>
      </c>
      <c r="T4293">
        <v>0</v>
      </c>
      <c r="U4293">
        <v>0</v>
      </c>
      <c r="W4293" t="s">
        <v>52</v>
      </c>
    </row>
    <row r="4294" spans="1:23" x14ac:dyDescent="0.35">
      <c r="A4294" t="s">
        <v>45</v>
      </c>
      <c r="B4294" t="s">
        <v>8590</v>
      </c>
      <c r="C4294" t="s">
        <v>47</v>
      </c>
      <c r="D4294" t="s">
        <v>68</v>
      </c>
      <c r="E4294" t="s">
        <v>68</v>
      </c>
      <c r="F4294" t="s">
        <v>49</v>
      </c>
      <c r="G4294" t="s">
        <v>102</v>
      </c>
      <c r="H4294" t="s">
        <v>8622</v>
      </c>
      <c r="J4294" t="str">
        <f>HYPERLINK("https://www.youtube.com/watch?v=Xs5Ka6DYD4U&amp;lc=UgwW6O8YIg6txn5AFR54AaABAg.9zE-mhM9CE29zE0dx0Cmzz","https://www.youtube.com/watch?v=Xs5Ka6DYD4U&amp;lc=UgwW6O8YIg6txn5AFR54AaABAg.9zE-mhM9CE29zE0dx0Cmzz")</f>
        <v>https://www.youtube.com/watch?v=Xs5Ka6DYD4U&amp;lc=UgwW6O8YIg6txn5AFR54AaABAg.9zE-mhM9CE29zE0dx0Cmzz</v>
      </c>
      <c r="O4294">
        <v>0</v>
      </c>
      <c r="P4294">
        <v>0</v>
      </c>
      <c r="Q4294">
        <v>0</v>
      </c>
      <c r="S4294">
        <v>0</v>
      </c>
      <c r="T4294">
        <v>0</v>
      </c>
      <c r="U4294">
        <v>0</v>
      </c>
      <c r="W4294" t="s">
        <v>52</v>
      </c>
    </row>
    <row r="4295" spans="1:23" x14ac:dyDescent="0.35">
      <c r="A4295" t="s">
        <v>45</v>
      </c>
      <c r="B4295" t="s">
        <v>8590</v>
      </c>
      <c r="C4295" t="s">
        <v>93</v>
      </c>
      <c r="D4295" t="s">
        <v>94</v>
      </c>
      <c r="E4295" t="s">
        <v>45</v>
      </c>
      <c r="F4295" t="s">
        <v>49</v>
      </c>
      <c r="G4295" t="s">
        <v>8623</v>
      </c>
      <c r="H4295" t="s">
        <v>8624</v>
      </c>
      <c r="J4295" t="str">
        <f>HYPERLINK("https://twitter.com/SpiceMoneyIndia/status/1743603026915381267","https://twitter.com/SpiceMoneyIndia/status/1743603026915381267")</f>
        <v>https://twitter.com/SpiceMoneyIndia/status/1743603026915381267</v>
      </c>
      <c r="K4295" t="s">
        <v>67</v>
      </c>
      <c r="O4295">
        <v>0</v>
      </c>
      <c r="P4295">
        <v>0</v>
      </c>
      <c r="Q4295">
        <v>5985</v>
      </c>
      <c r="R4295" t="s">
        <v>97</v>
      </c>
      <c r="S4295">
        <v>0</v>
      </c>
      <c r="T4295">
        <v>0</v>
      </c>
      <c r="U4295">
        <v>0</v>
      </c>
      <c r="V4295" t="s">
        <v>98</v>
      </c>
      <c r="W4295" t="s">
        <v>99</v>
      </c>
    </row>
    <row r="4296" spans="1:23" x14ac:dyDescent="0.35">
      <c r="A4296" t="s">
        <v>45</v>
      </c>
      <c r="B4296" t="s">
        <v>8590</v>
      </c>
      <c r="C4296" t="s">
        <v>93</v>
      </c>
      <c r="D4296" t="s">
        <v>94</v>
      </c>
      <c r="E4296" t="s">
        <v>45</v>
      </c>
      <c r="F4296" t="s">
        <v>49</v>
      </c>
      <c r="G4296" t="s">
        <v>8625</v>
      </c>
      <c r="H4296" t="s">
        <v>8626</v>
      </c>
      <c r="J4296" t="str">
        <f>HYPERLINK("https://twitter.com/SpiceMoneyIndia/status/1743602013328306447","https://twitter.com/SpiceMoneyIndia/status/1743602013328306447")</f>
        <v>https://twitter.com/SpiceMoneyIndia/status/1743602013328306447</v>
      </c>
      <c r="K4296" t="s">
        <v>67</v>
      </c>
      <c r="O4296">
        <v>0</v>
      </c>
      <c r="P4296">
        <v>0</v>
      </c>
      <c r="Q4296">
        <v>5985</v>
      </c>
      <c r="R4296" t="s">
        <v>97</v>
      </c>
      <c r="S4296">
        <v>0</v>
      </c>
      <c r="T4296">
        <v>0</v>
      </c>
      <c r="U4296">
        <v>0</v>
      </c>
      <c r="V4296" t="s">
        <v>98</v>
      </c>
      <c r="W4296" t="s">
        <v>99</v>
      </c>
    </row>
    <row r="4297" spans="1:23" x14ac:dyDescent="0.35">
      <c r="A4297" t="s">
        <v>45</v>
      </c>
      <c r="B4297" t="s">
        <v>8590</v>
      </c>
      <c r="C4297" t="s">
        <v>93</v>
      </c>
      <c r="D4297" t="s">
        <v>94</v>
      </c>
      <c r="E4297" t="s">
        <v>45</v>
      </c>
      <c r="F4297" t="s">
        <v>49</v>
      </c>
      <c r="G4297" t="s">
        <v>8627</v>
      </c>
      <c r="H4297" t="s">
        <v>8628</v>
      </c>
      <c r="J4297" t="str">
        <f>HYPERLINK("https://twitter.com/SpiceMoneyIndia/status/1743601645387157615","https://twitter.com/SpiceMoneyIndia/status/1743601645387157615")</f>
        <v>https://twitter.com/SpiceMoneyIndia/status/1743601645387157615</v>
      </c>
      <c r="K4297" t="s">
        <v>67</v>
      </c>
      <c r="O4297">
        <v>0</v>
      </c>
      <c r="P4297">
        <v>0</v>
      </c>
      <c r="Q4297">
        <v>5985</v>
      </c>
      <c r="R4297" t="s">
        <v>97</v>
      </c>
      <c r="S4297">
        <v>0</v>
      </c>
      <c r="T4297">
        <v>0</v>
      </c>
      <c r="U4297">
        <v>0</v>
      </c>
      <c r="V4297" t="s">
        <v>98</v>
      </c>
      <c r="W4297" t="s">
        <v>99</v>
      </c>
    </row>
    <row r="4298" spans="1:23" x14ac:dyDescent="0.35">
      <c r="A4298" t="s">
        <v>45</v>
      </c>
      <c r="B4298" t="s">
        <v>8590</v>
      </c>
      <c r="C4298" t="s">
        <v>47</v>
      </c>
      <c r="D4298" t="s">
        <v>8629</v>
      </c>
      <c r="E4298" t="s">
        <v>8629</v>
      </c>
      <c r="F4298" t="s">
        <v>49</v>
      </c>
      <c r="G4298" t="s">
        <v>8630</v>
      </c>
      <c r="H4298" t="s">
        <v>8631</v>
      </c>
      <c r="J4298" t="str">
        <f>HYPERLINK("https://www.youtube.com/watch?v=Xs5Ka6DYD4U&amp;lc=UgwW6O8YIg6txn5AFR54AaABAg","https://www.youtube.com/watch?v=Xs5Ka6DYD4U&amp;lc=UgwW6O8YIg6txn5AFR54AaABAg")</f>
        <v>https://www.youtube.com/watch?v=Xs5Ka6DYD4U&amp;lc=UgwW6O8YIg6txn5AFR54AaABAg</v>
      </c>
      <c r="O4298">
        <v>0</v>
      </c>
      <c r="P4298">
        <v>0</v>
      </c>
      <c r="Q4298">
        <v>0</v>
      </c>
      <c r="S4298">
        <v>0</v>
      </c>
      <c r="T4298">
        <v>0</v>
      </c>
      <c r="U4298">
        <v>0</v>
      </c>
      <c r="W4298" t="s">
        <v>52</v>
      </c>
    </row>
    <row r="4299" spans="1:23" x14ac:dyDescent="0.35">
      <c r="A4299" t="s">
        <v>45</v>
      </c>
      <c r="B4299" t="s">
        <v>8590</v>
      </c>
      <c r="C4299" t="s">
        <v>93</v>
      </c>
      <c r="D4299" t="s">
        <v>94</v>
      </c>
      <c r="E4299" t="s">
        <v>45</v>
      </c>
      <c r="F4299" t="s">
        <v>49</v>
      </c>
      <c r="G4299" t="s">
        <v>8632</v>
      </c>
      <c r="H4299" t="s">
        <v>8633</v>
      </c>
      <c r="J4299" t="str">
        <f>HYPERLINK("https://twitter.com/SpiceMoneyIndia/status/1743601038983127251","https://twitter.com/SpiceMoneyIndia/status/1743601038983127251")</f>
        <v>https://twitter.com/SpiceMoneyIndia/status/1743601038983127251</v>
      </c>
      <c r="K4299" t="s">
        <v>67</v>
      </c>
      <c r="O4299">
        <v>0</v>
      </c>
      <c r="P4299">
        <v>0</v>
      </c>
      <c r="Q4299">
        <v>5985</v>
      </c>
      <c r="R4299" t="s">
        <v>97</v>
      </c>
      <c r="S4299">
        <v>0</v>
      </c>
      <c r="T4299">
        <v>0</v>
      </c>
      <c r="U4299">
        <v>0</v>
      </c>
      <c r="V4299" t="s">
        <v>98</v>
      </c>
      <c r="W4299" t="s">
        <v>99</v>
      </c>
    </row>
    <row r="4300" spans="1:23" x14ac:dyDescent="0.35">
      <c r="A4300" t="s">
        <v>45</v>
      </c>
      <c r="B4300" t="s">
        <v>8590</v>
      </c>
      <c r="C4300" t="s">
        <v>47</v>
      </c>
      <c r="D4300" t="s">
        <v>68</v>
      </c>
      <c r="E4300" t="s">
        <v>68</v>
      </c>
      <c r="F4300" t="s">
        <v>49</v>
      </c>
      <c r="G4300" t="s">
        <v>102</v>
      </c>
      <c r="H4300" t="s">
        <v>8634</v>
      </c>
      <c r="J4300" t="str">
        <f>HYPERLINK("https://www.youtube.com/watch?v=U7QcHcr47cw&amp;lc=UgwLRgI63wrUOG_9lwd4AaABAg.9zD3qxSiM-y9zE-4qMfEFb","https://www.youtube.com/watch?v=U7QcHcr47cw&amp;lc=UgwLRgI63wrUOG_9lwd4AaABAg.9zD3qxSiM-y9zE-4qMfEFb")</f>
        <v>https://www.youtube.com/watch?v=U7QcHcr47cw&amp;lc=UgwLRgI63wrUOG_9lwd4AaABAg.9zD3qxSiM-y9zE-4qMfEFb</v>
      </c>
      <c r="O4300">
        <v>0</v>
      </c>
      <c r="P4300">
        <v>0</v>
      </c>
      <c r="Q4300">
        <v>0</v>
      </c>
      <c r="S4300">
        <v>0</v>
      </c>
      <c r="T4300">
        <v>0</v>
      </c>
      <c r="U4300">
        <v>0</v>
      </c>
      <c r="W4300" t="s">
        <v>52</v>
      </c>
    </row>
    <row r="4301" spans="1:23" x14ac:dyDescent="0.35">
      <c r="A4301" t="s">
        <v>45</v>
      </c>
      <c r="B4301" t="s">
        <v>8590</v>
      </c>
      <c r="C4301" t="s">
        <v>47</v>
      </c>
      <c r="D4301" t="s">
        <v>8635</v>
      </c>
      <c r="E4301" t="s">
        <v>8635</v>
      </c>
      <c r="F4301" t="s">
        <v>54</v>
      </c>
      <c r="G4301" t="s">
        <v>8636</v>
      </c>
      <c r="H4301" t="s">
        <v>8637</v>
      </c>
      <c r="J4301" t="str">
        <f>HYPERLINK("https://www.youtube.com/watch?v=wDVpKG8jfSo&amp;lc=UgzWxIGus4TCXpMBpdN4AaABAg","https://www.youtube.com/watch?v=wDVpKG8jfSo&amp;lc=UgzWxIGus4TCXpMBpdN4AaABAg")</f>
        <v>https://www.youtube.com/watch?v=wDVpKG8jfSo&amp;lc=UgzWxIGus4TCXpMBpdN4AaABAg</v>
      </c>
      <c r="O4301">
        <v>0</v>
      </c>
      <c r="P4301">
        <v>0</v>
      </c>
      <c r="Q4301">
        <v>0</v>
      </c>
      <c r="S4301">
        <v>0</v>
      </c>
      <c r="T4301">
        <v>0</v>
      </c>
      <c r="U4301">
        <v>0</v>
      </c>
      <c r="W4301" t="s">
        <v>52</v>
      </c>
    </row>
    <row r="4302" spans="1:23" x14ac:dyDescent="0.35">
      <c r="A4302" t="s">
        <v>45</v>
      </c>
      <c r="B4302" t="s">
        <v>8590</v>
      </c>
      <c r="C4302" t="s">
        <v>47</v>
      </c>
      <c r="D4302" t="s">
        <v>68</v>
      </c>
      <c r="E4302" t="s">
        <v>68</v>
      </c>
      <c r="F4302" t="s">
        <v>49</v>
      </c>
      <c r="G4302" t="s">
        <v>253</v>
      </c>
      <c r="H4302" t="s">
        <v>8638</v>
      </c>
      <c r="J4302" t="str">
        <f>HYPERLINK("https://www.youtube.com/watch?v=Un06w8WhYRg&amp;lc=Ugyfb40XJt-HiogNiNZ4AaABAg.9zDOVl40mD89zDqFXNlqi_","https://www.youtube.com/watch?v=Un06w8WhYRg&amp;lc=Ugyfb40XJt-HiogNiNZ4AaABAg.9zDOVl40mD89zDqFXNlqi_")</f>
        <v>https://www.youtube.com/watch?v=Un06w8WhYRg&amp;lc=Ugyfb40XJt-HiogNiNZ4AaABAg.9zDOVl40mD89zDqFXNlqi_</v>
      </c>
      <c r="O4302">
        <v>0</v>
      </c>
      <c r="P4302">
        <v>0</v>
      </c>
      <c r="Q4302">
        <v>0</v>
      </c>
      <c r="S4302">
        <v>0</v>
      </c>
      <c r="T4302">
        <v>0</v>
      </c>
      <c r="U4302">
        <v>0</v>
      </c>
      <c r="W4302" t="s">
        <v>52</v>
      </c>
    </row>
    <row r="4303" spans="1:23" x14ac:dyDescent="0.35">
      <c r="A4303" t="s">
        <v>45</v>
      </c>
      <c r="B4303" t="s">
        <v>8590</v>
      </c>
      <c r="C4303" t="s">
        <v>47</v>
      </c>
      <c r="D4303" t="s">
        <v>68</v>
      </c>
      <c r="E4303" t="s">
        <v>68</v>
      </c>
      <c r="F4303" t="s">
        <v>49</v>
      </c>
      <c r="G4303" t="s">
        <v>492</v>
      </c>
      <c r="H4303" t="s">
        <v>8639</v>
      </c>
      <c r="J4303" t="str">
        <f>HYPERLINK("https://www.youtube.com/watch?v=oKzaWywnY_o&amp;lc=UgzvECwBerZ1bb21ME94AaABAg.9zD_FJtf8-S9zDpiMjng63","https://www.youtube.com/watch?v=oKzaWywnY_o&amp;lc=UgzvECwBerZ1bb21ME94AaABAg.9zD_FJtf8-S9zDpiMjng63")</f>
        <v>https://www.youtube.com/watch?v=oKzaWywnY_o&amp;lc=UgzvECwBerZ1bb21ME94AaABAg.9zD_FJtf8-S9zDpiMjng63</v>
      </c>
      <c r="O4303">
        <v>0</v>
      </c>
      <c r="P4303">
        <v>0</v>
      </c>
      <c r="Q4303">
        <v>0</v>
      </c>
      <c r="S4303">
        <v>0</v>
      </c>
      <c r="T4303">
        <v>0</v>
      </c>
      <c r="U4303">
        <v>0</v>
      </c>
      <c r="W4303" t="s">
        <v>52</v>
      </c>
    </row>
    <row r="4304" spans="1:23" x14ac:dyDescent="0.35">
      <c r="A4304" t="s">
        <v>45</v>
      </c>
      <c r="B4304" t="s">
        <v>8590</v>
      </c>
      <c r="C4304" t="s">
        <v>47</v>
      </c>
      <c r="D4304" t="s">
        <v>8640</v>
      </c>
      <c r="E4304" t="s">
        <v>8640</v>
      </c>
      <c r="F4304" t="s">
        <v>49</v>
      </c>
      <c r="G4304" t="s">
        <v>8641</v>
      </c>
      <c r="H4304" t="s">
        <v>8642</v>
      </c>
      <c r="J4304" t="str">
        <f>HYPERLINK("https://www.youtube.com/watch?v=ASfQx196DU4&amp;lc=UgyiMi2BO0YQJn75Ts54AaABAg","https://www.youtube.com/watch?v=ASfQx196DU4&amp;lc=UgyiMi2BO0YQJn75Ts54AaABAg")</f>
        <v>https://www.youtube.com/watch?v=ASfQx196DU4&amp;lc=UgyiMi2BO0YQJn75Ts54AaABAg</v>
      </c>
      <c r="O4304">
        <v>0</v>
      </c>
      <c r="P4304">
        <v>0</v>
      </c>
      <c r="Q4304">
        <v>0</v>
      </c>
      <c r="S4304">
        <v>0</v>
      </c>
      <c r="T4304">
        <v>0</v>
      </c>
      <c r="U4304">
        <v>0</v>
      </c>
      <c r="W4304" t="s">
        <v>52</v>
      </c>
    </row>
    <row r="4305" spans="1:23" x14ac:dyDescent="0.35">
      <c r="A4305" t="s">
        <v>45</v>
      </c>
      <c r="B4305" t="s">
        <v>8590</v>
      </c>
      <c r="C4305" t="s">
        <v>47</v>
      </c>
      <c r="D4305" t="s">
        <v>8640</v>
      </c>
      <c r="E4305" t="s">
        <v>8640</v>
      </c>
      <c r="F4305" t="s">
        <v>49</v>
      </c>
      <c r="G4305" t="s">
        <v>8643</v>
      </c>
      <c r="H4305" t="s">
        <v>8644</v>
      </c>
      <c r="J4305" t="str">
        <f>HYPERLINK("https://www.youtube.com/watch?v=oKzaWywnY_o&amp;lc=UgzvECwBerZ1bb21ME94AaABAg","https://www.youtube.com/watch?v=oKzaWywnY_o&amp;lc=UgzvECwBerZ1bb21ME94AaABAg")</f>
        <v>https://www.youtube.com/watch?v=oKzaWywnY_o&amp;lc=UgzvECwBerZ1bb21ME94AaABAg</v>
      </c>
      <c r="O4305">
        <v>0</v>
      </c>
      <c r="P4305">
        <v>0</v>
      </c>
      <c r="Q4305">
        <v>0</v>
      </c>
      <c r="S4305">
        <v>0</v>
      </c>
      <c r="T4305">
        <v>0</v>
      </c>
      <c r="U4305">
        <v>0</v>
      </c>
      <c r="W4305" t="s">
        <v>52</v>
      </c>
    </row>
    <row r="4306" spans="1:23" x14ac:dyDescent="0.35">
      <c r="A4306" t="s">
        <v>45</v>
      </c>
      <c r="B4306" t="s">
        <v>8590</v>
      </c>
      <c r="C4306" t="s">
        <v>47</v>
      </c>
      <c r="D4306" t="s">
        <v>8640</v>
      </c>
      <c r="E4306" t="s">
        <v>8640</v>
      </c>
      <c r="F4306" t="s">
        <v>49</v>
      </c>
      <c r="G4306" t="s">
        <v>8643</v>
      </c>
      <c r="H4306" t="s">
        <v>8645</v>
      </c>
      <c r="J4306" t="str">
        <f>HYPERLINK("https://www.youtube.com/watch?v=7N6n0nCAmV8&amp;lc=UgzVwfnoPLMYE2yjGA94AaABAg","https://www.youtube.com/watch?v=7N6n0nCAmV8&amp;lc=UgzVwfnoPLMYE2yjGA94AaABAg")</f>
        <v>https://www.youtube.com/watch?v=7N6n0nCAmV8&amp;lc=UgzVwfnoPLMYE2yjGA94AaABAg</v>
      </c>
      <c r="O4306">
        <v>0</v>
      </c>
      <c r="P4306">
        <v>0</v>
      </c>
      <c r="Q4306">
        <v>0</v>
      </c>
      <c r="S4306">
        <v>0</v>
      </c>
      <c r="T4306">
        <v>0</v>
      </c>
      <c r="U4306">
        <v>0</v>
      </c>
      <c r="W4306" t="s">
        <v>52</v>
      </c>
    </row>
    <row r="4307" spans="1:23" x14ac:dyDescent="0.35">
      <c r="A4307" t="s">
        <v>45</v>
      </c>
      <c r="B4307" t="s">
        <v>8590</v>
      </c>
      <c r="C4307" t="s">
        <v>93</v>
      </c>
      <c r="D4307" t="s">
        <v>94</v>
      </c>
      <c r="E4307" t="s">
        <v>45</v>
      </c>
      <c r="F4307" t="s">
        <v>49</v>
      </c>
      <c r="G4307" t="s">
        <v>8646</v>
      </c>
      <c r="H4307" t="s">
        <v>8647</v>
      </c>
      <c r="J4307" t="str">
        <f>HYPERLINK("https://twitter.com/SpiceMoneyIndia/status/1743523758424592672","https://twitter.com/SpiceMoneyIndia/status/1743523758424592672")</f>
        <v>https://twitter.com/SpiceMoneyIndia/status/1743523758424592672</v>
      </c>
      <c r="K4307" t="s">
        <v>67</v>
      </c>
      <c r="O4307">
        <v>0</v>
      </c>
      <c r="P4307">
        <v>0</v>
      </c>
      <c r="Q4307">
        <v>5983</v>
      </c>
      <c r="R4307" t="s">
        <v>97</v>
      </c>
      <c r="S4307">
        <v>0</v>
      </c>
      <c r="T4307">
        <v>0</v>
      </c>
      <c r="U4307">
        <v>0</v>
      </c>
      <c r="V4307" t="s">
        <v>98</v>
      </c>
      <c r="W4307" t="s">
        <v>99</v>
      </c>
    </row>
    <row r="4308" spans="1:23" x14ac:dyDescent="0.35">
      <c r="A4308" t="s">
        <v>45</v>
      </c>
      <c r="B4308" t="s">
        <v>8590</v>
      </c>
      <c r="C4308" t="s">
        <v>60</v>
      </c>
      <c r="D4308" t="s">
        <v>64</v>
      </c>
      <c r="E4308" t="s">
        <v>64</v>
      </c>
      <c r="F4308" t="s">
        <v>49</v>
      </c>
      <c r="G4308" t="s">
        <v>8648</v>
      </c>
      <c r="H4308" t="s">
        <v>8649</v>
      </c>
      <c r="J4308" t="str">
        <f>HYPERLINK("https://www.facebook.com/634639855377280/posts/767295575445040","https://www.facebook.com/634639855377280/posts/767295575445040")</f>
        <v>https://www.facebook.com/634639855377280/posts/767295575445040</v>
      </c>
      <c r="O4308">
        <v>0</v>
      </c>
      <c r="P4308">
        <v>0</v>
      </c>
      <c r="Q4308">
        <v>0</v>
      </c>
      <c r="S4308">
        <v>5</v>
      </c>
      <c r="T4308">
        <v>44</v>
      </c>
      <c r="U4308">
        <v>4</v>
      </c>
      <c r="W4308" t="s">
        <v>346</v>
      </c>
    </row>
    <row r="4309" spans="1:23" x14ac:dyDescent="0.35">
      <c r="A4309" t="s">
        <v>45</v>
      </c>
      <c r="B4309" t="s">
        <v>8590</v>
      </c>
      <c r="C4309" t="s">
        <v>47</v>
      </c>
      <c r="D4309" t="s">
        <v>8650</v>
      </c>
      <c r="E4309" t="s">
        <v>8650</v>
      </c>
      <c r="F4309" t="s">
        <v>49</v>
      </c>
      <c r="G4309" t="s">
        <v>8651</v>
      </c>
      <c r="H4309" t="s">
        <v>8652</v>
      </c>
      <c r="J4309" t="str">
        <f>HYPERLINK("https://www.youtube.com/watch?v=vryirakqo_4&amp;lc=Ugw4AC4LRZ-qz0mNLKF4AaABAg","https://www.youtube.com/watch?v=vryirakqo_4&amp;lc=Ugw4AC4LRZ-qz0mNLKF4AaABAg")</f>
        <v>https://www.youtube.com/watch?v=vryirakqo_4&amp;lc=Ugw4AC4LRZ-qz0mNLKF4AaABAg</v>
      </c>
      <c r="O4309">
        <v>0</v>
      </c>
      <c r="P4309">
        <v>0</v>
      </c>
      <c r="Q4309">
        <v>0</v>
      </c>
      <c r="S4309">
        <v>0</v>
      </c>
      <c r="T4309">
        <v>0</v>
      </c>
      <c r="U4309">
        <v>0</v>
      </c>
      <c r="W4309" t="s">
        <v>52</v>
      </c>
    </row>
    <row r="4310" spans="1:23" x14ac:dyDescent="0.35">
      <c r="A4310" t="s">
        <v>45</v>
      </c>
      <c r="B4310" t="s">
        <v>8590</v>
      </c>
      <c r="C4310" t="s">
        <v>47</v>
      </c>
      <c r="D4310" t="s">
        <v>6009</v>
      </c>
      <c r="E4310" t="s">
        <v>6009</v>
      </c>
      <c r="F4310" t="s">
        <v>49</v>
      </c>
      <c r="G4310" t="s">
        <v>8653</v>
      </c>
      <c r="H4310" t="s">
        <v>8654</v>
      </c>
      <c r="J4310" t="str">
        <f>HYPERLINK("https://www.youtube.com/watch?v=Un06w8WhYRg&amp;lc=Ugyfb40XJt-HiogNiNZ4AaABAg","https://www.youtube.com/watch?v=Un06w8WhYRg&amp;lc=Ugyfb40XJt-HiogNiNZ4AaABAg")</f>
        <v>https://www.youtube.com/watch?v=Un06w8WhYRg&amp;lc=Ugyfb40XJt-HiogNiNZ4AaABAg</v>
      </c>
      <c r="O4310">
        <v>0</v>
      </c>
      <c r="P4310">
        <v>0</v>
      </c>
      <c r="Q4310">
        <v>0</v>
      </c>
      <c r="S4310">
        <v>0</v>
      </c>
      <c r="T4310">
        <v>0</v>
      </c>
      <c r="U4310">
        <v>0</v>
      </c>
      <c r="W4310" t="s">
        <v>52</v>
      </c>
    </row>
    <row r="4311" spans="1:23" x14ac:dyDescent="0.35">
      <c r="A4311" t="s">
        <v>45</v>
      </c>
      <c r="B4311" t="s">
        <v>8590</v>
      </c>
      <c r="C4311" t="s">
        <v>47</v>
      </c>
      <c r="D4311" t="s">
        <v>6009</v>
      </c>
      <c r="E4311" t="s">
        <v>6009</v>
      </c>
      <c r="F4311" t="s">
        <v>49</v>
      </c>
      <c r="G4311" t="s">
        <v>8655</v>
      </c>
      <c r="H4311" t="s">
        <v>8656</v>
      </c>
      <c r="J4311" t="str">
        <f>HYPERLINK("https://www.youtube.com/watch?v=Un06w8WhYRg&amp;lc=Ugx2x4xTFyaBtiLd5Cp4AaABAg","https://www.youtube.com/watch?v=Un06w8WhYRg&amp;lc=Ugx2x4xTFyaBtiLd5Cp4AaABAg")</f>
        <v>https://www.youtube.com/watch?v=Un06w8WhYRg&amp;lc=Ugx2x4xTFyaBtiLd5Cp4AaABAg</v>
      </c>
      <c r="O4311">
        <v>0</v>
      </c>
      <c r="P4311">
        <v>0</v>
      </c>
      <c r="Q4311">
        <v>0</v>
      </c>
      <c r="S4311">
        <v>0</v>
      </c>
      <c r="T4311">
        <v>0</v>
      </c>
      <c r="U4311">
        <v>0</v>
      </c>
      <c r="W4311" t="s">
        <v>52</v>
      </c>
    </row>
    <row r="4312" spans="1:23" x14ac:dyDescent="0.35">
      <c r="A4312" t="s">
        <v>45</v>
      </c>
      <c r="B4312" t="s">
        <v>8590</v>
      </c>
      <c r="C4312" t="s">
        <v>93</v>
      </c>
      <c r="D4312" t="s">
        <v>8657</v>
      </c>
      <c r="E4312" t="s">
        <v>8658</v>
      </c>
      <c r="F4312" t="s">
        <v>193</v>
      </c>
      <c r="G4312" t="s">
        <v>8659</v>
      </c>
      <c r="H4312" t="s">
        <v>8660</v>
      </c>
      <c r="J4312" t="str">
        <f>HYPERLINK("https://twitter.com/nk447090/status/1743508459629510779","https://twitter.com/nk447090/status/1743508459629510779")</f>
        <v>https://twitter.com/nk447090/status/1743508459629510779</v>
      </c>
      <c r="K4312" t="s">
        <v>67</v>
      </c>
      <c r="O4312">
        <v>0</v>
      </c>
      <c r="P4312">
        <v>0</v>
      </c>
      <c r="Q4312">
        <v>0</v>
      </c>
      <c r="S4312">
        <v>0</v>
      </c>
      <c r="T4312">
        <v>0</v>
      </c>
      <c r="U4312">
        <v>0</v>
      </c>
      <c r="W4312" t="s">
        <v>99</v>
      </c>
    </row>
    <row r="4313" spans="1:23" x14ac:dyDescent="0.35">
      <c r="A4313" t="s">
        <v>45</v>
      </c>
      <c r="B4313" t="s">
        <v>8590</v>
      </c>
      <c r="C4313" t="s">
        <v>47</v>
      </c>
      <c r="D4313" t="s">
        <v>8661</v>
      </c>
      <c r="E4313" t="s">
        <v>8661</v>
      </c>
      <c r="F4313" t="s">
        <v>193</v>
      </c>
      <c r="G4313" t="s">
        <v>8662</v>
      </c>
      <c r="H4313" t="s">
        <v>8663</v>
      </c>
      <c r="J4313" t="str">
        <f>HYPERLINK("https://www.youtube.com/watch?v=vryirakqo_4&amp;lc=UgyrLPVgWhUBrw8e2Ux4AaABAg","https://www.youtube.com/watch?v=vryirakqo_4&amp;lc=UgyrLPVgWhUBrw8e2Ux4AaABAg")</f>
        <v>https://www.youtube.com/watch?v=vryirakqo_4&amp;lc=UgyrLPVgWhUBrw8e2Ux4AaABAg</v>
      </c>
      <c r="O4313">
        <v>0</v>
      </c>
      <c r="P4313">
        <v>0</v>
      </c>
      <c r="Q4313">
        <v>0</v>
      </c>
      <c r="S4313">
        <v>0</v>
      </c>
      <c r="T4313">
        <v>0</v>
      </c>
      <c r="U4313">
        <v>0</v>
      </c>
      <c r="W4313" t="s">
        <v>52</v>
      </c>
    </row>
    <row r="4314" spans="1:23" x14ac:dyDescent="0.35">
      <c r="A4314" t="s">
        <v>45</v>
      </c>
      <c r="B4314" t="s">
        <v>8590</v>
      </c>
      <c r="C4314" t="s">
        <v>47</v>
      </c>
      <c r="D4314" t="s">
        <v>8664</v>
      </c>
      <c r="E4314" t="s">
        <v>8664</v>
      </c>
      <c r="F4314" t="s">
        <v>54</v>
      </c>
      <c r="G4314" t="s">
        <v>8665</v>
      </c>
      <c r="H4314" t="s">
        <v>8666</v>
      </c>
      <c r="J4314" t="str">
        <f>HYPERLINK("https://www.youtube.com/watch?v=vryirakqo_4&amp;lc=Ugx31IfDOYkxAQr9Xph4AaABAg","https://www.youtube.com/watch?v=vryirakqo_4&amp;lc=Ugx31IfDOYkxAQr9Xph4AaABAg")</f>
        <v>https://www.youtube.com/watch?v=vryirakqo_4&amp;lc=Ugx31IfDOYkxAQr9Xph4AaABAg</v>
      </c>
      <c r="O4314">
        <v>0</v>
      </c>
      <c r="P4314">
        <v>0</v>
      </c>
      <c r="Q4314">
        <v>0</v>
      </c>
      <c r="S4314">
        <v>0</v>
      </c>
      <c r="T4314">
        <v>0</v>
      </c>
      <c r="U4314">
        <v>0</v>
      </c>
      <c r="W4314" t="s">
        <v>52</v>
      </c>
    </row>
    <row r="4315" spans="1:23" x14ac:dyDescent="0.35">
      <c r="A4315" t="s">
        <v>45</v>
      </c>
      <c r="B4315" t="s">
        <v>8590</v>
      </c>
      <c r="C4315" t="s">
        <v>47</v>
      </c>
      <c r="D4315" t="s">
        <v>8667</v>
      </c>
      <c r="E4315" t="s">
        <v>8667</v>
      </c>
      <c r="F4315" t="s">
        <v>54</v>
      </c>
      <c r="G4315" t="s">
        <v>8668</v>
      </c>
      <c r="H4315" t="s">
        <v>8669</v>
      </c>
      <c r="J4315" t="str">
        <f>HYPERLINK("https://www.youtube.com/watch?v=vryirakqo_4&amp;lc=Ugx4SrvAJ945rjKiPxN4AaABAg","https://www.youtube.com/watch?v=vryirakqo_4&amp;lc=Ugx4SrvAJ945rjKiPxN4AaABAg")</f>
        <v>https://www.youtube.com/watch?v=vryirakqo_4&amp;lc=Ugx4SrvAJ945rjKiPxN4AaABAg</v>
      </c>
      <c r="O4315">
        <v>0</v>
      </c>
      <c r="P4315">
        <v>0</v>
      </c>
      <c r="Q4315">
        <v>0</v>
      </c>
      <c r="S4315">
        <v>0</v>
      </c>
      <c r="T4315">
        <v>0</v>
      </c>
      <c r="U4315">
        <v>0</v>
      </c>
      <c r="W4315" t="s">
        <v>52</v>
      </c>
    </row>
    <row r="4316" spans="1:23" x14ac:dyDescent="0.35">
      <c r="A4316" t="s">
        <v>45</v>
      </c>
      <c r="B4316" t="s">
        <v>8590</v>
      </c>
      <c r="C4316" t="s">
        <v>47</v>
      </c>
      <c r="D4316" t="s">
        <v>68</v>
      </c>
      <c r="E4316" t="s">
        <v>68</v>
      </c>
      <c r="F4316" t="s">
        <v>49</v>
      </c>
      <c r="G4316" t="s">
        <v>102</v>
      </c>
      <c r="H4316" t="s">
        <v>8670</v>
      </c>
      <c r="J4316" t="str">
        <f>HYPERLINK("https://www.youtube.com/watch?v=vryirakqo_4&amp;lc=UgxdPTP2MGbR5n4ykEp4AaABAg.9zBXbFfwoIi9zDAFwinaq0","https://www.youtube.com/watch?v=vryirakqo_4&amp;lc=UgxdPTP2MGbR5n4ykEp4AaABAg.9zBXbFfwoIi9zDAFwinaq0")</f>
        <v>https://www.youtube.com/watch?v=vryirakqo_4&amp;lc=UgxdPTP2MGbR5n4ykEp4AaABAg.9zBXbFfwoIi9zDAFwinaq0</v>
      </c>
      <c r="O4316">
        <v>0</v>
      </c>
      <c r="P4316">
        <v>0</v>
      </c>
      <c r="Q4316">
        <v>0</v>
      </c>
      <c r="S4316">
        <v>0</v>
      </c>
      <c r="T4316">
        <v>0</v>
      </c>
      <c r="U4316">
        <v>0</v>
      </c>
      <c r="W4316" t="s">
        <v>52</v>
      </c>
    </row>
    <row r="4317" spans="1:23" x14ac:dyDescent="0.35">
      <c r="A4317" t="s">
        <v>45</v>
      </c>
      <c r="B4317" t="s">
        <v>8590</v>
      </c>
      <c r="C4317" t="s">
        <v>47</v>
      </c>
      <c r="D4317" t="s">
        <v>68</v>
      </c>
      <c r="E4317" t="s">
        <v>68</v>
      </c>
      <c r="F4317" t="s">
        <v>49</v>
      </c>
      <c r="G4317" t="s">
        <v>102</v>
      </c>
      <c r="H4317" t="s">
        <v>8671</v>
      </c>
      <c r="J4317" t="str">
        <f>HYPERLINK("https://www.youtube.com/watch?v=z58WzdIZIO8&amp;lc=UgxW-P7fjPluKpr7Sm94AaABAg.9zBdJaX56gF9zDAEQA7X2x","https://www.youtube.com/watch?v=z58WzdIZIO8&amp;lc=UgxW-P7fjPluKpr7Sm94AaABAg.9zBdJaX56gF9zDAEQA7X2x")</f>
        <v>https://www.youtube.com/watch?v=z58WzdIZIO8&amp;lc=UgxW-P7fjPluKpr7Sm94AaABAg.9zBdJaX56gF9zDAEQA7X2x</v>
      </c>
      <c r="O4317">
        <v>0</v>
      </c>
      <c r="P4317">
        <v>0</v>
      </c>
      <c r="Q4317">
        <v>0</v>
      </c>
      <c r="S4317">
        <v>0</v>
      </c>
      <c r="T4317">
        <v>0</v>
      </c>
      <c r="U4317">
        <v>0</v>
      </c>
      <c r="W4317" t="s">
        <v>52</v>
      </c>
    </row>
    <row r="4318" spans="1:23" x14ac:dyDescent="0.35">
      <c r="A4318" t="s">
        <v>45</v>
      </c>
      <c r="B4318" t="s">
        <v>8590</v>
      </c>
      <c r="C4318" t="s">
        <v>47</v>
      </c>
      <c r="D4318" t="s">
        <v>68</v>
      </c>
      <c r="E4318" t="s">
        <v>68</v>
      </c>
      <c r="F4318" t="s">
        <v>49</v>
      </c>
      <c r="G4318" t="s">
        <v>293</v>
      </c>
      <c r="H4318" t="s">
        <v>8672</v>
      </c>
      <c r="J4318" t="str">
        <f>HYPERLINK("https://www.youtube.com/watch?v=vryirakqo_4&amp;lc=UgzK6KX3gKquMKfTaGF4AaABAg.9zBl9-0-bxi9zDAAWOsaUb","https://www.youtube.com/watch?v=vryirakqo_4&amp;lc=UgzK6KX3gKquMKfTaGF4AaABAg.9zBl9-0-bxi9zDAAWOsaUb")</f>
        <v>https://www.youtube.com/watch?v=vryirakqo_4&amp;lc=UgzK6KX3gKquMKfTaGF4AaABAg.9zBl9-0-bxi9zDAAWOsaUb</v>
      </c>
      <c r="O4318">
        <v>0</v>
      </c>
      <c r="P4318">
        <v>0</v>
      </c>
      <c r="Q4318">
        <v>0</v>
      </c>
      <c r="S4318">
        <v>0</v>
      </c>
      <c r="T4318">
        <v>0</v>
      </c>
      <c r="U4318">
        <v>0</v>
      </c>
      <c r="W4318" t="s">
        <v>52</v>
      </c>
    </row>
    <row r="4319" spans="1:23" x14ac:dyDescent="0.35">
      <c r="A4319" t="s">
        <v>45</v>
      </c>
      <c r="B4319" t="s">
        <v>8590</v>
      </c>
      <c r="C4319" t="s">
        <v>93</v>
      </c>
      <c r="D4319" t="s">
        <v>8372</v>
      </c>
      <c r="E4319" t="s">
        <v>8373</v>
      </c>
      <c r="F4319" t="s">
        <v>49</v>
      </c>
      <c r="G4319" t="s">
        <v>8673</v>
      </c>
      <c r="H4319" t="s">
        <v>8674</v>
      </c>
      <c r="J4319" t="str">
        <f>HYPERLINK("https://twitter.com/YOGENDRA266481/status/1743482223750418463","https://twitter.com/YOGENDRA266481/status/1743482223750418463")</f>
        <v>https://twitter.com/YOGENDRA266481/status/1743482223750418463</v>
      </c>
      <c r="K4319" t="s">
        <v>67</v>
      </c>
      <c r="O4319">
        <v>0</v>
      </c>
      <c r="P4319">
        <v>0</v>
      </c>
      <c r="Q4319">
        <v>0</v>
      </c>
      <c r="R4319" t="s">
        <v>8376</v>
      </c>
      <c r="S4319">
        <v>0</v>
      </c>
      <c r="T4319">
        <v>0</v>
      </c>
      <c r="U4319">
        <v>0</v>
      </c>
      <c r="W4319" t="s">
        <v>433</v>
      </c>
    </row>
    <row r="4320" spans="1:23" x14ac:dyDescent="0.35">
      <c r="A4320" t="s">
        <v>45</v>
      </c>
      <c r="B4320" t="s">
        <v>8590</v>
      </c>
      <c r="C4320" t="s">
        <v>47</v>
      </c>
      <c r="D4320" t="s">
        <v>68</v>
      </c>
      <c r="E4320" t="s">
        <v>68</v>
      </c>
      <c r="F4320" t="s">
        <v>49</v>
      </c>
      <c r="G4320" t="s">
        <v>102</v>
      </c>
      <c r="H4320" t="s">
        <v>8675</v>
      </c>
      <c r="J4320" t="str">
        <f>HYPERLINK("https://www.youtube.com/watch?v=fi0KMSdJZZY&amp;lc=Ugwp0qc9Ons2QX4rVlh4AaABAg.9zB4SP8diBT9zD4BFnRKNf","https://www.youtube.com/watch?v=fi0KMSdJZZY&amp;lc=Ugwp0qc9Ons2QX4rVlh4AaABAg.9zB4SP8diBT9zD4BFnRKNf")</f>
        <v>https://www.youtube.com/watch?v=fi0KMSdJZZY&amp;lc=Ugwp0qc9Ons2QX4rVlh4AaABAg.9zB4SP8diBT9zD4BFnRKNf</v>
      </c>
      <c r="O4320">
        <v>0</v>
      </c>
      <c r="P4320">
        <v>0</v>
      </c>
      <c r="Q4320">
        <v>0</v>
      </c>
      <c r="S4320">
        <v>0</v>
      </c>
      <c r="T4320">
        <v>0</v>
      </c>
      <c r="U4320">
        <v>0</v>
      </c>
      <c r="W4320" t="s">
        <v>52</v>
      </c>
    </row>
    <row r="4321" spans="1:23" x14ac:dyDescent="0.35">
      <c r="A4321" t="s">
        <v>45</v>
      </c>
      <c r="B4321" t="s">
        <v>8590</v>
      </c>
      <c r="C4321" t="s">
        <v>47</v>
      </c>
      <c r="D4321" t="s">
        <v>68</v>
      </c>
      <c r="E4321" t="s">
        <v>68</v>
      </c>
      <c r="F4321" t="s">
        <v>49</v>
      </c>
      <c r="G4321" t="s">
        <v>8676</v>
      </c>
      <c r="H4321" t="s">
        <v>8677</v>
      </c>
      <c r="J4321" t="str">
        <f>HYPERLINK("https://www.youtube.com/watch?v=5DADCSRiE3A&amp;lc=UgwjY-71OpKDqKPGDQ94AaABAg.9zAToExNaun9zD40W80-A0","https://www.youtube.com/watch?v=5DADCSRiE3A&amp;lc=UgwjY-71OpKDqKPGDQ94AaABAg.9zAToExNaun9zD40W80-A0")</f>
        <v>https://www.youtube.com/watch?v=5DADCSRiE3A&amp;lc=UgwjY-71OpKDqKPGDQ94AaABAg.9zAToExNaun9zD40W80-A0</v>
      </c>
      <c r="O4321">
        <v>0</v>
      </c>
      <c r="P4321">
        <v>0</v>
      </c>
      <c r="Q4321">
        <v>0</v>
      </c>
      <c r="S4321">
        <v>0</v>
      </c>
      <c r="T4321">
        <v>0</v>
      </c>
      <c r="U4321">
        <v>0</v>
      </c>
      <c r="W4321" t="s">
        <v>52</v>
      </c>
    </row>
    <row r="4322" spans="1:23" x14ac:dyDescent="0.35">
      <c r="A4322" t="s">
        <v>45</v>
      </c>
      <c r="B4322" t="s">
        <v>8590</v>
      </c>
      <c r="C4322" t="s">
        <v>47</v>
      </c>
      <c r="D4322" t="s">
        <v>8678</v>
      </c>
      <c r="E4322" t="s">
        <v>8678</v>
      </c>
      <c r="F4322" t="s">
        <v>49</v>
      </c>
      <c r="G4322" t="s">
        <v>8679</v>
      </c>
      <c r="H4322" t="s">
        <v>8680</v>
      </c>
      <c r="J4322" t="str">
        <f>HYPERLINK("https://www.youtube.com/watch?v=U7QcHcr47cw&amp;lc=UgwLRgI63wrUOG_9lwd4AaABAg","https://www.youtube.com/watch?v=U7QcHcr47cw&amp;lc=UgwLRgI63wrUOG_9lwd4AaABAg")</f>
        <v>https://www.youtube.com/watch?v=U7QcHcr47cw&amp;lc=UgwLRgI63wrUOG_9lwd4AaABAg</v>
      </c>
      <c r="O4322">
        <v>0</v>
      </c>
      <c r="P4322">
        <v>0</v>
      </c>
      <c r="Q4322">
        <v>0</v>
      </c>
      <c r="S4322">
        <v>0</v>
      </c>
      <c r="T4322">
        <v>0</v>
      </c>
      <c r="U4322">
        <v>0</v>
      </c>
      <c r="W4322" t="s">
        <v>52</v>
      </c>
    </row>
    <row r="4323" spans="1:23" x14ac:dyDescent="0.35">
      <c r="A4323" t="s">
        <v>45</v>
      </c>
      <c r="B4323" t="s">
        <v>8590</v>
      </c>
      <c r="C4323" t="s">
        <v>47</v>
      </c>
      <c r="D4323" t="s">
        <v>6009</v>
      </c>
      <c r="E4323" t="s">
        <v>6009</v>
      </c>
      <c r="F4323" t="s">
        <v>49</v>
      </c>
      <c r="G4323" t="s">
        <v>8681</v>
      </c>
      <c r="H4323" t="s">
        <v>8682</v>
      </c>
      <c r="J4323" t="str">
        <f>HYPERLINK("https://www.youtube.com/watch?v=Un06w8WhYRg&amp;lc=UgxXG55AdhvDNVKOWYx4AaABAg.9zCwUrdXv_t9zD30cE4RrH","https://www.youtube.com/watch?v=Un06w8WhYRg&amp;lc=UgxXG55AdhvDNVKOWYx4AaABAg.9zCwUrdXv_t9zD30cE4RrH")</f>
        <v>https://www.youtube.com/watch?v=Un06w8WhYRg&amp;lc=UgxXG55AdhvDNVKOWYx4AaABAg.9zCwUrdXv_t9zD30cE4RrH</v>
      </c>
      <c r="O4323">
        <v>0</v>
      </c>
      <c r="P4323">
        <v>0</v>
      </c>
      <c r="Q4323">
        <v>0</v>
      </c>
      <c r="S4323">
        <v>0</v>
      </c>
      <c r="T4323">
        <v>0</v>
      </c>
      <c r="U4323">
        <v>0</v>
      </c>
      <c r="W4323" t="s">
        <v>52</v>
      </c>
    </row>
    <row r="4324" spans="1:23" x14ac:dyDescent="0.35">
      <c r="A4324" t="s">
        <v>45</v>
      </c>
      <c r="B4324" t="s">
        <v>8590</v>
      </c>
      <c r="C4324" t="s">
        <v>47</v>
      </c>
      <c r="D4324" t="s">
        <v>68</v>
      </c>
      <c r="E4324" t="s">
        <v>68</v>
      </c>
      <c r="F4324" t="s">
        <v>49</v>
      </c>
      <c r="G4324" t="s">
        <v>102</v>
      </c>
      <c r="H4324" t="s">
        <v>8683</v>
      </c>
      <c r="J4324" t="str">
        <f>HYPERLINK("https://www.youtube.com/watch?v=Un06w8WhYRg&amp;lc=UgxXG55AdhvDNVKOWYx4AaABAg.9zCwUrdXv_t9zD2giOJvIv","https://www.youtube.com/watch?v=Un06w8WhYRg&amp;lc=UgxXG55AdhvDNVKOWYx4AaABAg.9zCwUrdXv_t9zD2giOJvIv")</f>
        <v>https://www.youtube.com/watch?v=Un06w8WhYRg&amp;lc=UgxXG55AdhvDNVKOWYx4AaABAg.9zCwUrdXv_t9zD2giOJvIv</v>
      </c>
      <c r="O4324">
        <v>0</v>
      </c>
      <c r="P4324">
        <v>0</v>
      </c>
      <c r="Q4324">
        <v>0</v>
      </c>
      <c r="S4324">
        <v>0</v>
      </c>
      <c r="T4324">
        <v>0</v>
      </c>
      <c r="U4324">
        <v>0</v>
      </c>
      <c r="W4324" t="s">
        <v>52</v>
      </c>
    </row>
    <row r="4325" spans="1:23" x14ac:dyDescent="0.35">
      <c r="A4325" t="s">
        <v>45</v>
      </c>
      <c r="B4325" t="s">
        <v>8590</v>
      </c>
      <c r="C4325" t="s">
        <v>93</v>
      </c>
      <c r="D4325" t="s">
        <v>8684</v>
      </c>
      <c r="E4325" t="s">
        <v>8685</v>
      </c>
      <c r="F4325" t="s">
        <v>49</v>
      </c>
      <c r="G4325" t="s">
        <v>8686</v>
      </c>
      <c r="H4325" t="s">
        <v>8687</v>
      </c>
      <c r="J4325" t="str">
        <f>HYPERLINK("https://twitter.com/ShyamjeeJha/status/1743464053245145202","https://twitter.com/ShyamjeeJha/status/1743464053245145202")</f>
        <v>https://twitter.com/ShyamjeeJha/status/1743464053245145202</v>
      </c>
      <c r="K4325" t="s">
        <v>67</v>
      </c>
      <c r="O4325">
        <v>0</v>
      </c>
      <c r="P4325">
        <v>0</v>
      </c>
      <c r="Q4325">
        <v>146</v>
      </c>
      <c r="R4325" t="s">
        <v>8492</v>
      </c>
      <c r="S4325">
        <v>0</v>
      </c>
      <c r="T4325">
        <v>0</v>
      </c>
      <c r="U4325">
        <v>0</v>
      </c>
      <c r="W4325" t="s">
        <v>433</v>
      </c>
    </row>
    <row r="4326" spans="1:23" x14ac:dyDescent="0.35">
      <c r="A4326" t="s">
        <v>45</v>
      </c>
      <c r="B4326" t="s">
        <v>8590</v>
      </c>
      <c r="C4326" t="s">
        <v>47</v>
      </c>
      <c r="D4326" t="s">
        <v>6418</v>
      </c>
      <c r="E4326" t="s">
        <v>6418</v>
      </c>
      <c r="F4326" t="s">
        <v>193</v>
      </c>
      <c r="G4326" t="s">
        <v>8688</v>
      </c>
      <c r="H4326" t="s">
        <v>8689</v>
      </c>
      <c r="J4326" t="str">
        <f>HYPERLINK("https://www.youtube.com/watch?v=Q8j5CsTIZeQ","https://www.youtube.com/watch?v=Q8j5CsTIZeQ")</f>
        <v>https://www.youtube.com/watch?v=Q8j5CsTIZeQ</v>
      </c>
      <c r="O4326">
        <v>0</v>
      </c>
      <c r="P4326">
        <v>0</v>
      </c>
      <c r="Q4326">
        <v>0</v>
      </c>
      <c r="S4326">
        <v>0</v>
      </c>
      <c r="T4326">
        <v>0</v>
      </c>
      <c r="U4326">
        <v>0</v>
      </c>
      <c r="W4326" t="s">
        <v>346</v>
      </c>
    </row>
    <row r="4327" spans="1:23" x14ac:dyDescent="0.35">
      <c r="A4327" t="s">
        <v>45</v>
      </c>
      <c r="B4327" t="s">
        <v>8590</v>
      </c>
      <c r="C4327" t="s">
        <v>47</v>
      </c>
      <c r="D4327" t="s">
        <v>6009</v>
      </c>
      <c r="E4327" t="s">
        <v>6009</v>
      </c>
      <c r="F4327" t="s">
        <v>49</v>
      </c>
      <c r="G4327" t="s">
        <v>8690</v>
      </c>
      <c r="H4327" t="s">
        <v>8691</v>
      </c>
      <c r="J4327" t="str">
        <f>HYPERLINK("https://www.youtube.com/watch?v=Un06w8WhYRg&amp;lc=UgxXG55AdhvDNVKOWYx4AaABAg","https://www.youtube.com/watch?v=Un06w8WhYRg&amp;lc=UgxXG55AdhvDNVKOWYx4AaABAg")</f>
        <v>https://www.youtube.com/watch?v=Un06w8WhYRg&amp;lc=UgxXG55AdhvDNVKOWYx4AaABAg</v>
      </c>
      <c r="O4327">
        <v>0</v>
      </c>
      <c r="P4327">
        <v>0</v>
      </c>
      <c r="Q4327">
        <v>0</v>
      </c>
      <c r="S4327">
        <v>0</v>
      </c>
      <c r="T4327">
        <v>0</v>
      </c>
      <c r="U4327">
        <v>0</v>
      </c>
      <c r="W4327" t="s">
        <v>52</v>
      </c>
    </row>
    <row r="4328" spans="1:23" x14ac:dyDescent="0.35">
      <c r="A4328" t="s">
        <v>45</v>
      </c>
      <c r="B4328" t="s">
        <v>8590</v>
      </c>
      <c r="C4328" t="s">
        <v>47</v>
      </c>
      <c r="D4328" t="s">
        <v>6009</v>
      </c>
      <c r="E4328" t="s">
        <v>6009</v>
      </c>
      <c r="F4328" t="s">
        <v>49</v>
      </c>
      <c r="G4328" t="s">
        <v>8692</v>
      </c>
      <c r="H4328" t="s">
        <v>8693</v>
      </c>
      <c r="J4328" t="str">
        <f>HYPERLINK("https://www.youtube.com/watch?v=Un06w8WhYRg&amp;lc=UgxT3j9EYjoKYrLNGlt4AaABAg","https://www.youtube.com/watch?v=Un06w8WhYRg&amp;lc=UgxT3j9EYjoKYrLNGlt4AaABAg")</f>
        <v>https://www.youtube.com/watch?v=Un06w8WhYRg&amp;lc=UgxT3j9EYjoKYrLNGlt4AaABAg</v>
      </c>
      <c r="O4328">
        <v>0</v>
      </c>
      <c r="P4328">
        <v>0</v>
      </c>
      <c r="Q4328">
        <v>0</v>
      </c>
      <c r="S4328">
        <v>0</v>
      </c>
      <c r="T4328">
        <v>0</v>
      </c>
      <c r="U4328">
        <v>0</v>
      </c>
      <c r="W4328" t="s">
        <v>52</v>
      </c>
    </row>
    <row r="4329" spans="1:23" x14ac:dyDescent="0.35">
      <c r="A4329" t="s">
        <v>45</v>
      </c>
      <c r="B4329" t="s">
        <v>8590</v>
      </c>
      <c r="C4329" t="s">
        <v>47</v>
      </c>
      <c r="D4329" t="s">
        <v>8694</v>
      </c>
      <c r="E4329" t="s">
        <v>8694</v>
      </c>
      <c r="F4329" t="s">
        <v>54</v>
      </c>
      <c r="G4329" t="s">
        <v>8695</v>
      </c>
      <c r="H4329" t="s">
        <v>8696</v>
      </c>
      <c r="J4329" t="str">
        <f>HYPERLINK("https://www.youtube.com/watch?v=vryirakqo_4&amp;lc=Ugxi_seipfkpTzUKQ0V4AaABAg","https://www.youtube.com/watch?v=vryirakqo_4&amp;lc=Ugxi_seipfkpTzUKQ0V4AaABAg")</f>
        <v>https://www.youtube.com/watch?v=vryirakqo_4&amp;lc=Ugxi_seipfkpTzUKQ0V4AaABAg</v>
      </c>
      <c r="O4329">
        <v>0</v>
      </c>
      <c r="P4329">
        <v>0</v>
      </c>
      <c r="Q4329">
        <v>0</v>
      </c>
      <c r="S4329">
        <v>0</v>
      </c>
      <c r="T4329">
        <v>0</v>
      </c>
      <c r="U4329">
        <v>0</v>
      </c>
      <c r="W4329" t="s">
        <v>52</v>
      </c>
    </row>
    <row r="4330" spans="1:23" x14ac:dyDescent="0.35">
      <c r="A4330" t="s">
        <v>45</v>
      </c>
      <c r="B4330" t="s">
        <v>8697</v>
      </c>
      <c r="C4330" t="s">
        <v>47</v>
      </c>
      <c r="D4330" t="s">
        <v>8698</v>
      </c>
      <c r="E4330" t="s">
        <v>8698</v>
      </c>
      <c r="F4330" t="s">
        <v>49</v>
      </c>
      <c r="G4330" t="s">
        <v>8699</v>
      </c>
      <c r="H4330" t="s">
        <v>8700</v>
      </c>
      <c r="J4330" t="str">
        <f>HYPERLINK("https://www.youtube.com/watch?v=vryirakqo_4&amp;lc=UgzDnAYt1zCsrE1SDY54AaABAg","https://www.youtube.com/watch?v=vryirakqo_4&amp;lc=UgzDnAYt1zCsrE1SDY54AaABAg")</f>
        <v>https://www.youtube.com/watch?v=vryirakqo_4&amp;lc=UgzDnAYt1zCsrE1SDY54AaABAg</v>
      </c>
      <c r="O4330">
        <v>0</v>
      </c>
      <c r="P4330">
        <v>0</v>
      </c>
      <c r="Q4330">
        <v>0</v>
      </c>
      <c r="S4330">
        <v>0</v>
      </c>
      <c r="T4330">
        <v>0</v>
      </c>
      <c r="U4330">
        <v>0</v>
      </c>
      <c r="W4330" t="s">
        <v>52</v>
      </c>
    </row>
    <row r="4331" spans="1:23" x14ac:dyDescent="0.35">
      <c r="A4331" t="s">
        <v>45</v>
      </c>
      <c r="B4331" t="s">
        <v>8697</v>
      </c>
      <c r="C4331" t="s">
        <v>47</v>
      </c>
      <c r="D4331" t="s">
        <v>8701</v>
      </c>
      <c r="E4331" t="s">
        <v>8701</v>
      </c>
      <c r="F4331" t="s">
        <v>54</v>
      </c>
      <c r="G4331" t="s">
        <v>8702</v>
      </c>
      <c r="H4331" t="s">
        <v>8703</v>
      </c>
      <c r="J4331" t="str">
        <f>HYPERLINK("https://www.youtube.com/watch?v=vryirakqo_4&amp;lc=Ugz6D1fPmF6xuGcB-894AaABAg","https://www.youtube.com/watch?v=vryirakqo_4&amp;lc=Ugz6D1fPmF6xuGcB-894AaABAg")</f>
        <v>https://www.youtube.com/watch?v=vryirakqo_4&amp;lc=Ugz6D1fPmF6xuGcB-894AaABAg</v>
      </c>
      <c r="O4331">
        <v>0</v>
      </c>
      <c r="P4331">
        <v>0</v>
      </c>
      <c r="Q4331">
        <v>0</v>
      </c>
      <c r="S4331">
        <v>0</v>
      </c>
      <c r="T4331">
        <v>0</v>
      </c>
      <c r="U4331">
        <v>0</v>
      </c>
      <c r="W4331" t="s">
        <v>52</v>
      </c>
    </row>
    <row r="4332" spans="1:23" x14ac:dyDescent="0.35">
      <c r="A4332" t="s">
        <v>45</v>
      </c>
      <c r="B4332" t="s">
        <v>8697</v>
      </c>
      <c r="C4332" t="s">
        <v>93</v>
      </c>
      <c r="D4332" t="s">
        <v>8704</v>
      </c>
      <c r="E4332" t="s">
        <v>8705</v>
      </c>
      <c r="F4332" t="s">
        <v>49</v>
      </c>
      <c r="G4332" t="s">
        <v>8706</v>
      </c>
      <c r="H4332" t="s">
        <v>8707</v>
      </c>
      <c r="J4332" t="str">
        <f>HYPERLINK("https://twitter.com/PayNearby_Team/status/1743296930590171165","https://twitter.com/PayNearby_Team/status/1743296930590171165")</f>
        <v>https://twitter.com/PayNearby_Team/status/1743296930590171165</v>
      </c>
      <c r="O4332">
        <v>0</v>
      </c>
      <c r="P4332">
        <v>0</v>
      </c>
      <c r="Q4332">
        <v>9</v>
      </c>
      <c r="S4332">
        <v>0</v>
      </c>
      <c r="T4332">
        <v>0</v>
      </c>
      <c r="U4332">
        <v>0</v>
      </c>
      <c r="W4332" t="s">
        <v>99</v>
      </c>
    </row>
    <row r="4333" spans="1:23" x14ac:dyDescent="0.35">
      <c r="A4333" t="s">
        <v>45</v>
      </c>
      <c r="B4333" t="s">
        <v>8697</v>
      </c>
      <c r="C4333" t="s">
        <v>47</v>
      </c>
      <c r="D4333" t="s">
        <v>8561</v>
      </c>
      <c r="E4333" t="s">
        <v>8561</v>
      </c>
      <c r="F4333" t="s">
        <v>49</v>
      </c>
      <c r="G4333" t="s">
        <v>8708</v>
      </c>
      <c r="H4333" t="s">
        <v>8709</v>
      </c>
      <c r="J4333" t="str">
        <f>HYPERLINK("https://www.youtube.com/watch?v=KX9uPX0L3KE","https://www.youtube.com/watch?v=KX9uPX0L3KE")</f>
        <v>https://www.youtube.com/watch?v=KX9uPX0L3KE</v>
      </c>
      <c r="O4333">
        <v>0</v>
      </c>
      <c r="P4333">
        <v>0</v>
      </c>
      <c r="Q4333">
        <v>0</v>
      </c>
      <c r="S4333">
        <v>0</v>
      </c>
      <c r="T4333">
        <v>0</v>
      </c>
      <c r="U4333">
        <v>0</v>
      </c>
      <c r="W4333" t="s">
        <v>346</v>
      </c>
    </row>
    <row r="4334" spans="1:23" x14ac:dyDescent="0.35">
      <c r="A4334" t="s">
        <v>45</v>
      </c>
      <c r="B4334" t="s">
        <v>8697</v>
      </c>
      <c r="C4334" t="s">
        <v>47</v>
      </c>
      <c r="D4334" t="s">
        <v>8710</v>
      </c>
      <c r="E4334" t="s">
        <v>8710</v>
      </c>
      <c r="F4334" t="s">
        <v>49</v>
      </c>
      <c r="G4334" t="s">
        <v>8711</v>
      </c>
      <c r="H4334" t="s">
        <v>8712</v>
      </c>
      <c r="J4334" t="str">
        <f>HYPERLINK("https://www.youtube.com/watch?v=vryirakqo_4&amp;lc=Ugwe-cp0gcyD5iL7Kix4AaABAg","https://www.youtube.com/watch?v=vryirakqo_4&amp;lc=Ugwe-cp0gcyD5iL7Kix4AaABAg")</f>
        <v>https://www.youtube.com/watch?v=vryirakqo_4&amp;lc=Ugwe-cp0gcyD5iL7Kix4AaABAg</v>
      </c>
      <c r="O4334">
        <v>0</v>
      </c>
      <c r="P4334">
        <v>0</v>
      </c>
      <c r="Q4334">
        <v>0</v>
      </c>
      <c r="S4334">
        <v>0</v>
      </c>
      <c r="T4334">
        <v>0</v>
      </c>
      <c r="U4334">
        <v>0</v>
      </c>
      <c r="W4334" t="s">
        <v>52</v>
      </c>
    </row>
    <row r="4335" spans="1:23" x14ac:dyDescent="0.35">
      <c r="A4335" t="s">
        <v>45</v>
      </c>
      <c r="B4335" t="s">
        <v>8697</v>
      </c>
      <c r="C4335" t="s">
        <v>93</v>
      </c>
      <c r="D4335" t="s">
        <v>8713</v>
      </c>
      <c r="E4335" t="s">
        <v>8714</v>
      </c>
      <c r="F4335" t="s">
        <v>193</v>
      </c>
      <c r="G4335" t="s">
        <v>8715</v>
      </c>
      <c r="H4335" t="s">
        <v>8716</v>
      </c>
      <c r="J4335" t="str">
        <f>HYPERLINK("https://twitter.com/Vicky_00802/status/1743291620379025696","https://twitter.com/Vicky_00802/status/1743291620379025696")</f>
        <v>https://twitter.com/Vicky_00802/status/1743291620379025696</v>
      </c>
      <c r="K4335" t="s">
        <v>67</v>
      </c>
      <c r="O4335">
        <v>0</v>
      </c>
      <c r="P4335">
        <v>0</v>
      </c>
      <c r="Q4335">
        <v>0</v>
      </c>
      <c r="S4335">
        <v>0</v>
      </c>
      <c r="T4335">
        <v>0</v>
      </c>
      <c r="U4335">
        <v>0</v>
      </c>
      <c r="W4335" t="s">
        <v>99</v>
      </c>
    </row>
    <row r="4336" spans="1:23" x14ac:dyDescent="0.35">
      <c r="A4336" t="s">
        <v>45</v>
      </c>
      <c r="B4336" t="s">
        <v>8697</v>
      </c>
      <c r="C4336" t="s">
        <v>47</v>
      </c>
      <c r="D4336" t="s">
        <v>8483</v>
      </c>
      <c r="E4336" t="s">
        <v>8483</v>
      </c>
      <c r="F4336" t="s">
        <v>49</v>
      </c>
      <c r="G4336" t="s">
        <v>8717</v>
      </c>
      <c r="H4336" t="s">
        <v>8718</v>
      </c>
      <c r="J4336" t="str">
        <f>HYPERLINK("https://www.youtube.com/watch?v=vryirakqo_4&amp;lc=UgzK6KX3gKquMKfTaGF4AaABAg.9zBl9-0-bxi9zBlO8Ks_ce","https://www.youtube.com/watch?v=vryirakqo_4&amp;lc=UgzK6KX3gKquMKfTaGF4AaABAg.9zBl9-0-bxi9zBlO8Ks_ce")</f>
        <v>https://www.youtube.com/watch?v=vryirakqo_4&amp;lc=UgzK6KX3gKquMKfTaGF4AaABAg.9zBl9-0-bxi9zBlO8Ks_ce</v>
      </c>
      <c r="O4336">
        <v>0</v>
      </c>
      <c r="P4336">
        <v>0</v>
      </c>
      <c r="Q4336">
        <v>0</v>
      </c>
      <c r="S4336">
        <v>0</v>
      </c>
      <c r="T4336">
        <v>0</v>
      </c>
      <c r="U4336">
        <v>0</v>
      </c>
      <c r="W4336" t="s">
        <v>52</v>
      </c>
    </row>
    <row r="4337" spans="1:23" x14ac:dyDescent="0.35">
      <c r="A4337" t="s">
        <v>45</v>
      </c>
      <c r="B4337" t="s">
        <v>8697</v>
      </c>
      <c r="C4337" t="s">
        <v>47</v>
      </c>
      <c r="D4337" t="s">
        <v>8483</v>
      </c>
      <c r="E4337" t="s">
        <v>8483</v>
      </c>
      <c r="F4337" t="s">
        <v>49</v>
      </c>
      <c r="G4337" t="s">
        <v>8719</v>
      </c>
      <c r="H4337" t="s">
        <v>8720</v>
      </c>
      <c r="J4337" t="str">
        <f>HYPERLINK("https://www.youtube.com/watch?v=vryirakqo_4&amp;lc=UgzK6KX3gKquMKfTaGF4AaABAg","https://www.youtube.com/watch?v=vryirakqo_4&amp;lc=UgzK6KX3gKquMKfTaGF4AaABAg")</f>
        <v>https://www.youtube.com/watch?v=vryirakqo_4&amp;lc=UgzK6KX3gKquMKfTaGF4AaABAg</v>
      </c>
      <c r="O4337">
        <v>0</v>
      </c>
      <c r="P4337">
        <v>0</v>
      </c>
      <c r="Q4337">
        <v>0</v>
      </c>
      <c r="S4337">
        <v>0</v>
      </c>
      <c r="T4337">
        <v>0</v>
      </c>
      <c r="U4337">
        <v>0</v>
      </c>
      <c r="W4337" t="s">
        <v>52</v>
      </c>
    </row>
    <row r="4338" spans="1:23" x14ac:dyDescent="0.35">
      <c r="A4338" t="s">
        <v>45</v>
      </c>
      <c r="B4338" t="s">
        <v>8697</v>
      </c>
      <c r="C4338" t="s">
        <v>47</v>
      </c>
      <c r="D4338" t="s">
        <v>6401</v>
      </c>
      <c r="E4338" t="s">
        <v>6401</v>
      </c>
      <c r="F4338" t="s">
        <v>49</v>
      </c>
      <c r="G4338" t="s">
        <v>8721</v>
      </c>
      <c r="H4338" t="s">
        <v>8722</v>
      </c>
      <c r="J4338" t="str">
        <f>HYPERLINK("https://www.youtube.com/watch?v=z58WzdIZIO8&amp;lc=UgxW-P7fjPluKpr7Sm94AaABAg","https://www.youtube.com/watch?v=z58WzdIZIO8&amp;lc=UgxW-P7fjPluKpr7Sm94AaABAg")</f>
        <v>https://www.youtube.com/watch?v=z58WzdIZIO8&amp;lc=UgxW-P7fjPluKpr7Sm94AaABAg</v>
      </c>
      <c r="O4338">
        <v>0</v>
      </c>
      <c r="P4338">
        <v>0</v>
      </c>
      <c r="Q4338">
        <v>0</v>
      </c>
      <c r="S4338">
        <v>0</v>
      </c>
      <c r="T4338">
        <v>0</v>
      </c>
      <c r="U4338">
        <v>0</v>
      </c>
      <c r="W4338" t="s">
        <v>52</v>
      </c>
    </row>
    <row r="4339" spans="1:23" x14ac:dyDescent="0.35">
      <c r="A4339" t="s">
        <v>45</v>
      </c>
      <c r="B4339" t="s">
        <v>8697</v>
      </c>
      <c r="C4339" t="s">
        <v>93</v>
      </c>
      <c r="D4339" t="s">
        <v>7417</v>
      </c>
      <c r="E4339" t="s">
        <v>7418</v>
      </c>
      <c r="F4339" t="s">
        <v>49</v>
      </c>
      <c r="G4339" t="s">
        <v>8723</v>
      </c>
      <c r="H4339" t="s">
        <v>8724</v>
      </c>
      <c r="J4339" t="str">
        <f>HYPERLINK("https://twitter.com/Shobhitvar97831/status/1743267550170083338","https://twitter.com/Shobhitvar97831/status/1743267550170083338")</f>
        <v>https://twitter.com/Shobhitvar97831/status/1743267550170083338</v>
      </c>
      <c r="K4339" t="s">
        <v>67</v>
      </c>
      <c r="O4339">
        <v>0</v>
      </c>
      <c r="P4339">
        <v>0</v>
      </c>
      <c r="Q4339">
        <v>1</v>
      </c>
      <c r="S4339">
        <v>0</v>
      </c>
      <c r="T4339">
        <v>0</v>
      </c>
      <c r="U4339">
        <v>0</v>
      </c>
      <c r="W4339" t="s">
        <v>99</v>
      </c>
    </row>
    <row r="4340" spans="1:23" x14ac:dyDescent="0.35">
      <c r="A4340" t="s">
        <v>45</v>
      </c>
      <c r="B4340" t="s">
        <v>8697</v>
      </c>
      <c r="C4340" t="s">
        <v>93</v>
      </c>
      <c r="D4340" t="s">
        <v>94</v>
      </c>
      <c r="E4340" t="s">
        <v>45</v>
      </c>
      <c r="F4340" t="s">
        <v>49</v>
      </c>
      <c r="G4340" t="s">
        <v>8725</v>
      </c>
      <c r="H4340" t="s">
        <v>8726</v>
      </c>
      <c r="J4340" t="str">
        <f>HYPERLINK("https://twitter.com/SpiceMoneyIndia/status/1743253441621708956","https://twitter.com/SpiceMoneyIndia/status/1743253441621708956")</f>
        <v>https://twitter.com/SpiceMoneyIndia/status/1743253441621708956</v>
      </c>
      <c r="K4340" t="s">
        <v>67</v>
      </c>
      <c r="O4340">
        <v>0</v>
      </c>
      <c r="P4340">
        <v>0</v>
      </c>
      <c r="Q4340">
        <v>5981</v>
      </c>
      <c r="R4340" t="s">
        <v>97</v>
      </c>
      <c r="S4340">
        <v>0</v>
      </c>
      <c r="T4340">
        <v>0</v>
      </c>
      <c r="U4340">
        <v>0</v>
      </c>
      <c r="V4340" t="s">
        <v>98</v>
      </c>
      <c r="W4340" t="s">
        <v>99</v>
      </c>
    </row>
    <row r="4341" spans="1:23" x14ac:dyDescent="0.35">
      <c r="A4341" t="s">
        <v>45</v>
      </c>
      <c r="B4341" t="s">
        <v>8697</v>
      </c>
      <c r="C4341" t="s">
        <v>47</v>
      </c>
      <c r="D4341" t="s">
        <v>8727</v>
      </c>
      <c r="E4341" t="s">
        <v>8727</v>
      </c>
      <c r="F4341" t="s">
        <v>49</v>
      </c>
      <c r="G4341" t="s">
        <v>8728</v>
      </c>
      <c r="H4341" t="s">
        <v>8729</v>
      </c>
      <c r="J4341" t="str">
        <f>HYPERLINK("https://www.youtube.com/watch?v=vryirakqo_4&amp;lc=UgxdPTP2MGbR5n4ykEp4AaABAg","https://www.youtube.com/watch?v=vryirakqo_4&amp;lc=UgxdPTP2MGbR5n4ykEp4AaABAg")</f>
        <v>https://www.youtube.com/watch?v=vryirakqo_4&amp;lc=UgxdPTP2MGbR5n4ykEp4AaABAg</v>
      </c>
      <c r="O4341">
        <v>0</v>
      </c>
      <c r="P4341">
        <v>0</v>
      </c>
      <c r="Q4341">
        <v>0</v>
      </c>
      <c r="S4341">
        <v>0</v>
      </c>
      <c r="T4341">
        <v>0</v>
      </c>
      <c r="U4341">
        <v>0</v>
      </c>
      <c r="W4341" t="s">
        <v>52</v>
      </c>
    </row>
    <row r="4342" spans="1:23" x14ac:dyDescent="0.35">
      <c r="A4342" t="s">
        <v>45</v>
      </c>
      <c r="B4342" t="s">
        <v>8697</v>
      </c>
      <c r="C4342" t="s">
        <v>93</v>
      </c>
      <c r="D4342" t="s">
        <v>94</v>
      </c>
      <c r="E4342" t="s">
        <v>45</v>
      </c>
      <c r="F4342" t="s">
        <v>49</v>
      </c>
      <c r="G4342" t="s">
        <v>8730</v>
      </c>
      <c r="H4342" t="s">
        <v>8731</v>
      </c>
      <c r="J4342" t="str">
        <f>HYPERLINK("https://twitter.com/SpiceMoneyIndia/status/1743250422595297425","https://twitter.com/SpiceMoneyIndia/status/1743250422595297425")</f>
        <v>https://twitter.com/SpiceMoneyIndia/status/1743250422595297425</v>
      </c>
      <c r="K4342" t="s">
        <v>67</v>
      </c>
      <c r="O4342">
        <v>0</v>
      </c>
      <c r="P4342">
        <v>0</v>
      </c>
      <c r="Q4342">
        <v>5981</v>
      </c>
      <c r="R4342" t="s">
        <v>97</v>
      </c>
      <c r="S4342">
        <v>0</v>
      </c>
      <c r="T4342">
        <v>0</v>
      </c>
      <c r="U4342">
        <v>0</v>
      </c>
      <c r="V4342" t="s">
        <v>98</v>
      </c>
      <c r="W4342" t="s">
        <v>99</v>
      </c>
    </row>
    <row r="4343" spans="1:23" x14ac:dyDescent="0.35">
      <c r="A4343" t="s">
        <v>45</v>
      </c>
      <c r="B4343" t="s">
        <v>8697</v>
      </c>
      <c r="C4343" t="s">
        <v>93</v>
      </c>
      <c r="D4343" t="s">
        <v>94</v>
      </c>
      <c r="E4343" t="s">
        <v>45</v>
      </c>
      <c r="F4343" t="s">
        <v>49</v>
      </c>
      <c r="G4343" t="s">
        <v>8732</v>
      </c>
      <c r="H4343" t="s">
        <v>8733</v>
      </c>
      <c r="J4343" t="str">
        <f>HYPERLINK("https://twitter.com/SpiceMoneyIndia/status/1743247334492774767","https://twitter.com/SpiceMoneyIndia/status/1743247334492774767")</f>
        <v>https://twitter.com/SpiceMoneyIndia/status/1743247334492774767</v>
      </c>
      <c r="K4343" t="s">
        <v>67</v>
      </c>
      <c r="O4343">
        <v>0</v>
      </c>
      <c r="P4343">
        <v>0</v>
      </c>
      <c r="Q4343">
        <v>5981</v>
      </c>
      <c r="R4343" t="s">
        <v>97</v>
      </c>
      <c r="S4343">
        <v>0</v>
      </c>
      <c r="T4343">
        <v>0</v>
      </c>
      <c r="U4343">
        <v>0</v>
      </c>
      <c r="V4343" t="s">
        <v>98</v>
      </c>
      <c r="W4343" t="s">
        <v>99</v>
      </c>
    </row>
    <row r="4344" spans="1:23" x14ac:dyDescent="0.35">
      <c r="A4344" t="s">
        <v>45</v>
      </c>
      <c r="B4344" t="s">
        <v>8697</v>
      </c>
      <c r="C4344" t="s">
        <v>93</v>
      </c>
      <c r="D4344" t="s">
        <v>94</v>
      </c>
      <c r="E4344" t="s">
        <v>45</v>
      </c>
      <c r="F4344" t="s">
        <v>49</v>
      </c>
      <c r="G4344" t="s">
        <v>8734</v>
      </c>
      <c r="H4344" t="s">
        <v>8735</v>
      </c>
      <c r="J4344" t="str">
        <f>HYPERLINK("https://twitter.com/SpiceMoneyIndia/status/1743246755880133023","https://twitter.com/SpiceMoneyIndia/status/1743246755880133023")</f>
        <v>https://twitter.com/SpiceMoneyIndia/status/1743246755880133023</v>
      </c>
      <c r="K4344" t="s">
        <v>67</v>
      </c>
      <c r="O4344">
        <v>0</v>
      </c>
      <c r="P4344">
        <v>0</v>
      </c>
      <c r="Q4344">
        <v>5981</v>
      </c>
      <c r="R4344" t="s">
        <v>97</v>
      </c>
      <c r="S4344">
        <v>0</v>
      </c>
      <c r="T4344">
        <v>0</v>
      </c>
      <c r="U4344">
        <v>0</v>
      </c>
      <c r="V4344" t="s">
        <v>98</v>
      </c>
      <c r="W4344" t="s">
        <v>99</v>
      </c>
    </row>
    <row r="4345" spans="1:23" x14ac:dyDescent="0.35">
      <c r="A4345" t="s">
        <v>45</v>
      </c>
      <c r="B4345" t="s">
        <v>8697</v>
      </c>
      <c r="C4345" t="s">
        <v>93</v>
      </c>
      <c r="D4345" t="s">
        <v>94</v>
      </c>
      <c r="E4345" t="s">
        <v>45</v>
      </c>
      <c r="F4345" t="s">
        <v>49</v>
      </c>
      <c r="G4345" t="s">
        <v>8736</v>
      </c>
      <c r="H4345" t="s">
        <v>8737</v>
      </c>
      <c r="J4345" t="str">
        <f>HYPERLINK("https://twitter.com/SpiceMoneyIndia/status/1743244964367118766","https://twitter.com/SpiceMoneyIndia/status/1743244964367118766")</f>
        <v>https://twitter.com/SpiceMoneyIndia/status/1743244964367118766</v>
      </c>
      <c r="K4345" t="s">
        <v>67</v>
      </c>
      <c r="O4345">
        <v>0</v>
      </c>
      <c r="P4345">
        <v>0</v>
      </c>
      <c r="Q4345">
        <v>5981</v>
      </c>
      <c r="R4345" t="s">
        <v>97</v>
      </c>
      <c r="S4345">
        <v>0</v>
      </c>
      <c r="T4345">
        <v>0</v>
      </c>
      <c r="U4345">
        <v>0</v>
      </c>
      <c r="V4345" t="s">
        <v>98</v>
      </c>
      <c r="W4345" t="s">
        <v>99</v>
      </c>
    </row>
    <row r="4346" spans="1:23" x14ac:dyDescent="0.35">
      <c r="A4346" t="s">
        <v>45</v>
      </c>
      <c r="B4346" t="s">
        <v>8697</v>
      </c>
      <c r="C4346" t="s">
        <v>93</v>
      </c>
      <c r="D4346" t="s">
        <v>94</v>
      </c>
      <c r="E4346" t="s">
        <v>45</v>
      </c>
      <c r="F4346" t="s">
        <v>49</v>
      </c>
      <c r="G4346" t="s">
        <v>8738</v>
      </c>
      <c r="H4346" t="s">
        <v>8739</v>
      </c>
      <c r="J4346" t="str">
        <f>HYPERLINK("https://twitter.com/SpiceMoneyIndia/status/1743244072343498800","https://twitter.com/SpiceMoneyIndia/status/1743244072343498800")</f>
        <v>https://twitter.com/SpiceMoneyIndia/status/1743244072343498800</v>
      </c>
      <c r="K4346" t="s">
        <v>67</v>
      </c>
      <c r="O4346">
        <v>0</v>
      </c>
      <c r="P4346">
        <v>0</v>
      </c>
      <c r="Q4346">
        <v>5981</v>
      </c>
      <c r="R4346" t="s">
        <v>97</v>
      </c>
      <c r="S4346">
        <v>0</v>
      </c>
      <c r="T4346">
        <v>0</v>
      </c>
      <c r="U4346">
        <v>0</v>
      </c>
      <c r="V4346" t="s">
        <v>98</v>
      </c>
      <c r="W4346" t="s">
        <v>99</v>
      </c>
    </row>
    <row r="4347" spans="1:23" x14ac:dyDescent="0.35">
      <c r="A4347" t="s">
        <v>45</v>
      </c>
      <c r="B4347" t="s">
        <v>8697</v>
      </c>
      <c r="C4347" t="s">
        <v>47</v>
      </c>
      <c r="D4347" t="s">
        <v>68</v>
      </c>
      <c r="E4347" t="s">
        <v>68</v>
      </c>
      <c r="F4347" t="s">
        <v>49</v>
      </c>
      <c r="G4347" t="s">
        <v>102</v>
      </c>
      <c r="H4347" t="s">
        <v>8740</v>
      </c>
      <c r="J4347" t="str">
        <f>HYPERLINK("https://www.youtube.com/watch?v=z58WzdIZIO8&amp;lc=UgyrYIxBzinSGuuy9Cx4AaABAg.9z9GekNiNfg9zBRlcW1qUT","https://www.youtube.com/watch?v=z58WzdIZIO8&amp;lc=UgyrYIxBzinSGuuy9Cx4AaABAg.9z9GekNiNfg9zBRlcW1qUT")</f>
        <v>https://www.youtube.com/watch?v=z58WzdIZIO8&amp;lc=UgyrYIxBzinSGuuy9Cx4AaABAg.9z9GekNiNfg9zBRlcW1qUT</v>
      </c>
      <c r="O4347">
        <v>0</v>
      </c>
      <c r="P4347">
        <v>0</v>
      </c>
      <c r="Q4347">
        <v>0</v>
      </c>
      <c r="S4347">
        <v>0</v>
      </c>
      <c r="T4347">
        <v>0</v>
      </c>
      <c r="U4347">
        <v>0</v>
      </c>
      <c r="W4347" t="s">
        <v>52</v>
      </c>
    </row>
    <row r="4348" spans="1:23" x14ac:dyDescent="0.35">
      <c r="A4348" t="s">
        <v>45</v>
      </c>
      <c r="B4348" t="s">
        <v>8697</v>
      </c>
      <c r="C4348" t="s">
        <v>47</v>
      </c>
      <c r="D4348" t="s">
        <v>8741</v>
      </c>
      <c r="E4348" t="s">
        <v>8741</v>
      </c>
      <c r="F4348" t="s">
        <v>49</v>
      </c>
      <c r="G4348" t="s">
        <v>8742</v>
      </c>
      <c r="H4348" t="s">
        <v>8743</v>
      </c>
      <c r="J4348" t="str">
        <f>HYPERLINK("https://www.youtube.com/watch?v=vryirakqo_4&amp;lc=Ugw4TEo5fRVA96czwtd4AaABAg","https://www.youtube.com/watch?v=vryirakqo_4&amp;lc=Ugw4TEo5fRVA96czwtd4AaABAg")</f>
        <v>https://www.youtube.com/watch?v=vryirakqo_4&amp;lc=Ugw4TEo5fRVA96czwtd4AaABAg</v>
      </c>
      <c r="O4348">
        <v>0</v>
      </c>
      <c r="P4348">
        <v>0</v>
      </c>
      <c r="Q4348">
        <v>0</v>
      </c>
      <c r="S4348">
        <v>0</v>
      </c>
      <c r="T4348">
        <v>0</v>
      </c>
      <c r="U4348">
        <v>0</v>
      </c>
      <c r="W4348" t="s">
        <v>52</v>
      </c>
    </row>
    <row r="4349" spans="1:23" x14ac:dyDescent="0.35">
      <c r="A4349" t="s">
        <v>45</v>
      </c>
      <c r="B4349" t="s">
        <v>8697</v>
      </c>
      <c r="C4349" t="s">
        <v>47</v>
      </c>
      <c r="D4349" t="s">
        <v>68</v>
      </c>
      <c r="E4349" t="s">
        <v>68</v>
      </c>
      <c r="F4349" t="s">
        <v>49</v>
      </c>
      <c r="G4349" t="s">
        <v>293</v>
      </c>
      <c r="H4349" t="s">
        <v>8744</v>
      </c>
      <c r="J4349" t="str">
        <f>HYPERLINK("https://www.youtube.com/watch?v=pJw8yRpVZew&amp;lc=Ugysja3fIkgpYooAcap4AaABAg.9z8dfvwuPZs9zBGtfZ6jpS","https://www.youtube.com/watch?v=pJw8yRpVZew&amp;lc=Ugysja3fIkgpYooAcap4AaABAg.9z8dfvwuPZs9zBGtfZ6jpS")</f>
        <v>https://www.youtube.com/watch?v=pJw8yRpVZew&amp;lc=Ugysja3fIkgpYooAcap4AaABAg.9z8dfvwuPZs9zBGtfZ6jpS</v>
      </c>
      <c r="O4349">
        <v>0</v>
      </c>
      <c r="P4349">
        <v>0</v>
      </c>
      <c r="Q4349">
        <v>0</v>
      </c>
      <c r="S4349">
        <v>0</v>
      </c>
      <c r="T4349">
        <v>0</v>
      </c>
      <c r="U4349">
        <v>0</v>
      </c>
      <c r="W4349" t="s">
        <v>52</v>
      </c>
    </row>
    <row r="4350" spans="1:23" x14ac:dyDescent="0.35">
      <c r="A4350" t="s">
        <v>45</v>
      </c>
      <c r="B4350" t="s">
        <v>8697</v>
      </c>
      <c r="C4350" t="s">
        <v>47</v>
      </c>
      <c r="D4350" t="s">
        <v>68</v>
      </c>
      <c r="E4350" t="s">
        <v>68</v>
      </c>
      <c r="F4350" t="s">
        <v>49</v>
      </c>
      <c r="G4350" t="s">
        <v>162</v>
      </c>
      <c r="H4350" t="s">
        <v>8745</v>
      </c>
      <c r="J4350" t="str">
        <f>HYPERLINK("https://www.youtube.com/watch?v=otifGXuH01E&amp;lc=UgwWpkZVzrni_zWXD_14AaABAg.9z8RAB52D2h9zBGqWwF_wc","https://www.youtube.com/watch?v=otifGXuH01E&amp;lc=UgwWpkZVzrni_zWXD_14AaABAg.9z8RAB52D2h9zBGqWwF_wc")</f>
        <v>https://www.youtube.com/watch?v=otifGXuH01E&amp;lc=UgwWpkZVzrni_zWXD_14AaABAg.9z8RAB52D2h9zBGqWwF_wc</v>
      </c>
      <c r="O4350">
        <v>0</v>
      </c>
      <c r="P4350">
        <v>0</v>
      </c>
      <c r="Q4350">
        <v>0</v>
      </c>
      <c r="S4350">
        <v>0</v>
      </c>
      <c r="T4350">
        <v>0</v>
      </c>
      <c r="U4350">
        <v>0</v>
      </c>
      <c r="W4350" t="s">
        <v>52</v>
      </c>
    </row>
    <row r="4351" spans="1:23" x14ac:dyDescent="0.35">
      <c r="A4351" t="s">
        <v>45</v>
      </c>
      <c r="B4351" t="s">
        <v>8697</v>
      </c>
      <c r="C4351" t="s">
        <v>47</v>
      </c>
      <c r="D4351" t="s">
        <v>68</v>
      </c>
      <c r="E4351" t="s">
        <v>68</v>
      </c>
      <c r="F4351" t="s">
        <v>49</v>
      </c>
      <c r="G4351" t="s">
        <v>69</v>
      </c>
      <c r="H4351" t="s">
        <v>8746</v>
      </c>
      <c r="J4351" t="str">
        <f>HYPERLINK("https://www.youtube.com/watch?v=otifGXuH01E&amp;lc=Ugzu-rSLQUrdz9APodZ4AaABAg.9z8oCd5fHjJ9zBG9zZDJ_e","https://www.youtube.com/watch?v=otifGXuH01E&amp;lc=Ugzu-rSLQUrdz9APodZ4AaABAg.9z8oCd5fHjJ9zBG9zZDJ_e")</f>
        <v>https://www.youtube.com/watch?v=otifGXuH01E&amp;lc=Ugzu-rSLQUrdz9APodZ4AaABAg.9z8oCd5fHjJ9zBG9zZDJ_e</v>
      </c>
      <c r="O4351">
        <v>0</v>
      </c>
      <c r="P4351">
        <v>0</v>
      </c>
      <c r="Q4351">
        <v>0</v>
      </c>
      <c r="S4351">
        <v>0</v>
      </c>
      <c r="T4351">
        <v>0</v>
      </c>
      <c r="U4351">
        <v>0</v>
      </c>
      <c r="W4351" t="s">
        <v>52</v>
      </c>
    </row>
    <row r="4352" spans="1:23" x14ac:dyDescent="0.35">
      <c r="A4352" t="s">
        <v>45</v>
      </c>
      <c r="B4352" t="s">
        <v>8697</v>
      </c>
      <c r="C4352" t="s">
        <v>47</v>
      </c>
      <c r="D4352" t="s">
        <v>68</v>
      </c>
      <c r="E4352" t="s">
        <v>68</v>
      </c>
      <c r="F4352" t="s">
        <v>49</v>
      </c>
      <c r="G4352" t="s">
        <v>102</v>
      </c>
      <c r="H4352" t="s">
        <v>8747</v>
      </c>
      <c r="J4352" t="str">
        <f>HYPERLINK("https://www.youtube.com/watch?v=Un06w8WhYRg&amp;lc=UgykSVH2DAJA1SVZiBZ4AaABAg.9zB8U4b7Rqg9zBFRETM-ro","https://www.youtube.com/watch?v=Un06w8WhYRg&amp;lc=UgykSVH2DAJA1SVZiBZ4AaABAg.9zB8U4b7Rqg9zBFRETM-ro")</f>
        <v>https://www.youtube.com/watch?v=Un06w8WhYRg&amp;lc=UgykSVH2DAJA1SVZiBZ4AaABAg.9zB8U4b7Rqg9zBFRETM-ro</v>
      </c>
      <c r="O4352">
        <v>0</v>
      </c>
      <c r="P4352">
        <v>0</v>
      </c>
      <c r="Q4352">
        <v>0</v>
      </c>
      <c r="S4352">
        <v>0</v>
      </c>
      <c r="T4352">
        <v>0</v>
      </c>
      <c r="U4352">
        <v>0</v>
      </c>
      <c r="W4352" t="s">
        <v>52</v>
      </c>
    </row>
    <row r="4353" spans="1:23" x14ac:dyDescent="0.35">
      <c r="A4353" t="s">
        <v>45</v>
      </c>
      <c r="B4353" t="s">
        <v>8697</v>
      </c>
      <c r="C4353" t="s">
        <v>47</v>
      </c>
      <c r="D4353" t="s">
        <v>68</v>
      </c>
      <c r="E4353" t="s">
        <v>68</v>
      </c>
      <c r="F4353" t="s">
        <v>49</v>
      </c>
      <c r="G4353" t="s">
        <v>8748</v>
      </c>
      <c r="H4353" t="s">
        <v>8749</v>
      </c>
      <c r="J4353" t="str">
        <f>HYPERLINK("https://www.youtube.com/watch?v=otifGXuH01E&amp;lc=Ugx0hH1tlThf18FRxq14AaABAg.9z8efLG7Ktg9zBEsNsOJbh","https://www.youtube.com/watch?v=otifGXuH01E&amp;lc=Ugx0hH1tlThf18FRxq14AaABAg.9z8efLG7Ktg9zBEsNsOJbh")</f>
        <v>https://www.youtube.com/watch?v=otifGXuH01E&amp;lc=Ugx0hH1tlThf18FRxq14AaABAg.9z8efLG7Ktg9zBEsNsOJbh</v>
      </c>
      <c r="O4353">
        <v>0</v>
      </c>
      <c r="P4353">
        <v>0</v>
      </c>
      <c r="Q4353">
        <v>0</v>
      </c>
      <c r="S4353">
        <v>0</v>
      </c>
      <c r="T4353">
        <v>0</v>
      </c>
      <c r="U4353">
        <v>0</v>
      </c>
      <c r="W4353" t="s">
        <v>52</v>
      </c>
    </row>
    <row r="4354" spans="1:23" x14ac:dyDescent="0.35">
      <c r="A4354" t="s">
        <v>45</v>
      </c>
      <c r="B4354" t="s">
        <v>8697</v>
      </c>
      <c r="C4354" t="s">
        <v>47</v>
      </c>
      <c r="D4354" t="s">
        <v>68</v>
      </c>
      <c r="E4354" t="s">
        <v>68</v>
      </c>
      <c r="F4354" t="s">
        <v>49</v>
      </c>
      <c r="G4354" t="s">
        <v>102</v>
      </c>
      <c r="H4354" t="s">
        <v>8750</v>
      </c>
      <c r="J4354" t="str">
        <f>HYPERLINK("https://www.youtube.com/watch?v=otifGXuH01E&amp;lc=UgzX_VZMnvwh9EVrQaR4AaABAg.9z9Hdgp8pCd9zBEl2YCt2m","https://www.youtube.com/watch?v=otifGXuH01E&amp;lc=UgzX_VZMnvwh9EVrQaR4AaABAg.9z9Hdgp8pCd9zBEl2YCt2m")</f>
        <v>https://www.youtube.com/watch?v=otifGXuH01E&amp;lc=UgzX_VZMnvwh9EVrQaR4AaABAg.9z9Hdgp8pCd9zBEl2YCt2m</v>
      </c>
      <c r="O4354">
        <v>0</v>
      </c>
      <c r="P4354">
        <v>0</v>
      </c>
      <c r="Q4354">
        <v>0</v>
      </c>
      <c r="S4354">
        <v>0</v>
      </c>
      <c r="T4354">
        <v>0</v>
      </c>
      <c r="U4354">
        <v>0</v>
      </c>
      <c r="W4354" t="s">
        <v>52</v>
      </c>
    </row>
    <row r="4355" spans="1:23" x14ac:dyDescent="0.35">
      <c r="A4355" t="s">
        <v>45</v>
      </c>
      <c r="B4355" t="s">
        <v>8697</v>
      </c>
      <c r="C4355" t="s">
        <v>47</v>
      </c>
      <c r="D4355" t="s">
        <v>68</v>
      </c>
      <c r="E4355" t="s">
        <v>68</v>
      </c>
      <c r="F4355" t="s">
        <v>49</v>
      </c>
      <c r="G4355" t="s">
        <v>454</v>
      </c>
      <c r="H4355" t="s">
        <v>8751</v>
      </c>
      <c r="J4355" t="str">
        <f>HYPERLINK("https://www.youtube.com/watch?v=otifGXuH01E&amp;lc=UgyC1FV3deT6HMcOIYZ4AaABAg.9z9H3XMAB_a9zBEfMynFXe","https://www.youtube.com/watch?v=otifGXuH01E&amp;lc=UgyC1FV3deT6HMcOIYZ4AaABAg.9z9H3XMAB_a9zBEfMynFXe")</f>
        <v>https://www.youtube.com/watch?v=otifGXuH01E&amp;lc=UgyC1FV3deT6HMcOIYZ4AaABAg.9z9H3XMAB_a9zBEfMynFXe</v>
      </c>
      <c r="O4355">
        <v>0</v>
      </c>
      <c r="P4355">
        <v>0</v>
      </c>
      <c r="Q4355">
        <v>0</v>
      </c>
      <c r="S4355">
        <v>0</v>
      </c>
      <c r="T4355">
        <v>0</v>
      </c>
      <c r="U4355">
        <v>0</v>
      </c>
      <c r="W4355" t="s">
        <v>52</v>
      </c>
    </row>
    <row r="4356" spans="1:23" x14ac:dyDescent="0.35">
      <c r="A4356" t="s">
        <v>45</v>
      </c>
      <c r="B4356" t="s">
        <v>8697</v>
      </c>
      <c r="C4356" t="s">
        <v>47</v>
      </c>
      <c r="D4356" t="s">
        <v>68</v>
      </c>
      <c r="E4356" t="s">
        <v>68</v>
      </c>
      <c r="F4356" t="s">
        <v>49</v>
      </c>
      <c r="G4356" t="s">
        <v>162</v>
      </c>
      <c r="H4356" t="s">
        <v>8752</v>
      </c>
      <c r="J4356" t="str">
        <f>HYPERLINK("https://www.youtube.com/watch?v=pJw8yRpVZew&amp;lc=Ugxc4A2qGUAuK9eyPmt4AaABAg.9z9B2NKlpZ39zBEbSFRN-G","https://www.youtube.com/watch?v=pJw8yRpVZew&amp;lc=Ugxc4A2qGUAuK9eyPmt4AaABAg.9z9B2NKlpZ39zBEbSFRN-G")</f>
        <v>https://www.youtube.com/watch?v=pJw8yRpVZew&amp;lc=Ugxc4A2qGUAuK9eyPmt4AaABAg.9z9B2NKlpZ39zBEbSFRN-G</v>
      </c>
      <c r="O4356">
        <v>0</v>
      </c>
      <c r="P4356">
        <v>0</v>
      </c>
      <c r="Q4356">
        <v>0</v>
      </c>
      <c r="S4356">
        <v>0</v>
      </c>
      <c r="T4356">
        <v>0</v>
      </c>
      <c r="U4356">
        <v>0</v>
      </c>
      <c r="W4356" t="s">
        <v>52</v>
      </c>
    </row>
    <row r="4357" spans="1:23" x14ac:dyDescent="0.35">
      <c r="A4357" t="s">
        <v>45</v>
      </c>
      <c r="B4357" t="s">
        <v>8697</v>
      </c>
      <c r="C4357" t="s">
        <v>47</v>
      </c>
      <c r="D4357" t="s">
        <v>68</v>
      </c>
      <c r="E4357" t="s">
        <v>68</v>
      </c>
      <c r="F4357" t="s">
        <v>49</v>
      </c>
      <c r="G4357" t="s">
        <v>102</v>
      </c>
      <c r="H4357" t="s">
        <v>8753</v>
      </c>
      <c r="J4357" t="str">
        <f>HYPERLINK("https://www.youtube.com/watch?v=otifGXuH01E&amp;lc=UgwOVbt_6zTAbtCfhq14AaABAg.9z9GESjkhaA9zBEQZ-L5Fw","https://www.youtube.com/watch?v=otifGXuH01E&amp;lc=UgwOVbt_6zTAbtCfhq14AaABAg.9z9GESjkhaA9zBEQZ-L5Fw")</f>
        <v>https://www.youtube.com/watch?v=otifGXuH01E&amp;lc=UgwOVbt_6zTAbtCfhq14AaABAg.9z9GESjkhaA9zBEQZ-L5Fw</v>
      </c>
      <c r="O4357">
        <v>0</v>
      </c>
      <c r="P4357">
        <v>0</v>
      </c>
      <c r="Q4357">
        <v>0</v>
      </c>
      <c r="S4357">
        <v>0</v>
      </c>
      <c r="T4357">
        <v>0</v>
      </c>
      <c r="U4357">
        <v>0</v>
      </c>
      <c r="W4357" t="s">
        <v>52</v>
      </c>
    </row>
    <row r="4358" spans="1:23" x14ac:dyDescent="0.35">
      <c r="A4358" t="s">
        <v>45</v>
      </c>
      <c r="B4358" t="s">
        <v>8697</v>
      </c>
      <c r="C4358" t="s">
        <v>47</v>
      </c>
      <c r="D4358" t="s">
        <v>68</v>
      </c>
      <c r="E4358" t="s">
        <v>68</v>
      </c>
      <c r="F4358" t="s">
        <v>49</v>
      </c>
      <c r="G4358" t="s">
        <v>280</v>
      </c>
      <c r="H4358" t="s">
        <v>8754</v>
      </c>
      <c r="J4358" t="str">
        <f>HYPERLINK("https://www.youtube.com/watch?v=q8w6W4rcdd0&amp;lc=UgwHdVXrqkbzBXWE7WR4AaABAg.9z97L8vbFM09zBEMq-6vnz","https://www.youtube.com/watch?v=q8w6W4rcdd0&amp;lc=UgwHdVXrqkbzBXWE7WR4AaABAg.9z97L8vbFM09zBEMq-6vnz")</f>
        <v>https://www.youtube.com/watch?v=q8w6W4rcdd0&amp;lc=UgwHdVXrqkbzBXWE7WR4AaABAg.9z97L8vbFM09zBEMq-6vnz</v>
      </c>
      <c r="O4358">
        <v>0</v>
      </c>
      <c r="P4358">
        <v>0</v>
      </c>
      <c r="Q4358">
        <v>0</v>
      </c>
      <c r="S4358">
        <v>0</v>
      </c>
      <c r="T4358">
        <v>0</v>
      </c>
      <c r="U4358">
        <v>0</v>
      </c>
      <c r="W4358" t="s">
        <v>52</v>
      </c>
    </row>
    <row r="4359" spans="1:23" x14ac:dyDescent="0.35">
      <c r="A4359" t="s">
        <v>45</v>
      </c>
      <c r="B4359" t="s">
        <v>8697</v>
      </c>
      <c r="C4359" t="s">
        <v>47</v>
      </c>
      <c r="D4359" t="s">
        <v>68</v>
      </c>
      <c r="E4359" t="s">
        <v>68</v>
      </c>
      <c r="F4359" t="s">
        <v>49</v>
      </c>
      <c r="G4359" t="s">
        <v>492</v>
      </c>
      <c r="H4359" t="s">
        <v>8755</v>
      </c>
      <c r="J4359" t="str">
        <f>HYPERLINK("https://www.youtube.com/watch?v=q8w6W4rcdd0&amp;lc=UgxpiMbweRkujFpw-0d4AaABAg.9z9It3EOP2u9zBE7rEt_Nk","https://www.youtube.com/watch?v=q8w6W4rcdd0&amp;lc=UgxpiMbweRkujFpw-0d4AaABAg.9z9It3EOP2u9zBE7rEt_Nk")</f>
        <v>https://www.youtube.com/watch?v=q8w6W4rcdd0&amp;lc=UgxpiMbweRkujFpw-0d4AaABAg.9z9It3EOP2u9zBE7rEt_Nk</v>
      </c>
      <c r="O4359">
        <v>0</v>
      </c>
      <c r="P4359">
        <v>0</v>
      </c>
      <c r="Q4359">
        <v>0</v>
      </c>
      <c r="S4359">
        <v>0</v>
      </c>
      <c r="T4359">
        <v>0</v>
      </c>
      <c r="U4359">
        <v>0</v>
      </c>
      <c r="W4359" t="s">
        <v>52</v>
      </c>
    </row>
    <row r="4360" spans="1:23" x14ac:dyDescent="0.35">
      <c r="A4360" t="s">
        <v>45</v>
      </c>
      <c r="B4360" t="s">
        <v>8697</v>
      </c>
      <c r="C4360" t="s">
        <v>47</v>
      </c>
      <c r="D4360" t="s">
        <v>68</v>
      </c>
      <c r="E4360" t="s">
        <v>68</v>
      </c>
      <c r="F4360" t="s">
        <v>49</v>
      </c>
      <c r="G4360" t="s">
        <v>102</v>
      </c>
      <c r="H4360" t="s">
        <v>8756</v>
      </c>
      <c r="J4360" t="str">
        <f>HYPERLINK("https://www.youtube.com/watch?v=otifGXuH01E&amp;lc=Ugy1mxpE_cXy5CN4OLx4AaABAg.9z9LcVBmEwA9zBDtBLcVkA","https://www.youtube.com/watch?v=otifGXuH01E&amp;lc=Ugy1mxpE_cXy5CN4OLx4AaABAg.9z9LcVBmEwA9zBDtBLcVkA")</f>
        <v>https://www.youtube.com/watch?v=otifGXuH01E&amp;lc=Ugy1mxpE_cXy5CN4OLx4AaABAg.9z9LcVBmEwA9zBDtBLcVkA</v>
      </c>
      <c r="O4360">
        <v>0</v>
      </c>
      <c r="P4360">
        <v>0</v>
      </c>
      <c r="Q4360">
        <v>0</v>
      </c>
      <c r="S4360">
        <v>0</v>
      </c>
      <c r="T4360">
        <v>0</v>
      </c>
      <c r="U4360">
        <v>0</v>
      </c>
      <c r="W4360" t="s">
        <v>52</v>
      </c>
    </row>
    <row r="4361" spans="1:23" x14ac:dyDescent="0.35">
      <c r="A4361" t="s">
        <v>45</v>
      </c>
      <c r="B4361" t="s">
        <v>8697</v>
      </c>
      <c r="C4361" t="s">
        <v>47</v>
      </c>
      <c r="D4361" t="s">
        <v>68</v>
      </c>
      <c r="E4361" t="s">
        <v>68</v>
      </c>
      <c r="F4361" t="s">
        <v>49</v>
      </c>
      <c r="G4361" t="s">
        <v>162</v>
      </c>
      <c r="H4361" t="s">
        <v>8757</v>
      </c>
      <c r="J4361" t="str">
        <f>HYPERLINK("https://www.youtube.com/watch?v=vryirakqo_4&amp;lc=UgwxPmxQgZSW5XBvB9R4AaABAg.9zAwZog9Hzi9zBDau1VxdP","https://www.youtube.com/watch?v=vryirakqo_4&amp;lc=UgwxPmxQgZSW5XBvB9R4AaABAg.9zAwZog9Hzi9zBDau1VxdP")</f>
        <v>https://www.youtube.com/watch?v=vryirakqo_4&amp;lc=UgwxPmxQgZSW5XBvB9R4AaABAg.9zAwZog9Hzi9zBDau1VxdP</v>
      </c>
      <c r="O4361">
        <v>0</v>
      </c>
      <c r="P4361">
        <v>0</v>
      </c>
      <c r="Q4361">
        <v>0</v>
      </c>
      <c r="S4361">
        <v>0</v>
      </c>
      <c r="T4361">
        <v>0</v>
      </c>
      <c r="U4361">
        <v>0</v>
      </c>
      <c r="W4361" t="s">
        <v>52</v>
      </c>
    </row>
    <row r="4362" spans="1:23" x14ac:dyDescent="0.35">
      <c r="A4362" t="s">
        <v>45</v>
      </c>
      <c r="B4362" t="s">
        <v>8697</v>
      </c>
      <c r="C4362" t="s">
        <v>47</v>
      </c>
      <c r="D4362" t="s">
        <v>68</v>
      </c>
      <c r="E4362" t="s">
        <v>68</v>
      </c>
      <c r="F4362" t="s">
        <v>49</v>
      </c>
      <c r="G4362" t="s">
        <v>162</v>
      </c>
      <c r="H4362" t="s">
        <v>8758</v>
      </c>
      <c r="J4362" t="str">
        <f>HYPERLINK("https://www.youtube.com/watch?v=vryirakqo_4&amp;lc=Ugyo12o3fKIM93EneXh4AaABAg.9zAvLIh8XXR9zBDYowht33","https://www.youtube.com/watch?v=vryirakqo_4&amp;lc=Ugyo12o3fKIM93EneXh4AaABAg.9zAvLIh8XXR9zBDYowht33")</f>
        <v>https://www.youtube.com/watch?v=vryirakqo_4&amp;lc=Ugyo12o3fKIM93EneXh4AaABAg.9zAvLIh8XXR9zBDYowht33</v>
      </c>
      <c r="O4362">
        <v>0</v>
      </c>
      <c r="P4362">
        <v>0</v>
      </c>
      <c r="Q4362">
        <v>0</v>
      </c>
      <c r="S4362">
        <v>0</v>
      </c>
      <c r="T4362">
        <v>0</v>
      </c>
      <c r="U4362">
        <v>0</v>
      </c>
      <c r="W4362" t="s">
        <v>52</v>
      </c>
    </row>
    <row r="4363" spans="1:23" x14ac:dyDescent="0.35">
      <c r="A4363" t="s">
        <v>45</v>
      </c>
      <c r="B4363" t="s">
        <v>8697</v>
      </c>
      <c r="C4363" t="s">
        <v>47</v>
      </c>
      <c r="D4363" t="s">
        <v>68</v>
      </c>
      <c r="E4363" t="s">
        <v>68</v>
      </c>
      <c r="F4363" t="s">
        <v>49</v>
      </c>
      <c r="G4363" t="s">
        <v>162</v>
      </c>
      <c r="H4363" t="s">
        <v>8759</v>
      </c>
      <c r="J4363" t="str">
        <f>HYPERLINK("https://www.youtube.com/watch?v=Un06w8WhYRg&amp;lc=Ugwk_BSB3tYNzjZG0Rh4AaABAg.9zAvy99ayND9zBDX9xMi_h","https://www.youtube.com/watch?v=Un06w8WhYRg&amp;lc=Ugwk_BSB3tYNzjZG0Rh4AaABAg.9zAvy99ayND9zBDX9xMi_h")</f>
        <v>https://www.youtube.com/watch?v=Un06w8WhYRg&amp;lc=Ugwk_BSB3tYNzjZG0Rh4AaABAg.9zAvy99ayND9zBDX9xMi_h</v>
      </c>
      <c r="O4363">
        <v>0</v>
      </c>
      <c r="P4363">
        <v>0</v>
      </c>
      <c r="Q4363">
        <v>0</v>
      </c>
      <c r="S4363">
        <v>0</v>
      </c>
      <c r="T4363">
        <v>0</v>
      </c>
      <c r="U4363">
        <v>0</v>
      </c>
      <c r="W4363" t="s">
        <v>52</v>
      </c>
    </row>
    <row r="4364" spans="1:23" x14ac:dyDescent="0.35">
      <c r="A4364" t="s">
        <v>45</v>
      </c>
      <c r="B4364" t="s">
        <v>8697</v>
      </c>
      <c r="C4364" t="s">
        <v>47</v>
      </c>
      <c r="D4364" t="s">
        <v>68</v>
      </c>
      <c r="E4364" t="s">
        <v>68</v>
      </c>
      <c r="F4364" t="s">
        <v>49</v>
      </c>
      <c r="G4364" t="s">
        <v>102</v>
      </c>
      <c r="H4364" t="s">
        <v>8760</v>
      </c>
      <c r="J4364" t="str">
        <f>HYPERLINK("https://www.youtube.com/watch?v=Un06w8WhYRg&amp;lc=Ugw3xvrI_1Brey0Jd-14AaABAg.9zAvMq7PbsW9zBDU6Z9Tg8","https://www.youtube.com/watch?v=Un06w8WhYRg&amp;lc=Ugw3xvrI_1Brey0Jd-14AaABAg.9zAvMq7PbsW9zBDU6Z9Tg8")</f>
        <v>https://www.youtube.com/watch?v=Un06w8WhYRg&amp;lc=Ugw3xvrI_1Brey0Jd-14AaABAg.9zAvMq7PbsW9zBDU6Z9Tg8</v>
      </c>
      <c r="O4364">
        <v>0</v>
      </c>
      <c r="P4364">
        <v>0</v>
      </c>
      <c r="Q4364">
        <v>0</v>
      </c>
      <c r="S4364">
        <v>0</v>
      </c>
      <c r="T4364">
        <v>0</v>
      </c>
      <c r="U4364">
        <v>0</v>
      </c>
      <c r="W4364" t="s">
        <v>52</v>
      </c>
    </row>
    <row r="4365" spans="1:23" x14ac:dyDescent="0.35">
      <c r="A4365" t="s">
        <v>45</v>
      </c>
      <c r="B4365" t="s">
        <v>8697</v>
      </c>
      <c r="C4365" t="s">
        <v>60</v>
      </c>
      <c r="D4365" t="s">
        <v>61</v>
      </c>
      <c r="E4365" t="s">
        <v>61</v>
      </c>
      <c r="F4365" t="s">
        <v>49</v>
      </c>
      <c r="G4365" t="s">
        <v>8761</v>
      </c>
      <c r="H4365" t="s">
        <v>8762</v>
      </c>
      <c r="J4365" t="str">
        <f>HYPERLINK("https://www.facebook.com/634639855377280/posts/766738295500768?comment_id=717900550290781","https://www.facebook.com/634639855377280/posts/766738295500768?comment_id=717900550290781")</f>
        <v>https://www.facebook.com/634639855377280/posts/766738295500768?comment_id=717900550290781</v>
      </c>
      <c r="O4365">
        <v>0</v>
      </c>
      <c r="P4365">
        <v>0</v>
      </c>
      <c r="Q4365">
        <v>0</v>
      </c>
      <c r="S4365">
        <v>0</v>
      </c>
      <c r="T4365">
        <v>0</v>
      </c>
      <c r="U4365">
        <v>0</v>
      </c>
      <c r="W4365" t="s">
        <v>52</v>
      </c>
    </row>
    <row r="4366" spans="1:23" x14ac:dyDescent="0.35">
      <c r="A4366" t="s">
        <v>45</v>
      </c>
      <c r="B4366" t="s">
        <v>8697</v>
      </c>
      <c r="C4366" t="s">
        <v>60</v>
      </c>
      <c r="D4366" t="s">
        <v>61</v>
      </c>
      <c r="E4366" t="s">
        <v>61</v>
      </c>
      <c r="F4366" t="s">
        <v>49</v>
      </c>
      <c r="G4366" t="s">
        <v>8763</v>
      </c>
      <c r="H4366" t="s">
        <v>8764</v>
      </c>
      <c r="J4366" t="str">
        <f>HYPERLINK("https://www.facebook.com/634639855377280/posts/766738295500768?comment_id=895825355273077","https://www.facebook.com/634639855377280/posts/766738295500768?comment_id=895825355273077")</f>
        <v>https://www.facebook.com/634639855377280/posts/766738295500768?comment_id=895825355273077</v>
      </c>
      <c r="O4366">
        <v>0</v>
      </c>
      <c r="P4366">
        <v>0</v>
      </c>
      <c r="Q4366">
        <v>0</v>
      </c>
      <c r="S4366">
        <v>0</v>
      </c>
      <c r="T4366">
        <v>0</v>
      </c>
      <c r="U4366">
        <v>0</v>
      </c>
      <c r="W4366" t="s">
        <v>52</v>
      </c>
    </row>
    <row r="4367" spans="1:23" x14ac:dyDescent="0.35">
      <c r="A4367" t="s">
        <v>45</v>
      </c>
      <c r="B4367" t="s">
        <v>8697</v>
      </c>
      <c r="C4367" t="s">
        <v>47</v>
      </c>
      <c r="D4367" t="s">
        <v>8765</v>
      </c>
      <c r="E4367" t="s">
        <v>8765</v>
      </c>
      <c r="F4367" t="s">
        <v>193</v>
      </c>
      <c r="G4367" t="s">
        <v>8766</v>
      </c>
      <c r="H4367" t="s">
        <v>8767</v>
      </c>
      <c r="J4367" t="str">
        <f>HYPERLINK("https://www.youtube.com/watch?v=Un06w8WhYRg&amp;lc=UgykSVH2DAJA1SVZiBZ4AaABAg","https://www.youtube.com/watch?v=Un06w8WhYRg&amp;lc=UgykSVH2DAJA1SVZiBZ4AaABAg")</f>
        <v>https://www.youtube.com/watch?v=Un06w8WhYRg&amp;lc=UgykSVH2DAJA1SVZiBZ4AaABAg</v>
      </c>
      <c r="O4367">
        <v>0</v>
      </c>
      <c r="P4367">
        <v>0</v>
      </c>
      <c r="Q4367">
        <v>0</v>
      </c>
      <c r="S4367">
        <v>0</v>
      </c>
      <c r="T4367">
        <v>0</v>
      </c>
      <c r="U4367">
        <v>0</v>
      </c>
      <c r="W4367" t="s">
        <v>52</v>
      </c>
    </row>
    <row r="4368" spans="1:23" x14ac:dyDescent="0.35">
      <c r="A4368" t="s">
        <v>45</v>
      </c>
      <c r="B4368" t="s">
        <v>8697</v>
      </c>
      <c r="C4368" t="s">
        <v>47</v>
      </c>
      <c r="D4368" t="s">
        <v>8768</v>
      </c>
      <c r="E4368" t="s">
        <v>8768</v>
      </c>
      <c r="F4368" t="s">
        <v>49</v>
      </c>
      <c r="G4368" t="s">
        <v>8769</v>
      </c>
      <c r="H4368" t="s">
        <v>8770</v>
      </c>
      <c r="J4368" t="str">
        <f>HYPERLINK("https://www.youtube.com/watch?v=fi0KMSdJZZY&amp;lc=Ugwp0qc9Ons2QX4rVlh4AaABAg","https://www.youtube.com/watch?v=fi0KMSdJZZY&amp;lc=Ugwp0qc9Ons2QX4rVlh4AaABAg")</f>
        <v>https://www.youtube.com/watch?v=fi0KMSdJZZY&amp;lc=Ugwp0qc9Ons2QX4rVlh4AaABAg</v>
      </c>
      <c r="O4368">
        <v>0</v>
      </c>
      <c r="P4368">
        <v>0</v>
      </c>
      <c r="Q4368">
        <v>0</v>
      </c>
      <c r="S4368">
        <v>0</v>
      </c>
      <c r="T4368">
        <v>0</v>
      </c>
      <c r="U4368">
        <v>0</v>
      </c>
      <c r="W4368" t="s">
        <v>52</v>
      </c>
    </row>
    <row r="4369" spans="1:23" x14ac:dyDescent="0.35">
      <c r="A4369" t="s">
        <v>45</v>
      </c>
      <c r="B4369" t="s">
        <v>8697</v>
      </c>
      <c r="C4369" t="s">
        <v>60</v>
      </c>
      <c r="D4369" t="s">
        <v>7470</v>
      </c>
      <c r="E4369" t="s">
        <v>7470</v>
      </c>
      <c r="F4369" t="s">
        <v>49</v>
      </c>
      <c r="G4369" t="s">
        <v>8771</v>
      </c>
      <c r="H4369" t="s">
        <v>8772</v>
      </c>
      <c r="J4369" t="str">
        <f>HYPERLINK("https://www.facebook.com/634639855377280/posts/766738295500768?comment_id=1650228782172382","https://www.facebook.com/634639855377280/posts/766738295500768?comment_id=1650228782172382")</f>
        <v>https://www.facebook.com/634639855377280/posts/766738295500768?comment_id=1650228782172382</v>
      </c>
      <c r="K4369" t="s">
        <v>67</v>
      </c>
      <c r="O4369">
        <v>0</v>
      </c>
      <c r="P4369">
        <v>0</v>
      </c>
      <c r="Q4369">
        <v>0</v>
      </c>
      <c r="S4369">
        <v>0</v>
      </c>
      <c r="T4369">
        <v>0</v>
      </c>
      <c r="U4369">
        <v>0</v>
      </c>
      <c r="W4369" t="s">
        <v>52</v>
      </c>
    </row>
    <row r="4370" spans="1:23" x14ac:dyDescent="0.35">
      <c r="A4370" t="s">
        <v>45</v>
      </c>
      <c r="B4370" t="s">
        <v>8697</v>
      </c>
      <c r="C4370" t="s">
        <v>60</v>
      </c>
      <c r="D4370" t="s">
        <v>61</v>
      </c>
      <c r="E4370" t="s">
        <v>61</v>
      </c>
      <c r="F4370" t="s">
        <v>49</v>
      </c>
      <c r="G4370" t="s">
        <v>8773</v>
      </c>
      <c r="H4370" t="s">
        <v>8774</v>
      </c>
      <c r="J4370" t="str">
        <f>HYPERLINK("https://www.facebook.com/634639855377280/posts/766738295500768?comment_id=1058298322173340","https://www.facebook.com/634639855377280/posts/766738295500768?comment_id=1058298322173340")</f>
        <v>https://www.facebook.com/634639855377280/posts/766738295500768?comment_id=1058298322173340</v>
      </c>
      <c r="O4370">
        <v>0</v>
      </c>
      <c r="P4370">
        <v>0</v>
      </c>
      <c r="Q4370">
        <v>0</v>
      </c>
      <c r="S4370">
        <v>0</v>
      </c>
      <c r="T4370">
        <v>0</v>
      </c>
      <c r="U4370">
        <v>0</v>
      </c>
      <c r="W4370" t="s">
        <v>52</v>
      </c>
    </row>
    <row r="4371" spans="1:23" x14ac:dyDescent="0.35">
      <c r="A4371" t="s">
        <v>45</v>
      </c>
      <c r="B4371" t="s">
        <v>8697</v>
      </c>
      <c r="C4371" t="s">
        <v>60</v>
      </c>
      <c r="D4371" t="s">
        <v>61</v>
      </c>
      <c r="E4371" t="s">
        <v>61</v>
      </c>
      <c r="F4371" t="s">
        <v>49</v>
      </c>
      <c r="G4371" t="s">
        <v>8773</v>
      </c>
      <c r="H4371" t="s">
        <v>8775</v>
      </c>
      <c r="J4371" t="str">
        <f>HYPERLINK("https://www.facebook.com/634639855377280/posts/766738295500768?comment_id=1319084775467931","https://www.facebook.com/634639855377280/posts/766738295500768?comment_id=1319084775467931")</f>
        <v>https://www.facebook.com/634639855377280/posts/766738295500768?comment_id=1319084775467931</v>
      </c>
      <c r="O4371">
        <v>0</v>
      </c>
      <c r="P4371">
        <v>0</v>
      </c>
      <c r="Q4371">
        <v>0</v>
      </c>
      <c r="S4371">
        <v>0</v>
      </c>
      <c r="T4371">
        <v>0</v>
      </c>
      <c r="U4371">
        <v>0</v>
      </c>
      <c r="W4371" t="s">
        <v>52</v>
      </c>
    </row>
    <row r="4372" spans="1:23" x14ac:dyDescent="0.35">
      <c r="A4372" t="s">
        <v>45</v>
      </c>
      <c r="B4372" t="s">
        <v>8697</v>
      </c>
      <c r="C4372" t="s">
        <v>93</v>
      </c>
      <c r="D4372" t="s">
        <v>94</v>
      </c>
      <c r="E4372" t="s">
        <v>45</v>
      </c>
      <c r="F4372" t="s">
        <v>49</v>
      </c>
      <c r="G4372" t="s">
        <v>8776</v>
      </c>
      <c r="H4372" t="s">
        <v>8777</v>
      </c>
      <c r="J4372" t="str">
        <f>HYPERLINK("https://twitter.com/SpiceMoneyIndia/status/1743174646651113897","https://twitter.com/SpiceMoneyIndia/status/1743174646651113897")</f>
        <v>https://twitter.com/SpiceMoneyIndia/status/1743174646651113897</v>
      </c>
      <c r="K4372" t="s">
        <v>67</v>
      </c>
      <c r="O4372">
        <v>0</v>
      </c>
      <c r="P4372">
        <v>0</v>
      </c>
      <c r="Q4372">
        <v>5980</v>
      </c>
      <c r="R4372" t="s">
        <v>97</v>
      </c>
      <c r="S4372">
        <v>0</v>
      </c>
      <c r="T4372">
        <v>0</v>
      </c>
      <c r="U4372">
        <v>0</v>
      </c>
      <c r="V4372" t="s">
        <v>98</v>
      </c>
      <c r="W4372" t="s">
        <v>99</v>
      </c>
    </row>
    <row r="4373" spans="1:23" x14ac:dyDescent="0.35">
      <c r="A4373" t="s">
        <v>45</v>
      </c>
      <c r="B4373" t="s">
        <v>8697</v>
      </c>
      <c r="C4373" t="s">
        <v>60</v>
      </c>
      <c r="D4373" t="s">
        <v>61</v>
      </c>
      <c r="E4373" t="s">
        <v>61</v>
      </c>
      <c r="F4373" t="s">
        <v>54</v>
      </c>
      <c r="G4373" t="s">
        <v>8778</v>
      </c>
      <c r="H4373" t="s">
        <v>8779</v>
      </c>
      <c r="J4373" t="str">
        <f>HYPERLINK("https://www.facebook.com/634639855377280/posts/766738295500768?comment_id=391750060097853","https://www.facebook.com/634639855377280/posts/766738295500768?comment_id=391750060097853")</f>
        <v>https://www.facebook.com/634639855377280/posts/766738295500768?comment_id=391750060097853</v>
      </c>
      <c r="O4373">
        <v>0</v>
      </c>
      <c r="P4373">
        <v>0</v>
      </c>
      <c r="Q4373">
        <v>0</v>
      </c>
      <c r="S4373">
        <v>0</v>
      </c>
      <c r="T4373">
        <v>0</v>
      </c>
      <c r="U4373">
        <v>0</v>
      </c>
      <c r="W4373" t="s">
        <v>52</v>
      </c>
    </row>
    <row r="4374" spans="1:23" x14ac:dyDescent="0.35">
      <c r="A4374" t="s">
        <v>45</v>
      </c>
      <c r="B4374" t="s">
        <v>8697</v>
      </c>
      <c r="C4374" t="s">
        <v>60</v>
      </c>
      <c r="D4374" t="s">
        <v>64</v>
      </c>
      <c r="E4374" t="s">
        <v>64</v>
      </c>
      <c r="F4374" t="s">
        <v>49</v>
      </c>
      <c r="G4374" t="s">
        <v>8780</v>
      </c>
      <c r="H4374" t="s">
        <v>8781</v>
      </c>
      <c r="J4374" t="str">
        <f>HYPERLINK("https://www.facebook.com/634639855377280/posts/766738295500768","https://www.facebook.com/634639855377280/posts/766738295500768")</f>
        <v>https://www.facebook.com/634639855377280/posts/766738295500768</v>
      </c>
      <c r="O4374">
        <v>0</v>
      </c>
      <c r="P4374">
        <v>0</v>
      </c>
      <c r="Q4374">
        <v>0</v>
      </c>
      <c r="S4374">
        <v>18</v>
      </c>
      <c r="T4374">
        <v>67</v>
      </c>
      <c r="U4374">
        <v>12</v>
      </c>
      <c r="W4374" t="s">
        <v>346</v>
      </c>
    </row>
    <row r="4375" spans="1:23" x14ac:dyDescent="0.35">
      <c r="A4375" t="s">
        <v>45</v>
      </c>
      <c r="B4375" t="s">
        <v>8697</v>
      </c>
      <c r="C4375" t="s">
        <v>47</v>
      </c>
      <c r="D4375" t="s">
        <v>8782</v>
      </c>
      <c r="E4375" t="s">
        <v>8782</v>
      </c>
      <c r="F4375" t="s">
        <v>49</v>
      </c>
      <c r="G4375" t="s">
        <v>8783</v>
      </c>
      <c r="H4375" t="s">
        <v>8784</v>
      </c>
      <c r="J4375" t="str">
        <f>HYPERLINK("https://www.youtube.com/watch?v=Uf6yrqe1M_Q","https://www.youtube.com/watch?v=Uf6yrqe1M_Q")</f>
        <v>https://www.youtube.com/watch?v=Uf6yrqe1M_Q</v>
      </c>
      <c r="O4375">
        <v>0</v>
      </c>
      <c r="P4375">
        <v>0</v>
      </c>
      <c r="Q4375">
        <v>0</v>
      </c>
      <c r="S4375">
        <v>0</v>
      </c>
      <c r="T4375">
        <v>0</v>
      </c>
      <c r="U4375">
        <v>0</v>
      </c>
      <c r="W4375" t="s">
        <v>346</v>
      </c>
    </row>
    <row r="4376" spans="1:23" x14ac:dyDescent="0.35">
      <c r="A4376" t="s">
        <v>45</v>
      </c>
      <c r="B4376" t="s">
        <v>8697</v>
      </c>
      <c r="C4376" t="s">
        <v>47</v>
      </c>
      <c r="D4376" t="s">
        <v>8785</v>
      </c>
      <c r="E4376" t="s">
        <v>8785</v>
      </c>
      <c r="F4376" t="s">
        <v>49</v>
      </c>
      <c r="G4376" t="s">
        <v>8786</v>
      </c>
      <c r="H4376" t="s">
        <v>8787</v>
      </c>
      <c r="J4376" t="str">
        <f>HYPERLINK("https://www.youtube.com/watch?v=vryirakqo_4&amp;lc=UgwxPmxQgZSW5XBvB9R4AaABAg","https://www.youtube.com/watch?v=vryirakqo_4&amp;lc=UgwxPmxQgZSW5XBvB9R4AaABAg")</f>
        <v>https://www.youtube.com/watch?v=vryirakqo_4&amp;lc=UgwxPmxQgZSW5XBvB9R4AaABAg</v>
      </c>
      <c r="O4376">
        <v>0</v>
      </c>
      <c r="P4376">
        <v>0</v>
      </c>
      <c r="Q4376">
        <v>0</v>
      </c>
      <c r="S4376">
        <v>0</v>
      </c>
      <c r="T4376">
        <v>0</v>
      </c>
      <c r="U4376">
        <v>0</v>
      </c>
      <c r="W4376" t="s">
        <v>52</v>
      </c>
    </row>
    <row r="4377" spans="1:23" x14ac:dyDescent="0.35">
      <c r="A4377" t="s">
        <v>45</v>
      </c>
      <c r="B4377" t="s">
        <v>8697</v>
      </c>
      <c r="C4377" t="s">
        <v>47</v>
      </c>
      <c r="D4377" t="s">
        <v>8785</v>
      </c>
      <c r="E4377" t="s">
        <v>8785</v>
      </c>
      <c r="F4377" t="s">
        <v>49</v>
      </c>
      <c r="G4377" t="s">
        <v>8788</v>
      </c>
      <c r="H4377" t="s">
        <v>8789</v>
      </c>
      <c r="J4377" t="str">
        <f>HYPERLINK("https://www.youtube.com/watch?v=vryirakqo_4&amp;lc=UgxRRrQmli11Pt84A-B4AaABAg","https://www.youtube.com/watch?v=vryirakqo_4&amp;lc=UgxRRrQmli11Pt84A-B4AaABAg")</f>
        <v>https://www.youtube.com/watch?v=vryirakqo_4&amp;lc=UgxRRrQmli11Pt84A-B4AaABAg</v>
      </c>
      <c r="O4377">
        <v>0</v>
      </c>
      <c r="P4377">
        <v>0</v>
      </c>
      <c r="Q4377">
        <v>0</v>
      </c>
      <c r="S4377">
        <v>0</v>
      </c>
      <c r="T4377">
        <v>0</v>
      </c>
      <c r="U4377">
        <v>0</v>
      </c>
      <c r="W4377" t="s">
        <v>52</v>
      </c>
    </row>
    <row r="4378" spans="1:23" x14ac:dyDescent="0.35">
      <c r="A4378" t="s">
        <v>45</v>
      </c>
      <c r="B4378" t="s">
        <v>8697</v>
      </c>
      <c r="C4378" t="s">
        <v>47</v>
      </c>
      <c r="D4378" t="s">
        <v>6348</v>
      </c>
      <c r="E4378" t="s">
        <v>6348</v>
      </c>
      <c r="F4378" t="s">
        <v>54</v>
      </c>
      <c r="G4378" t="s">
        <v>8790</v>
      </c>
      <c r="H4378" t="s">
        <v>8791</v>
      </c>
      <c r="J4378" t="str">
        <f>HYPERLINK("https://www.youtube.com/watch?v=vryirakqo_4&amp;lc=UgyaD4IIXPASHQKcfQx4AaABAg","https://www.youtube.com/watch?v=vryirakqo_4&amp;lc=UgyaD4IIXPASHQKcfQx4AaABAg")</f>
        <v>https://www.youtube.com/watch?v=vryirakqo_4&amp;lc=UgyaD4IIXPASHQKcfQx4AaABAg</v>
      </c>
      <c r="O4378">
        <v>0</v>
      </c>
      <c r="P4378">
        <v>0</v>
      </c>
      <c r="Q4378">
        <v>0</v>
      </c>
      <c r="S4378">
        <v>0</v>
      </c>
      <c r="T4378">
        <v>0</v>
      </c>
      <c r="U4378">
        <v>0</v>
      </c>
      <c r="W4378" t="s">
        <v>52</v>
      </c>
    </row>
    <row r="4379" spans="1:23" x14ac:dyDescent="0.35">
      <c r="A4379" t="s">
        <v>45</v>
      </c>
      <c r="B4379" t="s">
        <v>8697</v>
      </c>
      <c r="C4379" t="s">
        <v>47</v>
      </c>
      <c r="D4379" t="s">
        <v>8792</v>
      </c>
      <c r="E4379" t="s">
        <v>8792</v>
      </c>
      <c r="F4379" t="s">
        <v>54</v>
      </c>
      <c r="G4379" t="s">
        <v>8793</v>
      </c>
      <c r="H4379" t="s">
        <v>8794</v>
      </c>
      <c r="J4379" t="str">
        <f>HYPERLINK("https://www.youtube.com/watch?v=Un06w8WhYRg&amp;lc=Ugwk_BSB3tYNzjZG0Rh4AaABAg","https://www.youtube.com/watch?v=Un06w8WhYRg&amp;lc=Ugwk_BSB3tYNzjZG0Rh4AaABAg")</f>
        <v>https://www.youtube.com/watch?v=Un06w8WhYRg&amp;lc=Ugwk_BSB3tYNzjZG0Rh4AaABAg</v>
      </c>
      <c r="O4379">
        <v>0</v>
      </c>
      <c r="P4379">
        <v>0</v>
      </c>
      <c r="Q4379">
        <v>0</v>
      </c>
      <c r="S4379">
        <v>0</v>
      </c>
      <c r="T4379">
        <v>0</v>
      </c>
      <c r="U4379">
        <v>0</v>
      </c>
      <c r="W4379" t="s">
        <v>52</v>
      </c>
    </row>
    <row r="4380" spans="1:23" x14ac:dyDescent="0.35">
      <c r="A4380" t="s">
        <v>45</v>
      </c>
      <c r="B4380" t="s">
        <v>8697</v>
      </c>
      <c r="C4380" t="s">
        <v>60</v>
      </c>
      <c r="D4380" t="s">
        <v>61</v>
      </c>
      <c r="E4380" t="s">
        <v>61</v>
      </c>
      <c r="F4380" t="s">
        <v>54</v>
      </c>
      <c r="G4380" t="s">
        <v>8795</v>
      </c>
      <c r="H4380" t="s">
        <v>8796</v>
      </c>
      <c r="J4380" t="str">
        <f>HYPERLINK("https://www.facebook.com/634639855377280/posts/765118255662772?comment_id=750878126891036","https://www.facebook.com/634639855377280/posts/765118255662772?comment_id=750878126891036")</f>
        <v>https://www.facebook.com/634639855377280/posts/765118255662772?comment_id=750878126891036</v>
      </c>
      <c r="O4380">
        <v>0</v>
      </c>
      <c r="P4380">
        <v>0</v>
      </c>
      <c r="Q4380">
        <v>0</v>
      </c>
      <c r="S4380">
        <v>0</v>
      </c>
      <c r="T4380">
        <v>0</v>
      </c>
      <c r="U4380">
        <v>0</v>
      </c>
      <c r="W4380" t="s">
        <v>52</v>
      </c>
    </row>
    <row r="4381" spans="1:23" x14ac:dyDescent="0.35">
      <c r="A4381" t="s">
        <v>45</v>
      </c>
      <c r="B4381" t="s">
        <v>8697</v>
      </c>
      <c r="C4381" t="s">
        <v>47</v>
      </c>
      <c r="D4381" t="s">
        <v>8792</v>
      </c>
      <c r="E4381" t="s">
        <v>8792</v>
      </c>
      <c r="F4381" t="s">
        <v>54</v>
      </c>
      <c r="G4381" t="s">
        <v>8797</v>
      </c>
      <c r="H4381" t="s">
        <v>8798</v>
      </c>
      <c r="J4381" t="str">
        <f>HYPERLINK("https://www.youtube.com/watch?v=vryirakqo_4&amp;lc=UgxO4G4r5Apqa5TdC_14AaABAg","https://www.youtube.com/watch?v=vryirakqo_4&amp;lc=UgxO4G4r5Apqa5TdC_14AaABAg")</f>
        <v>https://www.youtube.com/watch?v=vryirakqo_4&amp;lc=UgxO4G4r5Apqa5TdC_14AaABAg</v>
      </c>
      <c r="O4381">
        <v>0</v>
      </c>
      <c r="P4381">
        <v>0</v>
      </c>
      <c r="Q4381">
        <v>0</v>
      </c>
      <c r="S4381">
        <v>0</v>
      </c>
      <c r="T4381">
        <v>0</v>
      </c>
      <c r="U4381">
        <v>0</v>
      </c>
      <c r="W4381" t="s">
        <v>52</v>
      </c>
    </row>
    <row r="4382" spans="1:23" x14ac:dyDescent="0.35">
      <c r="A4382" t="s">
        <v>45</v>
      </c>
      <c r="B4382" t="s">
        <v>8697</v>
      </c>
      <c r="C4382" t="s">
        <v>47</v>
      </c>
      <c r="D4382" t="s">
        <v>8792</v>
      </c>
      <c r="E4382" t="s">
        <v>8792</v>
      </c>
      <c r="F4382" t="s">
        <v>49</v>
      </c>
      <c r="G4382" t="s">
        <v>8799</v>
      </c>
      <c r="H4382" t="s">
        <v>8800</v>
      </c>
      <c r="J4382" t="str">
        <f>HYPERLINK("https://www.youtube.com/watch?v=vryirakqo_4&amp;lc=UgxqJm-ax5R3gX_Pi_p4AaABAg","https://www.youtube.com/watch?v=vryirakqo_4&amp;lc=UgxqJm-ax5R3gX_Pi_p4AaABAg")</f>
        <v>https://www.youtube.com/watch?v=vryirakqo_4&amp;lc=UgxqJm-ax5R3gX_Pi_p4AaABAg</v>
      </c>
      <c r="O4382">
        <v>0</v>
      </c>
      <c r="P4382">
        <v>0</v>
      </c>
      <c r="Q4382">
        <v>0</v>
      </c>
      <c r="S4382">
        <v>0</v>
      </c>
      <c r="T4382">
        <v>0</v>
      </c>
      <c r="U4382">
        <v>0</v>
      </c>
      <c r="W4382" t="s">
        <v>52</v>
      </c>
    </row>
    <row r="4383" spans="1:23" x14ac:dyDescent="0.35">
      <c r="A4383" t="s">
        <v>45</v>
      </c>
      <c r="B4383" t="s">
        <v>8697</v>
      </c>
      <c r="C4383" t="s">
        <v>47</v>
      </c>
      <c r="D4383" t="s">
        <v>6348</v>
      </c>
      <c r="E4383" t="s">
        <v>6348</v>
      </c>
      <c r="F4383" t="s">
        <v>54</v>
      </c>
      <c r="G4383" t="s">
        <v>8801</v>
      </c>
      <c r="H4383" t="s">
        <v>8802</v>
      </c>
      <c r="J4383" t="str">
        <f>HYPERLINK("https://www.youtube.com/watch?v=Un06w8WhYRg&amp;lc=Ugx6NhGeFDFchzqluZd4AaABAg","https://www.youtube.com/watch?v=Un06w8WhYRg&amp;lc=Ugx6NhGeFDFchzqluZd4AaABAg")</f>
        <v>https://www.youtube.com/watch?v=Un06w8WhYRg&amp;lc=Ugx6NhGeFDFchzqluZd4AaABAg</v>
      </c>
      <c r="O4383">
        <v>0</v>
      </c>
      <c r="P4383">
        <v>0</v>
      </c>
      <c r="Q4383">
        <v>0</v>
      </c>
      <c r="S4383">
        <v>0</v>
      </c>
      <c r="T4383">
        <v>0</v>
      </c>
      <c r="U4383">
        <v>0</v>
      </c>
      <c r="W4383" t="s">
        <v>52</v>
      </c>
    </row>
    <row r="4384" spans="1:23" x14ac:dyDescent="0.35">
      <c r="A4384" t="s">
        <v>45</v>
      </c>
      <c r="B4384" t="s">
        <v>8697</v>
      </c>
      <c r="C4384" t="s">
        <v>47</v>
      </c>
      <c r="D4384" t="s">
        <v>8803</v>
      </c>
      <c r="E4384" t="s">
        <v>8803</v>
      </c>
      <c r="F4384" t="s">
        <v>54</v>
      </c>
      <c r="G4384" t="s">
        <v>8804</v>
      </c>
      <c r="H4384" t="s">
        <v>8805</v>
      </c>
      <c r="J4384" t="str">
        <f>HYPERLINK("https://www.youtube.com/watch?v=Un06w8WhYRg&amp;lc=Ugw3xvrI_1Brey0Jd-14AaABAg","https://www.youtube.com/watch?v=Un06w8WhYRg&amp;lc=Ugw3xvrI_1Brey0Jd-14AaABAg")</f>
        <v>https://www.youtube.com/watch?v=Un06w8WhYRg&amp;lc=Ugw3xvrI_1Brey0Jd-14AaABAg</v>
      </c>
      <c r="O4384">
        <v>0</v>
      </c>
      <c r="P4384">
        <v>0</v>
      </c>
      <c r="Q4384">
        <v>0</v>
      </c>
      <c r="S4384">
        <v>0</v>
      </c>
      <c r="T4384">
        <v>0</v>
      </c>
      <c r="U4384">
        <v>0</v>
      </c>
      <c r="W4384" t="s">
        <v>52</v>
      </c>
    </row>
    <row r="4385" spans="1:23" x14ac:dyDescent="0.35">
      <c r="A4385" t="s">
        <v>45</v>
      </c>
      <c r="B4385" t="s">
        <v>8697</v>
      </c>
      <c r="C4385" t="s">
        <v>47</v>
      </c>
      <c r="D4385" t="s">
        <v>1855</v>
      </c>
      <c r="E4385" t="s">
        <v>1855</v>
      </c>
      <c r="F4385" t="s">
        <v>54</v>
      </c>
      <c r="G4385" t="s">
        <v>8806</v>
      </c>
      <c r="H4385" t="s">
        <v>8807</v>
      </c>
      <c r="J4385" t="str">
        <f>HYPERLINK("https://www.youtube.com/watch?v=vryirakqo_4&amp;lc=Ugyo12o3fKIM93EneXh4AaABAg","https://www.youtube.com/watch?v=vryirakqo_4&amp;lc=Ugyo12o3fKIM93EneXh4AaABAg")</f>
        <v>https://www.youtube.com/watch?v=vryirakqo_4&amp;lc=Ugyo12o3fKIM93EneXh4AaABAg</v>
      </c>
      <c r="O4385">
        <v>0</v>
      </c>
      <c r="P4385">
        <v>0</v>
      </c>
      <c r="Q4385">
        <v>0</v>
      </c>
      <c r="S4385">
        <v>0</v>
      </c>
      <c r="T4385">
        <v>0</v>
      </c>
      <c r="U4385">
        <v>0</v>
      </c>
      <c r="W4385" t="s">
        <v>52</v>
      </c>
    </row>
    <row r="4386" spans="1:23" x14ac:dyDescent="0.35">
      <c r="A4386" t="s">
        <v>45</v>
      </c>
      <c r="B4386" t="s">
        <v>8697</v>
      </c>
      <c r="C4386" t="s">
        <v>47</v>
      </c>
      <c r="D4386" t="s">
        <v>45</v>
      </c>
      <c r="E4386" t="s">
        <v>45</v>
      </c>
      <c r="F4386" t="s">
        <v>49</v>
      </c>
      <c r="G4386" t="s">
        <v>8808</v>
      </c>
      <c r="H4386" t="s">
        <v>8809</v>
      </c>
      <c r="J4386" t="str">
        <f>HYPERLINK("https://www.youtube.com/watch?v=Un06w8WhYRg","https://www.youtube.com/watch?v=Un06w8WhYRg")</f>
        <v>https://www.youtube.com/watch?v=Un06w8WhYRg</v>
      </c>
      <c r="O4386">
        <v>0</v>
      </c>
      <c r="P4386">
        <v>0</v>
      </c>
      <c r="Q4386">
        <v>0</v>
      </c>
      <c r="S4386">
        <v>0</v>
      </c>
      <c r="T4386">
        <v>0</v>
      </c>
      <c r="U4386">
        <v>0</v>
      </c>
      <c r="W4386" t="s">
        <v>346</v>
      </c>
    </row>
    <row r="4387" spans="1:23" x14ac:dyDescent="0.35">
      <c r="A4387" t="s">
        <v>45</v>
      </c>
      <c r="B4387" t="s">
        <v>8697</v>
      </c>
      <c r="C4387" t="s">
        <v>47</v>
      </c>
      <c r="D4387" t="s">
        <v>45</v>
      </c>
      <c r="E4387" t="s">
        <v>45</v>
      </c>
      <c r="F4387" t="s">
        <v>49</v>
      </c>
      <c r="G4387" t="s">
        <v>8810</v>
      </c>
      <c r="H4387" t="s">
        <v>8811</v>
      </c>
      <c r="J4387" t="str">
        <f>HYPERLINK("https://www.youtube.com/watch?v=vryirakqo_4","https://www.youtube.com/watch?v=vryirakqo_4")</f>
        <v>https://www.youtube.com/watch?v=vryirakqo_4</v>
      </c>
      <c r="O4387">
        <v>0</v>
      </c>
      <c r="P4387">
        <v>0</v>
      </c>
      <c r="Q4387">
        <v>0</v>
      </c>
      <c r="S4387">
        <v>0</v>
      </c>
      <c r="T4387">
        <v>0</v>
      </c>
      <c r="U4387">
        <v>0</v>
      </c>
      <c r="W4387" t="s">
        <v>346</v>
      </c>
    </row>
    <row r="4388" spans="1:23" x14ac:dyDescent="0.35">
      <c r="A4388" t="s">
        <v>45</v>
      </c>
      <c r="B4388" t="s">
        <v>8697</v>
      </c>
      <c r="C4388" t="s">
        <v>47</v>
      </c>
      <c r="D4388" t="s">
        <v>8812</v>
      </c>
      <c r="E4388" t="s">
        <v>8812</v>
      </c>
      <c r="F4388" t="s">
        <v>54</v>
      </c>
      <c r="G4388" t="s">
        <v>8813</v>
      </c>
      <c r="H4388" t="s">
        <v>8814</v>
      </c>
      <c r="J4388" t="str">
        <f>HYPERLINK("https://www.youtube.com/watch?v=Hf5OQt7rSFk","https://www.youtube.com/watch?v=Hf5OQt7rSFk")</f>
        <v>https://www.youtube.com/watch?v=Hf5OQt7rSFk</v>
      </c>
      <c r="O4388">
        <v>0</v>
      </c>
      <c r="P4388">
        <v>0</v>
      </c>
      <c r="Q4388">
        <v>0</v>
      </c>
      <c r="S4388">
        <v>0</v>
      </c>
      <c r="T4388">
        <v>0</v>
      </c>
      <c r="U4388">
        <v>0</v>
      </c>
      <c r="W4388" t="s">
        <v>346</v>
      </c>
    </row>
    <row r="4389" spans="1:23" x14ac:dyDescent="0.35">
      <c r="A4389" t="s">
        <v>45</v>
      </c>
      <c r="B4389" t="s">
        <v>8697</v>
      </c>
      <c r="C4389" t="s">
        <v>93</v>
      </c>
      <c r="D4389" t="s">
        <v>8815</v>
      </c>
      <c r="E4389" t="s">
        <v>8816</v>
      </c>
      <c r="F4389" t="s">
        <v>49</v>
      </c>
      <c r="G4389" t="s">
        <v>8817</v>
      </c>
      <c r="H4389" t="s">
        <v>8818</v>
      </c>
      <c r="J4389" t="str">
        <f>HYPERLINK("https://twitter.com/kl_suthar/status/1743129178734788723","https://twitter.com/kl_suthar/status/1743129178734788723")</f>
        <v>https://twitter.com/kl_suthar/status/1743129178734788723</v>
      </c>
      <c r="K4389" t="s">
        <v>67</v>
      </c>
      <c r="O4389">
        <v>0</v>
      </c>
      <c r="P4389">
        <v>0</v>
      </c>
      <c r="Q4389">
        <v>45</v>
      </c>
      <c r="R4389" t="s">
        <v>513</v>
      </c>
      <c r="S4389">
        <v>0</v>
      </c>
      <c r="T4389">
        <v>0</v>
      </c>
      <c r="U4389">
        <v>0</v>
      </c>
      <c r="W4389" t="s">
        <v>99</v>
      </c>
    </row>
    <row r="4390" spans="1:23" x14ac:dyDescent="0.35">
      <c r="A4390" t="s">
        <v>45</v>
      </c>
      <c r="B4390" t="s">
        <v>8697</v>
      </c>
      <c r="C4390" t="s">
        <v>47</v>
      </c>
      <c r="D4390" t="s">
        <v>8819</v>
      </c>
      <c r="E4390" t="s">
        <v>8819</v>
      </c>
      <c r="F4390" t="s">
        <v>193</v>
      </c>
      <c r="G4390" t="s">
        <v>8820</v>
      </c>
      <c r="H4390" t="s">
        <v>8821</v>
      </c>
      <c r="J4390" t="str">
        <f>HYPERLINK("https://www.youtube.com/watch?v=5DADCSRiE3A&amp;lc=UgwjY-71OpKDqKPGDQ94AaABAg","https://www.youtube.com/watch?v=5DADCSRiE3A&amp;lc=UgwjY-71OpKDqKPGDQ94AaABAg")</f>
        <v>https://www.youtube.com/watch?v=5DADCSRiE3A&amp;lc=UgwjY-71OpKDqKPGDQ94AaABAg</v>
      </c>
      <c r="O4390">
        <v>0</v>
      </c>
      <c r="P4390">
        <v>0</v>
      </c>
      <c r="Q4390">
        <v>0</v>
      </c>
      <c r="S4390">
        <v>0</v>
      </c>
      <c r="T4390">
        <v>0</v>
      </c>
      <c r="U4390">
        <v>0</v>
      </c>
      <c r="W4390" t="s">
        <v>52</v>
      </c>
    </row>
    <row r="4391" spans="1:23" x14ac:dyDescent="0.35">
      <c r="A4391" t="s">
        <v>45</v>
      </c>
      <c r="B4391" t="s">
        <v>8697</v>
      </c>
      <c r="C4391" t="s">
        <v>47</v>
      </c>
      <c r="D4391" t="s">
        <v>8819</v>
      </c>
      <c r="E4391" t="s">
        <v>8819</v>
      </c>
      <c r="F4391" t="s">
        <v>193</v>
      </c>
      <c r="G4391" t="s">
        <v>8820</v>
      </c>
      <c r="H4391" t="s">
        <v>8822</v>
      </c>
      <c r="J4391" t="str">
        <f>HYPERLINK("https://www.youtube.com/watch?v=XTFTcbg6mhQ&amp;lc=Ugy6X3Vs2hxouwT1fX94AaABAg","https://www.youtube.com/watch?v=XTFTcbg6mhQ&amp;lc=Ugy6X3Vs2hxouwT1fX94AaABAg")</f>
        <v>https://www.youtube.com/watch?v=XTFTcbg6mhQ&amp;lc=Ugy6X3Vs2hxouwT1fX94AaABAg</v>
      </c>
      <c r="O4391">
        <v>0</v>
      </c>
      <c r="P4391">
        <v>0</v>
      </c>
      <c r="Q4391">
        <v>0</v>
      </c>
      <c r="S4391">
        <v>0</v>
      </c>
      <c r="T4391">
        <v>0</v>
      </c>
      <c r="U4391">
        <v>0</v>
      </c>
      <c r="W4391" t="s">
        <v>52</v>
      </c>
    </row>
    <row r="4392" spans="1:23" x14ac:dyDescent="0.35">
      <c r="A4392" t="s">
        <v>45</v>
      </c>
      <c r="B4392" t="s">
        <v>8697</v>
      </c>
      <c r="C4392" t="s">
        <v>47</v>
      </c>
      <c r="D4392" t="s">
        <v>8819</v>
      </c>
      <c r="E4392" t="s">
        <v>8819</v>
      </c>
      <c r="F4392" t="s">
        <v>193</v>
      </c>
      <c r="G4392" t="s">
        <v>8820</v>
      </c>
      <c r="H4392" t="s">
        <v>8823</v>
      </c>
      <c r="J4392" t="str">
        <f>HYPERLINK("https://www.youtube.com/watch?v=HVIYRmL9j98&amp;lc=UgwRu1WlZx3LI7NdNkF4AaABAg","https://www.youtube.com/watch?v=HVIYRmL9j98&amp;lc=UgwRu1WlZx3LI7NdNkF4AaABAg")</f>
        <v>https://www.youtube.com/watch?v=HVIYRmL9j98&amp;lc=UgwRu1WlZx3LI7NdNkF4AaABAg</v>
      </c>
      <c r="O4392">
        <v>0</v>
      </c>
      <c r="P4392">
        <v>0</v>
      </c>
      <c r="Q4392">
        <v>0</v>
      </c>
      <c r="S4392">
        <v>0</v>
      </c>
      <c r="T4392">
        <v>0</v>
      </c>
      <c r="U4392">
        <v>0</v>
      </c>
      <c r="W4392" t="s">
        <v>52</v>
      </c>
    </row>
    <row r="4393" spans="1:23" x14ac:dyDescent="0.35">
      <c r="A4393" t="s">
        <v>45</v>
      </c>
      <c r="B4393" t="s">
        <v>8697</v>
      </c>
      <c r="C4393" t="s">
        <v>47</v>
      </c>
      <c r="D4393" t="s">
        <v>8819</v>
      </c>
      <c r="E4393" t="s">
        <v>8819</v>
      </c>
      <c r="F4393" t="s">
        <v>193</v>
      </c>
      <c r="G4393" t="s">
        <v>8820</v>
      </c>
      <c r="H4393" t="s">
        <v>8824</v>
      </c>
      <c r="J4393" t="str">
        <f>HYPERLINK("https://www.youtube.com/watch?v=8N8UZnX_JZo&amp;lc=UgxCp0KXvscLSyuxrCt4AaABAg","https://www.youtube.com/watch?v=8N8UZnX_JZo&amp;lc=UgxCp0KXvscLSyuxrCt4AaABAg")</f>
        <v>https://www.youtube.com/watch?v=8N8UZnX_JZo&amp;lc=UgxCp0KXvscLSyuxrCt4AaABAg</v>
      </c>
      <c r="O4393">
        <v>0</v>
      </c>
      <c r="P4393">
        <v>0</v>
      </c>
      <c r="Q4393">
        <v>0</v>
      </c>
      <c r="S4393">
        <v>0</v>
      </c>
      <c r="T4393">
        <v>0</v>
      </c>
      <c r="U4393">
        <v>0</v>
      </c>
      <c r="W4393" t="s">
        <v>52</v>
      </c>
    </row>
    <row r="4394" spans="1:23" x14ac:dyDescent="0.35">
      <c r="A4394" t="s">
        <v>45</v>
      </c>
      <c r="B4394" t="s">
        <v>8697</v>
      </c>
      <c r="C4394" t="s">
        <v>47</v>
      </c>
      <c r="D4394" t="s">
        <v>8819</v>
      </c>
      <c r="E4394" t="s">
        <v>8819</v>
      </c>
      <c r="F4394" t="s">
        <v>49</v>
      </c>
      <c r="G4394" t="s">
        <v>8825</v>
      </c>
      <c r="H4394" t="s">
        <v>8826</v>
      </c>
      <c r="J4394" t="str">
        <f>HYPERLINK("https://www.youtube.com/watch?v=sc2fPqZzZuE&amp;lc=Ugx3O2HPYvssgFDyBEt4AaABAg","https://www.youtube.com/watch?v=sc2fPqZzZuE&amp;lc=Ugx3O2HPYvssgFDyBEt4AaABAg")</f>
        <v>https://www.youtube.com/watch?v=sc2fPqZzZuE&amp;lc=Ugx3O2HPYvssgFDyBEt4AaABAg</v>
      </c>
      <c r="O4394">
        <v>0</v>
      </c>
      <c r="P4394">
        <v>0</v>
      </c>
      <c r="Q4394">
        <v>0</v>
      </c>
      <c r="S4394">
        <v>0</v>
      </c>
      <c r="T4394">
        <v>0</v>
      </c>
      <c r="U4394">
        <v>0</v>
      </c>
      <c r="W4394" t="s">
        <v>52</v>
      </c>
    </row>
    <row r="4395" spans="1:23" x14ac:dyDescent="0.35">
      <c r="A4395" t="s">
        <v>45</v>
      </c>
      <c r="B4395" t="s">
        <v>8697</v>
      </c>
      <c r="C4395" t="s">
        <v>47</v>
      </c>
      <c r="D4395" t="s">
        <v>8819</v>
      </c>
      <c r="E4395" t="s">
        <v>8819</v>
      </c>
      <c r="F4395" t="s">
        <v>193</v>
      </c>
      <c r="G4395" t="s">
        <v>8827</v>
      </c>
      <c r="H4395" t="s">
        <v>8828</v>
      </c>
      <c r="J4395" t="str">
        <f>HYPERLINK("https://www.youtube.com/watch?v=sc2fPqZzZuE&amp;lc=UgzRTXuin0RqHerGpOh4AaABAg","https://www.youtube.com/watch?v=sc2fPqZzZuE&amp;lc=UgzRTXuin0RqHerGpOh4AaABAg")</f>
        <v>https://www.youtube.com/watch?v=sc2fPqZzZuE&amp;lc=UgzRTXuin0RqHerGpOh4AaABAg</v>
      </c>
      <c r="O4395">
        <v>0</v>
      </c>
      <c r="P4395">
        <v>0</v>
      </c>
      <c r="Q4395">
        <v>0</v>
      </c>
      <c r="S4395">
        <v>0</v>
      </c>
      <c r="T4395">
        <v>0</v>
      </c>
      <c r="U4395">
        <v>0</v>
      </c>
      <c r="W4395" t="s">
        <v>52</v>
      </c>
    </row>
    <row r="4396" spans="1:23" x14ac:dyDescent="0.35">
      <c r="A4396" t="s">
        <v>45</v>
      </c>
      <c r="B4396" t="s">
        <v>8697</v>
      </c>
      <c r="C4396" t="s">
        <v>47</v>
      </c>
      <c r="D4396" t="s">
        <v>8819</v>
      </c>
      <c r="E4396" t="s">
        <v>8819</v>
      </c>
      <c r="F4396" t="s">
        <v>193</v>
      </c>
      <c r="G4396" t="s">
        <v>8827</v>
      </c>
      <c r="H4396" t="s">
        <v>8829</v>
      </c>
      <c r="J4396" t="str">
        <f>HYPERLINK("https://www.youtube.com/watch?v=pJw8yRpVZew&amp;lc=UgxDVfocTm3uFJzQf5Z4AaABAg","https://www.youtube.com/watch?v=pJw8yRpVZew&amp;lc=UgxDVfocTm3uFJzQf5Z4AaABAg")</f>
        <v>https://www.youtube.com/watch?v=pJw8yRpVZew&amp;lc=UgxDVfocTm3uFJzQf5Z4AaABAg</v>
      </c>
      <c r="O4396">
        <v>0</v>
      </c>
      <c r="P4396">
        <v>0</v>
      </c>
      <c r="Q4396">
        <v>0</v>
      </c>
      <c r="S4396">
        <v>0</v>
      </c>
      <c r="T4396">
        <v>0</v>
      </c>
      <c r="U4396">
        <v>0</v>
      </c>
      <c r="W4396" t="s">
        <v>52</v>
      </c>
    </row>
    <row r="4397" spans="1:23" x14ac:dyDescent="0.35">
      <c r="A4397" t="s">
        <v>45</v>
      </c>
      <c r="B4397" t="s">
        <v>8697</v>
      </c>
      <c r="C4397" t="s">
        <v>47</v>
      </c>
      <c r="D4397" t="s">
        <v>8819</v>
      </c>
      <c r="E4397" t="s">
        <v>8819</v>
      </c>
      <c r="F4397" t="s">
        <v>193</v>
      </c>
      <c r="G4397" t="s">
        <v>8827</v>
      </c>
      <c r="H4397" t="s">
        <v>8830</v>
      </c>
      <c r="J4397" t="str">
        <f>HYPERLINK("https://www.youtube.com/watch?v=IyMrUhJ7A_M&amp;lc=UgxU9ACaheqFeGXczEp4AaABAg","https://www.youtube.com/watch?v=IyMrUhJ7A_M&amp;lc=UgxU9ACaheqFeGXczEp4AaABAg")</f>
        <v>https://www.youtube.com/watch?v=IyMrUhJ7A_M&amp;lc=UgxU9ACaheqFeGXczEp4AaABAg</v>
      </c>
      <c r="O4397">
        <v>0</v>
      </c>
      <c r="P4397">
        <v>0</v>
      </c>
      <c r="Q4397">
        <v>0</v>
      </c>
      <c r="S4397">
        <v>0</v>
      </c>
      <c r="T4397">
        <v>0</v>
      </c>
      <c r="U4397">
        <v>0</v>
      </c>
      <c r="W4397" t="s">
        <v>52</v>
      </c>
    </row>
    <row r="4398" spans="1:23" x14ac:dyDescent="0.35">
      <c r="A4398" t="s">
        <v>45</v>
      </c>
      <c r="B4398" t="s">
        <v>8697</v>
      </c>
      <c r="C4398" t="s">
        <v>47</v>
      </c>
      <c r="D4398" t="s">
        <v>8819</v>
      </c>
      <c r="E4398" t="s">
        <v>8819</v>
      </c>
      <c r="F4398" t="s">
        <v>193</v>
      </c>
      <c r="G4398" t="s">
        <v>8827</v>
      </c>
      <c r="H4398" t="s">
        <v>8831</v>
      </c>
      <c r="J4398" t="str">
        <f>HYPERLINK("https://www.youtube.com/watch?v=otifGXuH01E&amp;lc=UgzeKBkf7IrzOzPEbV14AaABAg","https://www.youtube.com/watch?v=otifGXuH01E&amp;lc=UgzeKBkf7IrzOzPEbV14AaABAg")</f>
        <v>https://www.youtube.com/watch?v=otifGXuH01E&amp;lc=UgzeKBkf7IrzOzPEbV14AaABAg</v>
      </c>
      <c r="O4398">
        <v>0</v>
      </c>
      <c r="P4398">
        <v>0</v>
      </c>
      <c r="Q4398">
        <v>0</v>
      </c>
      <c r="S4398">
        <v>0</v>
      </c>
      <c r="T4398">
        <v>0</v>
      </c>
      <c r="U4398">
        <v>0</v>
      </c>
      <c r="W4398" t="s">
        <v>52</v>
      </c>
    </row>
    <row r="4399" spans="1:23" x14ac:dyDescent="0.35">
      <c r="A4399" t="s">
        <v>45</v>
      </c>
      <c r="B4399" t="s">
        <v>8697</v>
      </c>
      <c r="C4399" t="s">
        <v>47</v>
      </c>
      <c r="D4399" t="s">
        <v>8832</v>
      </c>
      <c r="E4399" t="s">
        <v>8832</v>
      </c>
      <c r="F4399" t="s">
        <v>49</v>
      </c>
      <c r="G4399" t="s">
        <v>8833</v>
      </c>
      <c r="H4399" t="s">
        <v>8834</v>
      </c>
      <c r="J4399" t="str">
        <f>HYPERLINK("https://www.youtube.com/watch?v=otifGXuH01E&amp;lc=Ugy1pXeQzcethkMjerJ4AaABAg","https://www.youtube.com/watch?v=otifGXuH01E&amp;lc=Ugy1pXeQzcethkMjerJ4AaABAg")</f>
        <v>https://www.youtube.com/watch?v=otifGXuH01E&amp;lc=Ugy1pXeQzcethkMjerJ4AaABAg</v>
      </c>
      <c r="O4399">
        <v>0</v>
      </c>
      <c r="P4399">
        <v>0</v>
      </c>
      <c r="Q4399">
        <v>0</v>
      </c>
      <c r="S4399">
        <v>0</v>
      </c>
      <c r="T4399">
        <v>0</v>
      </c>
      <c r="U4399">
        <v>0</v>
      </c>
      <c r="W4399" t="s">
        <v>52</v>
      </c>
    </row>
    <row r="4400" spans="1:23" x14ac:dyDescent="0.35">
      <c r="A4400" t="s">
        <v>45</v>
      </c>
      <c r="B4400" t="s">
        <v>8835</v>
      </c>
      <c r="C4400" t="s">
        <v>93</v>
      </c>
      <c r="D4400" t="s">
        <v>8836</v>
      </c>
      <c r="E4400" t="s">
        <v>8714</v>
      </c>
      <c r="F4400" t="s">
        <v>193</v>
      </c>
      <c r="G4400" t="s">
        <v>8837</v>
      </c>
      <c r="H4400" t="s">
        <v>8838</v>
      </c>
      <c r="J4400" t="str">
        <f>HYPERLINK("https://twitter.com/Vicky35802/status/1742958227955016162","https://twitter.com/Vicky35802/status/1742958227955016162")</f>
        <v>https://twitter.com/Vicky35802/status/1742958227955016162</v>
      </c>
      <c r="K4400" t="s">
        <v>67</v>
      </c>
      <c r="O4400">
        <v>0</v>
      </c>
      <c r="P4400">
        <v>0</v>
      </c>
      <c r="Q4400">
        <v>0</v>
      </c>
      <c r="S4400">
        <v>0</v>
      </c>
      <c r="T4400">
        <v>0</v>
      </c>
      <c r="U4400">
        <v>0</v>
      </c>
      <c r="W4400" t="s">
        <v>99</v>
      </c>
    </row>
    <row r="4401" spans="1:23" x14ac:dyDescent="0.35">
      <c r="A4401" t="s">
        <v>45</v>
      </c>
      <c r="B4401" t="s">
        <v>8835</v>
      </c>
      <c r="C4401" t="s">
        <v>60</v>
      </c>
      <c r="D4401" t="s">
        <v>61</v>
      </c>
      <c r="E4401" t="s">
        <v>61</v>
      </c>
      <c r="F4401" t="s">
        <v>49</v>
      </c>
      <c r="G4401" t="s">
        <v>8773</v>
      </c>
      <c r="H4401" t="s">
        <v>8839</v>
      </c>
      <c r="J4401" t="str">
        <f>HYPERLINK("https://www.facebook.com/634639855377280/posts/763771192464145?comment_id=1301051107259784","https://www.facebook.com/634639855377280/posts/763771192464145?comment_id=1301051107259784")</f>
        <v>https://www.facebook.com/634639855377280/posts/763771192464145?comment_id=1301051107259784</v>
      </c>
      <c r="O4401">
        <v>0</v>
      </c>
      <c r="P4401">
        <v>0</v>
      </c>
      <c r="Q4401">
        <v>0</v>
      </c>
      <c r="S4401">
        <v>0</v>
      </c>
      <c r="T4401">
        <v>0</v>
      </c>
      <c r="U4401">
        <v>0</v>
      </c>
      <c r="W4401" t="s">
        <v>52</v>
      </c>
    </row>
    <row r="4402" spans="1:23" x14ac:dyDescent="0.35">
      <c r="A4402" t="s">
        <v>45</v>
      </c>
      <c r="B4402" t="s">
        <v>8835</v>
      </c>
      <c r="C4402" t="s">
        <v>60</v>
      </c>
      <c r="D4402" t="s">
        <v>61</v>
      </c>
      <c r="E4402" t="s">
        <v>61</v>
      </c>
      <c r="F4402" t="s">
        <v>49</v>
      </c>
      <c r="G4402" t="s">
        <v>8773</v>
      </c>
      <c r="H4402" t="s">
        <v>8840</v>
      </c>
      <c r="J4402" t="str">
        <f>HYPERLINK("https://www.facebook.com/634639855377280/posts/764165905758007?comment_id=1320299785356428","https://www.facebook.com/634639855377280/posts/764165905758007?comment_id=1320299785356428")</f>
        <v>https://www.facebook.com/634639855377280/posts/764165905758007?comment_id=1320299785356428</v>
      </c>
      <c r="O4402">
        <v>0</v>
      </c>
      <c r="P4402">
        <v>0</v>
      </c>
      <c r="Q4402">
        <v>0</v>
      </c>
      <c r="S4402">
        <v>0</v>
      </c>
      <c r="T4402">
        <v>0</v>
      </c>
      <c r="U4402">
        <v>0</v>
      </c>
      <c r="W4402" t="s">
        <v>52</v>
      </c>
    </row>
    <row r="4403" spans="1:23" x14ac:dyDescent="0.35">
      <c r="A4403" t="s">
        <v>45</v>
      </c>
      <c r="B4403" t="s">
        <v>8835</v>
      </c>
      <c r="C4403" t="s">
        <v>47</v>
      </c>
      <c r="D4403" t="s">
        <v>6263</v>
      </c>
      <c r="E4403" t="s">
        <v>6263</v>
      </c>
      <c r="F4403" t="s">
        <v>193</v>
      </c>
      <c r="G4403" t="s">
        <v>8841</v>
      </c>
      <c r="H4403" t="s">
        <v>8842</v>
      </c>
      <c r="J4403" t="str">
        <f>HYPERLINK("https://www.youtube.com/watch?v=otifGXuH01E&amp;lc=Ugy1mxpE_cXy5CN4OLx4AaABAg","https://www.youtube.com/watch?v=otifGXuH01E&amp;lc=Ugy1mxpE_cXy5CN4OLx4AaABAg")</f>
        <v>https://www.youtube.com/watch?v=otifGXuH01E&amp;lc=Ugy1mxpE_cXy5CN4OLx4AaABAg</v>
      </c>
      <c r="O4403">
        <v>0</v>
      </c>
      <c r="P4403">
        <v>0</v>
      </c>
      <c r="Q4403">
        <v>0</v>
      </c>
      <c r="S4403">
        <v>0</v>
      </c>
      <c r="T4403">
        <v>0</v>
      </c>
      <c r="U4403">
        <v>0</v>
      </c>
      <c r="W4403" t="s">
        <v>52</v>
      </c>
    </row>
    <row r="4404" spans="1:23" x14ac:dyDescent="0.35">
      <c r="A4404" t="s">
        <v>45</v>
      </c>
      <c r="B4404" t="s">
        <v>8835</v>
      </c>
      <c r="C4404" t="s">
        <v>47</v>
      </c>
      <c r="D4404" t="s">
        <v>8843</v>
      </c>
      <c r="E4404" t="s">
        <v>8843</v>
      </c>
      <c r="F4404" t="s">
        <v>49</v>
      </c>
      <c r="G4404" t="s">
        <v>8844</v>
      </c>
      <c r="H4404" t="s">
        <v>8845</v>
      </c>
      <c r="J4404" t="str">
        <f>HYPERLINK("https://www.youtube.com/watch?v=q8w6W4rcdd0&amp;lc=UgxpiMbweRkujFpw-0d4AaABAg","https://www.youtube.com/watch?v=q8w6W4rcdd0&amp;lc=UgxpiMbweRkujFpw-0d4AaABAg")</f>
        <v>https://www.youtube.com/watch?v=q8w6W4rcdd0&amp;lc=UgxpiMbweRkujFpw-0d4AaABAg</v>
      </c>
      <c r="O4404">
        <v>0</v>
      </c>
      <c r="P4404">
        <v>0</v>
      </c>
      <c r="Q4404">
        <v>0</v>
      </c>
      <c r="S4404">
        <v>0</v>
      </c>
      <c r="T4404">
        <v>0</v>
      </c>
      <c r="U4404">
        <v>0</v>
      </c>
      <c r="W4404" t="s">
        <v>52</v>
      </c>
    </row>
    <row r="4405" spans="1:23" x14ac:dyDescent="0.35">
      <c r="A4405" t="s">
        <v>45</v>
      </c>
      <c r="B4405" t="s">
        <v>8835</v>
      </c>
      <c r="C4405" t="s">
        <v>47</v>
      </c>
      <c r="D4405" t="s">
        <v>4116</v>
      </c>
      <c r="E4405" t="s">
        <v>4116</v>
      </c>
      <c r="F4405" t="s">
        <v>49</v>
      </c>
      <c r="G4405" t="s">
        <v>8846</v>
      </c>
      <c r="H4405" t="s">
        <v>8847</v>
      </c>
      <c r="J4405" t="str">
        <f>HYPERLINK("https://www.youtube.com/watch?v=otifGXuH01E&amp;lc=UgzX_VZMnvwh9EVrQaR4AaABAg","https://www.youtube.com/watch?v=otifGXuH01E&amp;lc=UgzX_VZMnvwh9EVrQaR4AaABAg")</f>
        <v>https://www.youtube.com/watch?v=otifGXuH01E&amp;lc=UgzX_VZMnvwh9EVrQaR4AaABAg</v>
      </c>
      <c r="O4405">
        <v>0</v>
      </c>
      <c r="P4405">
        <v>0</v>
      </c>
      <c r="Q4405">
        <v>0</v>
      </c>
      <c r="S4405">
        <v>0</v>
      </c>
      <c r="T4405">
        <v>0</v>
      </c>
      <c r="U4405">
        <v>0</v>
      </c>
      <c r="W4405" t="s">
        <v>52</v>
      </c>
    </row>
    <row r="4406" spans="1:23" x14ac:dyDescent="0.35">
      <c r="A4406" t="s">
        <v>45</v>
      </c>
      <c r="B4406" t="s">
        <v>8835</v>
      </c>
      <c r="C4406" t="s">
        <v>47</v>
      </c>
      <c r="D4406" t="s">
        <v>8848</v>
      </c>
      <c r="E4406" t="s">
        <v>8848</v>
      </c>
      <c r="F4406" t="s">
        <v>54</v>
      </c>
      <c r="G4406" t="s">
        <v>8849</v>
      </c>
      <c r="H4406" t="s">
        <v>8850</v>
      </c>
      <c r="J4406" t="str">
        <f>HYPERLINK("https://www.youtube.com/watch?v=otifGXuH01E&amp;lc=UgyC1FV3deT6HMcOIYZ4AaABAg","https://www.youtube.com/watch?v=otifGXuH01E&amp;lc=UgyC1FV3deT6HMcOIYZ4AaABAg")</f>
        <v>https://www.youtube.com/watch?v=otifGXuH01E&amp;lc=UgyC1FV3deT6HMcOIYZ4AaABAg</v>
      </c>
      <c r="O4406">
        <v>0</v>
      </c>
      <c r="P4406">
        <v>0</v>
      </c>
      <c r="Q4406">
        <v>0</v>
      </c>
      <c r="S4406">
        <v>0</v>
      </c>
      <c r="T4406">
        <v>0</v>
      </c>
      <c r="U4406">
        <v>0</v>
      </c>
      <c r="W4406" t="s">
        <v>52</v>
      </c>
    </row>
    <row r="4407" spans="1:23" x14ac:dyDescent="0.35">
      <c r="A4407" t="s">
        <v>45</v>
      </c>
      <c r="B4407" t="s">
        <v>8835</v>
      </c>
      <c r="C4407" t="s">
        <v>47</v>
      </c>
      <c r="D4407" t="s">
        <v>8851</v>
      </c>
      <c r="E4407" t="s">
        <v>8851</v>
      </c>
      <c r="F4407" t="s">
        <v>49</v>
      </c>
      <c r="G4407" t="s">
        <v>8852</v>
      </c>
      <c r="H4407" t="s">
        <v>8853</v>
      </c>
      <c r="J4407" t="str">
        <f>HYPERLINK("https://www.youtube.com/watch?v=z58WzdIZIO8&amp;lc=UgyrYIxBzinSGuuy9Cx4AaABAg","https://www.youtube.com/watch?v=z58WzdIZIO8&amp;lc=UgyrYIxBzinSGuuy9Cx4AaABAg")</f>
        <v>https://www.youtube.com/watch?v=z58WzdIZIO8&amp;lc=UgyrYIxBzinSGuuy9Cx4AaABAg</v>
      </c>
      <c r="O4407">
        <v>0</v>
      </c>
      <c r="P4407">
        <v>0</v>
      </c>
      <c r="Q4407">
        <v>0</v>
      </c>
      <c r="S4407">
        <v>0</v>
      </c>
      <c r="T4407">
        <v>0</v>
      </c>
      <c r="U4407">
        <v>0</v>
      </c>
      <c r="W4407" t="s">
        <v>52</v>
      </c>
    </row>
    <row r="4408" spans="1:23" x14ac:dyDescent="0.35">
      <c r="A4408" t="s">
        <v>45</v>
      </c>
      <c r="B4408" t="s">
        <v>8835</v>
      </c>
      <c r="C4408" t="s">
        <v>47</v>
      </c>
      <c r="D4408" t="s">
        <v>8854</v>
      </c>
      <c r="E4408" t="s">
        <v>8854</v>
      </c>
      <c r="F4408" t="s">
        <v>49</v>
      </c>
      <c r="G4408" t="s">
        <v>8855</v>
      </c>
      <c r="H4408" t="s">
        <v>8856</v>
      </c>
      <c r="J4408" t="str">
        <f>HYPERLINK("https://www.youtube.com/watch?v=otifGXuH01E&amp;lc=UgwOVbt_6zTAbtCfhq14AaABAg","https://www.youtube.com/watch?v=otifGXuH01E&amp;lc=UgwOVbt_6zTAbtCfhq14AaABAg")</f>
        <v>https://www.youtube.com/watch?v=otifGXuH01E&amp;lc=UgwOVbt_6zTAbtCfhq14AaABAg</v>
      </c>
      <c r="O4408">
        <v>0</v>
      </c>
      <c r="P4408">
        <v>0</v>
      </c>
      <c r="Q4408">
        <v>0</v>
      </c>
      <c r="S4408">
        <v>0</v>
      </c>
      <c r="T4408">
        <v>0</v>
      </c>
      <c r="U4408">
        <v>0</v>
      </c>
      <c r="W4408" t="s">
        <v>52</v>
      </c>
    </row>
    <row r="4409" spans="1:23" x14ac:dyDescent="0.35">
      <c r="A4409" t="s">
        <v>45</v>
      </c>
      <c r="B4409" t="s">
        <v>8835</v>
      </c>
      <c r="C4409" t="s">
        <v>47</v>
      </c>
      <c r="D4409" t="s">
        <v>8854</v>
      </c>
      <c r="E4409" t="s">
        <v>8854</v>
      </c>
      <c r="F4409" t="s">
        <v>193</v>
      </c>
      <c r="G4409" t="s">
        <v>8857</v>
      </c>
      <c r="H4409" t="s">
        <v>8858</v>
      </c>
      <c r="J4409" t="str">
        <f>HYPERLINK("https://www.youtube.com/watch?v=otifGXuH01E&amp;lc=UgyWWaSHmmrW3Z14mTV4AaABAg","https://www.youtube.com/watch?v=otifGXuH01E&amp;lc=UgyWWaSHmmrW3Z14mTV4AaABAg")</f>
        <v>https://www.youtube.com/watch?v=otifGXuH01E&amp;lc=UgyWWaSHmmrW3Z14mTV4AaABAg</v>
      </c>
      <c r="O4409">
        <v>0</v>
      </c>
      <c r="P4409">
        <v>0</v>
      </c>
      <c r="Q4409">
        <v>0</v>
      </c>
      <c r="S4409">
        <v>0</v>
      </c>
      <c r="T4409">
        <v>0</v>
      </c>
      <c r="U4409">
        <v>0</v>
      </c>
      <c r="W4409" t="s">
        <v>52</v>
      </c>
    </row>
    <row r="4410" spans="1:23" x14ac:dyDescent="0.35">
      <c r="A4410" t="s">
        <v>45</v>
      </c>
      <c r="B4410" t="s">
        <v>8835</v>
      </c>
      <c r="C4410" t="s">
        <v>47</v>
      </c>
      <c r="D4410" t="s">
        <v>8859</v>
      </c>
      <c r="E4410" t="s">
        <v>8859</v>
      </c>
      <c r="F4410" t="s">
        <v>54</v>
      </c>
      <c r="G4410" t="s">
        <v>8860</v>
      </c>
      <c r="H4410" t="s">
        <v>8861</v>
      </c>
      <c r="J4410" t="str">
        <f>HYPERLINK("https://www.youtube.com/watch?v=pJw8yRpVZew&amp;lc=Ugxc4A2qGUAuK9eyPmt4AaABAg","https://www.youtube.com/watch?v=pJw8yRpVZew&amp;lc=Ugxc4A2qGUAuK9eyPmt4AaABAg")</f>
        <v>https://www.youtube.com/watch?v=pJw8yRpVZew&amp;lc=Ugxc4A2qGUAuK9eyPmt4AaABAg</v>
      </c>
      <c r="O4410">
        <v>0</v>
      </c>
      <c r="P4410">
        <v>0</v>
      </c>
      <c r="Q4410">
        <v>0</v>
      </c>
      <c r="S4410">
        <v>0</v>
      </c>
      <c r="T4410">
        <v>0</v>
      </c>
      <c r="U4410">
        <v>0</v>
      </c>
      <c r="W4410" t="s">
        <v>52</v>
      </c>
    </row>
    <row r="4411" spans="1:23" x14ac:dyDescent="0.35">
      <c r="A4411" t="s">
        <v>45</v>
      </c>
      <c r="B4411" t="s">
        <v>8835</v>
      </c>
      <c r="C4411" t="s">
        <v>93</v>
      </c>
      <c r="D4411" t="s">
        <v>7417</v>
      </c>
      <c r="E4411" t="s">
        <v>7418</v>
      </c>
      <c r="F4411" t="s">
        <v>193</v>
      </c>
      <c r="G4411" t="s">
        <v>8862</v>
      </c>
      <c r="H4411" t="s">
        <v>8863</v>
      </c>
      <c r="J4411" t="str">
        <f>HYPERLINK("https://twitter.com/Shobhitvar97831/status/1742914192980787688","https://twitter.com/Shobhitvar97831/status/1742914192980787688")</f>
        <v>https://twitter.com/Shobhitvar97831/status/1742914192980787688</v>
      </c>
      <c r="K4411" t="s">
        <v>67</v>
      </c>
      <c r="O4411">
        <v>0</v>
      </c>
      <c r="P4411">
        <v>0</v>
      </c>
      <c r="Q4411">
        <v>1</v>
      </c>
      <c r="S4411">
        <v>0</v>
      </c>
      <c r="T4411">
        <v>0</v>
      </c>
      <c r="U4411">
        <v>0</v>
      </c>
      <c r="W4411" t="s">
        <v>99</v>
      </c>
    </row>
    <row r="4412" spans="1:23" x14ac:dyDescent="0.35">
      <c r="A4412" t="s">
        <v>45</v>
      </c>
      <c r="B4412" t="s">
        <v>8835</v>
      </c>
      <c r="C4412" t="s">
        <v>47</v>
      </c>
      <c r="D4412" t="s">
        <v>8864</v>
      </c>
      <c r="E4412" t="s">
        <v>8864</v>
      </c>
      <c r="F4412" t="s">
        <v>49</v>
      </c>
      <c r="G4412" t="s">
        <v>8865</v>
      </c>
      <c r="H4412" t="s">
        <v>8866</v>
      </c>
      <c r="J4412" t="str">
        <f>HYPERLINK("https://www.youtube.com/watch?v=q8w6W4rcdd0&amp;lc=UgwHdVXrqkbzBXWE7WR4AaABAg","https://www.youtube.com/watch?v=q8w6W4rcdd0&amp;lc=UgwHdVXrqkbzBXWE7WR4AaABAg")</f>
        <v>https://www.youtube.com/watch?v=q8w6W4rcdd0&amp;lc=UgwHdVXrqkbzBXWE7WR4AaABAg</v>
      </c>
      <c r="O4412">
        <v>0</v>
      </c>
      <c r="P4412">
        <v>0</v>
      </c>
      <c r="Q4412">
        <v>0</v>
      </c>
      <c r="S4412">
        <v>0</v>
      </c>
      <c r="T4412">
        <v>0</v>
      </c>
      <c r="U4412">
        <v>0</v>
      </c>
      <c r="W4412" t="s">
        <v>52</v>
      </c>
    </row>
    <row r="4413" spans="1:23" x14ac:dyDescent="0.35">
      <c r="A4413" t="s">
        <v>45</v>
      </c>
      <c r="B4413" t="s">
        <v>8835</v>
      </c>
      <c r="C4413" t="s">
        <v>60</v>
      </c>
      <c r="D4413" t="s">
        <v>64</v>
      </c>
      <c r="E4413" t="s">
        <v>64</v>
      </c>
      <c r="F4413" t="s">
        <v>49</v>
      </c>
      <c r="H4413" t="s">
        <v>8867</v>
      </c>
      <c r="J4413" t="str">
        <f>HYPERLINK("https://www.facebook.com/634639855377280/posts/1159946804978800?substory_index=1159946804978800","https://www.facebook.com/634639855377280/posts/1159946804978800?substory_index=1159946804978800")</f>
        <v>https://www.facebook.com/634639855377280/posts/1159946804978800?substory_index=1159946804978800</v>
      </c>
      <c r="O4413">
        <v>0</v>
      </c>
      <c r="P4413">
        <v>0</v>
      </c>
      <c r="Q4413">
        <v>0</v>
      </c>
      <c r="S4413">
        <v>12</v>
      </c>
      <c r="T4413">
        <v>78</v>
      </c>
      <c r="U4413">
        <v>4</v>
      </c>
      <c r="W4413" t="s">
        <v>346</v>
      </c>
    </row>
    <row r="4414" spans="1:23" x14ac:dyDescent="0.35">
      <c r="A4414" t="s">
        <v>45</v>
      </c>
      <c r="B4414" t="s">
        <v>8835</v>
      </c>
      <c r="C4414" t="s">
        <v>47</v>
      </c>
      <c r="D4414" t="s">
        <v>8868</v>
      </c>
      <c r="E4414" t="s">
        <v>8868</v>
      </c>
      <c r="F4414" t="s">
        <v>49</v>
      </c>
      <c r="G4414" t="s">
        <v>8869</v>
      </c>
      <c r="H4414" t="s">
        <v>8870</v>
      </c>
      <c r="J4414" t="str">
        <f>HYPERLINK("https://www.youtube.com/watch?v=otifGXuH01E&amp;lc=Ugzu-rSLQUrdz9APodZ4AaABAg","https://www.youtube.com/watch?v=otifGXuH01E&amp;lc=Ugzu-rSLQUrdz9APodZ4AaABAg")</f>
        <v>https://www.youtube.com/watch?v=otifGXuH01E&amp;lc=Ugzu-rSLQUrdz9APodZ4AaABAg</v>
      </c>
      <c r="O4414">
        <v>0</v>
      </c>
      <c r="P4414">
        <v>0</v>
      </c>
      <c r="Q4414">
        <v>0</v>
      </c>
      <c r="S4414">
        <v>0</v>
      </c>
      <c r="T4414">
        <v>0</v>
      </c>
      <c r="U4414">
        <v>0</v>
      </c>
      <c r="W4414" t="s">
        <v>52</v>
      </c>
    </row>
    <row r="4415" spans="1:23" x14ac:dyDescent="0.35">
      <c r="A4415" t="s">
        <v>45</v>
      </c>
      <c r="B4415" t="s">
        <v>8835</v>
      </c>
      <c r="C4415" t="s">
        <v>47</v>
      </c>
      <c r="D4415" t="s">
        <v>8868</v>
      </c>
      <c r="E4415" t="s">
        <v>8868</v>
      </c>
      <c r="F4415" t="s">
        <v>49</v>
      </c>
      <c r="G4415" t="s">
        <v>8871</v>
      </c>
      <c r="H4415" t="s">
        <v>8872</v>
      </c>
      <c r="J4415" t="str">
        <f>HYPERLINK("https://www.youtube.com/watch?v=otifGXuH01E&amp;lc=Ugz8lgdaxUGIIGyfqSV4AaABAg","https://www.youtube.com/watch?v=otifGXuH01E&amp;lc=Ugz8lgdaxUGIIGyfqSV4AaABAg")</f>
        <v>https://www.youtube.com/watch?v=otifGXuH01E&amp;lc=Ugz8lgdaxUGIIGyfqSV4AaABAg</v>
      </c>
      <c r="O4415">
        <v>0</v>
      </c>
      <c r="P4415">
        <v>0</v>
      </c>
      <c r="Q4415">
        <v>0</v>
      </c>
      <c r="S4415">
        <v>0</v>
      </c>
      <c r="T4415">
        <v>0</v>
      </c>
      <c r="U4415">
        <v>0</v>
      </c>
      <c r="W4415" t="s">
        <v>52</v>
      </c>
    </row>
    <row r="4416" spans="1:23" x14ac:dyDescent="0.35">
      <c r="A4416" t="s">
        <v>45</v>
      </c>
      <c r="B4416" t="s">
        <v>8835</v>
      </c>
      <c r="C4416" t="s">
        <v>47</v>
      </c>
      <c r="D4416" t="s">
        <v>8873</v>
      </c>
      <c r="E4416" t="s">
        <v>8873</v>
      </c>
      <c r="F4416" t="s">
        <v>49</v>
      </c>
      <c r="G4416" t="s">
        <v>8874</v>
      </c>
      <c r="H4416" t="s">
        <v>8875</v>
      </c>
      <c r="J4416" t="str">
        <f>HYPERLINK("https://www.youtube.com/watch?v=wDVpKG8jfSo&amp;lc=UgyXOZgDXWrTiUGeu3t4AaABAg","https://www.youtube.com/watch?v=wDVpKG8jfSo&amp;lc=UgyXOZgDXWrTiUGeu3t4AaABAg")</f>
        <v>https://www.youtube.com/watch?v=wDVpKG8jfSo&amp;lc=UgyXOZgDXWrTiUGeu3t4AaABAg</v>
      </c>
      <c r="O4416">
        <v>0</v>
      </c>
      <c r="P4416">
        <v>0</v>
      </c>
      <c r="Q4416">
        <v>0</v>
      </c>
      <c r="S4416">
        <v>0</v>
      </c>
      <c r="T4416">
        <v>0</v>
      </c>
      <c r="U4416">
        <v>0</v>
      </c>
      <c r="W4416" t="s">
        <v>52</v>
      </c>
    </row>
    <row r="4417" spans="1:23" x14ac:dyDescent="0.35">
      <c r="A4417" t="s">
        <v>45</v>
      </c>
      <c r="B4417" t="s">
        <v>8835</v>
      </c>
      <c r="C4417" t="s">
        <v>47</v>
      </c>
      <c r="D4417" t="s">
        <v>45</v>
      </c>
      <c r="E4417" t="s">
        <v>45</v>
      </c>
      <c r="F4417" t="s">
        <v>49</v>
      </c>
      <c r="G4417" t="s">
        <v>8810</v>
      </c>
      <c r="H4417" t="s">
        <v>8876</v>
      </c>
      <c r="J4417" t="str">
        <f>HYPERLINK("https://www.youtube.com/watch?v=vryirakqo_4","https://www.youtube.com/watch?v=vryirakqo_4")</f>
        <v>https://www.youtube.com/watch?v=vryirakqo_4</v>
      </c>
      <c r="O4417">
        <v>0</v>
      </c>
      <c r="P4417">
        <v>0</v>
      </c>
      <c r="Q4417">
        <v>0</v>
      </c>
      <c r="S4417">
        <v>0</v>
      </c>
      <c r="T4417">
        <v>0</v>
      </c>
      <c r="U4417">
        <v>0</v>
      </c>
      <c r="W4417" t="s">
        <v>346</v>
      </c>
    </row>
    <row r="4418" spans="1:23" x14ac:dyDescent="0.35">
      <c r="A4418" t="s">
        <v>45</v>
      </c>
      <c r="B4418" t="s">
        <v>8835</v>
      </c>
      <c r="C4418" t="s">
        <v>47</v>
      </c>
      <c r="D4418" t="s">
        <v>45</v>
      </c>
      <c r="E4418" t="s">
        <v>45</v>
      </c>
      <c r="F4418" t="s">
        <v>49</v>
      </c>
      <c r="G4418" t="s">
        <v>8808</v>
      </c>
      <c r="H4418" t="s">
        <v>8877</v>
      </c>
      <c r="J4418" t="str">
        <f>HYPERLINK("https://www.youtube.com/watch?v=Un06w8WhYRg","https://www.youtube.com/watch?v=Un06w8WhYRg")</f>
        <v>https://www.youtube.com/watch?v=Un06w8WhYRg</v>
      </c>
      <c r="O4418">
        <v>0</v>
      </c>
      <c r="P4418">
        <v>0</v>
      </c>
      <c r="Q4418">
        <v>0</v>
      </c>
      <c r="S4418">
        <v>0</v>
      </c>
      <c r="T4418">
        <v>0</v>
      </c>
      <c r="U4418">
        <v>0</v>
      </c>
      <c r="W4418" t="s">
        <v>346</v>
      </c>
    </row>
    <row r="4419" spans="1:23" x14ac:dyDescent="0.35">
      <c r="A4419" t="s">
        <v>45</v>
      </c>
      <c r="B4419" t="s">
        <v>8835</v>
      </c>
      <c r="C4419" t="s">
        <v>47</v>
      </c>
      <c r="D4419" t="s">
        <v>8878</v>
      </c>
      <c r="E4419" t="s">
        <v>8878</v>
      </c>
      <c r="F4419" t="s">
        <v>49</v>
      </c>
      <c r="G4419" t="s">
        <v>8879</v>
      </c>
      <c r="H4419" t="s">
        <v>8880</v>
      </c>
      <c r="J4419" t="str">
        <f>HYPERLINK("https://www.youtube.com/watch?v=otifGXuH01E&amp;lc=Ugx0hH1tlThf18FRxq14AaABAg","https://www.youtube.com/watch?v=otifGXuH01E&amp;lc=Ugx0hH1tlThf18FRxq14AaABAg")</f>
        <v>https://www.youtube.com/watch?v=otifGXuH01E&amp;lc=Ugx0hH1tlThf18FRxq14AaABAg</v>
      </c>
      <c r="O4419">
        <v>0</v>
      </c>
      <c r="P4419">
        <v>0</v>
      </c>
      <c r="Q4419">
        <v>0</v>
      </c>
      <c r="S4419">
        <v>0</v>
      </c>
      <c r="T4419">
        <v>0</v>
      </c>
      <c r="U4419">
        <v>0</v>
      </c>
      <c r="W4419" t="s">
        <v>52</v>
      </c>
    </row>
    <row r="4420" spans="1:23" x14ac:dyDescent="0.35">
      <c r="A4420" t="s">
        <v>45</v>
      </c>
      <c r="B4420" t="s">
        <v>8835</v>
      </c>
      <c r="C4420" t="s">
        <v>47</v>
      </c>
      <c r="D4420" t="s">
        <v>8878</v>
      </c>
      <c r="E4420" t="s">
        <v>8878</v>
      </c>
      <c r="F4420" t="s">
        <v>49</v>
      </c>
      <c r="G4420" t="s">
        <v>8881</v>
      </c>
      <c r="H4420" t="s">
        <v>8882</v>
      </c>
      <c r="J4420" t="str">
        <f>HYPERLINK("https://www.youtube.com/watch?v=otifGXuH01E&amp;lc=UgysqOyR5GCM-IptyzV4AaABAg","https://www.youtube.com/watch?v=otifGXuH01E&amp;lc=UgysqOyR5GCM-IptyzV4AaABAg")</f>
        <v>https://www.youtube.com/watch?v=otifGXuH01E&amp;lc=UgysqOyR5GCM-IptyzV4AaABAg</v>
      </c>
      <c r="O4420">
        <v>0</v>
      </c>
      <c r="P4420">
        <v>0</v>
      </c>
      <c r="Q4420">
        <v>0</v>
      </c>
      <c r="S4420">
        <v>0</v>
      </c>
      <c r="T4420">
        <v>0</v>
      </c>
      <c r="U4420">
        <v>0</v>
      </c>
      <c r="W4420" t="s">
        <v>52</v>
      </c>
    </row>
    <row r="4421" spans="1:23" x14ac:dyDescent="0.35">
      <c r="A4421" t="s">
        <v>45</v>
      </c>
      <c r="B4421" t="s">
        <v>8835</v>
      </c>
      <c r="C4421" t="s">
        <v>47</v>
      </c>
      <c r="D4421" t="s">
        <v>8878</v>
      </c>
      <c r="E4421" t="s">
        <v>8878</v>
      </c>
      <c r="F4421" t="s">
        <v>49</v>
      </c>
      <c r="G4421" t="s">
        <v>7183</v>
      </c>
      <c r="H4421" t="s">
        <v>8883</v>
      </c>
      <c r="J4421" t="str">
        <f>HYPERLINK("https://www.youtube.com/watch?v=otifGXuH01E&amp;lc=UgzDZQVYjwwFPv7urp54AaABAg","https://www.youtube.com/watch?v=otifGXuH01E&amp;lc=UgzDZQVYjwwFPv7urp54AaABAg")</f>
        <v>https://www.youtube.com/watch?v=otifGXuH01E&amp;lc=UgzDZQVYjwwFPv7urp54AaABAg</v>
      </c>
      <c r="O4421">
        <v>0</v>
      </c>
      <c r="P4421">
        <v>0</v>
      </c>
      <c r="Q4421">
        <v>0</v>
      </c>
      <c r="S4421">
        <v>0</v>
      </c>
      <c r="T4421">
        <v>0</v>
      </c>
      <c r="U4421">
        <v>0</v>
      </c>
      <c r="W4421" t="s">
        <v>52</v>
      </c>
    </row>
    <row r="4422" spans="1:23" x14ac:dyDescent="0.35">
      <c r="A4422" t="s">
        <v>45</v>
      </c>
      <c r="B4422" t="s">
        <v>8835</v>
      </c>
      <c r="C4422" t="s">
        <v>47</v>
      </c>
      <c r="D4422" t="s">
        <v>8884</v>
      </c>
      <c r="E4422" t="s">
        <v>8884</v>
      </c>
      <c r="F4422" t="s">
        <v>49</v>
      </c>
      <c r="G4422" t="s">
        <v>8885</v>
      </c>
      <c r="H4422" t="s">
        <v>8886</v>
      </c>
      <c r="J4422" t="str">
        <f>HYPERLINK("https://www.youtube.com/watch?v=pJw8yRpVZew&amp;lc=Ugysja3fIkgpYooAcap4AaABAg","https://www.youtube.com/watch?v=pJw8yRpVZew&amp;lc=Ugysja3fIkgpYooAcap4AaABAg")</f>
        <v>https://www.youtube.com/watch?v=pJw8yRpVZew&amp;lc=Ugysja3fIkgpYooAcap4AaABAg</v>
      </c>
      <c r="O4422">
        <v>0</v>
      </c>
      <c r="P4422">
        <v>0</v>
      </c>
      <c r="Q4422">
        <v>0</v>
      </c>
      <c r="S4422">
        <v>0</v>
      </c>
      <c r="T4422">
        <v>0</v>
      </c>
      <c r="U4422">
        <v>0</v>
      </c>
      <c r="W4422" t="s">
        <v>52</v>
      </c>
    </row>
    <row r="4423" spans="1:23" x14ac:dyDescent="0.35">
      <c r="A4423" t="s">
        <v>45</v>
      </c>
      <c r="B4423" t="s">
        <v>8835</v>
      </c>
      <c r="C4423" t="s">
        <v>47</v>
      </c>
      <c r="D4423" t="s">
        <v>8884</v>
      </c>
      <c r="E4423" t="s">
        <v>8884</v>
      </c>
      <c r="F4423" t="s">
        <v>54</v>
      </c>
      <c r="G4423" t="s">
        <v>8887</v>
      </c>
      <c r="H4423" t="s">
        <v>8888</v>
      </c>
      <c r="J4423" t="str">
        <f>HYPERLINK("https://www.youtube.com/watch?v=pJw8yRpVZew&amp;lc=UgziYSKhhGJ2Xw_7MDF4AaABAg","https://www.youtube.com/watch?v=pJw8yRpVZew&amp;lc=UgziYSKhhGJ2Xw_7MDF4AaABAg")</f>
        <v>https://www.youtube.com/watch?v=pJw8yRpVZew&amp;lc=UgziYSKhhGJ2Xw_7MDF4AaABAg</v>
      </c>
      <c r="O4423">
        <v>0</v>
      </c>
      <c r="P4423">
        <v>0</v>
      </c>
      <c r="Q4423">
        <v>0</v>
      </c>
      <c r="S4423">
        <v>0</v>
      </c>
      <c r="T4423">
        <v>0</v>
      </c>
      <c r="U4423">
        <v>0</v>
      </c>
      <c r="W4423" t="s">
        <v>52</v>
      </c>
    </row>
    <row r="4424" spans="1:23" x14ac:dyDescent="0.35">
      <c r="A4424" t="s">
        <v>45</v>
      </c>
      <c r="B4424" t="s">
        <v>8835</v>
      </c>
      <c r="C4424" t="s">
        <v>60</v>
      </c>
      <c r="D4424" t="s">
        <v>61</v>
      </c>
      <c r="E4424" t="s">
        <v>61</v>
      </c>
      <c r="F4424" t="s">
        <v>49</v>
      </c>
      <c r="G4424" t="s">
        <v>8889</v>
      </c>
      <c r="H4424" t="s">
        <v>8890</v>
      </c>
      <c r="J4424" t="str">
        <f>HYPERLINK("https://www.facebook.com/634639855377280/posts/763771192464145?comment_id=341520318643168","https://www.facebook.com/634639855377280/posts/763771192464145?comment_id=341520318643168")</f>
        <v>https://www.facebook.com/634639855377280/posts/763771192464145?comment_id=341520318643168</v>
      </c>
      <c r="O4424">
        <v>0</v>
      </c>
      <c r="P4424">
        <v>0</v>
      </c>
      <c r="Q4424">
        <v>0</v>
      </c>
      <c r="S4424">
        <v>0</v>
      </c>
      <c r="T4424">
        <v>0</v>
      </c>
      <c r="U4424">
        <v>0</v>
      </c>
      <c r="W4424" t="s">
        <v>52</v>
      </c>
    </row>
    <row r="4425" spans="1:23" x14ac:dyDescent="0.35">
      <c r="A4425" t="s">
        <v>45</v>
      </c>
      <c r="B4425" t="s">
        <v>8835</v>
      </c>
      <c r="C4425" t="s">
        <v>60</v>
      </c>
      <c r="D4425" t="s">
        <v>61</v>
      </c>
      <c r="E4425" t="s">
        <v>61</v>
      </c>
      <c r="F4425" t="s">
        <v>49</v>
      </c>
      <c r="G4425" t="s">
        <v>8889</v>
      </c>
      <c r="H4425" t="s">
        <v>8891</v>
      </c>
      <c r="J4425" t="str">
        <f>HYPERLINK("https://www.facebook.com/634639855377280/posts/764165905758007?comment_id=357524887013424","https://www.facebook.com/634639855377280/posts/764165905758007?comment_id=357524887013424")</f>
        <v>https://www.facebook.com/634639855377280/posts/764165905758007?comment_id=357524887013424</v>
      </c>
      <c r="O4425">
        <v>0</v>
      </c>
      <c r="P4425">
        <v>0</v>
      </c>
      <c r="Q4425">
        <v>0</v>
      </c>
      <c r="S4425">
        <v>0</v>
      </c>
      <c r="T4425">
        <v>0</v>
      </c>
      <c r="U4425">
        <v>0</v>
      </c>
      <c r="W4425" t="s">
        <v>52</v>
      </c>
    </row>
    <row r="4426" spans="1:23" x14ac:dyDescent="0.35">
      <c r="A4426" t="s">
        <v>45</v>
      </c>
      <c r="B4426" t="s">
        <v>8835</v>
      </c>
      <c r="C4426" t="s">
        <v>60</v>
      </c>
      <c r="D4426" t="s">
        <v>61</v>
      </c>
      <c r="E4426" t="s">
        <v>61</v>
      </c>
      <c r="F4426" t="s">
        <v>49</v>
      </c>
      <c r="G4426" t="s">
        <v>8773</v>
      </c>
      <c r="H4426" t="s">
        <v>8892</v>
      </c>
      <c r="J4426" t="str">
        <f>HYPERLINK("https://www.facebook.com/634639855377280/posts/764165905758007?comment_id=849416503651609","https://www.facebook.com/634639855377280/posts/764165905758007?comment_id=849416503651609")</f>
        <v>https://www.facebook.com/634639855377280/posts/764165905758007?comment_id=849416503651609</v>
      </c>
      <c r="O4426">
        <v>0</v>
      </c>
      <c r="P4426">
        <v>0</v>
      </c>
      <c r="Q4426">
        <v>0</v>
      </c>
      <c r="S4426">
        <v>0</v>
      </c>
      <c r="T4426">
        <v>0</v>
      </c>
      <c r="U4426">
        <v>0</v>
      </c>
      <c r="W4426" t="s">
        <v>52</v>
      </c>
    </row>
    <row r="4427" spans="1:23" x14ac:dyDescent="0.35">
      <c r="A4427" t="s">
        <v>45</v>
      </c>
      <c r="B4427" t="s">
        <v>8835</v>
      </c>
      <c r="C4427" t="s">
        <v>60</v>
      </c>
      <c r="D4427" t="s">
        <v>61</v>
      </c>
      <c r="E4427" t="s">
        <v>61</v>
      </c>
      <c r="F4427" t="s">
        <v>49</v>
      </c>
      <c r="G4427" t="s">
        <v>8773</v>
      </c>
      <c r="H4427" t="s">
        <v>8893</v>
      </c>
      <c r="J4427" t="str">
        <f>HYPERLINK("https://www.facebook.com/634639855377280/posts/765234932317771?comment_id=1601312317349079","https://www.facebook.com/634639855377280/posts/765234932317771?comment_id=1601312317349079")</f>
        <v>https://www.facebook.com/634639855377280/posts/765234932317771?comment_id=1601312317349079</v>
      </c>
      <c r="O4427">
        <v>0</v>
      </c>
      <c r="P4427">
        <v>0</v>
      </c>
      <c r="Q4427">
        <v>0</v>
      </c>
      <c r="S4427">
        <v>0</v>
      </c>
      <c r="T4427">
        <v>0</v>
      </c>
      <c r="U4427">
        <v>0</v>
      </c>
      <c r="W4427" t="s">
        <v>52</v>
      </c>
    </row>
    <row r="4428" spans="1:23" x14ac:dyDescent="0.35">
      <c r="A4428" t="s">
        <v>45</v>
      </c>
      <c r="B4428" t="s">
        <v>8835</v>
      </c>
      <c r="C4428" t="s">
        <v>47</v>
      </c>
      <c r="D4428" t="s">
        <v>8782</v>
      </c>
      <c r="E4428" t="s">
        <v>8782</v>
      </c>
      <c r="F4428" t="s">
        <v>49</v>
      </c>
      <c r="G4428" t="s">
        <v>8894</v>
      </c>
      <c r="H4428" t="s">
        <v>8895</v>
      </c>
      <c r="J4428" t="str">
        <f>HYPERLINK("https://www.youtube.com/watch?v=h1J99UU0yoA","https://www.youtube.com/watch?v=h1J99UU0yoA")</f>
        <v>https://www.youtube.com/watch?v=h1J99UU0yoA</v>
      </c>
      <c r="O4428">
        <v>0</v>
      </c>
      <c r="P4428">
        <v>0</v>
      </c>
      <c r="Q4428">
        <v>0</v>
      </c>
      <c r="S4428">
        <v>0</v>
      </c>
      <c r="T4428">
        <v>0</v>
      </c>
      <c r="U4428">
        <v>0</v>
      </c>
      <c r="W4428" t="s">
        <v>346</v>
      </c>
    </row>
    <row r="4429" spans="1:23" x14ac:dyDescent="0.35">
      <c r="A4429" t="s">
        <v>45</v>
      </c>
      <c r="B4429" t="s">
        <v>8835</v>
      </c>
      <c r="C4429" t="s">
        <v>60</v>
      </c>
      <c r="D4429" t="s">
        <v>61</v>
      </c>
      <c r="E4429" t="s">
        <v>61</v>
      </c>
      <c r="F4429" t="s">
        <v>49</v>
      </c>
      <c r="G4429" t="s">
        <v>8896</v>
      </c>
      <c r="H4429" t="s">
        <v>8897</v>
      </c>
      <c r="J4429" t="str">
        <f>HYPERLINK("https://www.facebook.com/634639855377280/posts/765118255662772?comment_id=1029194341496531","https://www.facebook.com/634639855377280/posts/765118255662772?comment_id=1029194341496531")</f>
        <v>https://www.facebook.com/634639855377280/posts/765118255662772?comment_id=1029194341496531</v>
      </c>
      <c r="O4429">
        <v>0</v>
      </c>
      <c r="P4429">
        <v>0</v>
      </c>
      <c r="Q4429">
        <v>0</v>
      </c>
      <c r="S4429">
        <v>0</v>
      </c>
      <c r="T4429">
        <v>0</v>
      </c>
      <c r="U4429">
        <v>0</v>
      </c>
      <c r="W4429" t="s">
        <v>52</v>
      </c>
    </row>
    <row r="4430" spans="1:23" x14ac:dyDescent="0.35">
      <c r="A4430" t="s">
        <v>45</v>
      </c>
      <c r="B4430" t="s">
        <v>8835</v>
      </c>
      <c r="C4430" t="s">
        <v>47</v>
      </c>
      <c r="D4430" t="s">
        <v>8782</v>
      </c>
      <c r="E4430" t="s">
        <v>8782</v>
      </c>
      <c r="F4430" t="s">
        <v>49</v>
      </c>
      <c r="G4430" t="s">
        <v>8898</v>
      </c>
      <c r="H4430" t="s">
        <v>8899</v>
      </c>
      <c r="J4430" t="str">
        <f>HYPERLINK("https://www.youtube.com/watch?v=-NJNuRVluGU","https://www.youtube.com/watch?v=-NJNuRVluGU")</f>
        <v>https://www.youtube.com/watch?v=-NJNuRVluGU</v>
      </c>
      <c r="O4430">
        <v>0</v>
      </c>
      <c r="P4430">
        <v>0</v>
      </c>
      <c r="Q4430">
        <v>0</v>
      </c>
      <c r="S4430">
        <v>0</v>
      </c>
      <c r="T4430">
        <v>0</v>
      </c>
      <c r="U4430">
        <v>0</v>
      </c>
      <c r="W4430" t="s">
        <v>346</v>
      </c>
    </row>
    <row r="4431" spans="1:23" x14ac:dyDescent="0.35">
      <c r="A4431" t="s">
        <v>45</v>
      </c>
      <c r="B4431" t="s">
        <v>8835</v>
      </c>
      <c r="C4431" t="s">
        <v>47</v>
      </c>
      <c r="D4431" t="s">
        <v>8900</v>
      </c>
      <c r="E4431" t="s">
        <v>8900</v>
      </c>
      <c r="F4431" t="s">
        <v>54</v>
      </c>
      <c r="G4431" t="s">
        <v>8901</v>
      </c>
      <c r="H4431" t="s">
        <v>8902</v>
      </c>
      <c r="J4431" t="str">
        <f>HYPERLINK("https://www.youtube.com/watch?v=otifGXuH01E&amp;lc=UgwWpkZVzrni_zWXD_14AaABAg","https://www.youtube.com/watch?v=otifGXuH01E&amp;lc=UgwWpkZVzrni_zWXD_14AaABAg")</f>
        <v>https://www.youtube.com/watch?v=otifGXuH01E&amp;lc=UgwWpkZVzrni_zWXD_14AaABAg</v>
      </c>
      <c r="O4431">
        <v>0</v>
      </c>
      <c r="P4431">
        <v>0</v>
      </c>
      <c r="Q4431">
        <v>0</v>
      </c>
      <c r="S4431">
        <v>0</v>
      </c>
      <c r="T4431">
        <v>0</v>
      </c>
      <c r="U4431">
        <v>0</v>
      </c>
      <c r="W4431" t="s">
        <v>52</v>
      </c>
    </row>
    <row r="4432" spans="1:23" x14ac:dyDescent="0.35">
      <c r="A4432" t="s">
        <v>45</v>
      </c>
      <c r="B4432" t="s">
        <v>8835</v>
      </c>
      <c r="C4432" t="s">
        <v>93</v>
      </c>
      <c r="D4432" t="s">
        <v>7483</v>
      </c>
      <c r="E4432" t="s">
        <v>7484</v>
      </c>
      <c r="F4432" t="s">
        <v>49</v>
      </c>
      <c r="G4432" t="s">
        <v>8903</v>
      </c>
      <c r="H4432" t="s">
        <v>8904</v>
      </c>
      <c r="J4432" t="str">
        <f>HYPERLINK("https://twitter.com/Abhisheksa44246/status/1742783989600194588","https://twitter.com/Abhisheksa44246/status/1742783989600194588")</f>
        <v>https://twitter.com/Abhisheksa44246/status/1742783989600194588</v>
      </c>
      <c r="K4432" t="s">
        <v>67</v>
      </c>
      <c r="O4432">
        <v>0</v>
      </c>
      <c r="P4432">
        <v>0</v>
      </c>
      <c r="Q4432">
        <v>0</v>
      </c>
      <c r="S4432">
        <v>0</v>
      </c>
      <c r="T4432">
        <v>0</v>
      </c>
      <c r="U4432">
        <v>0</v>
      </c>
      <c r="W4432" t="s">
        <v>99</v>
      </c>
    </row>
    <row r="4433" spans="1:23" x14ac:dyDescent="0.35">
      <c r="A4433" t="s">
        <v>45</v>
      </c>
      <c r="B4433" t="s">
        <v>8835</v>
      </c>
      <c r="C4433" t="s">
        <v>47</v>
      </c>
      <c r="D4433" t="s">
        <v>8905</v>
      </c>
      <c r="E4433" t="s">
        <v>8905</v>
      </c>
      <c r="F4433" t="s">
        <v>49</v>
      </c>
      <c r="G4433" t="s">
        <v>8906</v>
      </c>
      <c r="H4433" t="s">
        <v>8907</v>
      </c>
      <c r="J4433" t="str">
        <f>HYPERLINK("https://www.youtube.com/watch?v=VTvaYdJp4pk","https://www.youtube.com/watch?v=VTvaYdJp4pk")</f>
        <v>https://www.youtube.com/watch?v=VTvaYdJp4pk</v>
      </c>
      <c r="O4433">
        <v>0</v>
      </c>
      <c r="P4433">
        <v>0</v>
      </c>
      <c r="Q4433">
        <v>0</v>
      </c>
      <c r="S4433">
        <v>0</v>
      </c>
      <c r="T4433">
        <v>0</v>
      </c>
      <c r="U4433">
        <v>0</v>
      </c>
      <c r="W4433" t="s">
        <v>346</v>
      </c>
    </row>
    <row r="4434" spans="1:23" x14ac:dyDescent="0.35">
      <c r="A4434" t="s">
        <v>45</v>
      </c>
      <c r="B4434" t="s">
        <v>8835</v>
      </c>
      <c r="C4434" t="s">
        <v>47</v>
      </c>
      <c r="D4434" t="s">
        <v>8908</v>
      </c>
      <c r="E4434" t="s">
        <v>8908</v>
      </c>
      <c r="F4434" t="s">
        <v>49</v>
      </c>
      <c r="G4434" t="s">
        <v>8909</v>
      </c>
      <c r="H4434" t="s">
        <v>8910</v>
      </c>
      <c r="J4434" t="str">
        <f>HYPERLINK("https://www.youtube.com/watch?v=rgsAoM1lDTo","https://www.youtube.com/watch?v=rgsAoM1lDTo")</f>
        <v>https://www.youtube.com/watch?v=rgsAoM1lDTo</v>
      </c>
      <c r="O4434">
        <v>0</v>
      </c>
      <c r="P4434">
        <v>0</v>
      </c>
      <c r="Q4434">
        <v>0</v>
      </c>
      <c r="S4434">
        <v>0</v>
      </c>
      <c r="T4434">
        <v>0</v>
      </c>
      <c r="U4434">
        <v>0</v>
      </c>
      <c r="W4434" t="s">
        <v>346</v>
      </c>
    </row>
    <row r="4435" spans="1:23" x14ac:dyDescent="0.35">
      <c r="A4435" t="s">
        <v>45</v>
      </c>
      <c r="B4435" t="s">
        <v>8835</v>
      </c>
      <c r="C4435" t="s">
        <v>60</v>
      </c>
      <c r="D4435" t="s">
        <v>61</v>
      </c>
      <c r="E4435" t="s">
        <v>61</v>
      </c>
      <c r="F4435" t="s">
        <v>49</v>
      </c>
      <c r="G4435" t="s">
        <v>8911</v>
      </c>
      <c r="H4435" t="s">
        <v>8912</v>
      </c>
      <c r="J4435" t="str">
        <f>HYPERLINK("https://www.facebook.com/634639855377280/posts/763267945847803?comment_id=2435341663317363","https://www.facebook.com/634639855377280/posts/763267945847803?comment_id=2435341663317363")</f>
        <v>https://www.facebook.com/634639855377280/posts/763267945847803?comment_id=2435341663317363</v>
      </c>
      <c r="O4435">
        <v>0</v>
      </c>
      <c r="P4435">
        <v>0</v>
      </c>
      <c r="Q4435">
        <v>0</v>
      </c>
      <c r="S4435">
        <v>0</v>
      </c>
      <c r="T4435">
        <v>0</v>
      </c>
      <c r="U4435">
        <v>0</v>
      </c>
      <c r="W4435" t="s">
        <v>52</v>
      </c>
    </row>
    <row r="4436" spans="1:23" x14ac:dyDescent="0.35">
      <c r="A4436" t="s">
        <v>45</v>
      </c>
      <c r="B4436" t="s">
        <v>8835</v>
      </c>
      <c r="C4436" t="s">
        <v>60</v>
      </c>
      <c r="D4436" t="s">
        <v>61</v>
      </c>
      <c r="E4436" t="s">
        <v>61</v>
      </c>
      <c r="F4436" t="s">
        <v>49</v>
      </c>
      <c r="G4436" t="s">
        <v>8761</v>
      </c>
      <c r="H4436" t="s">
        <v>8913</v>
      </c>
      <c r="J4436" t="str">
        <f>HYPERLINK("https://www.facebook.com/634639855377280/posts/763771192464145?comment_id=1372975683357139","https://www.facebook.com/634639855377280/posts/763771192464145?comment_id=1372975683357139")</f>
        <v>https://www.facebook.com/634639855377280/posts/763771192464145?comment_id=1372975683357139</v>
      </c>
      <c r="O4436">
        <v>0</v>
      </c>
      <c r="P4436">
        <v>0</v>
      </c>
      <c r="Q4436">
        <v>0</v>
      </c>
      <c r="S4436">
        <v>0</v>
      </c>
      <c r="T4436">
        <v>0</v>
      </c>
      <c r="U4436">
        <v>0</v>
      </c>
      <c r="W4436" t="s">
        <v>52</v>
      </c>
    </row>
    <row r="4437" spans="1:23" x14ac:dyDescent="0.35">
      <c r="A4437" t="s">
        <v>45</v>
      </c>
      <c r="B4437" t="s">
        <v>8835</v>
      </c>
      <c r="C4437" t="s">
        <v>47</v>
      </c>
      <c r="D4437" t="s">
        <v>45</v>
      </c>
      <c r="E4437" t="s">
        <v>45</v>
      </c>
      <c r="F4437" t="s">
        <v>49</v>
      </c>
      <c r="G4437" t="s">
        <v>8914</v>
      </c>
      <c r="H4437" t="s">
        <v>8915</v>
      </c>
      <c r="J4437" t="str">
        <f>HYPERLINK("https://www.youtube.com/watch?v=otifGXuH01E","https://www.youtube.com/watch?v=otifGXuH01E")</f>
        <v>https://www.youtube.com/watch?v=otifGXuH01E</v>
      </c>
      <c r="O4437">
        <v>0</v>
      </c>
      <c r="P4437">
        <v>0</v>
      </c>
      <c r="Q4437">
        <v>0</v>
      </c>
      <c r="S4437">
        <v>0</v>
      </c>
      <c r="T4437">
        <v>0</v>
      </c>
      <c r="U4437">
        <v>0</v>
      </c>
      <c r="W4437" t="s">
        <v>346</v>
      </c>
    </row>
    <row r="4438" spans="1:23" x14ac:dyDescent="0.35">
      <c r="A4438" t="s">
        <v>45</v>
      </c>
      <c r="B4438" t="s">
        <v>8916</v>
      </c>
      <c r="C4438" t="s">
        <v>60</v>
      </c>
      <c r="D4438" t="s">
        <v>61</v>
      </c>
      <c r="E4438" t="s">
        <v>61</v>
      </c>
      <c r="F4438" t="s">
        <v>49</v>
      </c>
      <c r="G4438" t="s">
        <v>8896</v>
      </c>
      <c r="H4438" t="s">
        <v>8917</v>
      </c>
      <c r="J4438" t="str">
        <f>HYPERLINK("https://www.facebook.com/634639855377280/posts/765118255662772?comment_id=6339717092795734","https://www.facebook.com/634639855377280/posts/765118255662772?comment_id=6339717092795734")</f>
        <v>https://www.facebook.com/634639855377280/posts/765118255662772?comment_id=6339717092795734</v>
      </c>
      <c r="O4438">
        <v>0</v>
      </c>
      <c r="P4438">
        <v>0</v>
      </c>
      <c r="Q4438">
        <v>0</v>
      </c>
      <c r="S4438">
        <v>0</v>
      </c>
      <c r="T4438">
        <v>0</v>
      </c>
      <c r="U4438">
        <v>0</v>
      </c>
      <c r="W4438" t="s">
        <v>52</v>
      </c>
    </row>
    <row r="4439" spans="1:23" x14ac:dyDescent="0.35">
      <c r="A4439" t="s">
        <v>45</v>
      </c>
      <c r="B4439" t="s">
        <v>8916</v>
      </c>
      <c r="C4439" t="s">
        <v>47</v>
      </c>
      <c r="D4439" t="s">
        <v>8918</v>
      </c>
      <c r="E4439" t="s">
        <v>8918</v>
      </c>
      <c r="F4439" t="s">
        <v>49</v>
      </c>
      <c r="G4439" t="s">
        <v>8919</v>
      </c>
      <c r="H4439" t="s">
        <v>8920</v>
      </c>
      <c r="J4439" t="str">
        <f>HYPERLINK("https://www.youtube.com/watch?v=pJw8yRpVZew&amp;lc=UgzqkrDgTJi4NAx1fal4AaABAg","https://www.youtube.com/watch?v=pJw8yRpVZew&amp;lc=UgzqkrDgTJi4NAx1fal4AaABAg")</f>
        <v>https://www.youtube.com/watch?v=pJw8yRpVZew&amp;lc=UgzqkrDgTJi4NAx1fal4AaABAg</v>
      </c>
      <c r="O4439">
        <v>0</v>
      </c>
      <c r="P4439">
        <v>0</v>
      </c>
      <c r="Q4439">
        <v>0</v>
      </c>
      <c r="S4439">
        <v>0</v>
      </c>
      <c r="T4439">
        <v>0</v>
      </c>
      <c r="U4439">
        <v>0</v>
      </c>
      <c r="W4439" t="s">
        <v>52</v>
      </c>
    </row>
    <row r="4440" spans="1:23" x14ac:dyDescent="0.35">
      <c r="A4440" t="s">
        <v>45</v>
      </c>
      <c r="B4440" t="s">
        <v>8916</v>
      </c>
      <c r="C4440" t="s">
        <v>47</v>
      </c>
      <c r="D4440" t="s">
        <v>8921</v>
      </c>
      <c r="E4440" t="s">
        <v>8921</v>
      </c>
      <c r="F4440" t="s">
        <v>49</v>
      </c>
      <c r="G4440" t="s">
        <v>8922</v>
      </c>
      <c r="H4440" t="s">
        <v>8923</v>
      </c>
      <c r="J4440" t="str">
        <f>HYPERLINK("https://www.youtube.com/watch?v=otifGXuH01E&amp;lc=UgzvqAwiPltnfqO9hTV4AaABAg","https://www.youtube.com/watch?v=otifGXuH01E&amp;lc=UgzvqAwiPltnfqO9hTV4AaABAg")</f>
        <v>https://www.youtube.com/watch?v=otifGXuH01E&amp;lc=UgzvqAwiPltnfqO9hTV4AaABAg</v>
      </c>
      <c r="O4440">
        <v>0</v>
      </c>
      <c r="P4440">
        <v>0</v>
      </c>
      <c r="Q4440">
        <v>0</v>
      </c>
      <c r="S4440">
        <v>0</v>
      </c>
      <c r="T4440">
        <v>0</v>
      </c>
      <c r="U4440">
        <v>0</v>
      </c>
      <c r="W4440" t="s">
        <v>52</v>
      </c>
    </row>
    <row r="4441" spans="1:23" x14ac:dyDescent="0.35">
      <c r="A4441" t="s">
        <v>45</v>
      </c>
      <c r="B4441" t="s">
        <v>8916</v>
      </c>
      <c r="C4441" t="s">
        <v>60</v>
      </c>
      <c r="D4441" t="s">
        <v>61</v>
      </c>
      <c r="E4441" t="s">
        <v>61</v>
      </c>
      <c r="F4441" t="s">
        <v>193</v>
      </c>
      <c r="G4441" t="s">
        <v>8924</v>
      </c>
      <c r="H4441" t="s">
        <v>8925</v>
      </c>
      <c r="J4441" t="str">
        <f>HYPERLINK("https://www.facebook.com/634639855377280/posts/765234932317771?comment_id=1514930932683841","https://www.facebook.com/634639855377280/posts/765234932317771?comment_id=1514930932683841")</f>
        <v>https://www.facebook.com/634639855377280/posts/765234932317771?comment_id=1514930932683841</v>
      </c>
      <c r="O4441">
        <v>0</v>
      </c>
      <c r="P4441">
        <v>0</v>
      </c>
      <c r="Q4441">
        <v>0</v>
      </c>
      <c r="S4441">
        <v>0</v>
      </c>
      <c r="T4441">
        <v>0</v>
      </c>
      <c r="U4441">
        <v>0</v>
      </c>
      <c r="W4441" t="s">
        <v>52</v>
      </c>
    </row>
    <row r="4442" spans="1:23" x14ac:dyDescent="0.35">
      <c r="A4442" t="s">
        <v>45</v>
      </c>
      <c r="B4442" t="s">
        <v>8916</v>
      </c>
      <c r="C4442" t="s">
        <v>47</v>
      </c>
      <c r="D4442" t="s">
        <v>8926</v>
      </c>
      <c r="E4442" t="s">
        <v>8926</v>
      </c>
      <c r="F4442" t="s">
        <v>49</v>
      </c>
      <c r="G4442" t="s">
        <v>8927</v>
      </c>
      <c r="H4442" t="s">
        <v>8928</v>
      </c>
      <c r="J4442" t="str">
        <f>HYPERLINK("https://www.youtube.com/watch?v=otifGXuH01E&amp;lc=Ugy1cQ_ba1B_WlP3R3p4AaABAg","https://www.youtube.com/watch?v=otifGXuH01E&amp;lc=Ugy1cQ_ba1B_WlP3R3p4AaABAg")</f>
        <v>https://www.youtube.com/watch?v=otifGXuH01E&amp;lc=Ugy1cQ_ba1B_WlP3R3p4AaABAg</v>
      </c>
      <c r="O4442">
        <v>0</v>
      </c>
      <c r="P4442">
        <v>0</v>
      </c>
      <c r="Q4442">
        <v>0</v>
      </c>
      <c r="S4442">
        <v>0</v>
      </c>
      <c r="T4442">
        <v>0</v>
      </c>
      <c r="U4442">
        <v>0</v>
      </c>
      <c r="W4442" t="s">
        <v>52</v>
      </c>
    </row>
    <row r="4443" spans="1:23" x14ac:dyDescent="0.35">
      <c r="A4443" t="s">
        <v>45</v>
      </c>
      <c r="B4443" t="s">
        <v>8916</v>
      </c>
      <c r="C4443" t="s">
        <v>47</v>
      </c>
      <c r="D4443" t="s">
        <v>8926</v>
      </c>
      <c r="E4443" t="s">
        <v>8926</v>
      </c>
      <c r="F4443" t="s">
        <v>49</v>
      </c>
      <c r="G4443" t="s">
        <v>8929</v>
      </c>
      <c r="H4443" t="s">
        <v>8930</v>
      </c>
      <c r="J4443" t="str">
        <f>HYPERLINK("https://www.youtube.com/watch?v=otifGXuH01E&amp;lc=UgyNdhZE8y95OXvVjNV4AaABAg","https://www.youtube.com/watch?v=otifGXuH01E&amp;lc=UgyNdhZE8y95OXvVjNV4AaABAg")</f>
        <v>https://www.youtube.com/watch?v=otifGXuH01E&amp;lc=UgyNdhZE8y95OXvVjNV4AaABAg</v>
      </c>
      <c r="O4443">
        <v>0</v>
      </c>
      <c r="P4443">
        <v>0</v>
      </c>
      <c r="Q4443">
        <v>0</v>
      </c>
      <c r="S4443">
        <v>0</v>
      </c>
      <c r="T4443">
        <v>0</v>
      </c>
      <c r="U4443">
        <v>0</v>
      </c>
      <c r="W4443" t="s">
        <v>52</v>
      </c>
    </row>
    <row r="4444" spans="1:23" x14ac:dyDescent="0.35">
      <c r="A4444" t="s">
        <v>45</v>
      </c>
      <c r="B4444" t="s">
        <v>8916</v>
      </c>
      <c r="C4444" t="s">
        <v>47</v>
      </c>
      <c r="D4444" t="s">
        <v>8931</v>
      </c>
      <c r="E4444" t="s">
        <v>8931</v>
      </c>
      <c r="F4444" t="s">
        <v>193</v>
      </c>
      <c r="G4444" t="s">
        <v>8932</v>
      </c>
      <c r="H4444" t="s">
        <v>8933</v>
      </c>
      <c r="J4444" t="str">
        <f>HYPERLINK("https://www.youtube.com/watch?v=pJw8yRpVZew&amp;lc=UgwFsvzt5nnHi1_xzSF4AaABAg","https://www.youtube.com/watch?v=pJw8yRpVZew&amp;lc=UgwFsvzt5nnHi1_xzSF4AaABAg")</f>
        <v>https://www.youtube.com/watch?v=pJw8yRpVZew&amp;lc=UgwFsvzt5nnHi1_xzSF4AaABAg</v>
      </c>
      <c r="O4444">
        <v>0</v>
      </c>
      <c r="P4444">
        <v>0</v>
      </c>
      <c r="Q4444">
        <v>0</v>
      </c>
      <c r="S4444">
        <v>0</v>
      </c>
      <c r="T4444">
        <v>0</v>
      </c>
      <c r="U4444">
        <v>0</v>
      </c>
      <c r="W4444" t="s">
        <v>52</v>
      </c>
    </row>
    <row r="4445" spans="1:23" x14ac:dyDescent="0.35">
      <c r="A4445" t="s">
        <v>45</v>
      </c>
      <c r="B4445" t="s">
        <v>8916</v>
      </c>
      <c r="C4445" t="s">
        <v>47</v>
      </c>
      <c r="D4445" t="s">
        <v>8934</v>
      </c>
      <c r="E4445" t="s">
        <v>8934</v>
      </c>
      <c r="F4445" t="s">
        <v>49</v>
      </c>
      <c r="G4445" t="s">
        <v>8935</v>
      </c>
      <c r="H4445" t="s">
        <v>8936</v>
      </c>
      <c r="J4445" t="str">
        <f>HYPERLINK("https://www.youtube.com/watch?v=otifGXuH01E&amp;lc=UgwN535EwT0QStlijeh4AaABAg","https://www.youtube.com/watch?v=otifGXuH01E&amp;lc=UgwN535EwT0QStlijeh4AaABAg")</f>
        <v>https://www.youtube.com/watch?v=otifGXuH01E&amp;lc=UgwN535EwT0QStlijeh4AaABAg</v>
      </c>
      <c r="O4445">
        <v>0</v>
      </c>
      <c r="P4445">
        <v>0</v>
      </c>
      <c r="Q4445">
        <v>0</v>
      </c>
      <c r="S4445">
        <v>0</v>
      </c>
      <c r="T4445">
        <v>0</v>
      </c>
      <c r="U4445">
        <v>0</v>
      </c>
      <c r="W4445" t="s">
        <v>52</v>
      </c>
    </row>
    <row r="4446" spans="1:23" x14ac:dyDescent="0.35">
      <c r="A4446" t="s">
        <v>45</v>
      </c>
      <c r="B4446" t="s">
        <v>8916</v>
      </c>
      <c r="C4446" t="s">
        <v>47</v>
      </c>
      <c r="D4446" t="s">
        <v>8937</v>
      </c>
      <c r="E4446" t="s">
        <v>8937</v>
      </c>
      <c r="F4446" t="s">
        <v>49</v>
      </c>
      <c r="G4446" t="s">
        <v>8938</v>
      </c>
      <c r="H4446" t="s">
        <v>8939</v>
      </c>
      <c r="J4446" t="str">
        <f>HYPERLINK("https://www.youtube.com/watch?v=otifGXuH01E&amp;lc=UgzHdXg6w-sCtltRiyB4AaABAg","https://www.youtube.com/watch?v=otifGXuH01E&amp;lc=UgzHdXg6w-sCtltRiyB4AaABAg")</f>
        <v>https://www.youtube.com/watch?v=otifGXuH01E&amp;lc=UgzHdXg6w-sCtltRiyB4AaABAg</v>
      </c>
      <c r="O4446">
        <v>0</v>
      </c>
      <c r="P4446">
        <v>0</v>
      </c>
      <c r="Q4446">
        <v>0</v>
      </c>
      <c r="S4446">
        <v>0</v>
      </c>
      <c r="T4446">
        <v>0</v>
      </c>
      <c r="U4446">
        <v>0</v>
      </c>
      <c r="W4446" t="s">
        <v>52</v>
      </c>
    </row>
    <row r="4447" spans="1:23" x14ac:dyDescent="0.35">
      <c r="A4447" t="s">
        <v>45</v>
      </c>
      <c r="B4447" t="s">
        <v>8916</v>
      </c>
      <c r="C4447" t="s">
        <v>60</v>
      </c>
      <c r="D4447" t="s">
        <v>61</v>
      </c>
      <c r="E4447" t="s">
        <v>61</v>
      </c>
      <c r="F4447" t="s">
        <v>49</v>
      </c>
      <c r="G4447" t="s">
        <v>8940</v>
      </c>
      <c r="H4447" t="s">
        <v>8941</v>
      </c>
      <c r="J4447" t="str">
        <f>HYPERLINK("https://www.facebook.com/634639855377280/posts/765234932317771?comment_id=1059127315130045","https://www.facebook.com/634639855377280/posts/765234932317771?comment_id=1059127315130045")</f>
        <v>https://www.facebook.com/634639855377280/posts/765234932317771?comment_id=1059127315130045</v>
      </c>
      <c r="O4447">
        <v>0</v>
      </c>
      <c r="P4447">
        <v>0</v>
      </c>
      <c r="Q4447">
        <v>0</v>
      </c>
      <c r="S4447">
        <v>0</v>
      </c>
      <c r="T4447">
        <v>0</v>
      </c>
      <c r="U4447">
        <v>0</v>
      </c>
      <c r="W4447" t="s">
        <v>52</v>
      </c>
    </row>
    <row r="4448" spans="1:23" x14ac:dyDescent="0.35">
      <c r="A4448" t="s">
        <v>45</v>
      </c>
      <c r="B4448" t="s">
        <v>8916</v>
      </c>
      <c r="C4448" t="s">
        <v>47</v>
      </c>
      <c r="D4448" t="s">
        <v>8942</v>
      </c>
      <c r="E4448" t="s">
        <v>8942</v>
      </c>
      <c r="F4448" t="s">
        <v>49</v>
      </c>
      <c r="G4448" t="s">
        <v>8943</v>
      </c>
      <c r="H4448" t="s">
        <v>8944</v>
      </c>
      <c r="J4448" t="str">
        <f>HYPERLINK("https://www.youtube.com/watch?v=otifGXuH01E&amp;lc=Ugzequ1hkoktIMWmDg14AaABAg.9z6Rj-gbiWX9z6YvifjU_k","https://www.youtube.com/watch?v=otifGXuH01E&amp;lc=Ugzequ1hkoktIMWmDg14AaABAg.9z6Rj-gbiWX9z6YvifjU_k")</f>
        <v>https://www.youtube.com/watch?v=otifGXuH01E&amp;lc=Ugzequ1hkoktIMWmDg14AaABAg.9z6Rj-gbiWX9z6YvifjU_k</v>
      </c>
      <c r="O4448">
        <v>0</v>
      </c>
      <c r="P4448">
        <v>0</v>
      </c>
      <c r="Q4448">
        <v>0</v>
      </c>
      <c r="S4448">
        <v>0</v>
      </c>
      <c r="T4448">
        <v>0</v>
      </c>
      <c r="U4448">
        <v>0</v>
      </c>
      <c r="W4448" t="s">
        <v>52</v>
      </c>
    </row>
    <row r="4449" spans="1:23" x14ac:dyDescent="0.35">
      <c r="A4449" t="s">
        <v>45</v>
      </c>
      <c r="B4449" t="s">
        <v>8916</v>
      </c>
      <c r="C4449" t="s">
        <v>47</v>
      </c>
      <c r="D4449" t="s">
        <v>8945</v>
      </c>
      <c r="E4449" t="s">
        <v>8945</v>
      </c>
      <c r="F4449" t="s">
        <v>49</v>
      </c>
      <c r="G4449">
        <v>250</v>
      </c>
      <c r="H4449" t="s">
        <v>8946</v>
      </c>
      <c r="J4449" t="str">
        <f>HYPERLINK("https://www.youtube.com/watch?v=otifGXuH01E&amp;lc=Ugzequ1hkoktIMWmDg14AaABAg.9z6Rj-gbiWX9z6YdxRybF8","https://www.youtube.com/watch?v=otifGXuH01E&amp;lc=Ugzequ1hkoktIMWmDg14AaABAg.9z6Rj-gbiWX9z6YdxRybF8")</f>
        <v>https://www.youtube.com/watch?v=otifGXuH01E&amp;lc=Ugzequ1hkoktIMWmDg14AaABAg.9z6Rj-gbiWX9z6YdxRybF8</v>
      </c>
      <c r="O4449">
        <v>0</v>
      </c>
      <c r="P4449">
        <v>0</v>
      </c>
      <c r="Q4449">
        <v>0</v>
      </c>
      <c r="S4449">
        <v>0</v>
      </c>
      <c r="T4449">
        <v>0</v>
      </c>
      <c r="U4449">
        <v>0</v>
      </c>
      <c r="W4449" t="s">
        <v>52</v>
      </c>
    </row>
    <row r="4450" spans="1:23" x14ac:dyDescent="0.35">
      <c r="A4450" t="s">
        <v>45</v>
      </c>
      <c r="B4450" t="s">
        <v>8916</v>
      </c>
      <c r="C4450" t="s">
        <v>47</v>
      </c>
      <c r="D4450" t="s">
        <v>1016</v>
      </c>
      <c r="E4450" t="s">
        <v>1016</v>
      </c>
      <c r="F4450" t="s">
        <v>49</v>
      </c>
      <c r="G4450" t="s">
        <v>8947</v>
      </c>
      <c r="H4450" t="s">
        <v>8948</v>
      </c>
      <c r="J4450" t="str">
        <f>HYPERLINK("https://www.youtube.com/watch?v=otifGXuH01E&amp;lc=UgwvPSgRVhpiVe0KTWJ4AaABAg","https://www.youtube.com/watch?v=otifGXuH01E&amp;lc=UgwvPSgRVhpiVe0KTWJ4AaABAg")</f>
        <v>https://www.youtube.com/watch?v=otifGXuH01E&amp;lc=UgwvPSgRVhpiVe0KTWJ4AaABAg</v>
      </c>
      <c r="O4450">
        <v>0</v>
      </c>
      <c r="P4450">
        <v>0</v>
      </c>
      <c r="Q4450">
        <v>0</v>
      </c>
      <c r="S4450">
        <v>0</v>
      </c>
      <c r="T4450">
        <v>0</v>
      </c>
      <c r="U4450">
        <v>0</v>
      </c>
      <c r="W4450" t="s">
        <v>52</v>
      </c>
    </row>
    <row r="4451" spans="1:23" x14ac:dyDescent="0.35">
      <c r="A4451" t="s">
        <v>45</v>
      </c>
      <c r="B4451" t="s">
        <v>8916</v>
      </c>
      <c r="C4451" t="s">
        <v>93</v>
      </c>
      <c r="D4451" t="s">
        <v>8949</v>
      </c>
      <c r="E4451" t="s">
        <v>8950</v>
      </c>
      <c r="F4451" t="s">
        <v>49</v>
      </c>
      <c r="G4451" t="s">
        <v>8951</v>
      </c>
      <c r="H4451" t="s">
        <v>8952</v>
      </c>
      <c r="J4451" t="str">
        <f>HYPERLINK("https://twitter.com/sonudil143/status/1742546861192319363","https://twitter.com/sonudil143/status/1742546861192319363")</f>
        <v>https://twitter.com/sonudil143/status/1742546861192319363</v>
      </c>
      <c r="O4451">
        <v>0</v>
      </c>
      <c r="P4451">
        <v>0</v>
      </c>
      <c r="Q4451">
        <v>10</v>
      </c>
      <c r="R4451" t="s">
        <v>513</v>
      </c>
      <c r="S4451">
        <v>0</v>
      </c>
      <c r="T4451">
        <v>0</v>
      </c>
      <c r="U4451">
        <v>0</v>
      </c>
      <c r="W4451" t="s">
        <v>99</v>
      </c>
    </row>
    <row r="4452" spans="1:23" x14ac:dyDescent="0.35">
      <c r="A4452" t="s">
        <v>45</v>
      </c>
      <c r="B4452" t="s">
        <v>8916</v>
      </c>
      <c r="C4452" t="s">
        <v>47</v>
      </c>
      <c r="D4452" t="s">
        <v>8953</v>
      </c>
      <c r="E4452" t="s">
        <v>8953</v>
      </c>
      <c r="F4452" t="s">
        <v>49</v>
      </c>
      <c r="G4452" t="s">
        <v>8954</v>
      </c>
      <c r="H4452" t="s">
        <v>8955</v>
      </c>
      <c r="J4452" t="str">
        <f>HYPERLINK("https://www.youtube.com/watch?v=otifGXuH01E&amp;lc=UgzX84Xmbm06YmeX0_t4AaABAg","https://www.youtube.com/watch?v=otifGXuH01E&amp;lc=UgzX84Xmbm06YmeX0_t4AaABAg")</f>
        <v>https://www.youtube.com/watch?v=otifGXuH01E&amp;lc=UgzX84Xmbm06YmeX0_t4AaABAg</v>
      </c>
      <c r="O4452">
        <v>0</v>
      </c>
      <c r="P4452">
        <v>0</v>
      </c>
      <c r="Q4452">
        <v>0</v>
      </c>
      <c r="S4452">
        <v>0</v>
      </c>
      <c r="T4452">
        <v>0</v>
      </c>
      <c r="U4452">
        <v>0</v>
      </c>
      <c r="W4452" t="s">
        <v>52</v>
      </c>
    </row>
    <row r="4453" spans="1:23" x14ac:dyDescent="0.35">
      <c r="A4453" t="s">
        <v>45</v>
      </c>
      <c r="B4453" t="s">
        <v>8916</v>
      </c>
      <c r="C4453" t="s">
        <v>47</v>
      </c>
      <c r="D4453" t="s">
        <v>8956</v>
      </c>
      <c r="E4453" t="s">
        <v>8956</v>
      </c>
      <c r="F4453" t="s">
        <v>49</v>
      </c>
      <c r="G4453" t="s">
        <v>8957</v>
      </c>
      <c r="H4453" t="s">
        <v>8958</v>
      </c>
      <c r="J4453" t="str">
        <f>HYPERLINK("https://www.youtube.com/watch?v=otifGXuH01E&amp;lc=Ugzequ1hkoktIMWmDg14AaABAg","https://www.youtube.com/watch?v=otifGXuH01E&amp;lc=Ugzequ1hkoktIMWmDg14AaABAg")</f>
        <v>https://www.youtube.com/watch?v=otifGXuH01E&amp;lc=Ugzequ1hkoktIMWmDg14AaABAg</v>
      </c>
      <c r="O4453">
        <v>0</v>
      </c>
      <c r="P4453">
        <v>0</v>
      </c>
      <c r="Q4453">
        <v>0</v>
      </c>
      <c r="S4453">
        <v>0</v>
      </c>
      <c r="T4453">
        <v>0</v>
      </c>
      <c r="U4453">
        <v>0</v>
      </c>
      <c r="W4453" t="s">
        <v>52</v>
      </c>
    </row>
    <row r="4454" spans="1:23" x14ac:dyDescent="0.35">
      <c r="A4454" t="s">
        <v>45</v>
      </c>
      <c r="B4454" t="s">
        <v>8916</v>
      </c>
      <c r="C4454" t="s">
        <v>60</v>
      </c>
      <c r="D4454" t="s">
        <v>8959</v>
      </c>
      <c r="E4454" t="s">
        <v>8959</v>
      </c>
      <c r="F4454" t="s">
        <v>49</v>
      </c>
      <c r="G4454" t="s">
        <v>8960</v>
      </c>
      <c r="H4454" t="s">
        <v>8961</v>
      </c>
      <c r="J4454" t="str">
        <f>HYPERLINK("https://www.facebook.com/634639855377280/posts/765234932317771?comment_id=670047551866858&amp;reply_comment_id=1054972149154363","https://www.facebook.com/634639855377280/posts/765234932317771?comment_id=670047551866858&amp;reply_comment_id=1054972149154363")</f>
        <v>https://www.facebook.com/634639855377280/posts/765234932317771?comment_id=670047551866858&amp;reply_comment_id=1054972149154363</v>
      </c>
      <c r="O4454">
        <v>0</v>
      </c>
      <c r="P4454">
        <v>0</v>
      </c>
      <c r="Q4454">
        <v>0</v>
      </c>
      <c r="S4454">
        <v>0</v>
      </c>
      <c r="T4454">
        <v>0</v>
      </c>
      <c r="U4454">
        <v>0</v>
      </c>
      <c r="W4454" t="s">
        <v>52</v>
      </c>
    </row>
    <row r="4455" spans="1:23" x14ac:dyDescent="0.35">
      <c r="A4455" t="s">
        <v>45</v>
      </c>
      <c r="B4455" t="s">
        <v>8916</v>
      </c>
      <c r="C4455" t="s">
        <v>47</v>
      </c>
      <c r="D4455" t="s">
        <v>68</v>
      </c>
      <c r="E4455" t="s">
        <v>68</v>
      </c>
      <c r="F4455" t="s">
        <v>49</v>
      </c>
      <c r="G4455" t="s">
        <v>270</v>
      </c>
      <c r="H4455" t="s">
        <v>8962</v>
      </c>
      <c r="J4455" t="str">
        <f>HYPERLINK("https://www.youtube.com/watch?v=pJw8yRpVZew&amp;lc=UgyJuu3Z6ZyhgYvN9Jp4AaABAg.9z6D3wrb_k39z6Q6izDn9r","https://www.youtube.com/watch?v=pJw8yRpVZew&amp;lc=UgyJuu3Z6ZyhgYvN9Jp4AaABAg.9z6D3wrb_k39z6Q6izDn9r")</f>
        <v>https://www.youtube.com/watch?v=pJw8yRpVZew&amp;lc=UgyJuu3Z6ZyhgYvN9Jp4AaABAg.9z6D3wrb_k39z6Q6izDn9r</v>
      </c>
      <c r="O4455">
        <v>0</v>
      </c>
      <c r="P4455">
        <v>0</v>
      </c>
      <c r="Q4455">
        <v>0</v>
      </c>
      <c r="S4455">
        <v>0</v>
      </c>
      <c r="T4455">
        <v>0</v>
      </c>
      <c r="U4455">
        <v>0</v>
      </c>
      <c r="W4455" t="s">
        <v>52</v>
      </c>
    </row>
    <row r="4456" spans="1:23" x14ac:dyDescent="0.35">
      <c r="A4456" t="s">
        <v>45</v>
      </c>
      <c r="B4456" t="s">
        <v>8916</v>
      </c>
      <c r="C4456" t="s">
        <v>60</v>
      </c>
      <c r="D4456" t="s">
        <v>64</v>
      </c>
      <c r="E4456" t="s">
        <v>64</v>
      </c>
      <c r="F4456" t="s">
        <v>49</v>
      </c>
      <c r="G4456" t="s">
        <v>270</v>
      </c>
      <c r="H4456" t="s">
        <v>8963</v>
      </c>
      <c r="J4456" t="str">
        <f>HYPERLINK("https://www.facebook.com/634639855377280/posts/765234932317771?comment_id=670047551866858&amp;reply_comment_id=7200920236639106","https://www.facebook.com/634639855377280/posts/765234932317771?comment_id=670047551866858&amp;reply_comment_id=7200920236639106")</f>
        <v>https://www.facebook.com/634639855377280/posts/765234932317771?comment_id=670047551866858&amp;reply_comment_id=7200920236639106</v>
      </c>
      <c r="K4456" t="s">
        <v>67</v>
      </c>
      <c r="O4456">
        <v>0</v>
      </c>
      <c r="P4456">
        <v>0</v>
      </c>
      <c r="Q4456">
        <v>0</v>
      </c>
      <c r="S4456">
        <v>0</v>
      </c>
      <c r="T4456">
        <v>0</v>
      </c>
      <c r="U4456">
        <v>0</v>
      </c>
      <c r="W4456" t="s">
        <v>52</v>
      </c>
    </row>
    <row r="4457" spans="1:23" x14ac:dyDescent="0.35">
      <c r="A4457" t="s">
        <v>45</v>
      </c>
      <c r="B4457" t="s">
        <v>8916</v>
      </c>
      <c r="C4457" t="s">
        <v>60</v>
      </c>
      <c r="D4457" t="s">
        <v>8959</v>
      </c>
      <c r="E4457" t="s">
        <v>8959</v>
      </c>
      <c r="F4457" t="s">
        <v>49</v>
      </c>
      <c r="G4457" t="s">
        <v>8964</v>
      </c>
      <c r="H4457" t="s">
        <v>8965</v>
      </c>
      <c r="J4457" t="str">
        <f>HYPERLINK("https://www.facebook.com/634639855377280/posts/765234932317771?comment_id=670047551866858","https://www.facebook.com/634639855377280/posts/765234932317771?comment_id=670047551866858")</f>
        <v>https://www.facebook.com/634639855377280/posts/765234932317771?comment_id=670047551866858</v>
      </c>
      <c r="O4457">
        <v>0</v>
      </c>
      <c r="P4457">
        <v>0</v>
      </c>
      <c r="Q4457">
        <v>0</v>
      </c>
      <c r="S4457">
        <v>0</v>
      </c>
      <c r="T4457">
        <v>0</v>
      </c>
      <c r="U4457">
        <v>0</v>
      </c>
      <c r="W4457" t="s">
        <v>52</v>
      </c>
    </row>
    <row r="4458" spans="1:23" x14ac:dyDescent="0.35">
      <c r="A4458" t="s">
        <v>45</v>
      </c>
      <c r="B4458" t="s">
        <v>8916</v>
      </c>
      <c r="C4458" t="s">
        <v>60</v>
      </c>
      <c r="D4458" t="s">
        <v>8959</v>
      </c>
      <c r="E4458" t="s">
        <v>8959</v>
      </c>
      <c r="F4458" t="s">
        <v>49</v>
      </c>
      <c r="G4458" t="s">
        <v>8966</v>
      </c>
      <c r="H4458" t="s">
        <v>8967</v>
      </c>
      <c r="J4458" t="str">
        <f>HYPERLINK("https://www.facebook.com/634639855377280/posts/765234932317771?comment_id=348899824576087","https://www.facebook.com/634639855377280/posts/765234932317771?comment_id=348899824576087")</f>
        <v>https://www.facebook.com/634639855377280/posts/765234932317771?comment_id=348899824576087</v>
      </c>
      <c r="O4458">
        <v>0</v>
      </c>
      <c r="P4458">
        <v>0</v>
      </c>
      <c r="Q4458">
        <v>0</v>
      </c>
      <c r="S4458">
        <v>0</v>
      </c>
      <c r="T4458">
        <v>0</v>
      </c>
      <c r="U4458">
        <v>0</v>
      </c>
      <c r="W4458" t="s">
        <v>52</v>
      </c>
    </row>
    <row r="4459" spans="1:23" x14ac:dyDescent="0.35">
      <c r="A4459" t="s">
        <v>45</v>
      </c>
      <c r="B4459" t="s">
        <v>8916</v>
      </c>
      <c r="C4459" t="s">
        <v>47</v>
      </c>
      <c r="D4459" t="s">
        <v>8968</v>
      </c>
      <c r="E4459" t="s">
        <v>8968</v>
      </c>
      <c r="F4459" t="s">
        <v>193</v>
      </c>
      <c r="G4459" t="s">
        <v>8969</v>
      </c>
      <c r="H4459" t="s">
        <v>8970</v>
      </c>
      <c r="J4459" t="str">
        <f>HYPERLINK("https://www.youtube.com/watch?v=pJw8yRpVZew&amp;lc=UgyJuu3Z6ZyhgYvN9Jp4AaABAg","https://www.youtube.com/watch?v=pJw8yRpVZew&amp;lc=UgyJuu3Z6ZyhgYvN9Jp4AaABAg")</f>
        <v>https://www.youtube.com/watch?v=pJw8yRpVZew&amp;lc=UgyJuu3Z6ZyhgYvN9Jp4AaABAg</v>
      </c>
      <c r="O4459">
        <v>0</v>
      </c>
      <c r="P4459">
        <v>0</v>
      </c>
      <c r="Q4459">
        <v>0</v>
      </c>
      <c r="S4459">
        <v>0</v>
      </c>
      <c r="T4459">
        <v>0</v>
      </c>
      <c r="U4459">
        <v>0</v>
      </c>
      <c r="W4459" t="s">
        <v>52</v>
      </c>
    </row>
    <row r="4460" spans="1:23" x14ac:dyDescent="0.35">
      <c r="A4460" t="s">
        <v>45</v>
      </c>
      <c r="B4460" t="s">
        <v>8916</v>
      </c>
      <c r="C4460" t="s">
        <v>93</v>
      </c>
      <c r="D4460" t="s">
        <v>6409</v>
      </c>
      <c r="E4460" t="s">
        <v>6410</v>
      </c>
      <c r="F4460" t="s">
        <v>54</v>
      </c>
      <c r="G4460" t="s">
        <v>8971</v>
      </c>
      <c r="H4460" t="s">
        <v>8972</v>
      </c>
      <c r="J4460" t="str">
        <f>HYPERLINK("https://twitter.com/ApurbaD41697729/status/1742499189446283274","https://twitter.com/ApurbaD41697729/status/1742499189446283274")</f>
        <v>https://twitter.com/ApurbaD41697729/status/1742499189446283274</v>
      </c>
      <c r="K4460" t="s">
        <v>67</v>
      </c>
      <c r="O4460">
        <v>0</v>
      </c>
      <c r="P4460">
        <v>0</v>
      </c>
      <c r="Q4460">
        <v>0</v>
      </c>
      <c r="S4460">
        <v>0</v>
      </c>
      <c r="T4460">
        <v>0</v>
      </c>
      <c r="U4460">
        <v>0</v>
      </c>
      <c r="W4460" t="s">
        <v>99</v>
      </c>
    </row>
    <row r="4461" spans="1:23" x14ac:dyDescent="0.35">
      <c r="A4461" t="s">
        <v>45</v>
      </c>
      <c r="B4461" t="s">
        <v>8916</v>
      </c>
      <c r="C4461" t="s">
        <v>60</v>
      </c>
      <c r="D4461" t="s">
        <v>61</v>
      </c>
      <c r="E4461" t="s">
        <v>61</v>
      </c>
      <c r="F4461" t="s">
        <v>49</v>
      </c>
      <c r="G4461" t="s">
        <v>8973</v>
      </c>
      <c r="H4461" t="s">
        <v>8974</v>
      </c>
      <c r="J4461" t="str">
        <f>HYPERLINK("https://www.facebook.com/634639855377280/posts/765118255662772?comment_id=285264544540173","https://www.facebook.com/634639855377280/posts/765118255662772?comment_id=285264544540173")</f>
        <v>https://www.facebook.com/634639855377280/posts/765118255662772?comment_id=285264544540173</v>
      </c>
      <c r="O4461">
        <v>0</v>
      </c>
      <c r="P4461">
        <v>0</v>
      </c>
      <c r="Q4461">
        <v>0</v>
      </c>
      <c r="S4461">
        <v>0</v>
      </c>
      <c r="T4461">
        <v>0</v>
      </c>
      <c r="U4461">
        <v>0</v>
      </c>
      <c r="W4461" t="s">
        <v>52</v>
      </c>
    </row>
    <row r="4462" spans="1:23" x14ac:dyDescent="0.35">
      <c r="A4462" t="s">
        <v>45</v>
      </c>
      <c r="B4462" t="s">
        <v>8916</v>
      </c>
      <c r="C4462" t="s">
        <v>60</v>
      </c>
      <c r="D4462" t="s">
        <v>61</v>
      </c>
      <c r="E4462" t="s">
        <v>61</v>
      </c>
      <c r="F4462" t="s">
        <v>49</v>
      </c>
      <c r="G4462" t="s">
        <v>64</v>
      </c>
      <c r="H4462" t="s">
        <v>8975</v>
      </c>
      <c r="J4462" t="str">
        <f>HYPERLINK("https://www.facebook.com/634639855377280/posts/765118255662772?comment_id=2099058273790563&amp;reply_comment_id=606024581649996","https://www.facebook.com/634639855377280/posts/765118255662772?comment_id=2099058273790563&amp;reply_comment_id=606024581649996")</f>
        <v>https://www.facebook.com/634639855377280/posts/765118255662772?comment_id=2099058273790563&amp;reply_comment_id=606024581649996</v>
      </c>
      <c r="O4462">
        <v>0</v>
      </c>
      <c r="P4462">
        <v>0</v>
      </c>
      <c r="Q4462">
        <v>0</v>
      </c>
      <c r="S4462">
        <v>0</v>
      </c>
      <c r="T4462">
        <v>0</v>
      </c>
      <c r="U4462">
        <v>0</v>
      </c>
      <c r="W4462" t="s">
        <v>52</v>
      </c>
    </row>
    <row r="4463" spans="1:23" x14ac:dyDescent="0.35">
      <c r="A4463" t="s">
        <v>45</v>
      </c>
      <c r="B4463" t="s">
        <v>8916</v>
      </c>
      <c r="C4463" t="s">
        <v>60</v>
      </c>
      <c r="D4463" t="s">
        <v>64</v>
      </c>
      <c r="E4463" t="s">
        <v>64</v>
      </c>
      <c r="F4463" t="s">
        <v>49</v>
      </c>
      <c r="G4463" t="s">
        <v>1595</v>
      </c>
      <c r="H4463" t="s">
        <v>8976</v>
      </c>
      <c r="J4463" t="str">
        <f>HYPERLINK("https://www.facebook.com/634639855377280/posts/765234932317771?comment_id=1288580861832749&amp;reply_comment_id=1091283741907145","https://www.facebook.com/634639855377280/posts/765234932317771?comment_id=1288580861832749&amp;reply_comment_id=1091283741907145")</f>
        <v>https://www.facebook.com/634639855377280/posts/765234932317771?comment_id=1288580861832749&amp;reply_comment_id=1091283741907145</v>
      </c>
      <c r="K4463" t="s">
        <v>67</v>
      </c>
      <c r="O4463">
        <v>0</v>
      </c>
      <c r="P4463">
        <v>0</v>
      </c>
      <c r="Q4463">
        <v>0</v>
      </c>
      <c r="S4463">
        <v>0</v>
      </c>
      <c r="T4463">
        <v>0</v>
      </c>
      <c r="U4463">
        <v>0</v>
      </c>
      <c r="W4463" t="s">
        <v>52</v>
      </c>
    </row>
    <row r="4464" spans="1:23" x14ac:dyDescent="0.35">
      <c r="A4464" t="s">
        <v>45</v>
      </c>
      <c r="B4464" t="s">
        <v>8916</v>
      </c>
      <c r="C4464" t="s">
        <v>60</v>
      </c>
      <c r="D4464" t="s">
        <v>64</v>
      </c>
      <c r="E4464" t="s">
        <v>64</v>
      </c>
      <c r="F4464" t="s">
        <v>49</v>
      </c>
      <c r="G4464" t="s">
        <v>270</v>
      </c>
      <c r="H4464" t="s">
        <v>8977</v>
      </c>
      <c r="J4464" t="str">
        <f>HYPERLINK("https://www.facebook.com/634639855377280/posts/765118255662772?comment_id=2099058273790563&amp;reply_comment_id=2619343414890316","https://www.facebook.com/634639855377280/posts/765118255662772?comment_id=2099058273790563&amp;reply_comment_id=2619343414890316")</f>
        <v>https://www.facebook.com/634639855377280/posts/765118255662772?comment_id=2099058273790563&amp;reply_comment_id=2619343414890316</v>
      </c>
      <c r="K4464" t="s">
        <v>67</v>
      </c>
      <c r="O4464">
        <v>0</v>
      </c>
      <c r="P4464">
        <v>0</v>
      </c>
      <c r="Q4464">
        <v>0</v>
      </c>
      <c r="S4464">
        <v>0</v>
      </c>
      <c r="T4464">
        <v>0</v>
      </c>
      <c r="U4464">
        <v>0</v>
      </c>
      <c r="W4464" t="s">
        <v>52</v>
      </c>
    </row>
    <row r="4465" spans="1:23" x14ac:dyDescent="0.35">
      <c r="A4465" t="s">
        <v>45</v>
      </c>
      <c r="B4465" t="s">
        <v>8916</v>
      </c>
      <c r="C4465" t="s">
        <v>93</v>
      </c>
      <c r="D4465" t="s">
        <v>94</v>
      </c>
      <c r="E4465" t="s">
        <v>45</v>
      </c>
      <c r="F4465" t="s">
        <v>49</v>
      </c>
      <c r="G4465" t="s">
        <v>8978</v>
      </c>
      <c r="H4465" t="s">
        <v>8979</v>
      </c>
      <c r="J4465" t="str">
        <f>HYPERLINK("https://twitter.com/SpiceMoneyIndia/status/1742466764443697591","https://twitter.com/SpiceMoneyIndia/status/1742466764443697591")</f>
        <v>https://twitter.com/SpiceMoneyIndia/status/1742466764443697591</v>
      </c>
      <c r="K4465" t="s">
        <v>67</v>
      </c>
      <c r="O4465">
        <v>0</v>
      </c>
      <c r="P4465">
        <v>0</v>
      </c>
      <c r="Q4465">
        <v>5981</v>
      </c>
      <c r="R4465" t="s">
        <v>97</v>
      </c>
      <c r="S4465">
        <v>0</v>
      </c>
      <c r="T4465">
        <v>0</v>
      </c>
      <c r="U4465">
        <v>0</v>
      </c>
      <c r="V4465" t="s">
        <v>98</v>
      </c>
      <c r="W4465" t="s">
        <v>99</v>
      </c>
    </row>
    <row r="4466" spans="1:23" x14ac:dyDescent="0.35">
      <c r="A4466" t="s">
        <v>45</v>
      </c>
      <c r="B4466" t="s">
        <v>8916</v>
      </c>
      <c r="C4466" t="s">
        <v>60</v>
      </c>
      <c r="D4466" t="s">
        <v>64</v>
      </c>
      <c r="E4466" t="s">
        <v>64</v>
      </c>
      <c r="F4466" t="s">
        <v>49</v>
      </c>
      <c r="G4466" t="s">
        <v>270</v>
      </c>
      <c r="H4466" t="s">
        <v>8980</v>
      </c>
      <c r="J4466" t="str">
        <f>HYPERLINK("https://www.facebook.com/634639855377280/posts/765118255662772?comment_id=1055329835787448&amp;reply_comment_id=3623347451265210","https://www.facebook.com/634639855377280/posts/765118255662772?comment_id=1055329835787448&amp;reply_comment_id=3623347451265210")</f>
        <v>https://www.facebook.com/634639855377280/posts/765118255662772?comment_id=1055329835787448&amp;reply_comment_id=3623347451265210</v>
      </c>
      <c r="K4466" t="s">
        <v>67</v>
      </c>
      <c r="O4466">
        <v>0</v>
      </c>
      <c r="P4466">
        <v>0</v>
      </c>
      <c r="Q4466">
        <v>0</v>
      </c>
      <c r="S4466">
        <v>0</v>
      </c>
      <c r="T4466">
        <v>0</v>
      </c>
      <c r="U4466">
        <v>0</v>
      </c>
      <c r="W4466" t="s">
        <v>52</v>
      </c>
    </row>
    <row r="4467" spans="1:23" x14ac:dyDescent="0.35">
      <c r="A4467" t="s">
        <v>45</v>
      </c>
      <c r="B4467" t="s">
        <v>8916</v>
      </c>
      <c r="C4467" t="s">
        <v>60</v>
      </c>
      <c r="D4467" t="s">
        <v>64</v>
      </c>
      <c r="E4467" t="s">
        <v>64</v>
      </c>
      <c r="F4467" t="s">
        <v>49</v>
      </c>
      <c r="G4467" t="s">
        <v>266</v>
      </c>
      <c r="H4467" t="s">
        <v>8981</v>
      </c>
      <c r="J4467" t="str">
        <f>HYPERLINK("https://www.facebook.com/634639855377280/posts/765118255662772?comment_id=847119830515950&amp;reply_comment_id=695591165888245","https://www.facebook.com/634639855377280/posts/765118255662772?comment_id=847119830515950&amp;reply_comment_id=695591165888245")</f>
        <v>https://www.facebook.com/634639855377280/posts/765118255662772?comment_id=847119830515950&amp;reply_comment_id=695591165888245</v>
      </c>
      <c r="K4467" t="s">
        <v>67</v>
      </c>
      <c r="O4467">
        <v>0</v>
      </c>
      <c r="P4467">
        <v>0</v>
      </c>
      <c r="Q4467">
        <v>0</v>
      </c>
      <c r="S4467">
        <v>0</v>
      </c>
      <c r="T4467">
        <v>0</v>
      </c>
      <c r="U4467">
        <v>0</v>
      </c>
      <c r="W4467" t="s">
        <v>52</v>
      </c>
    </row>
    <row r="4468" spans="1:23" x14ac:dyDescent="0.35">
      <c r="A4468" t="s">
        <v>45</v>
      </c>
      <c r="B4468" t="s">
        <v>8916</v>
      </c>
      <c r="C4468" t="s">
        <v>60</v>
      </c>
      <c r="D4468" t="s">
        <v>64</v>
      </c>
      <c r="E4468" t="s">
        <v>64</v>
      </c>
      <c r="F4468" t="s">
        <v>49</v>
      </c>
      <c r="G4468" t="s">
        <v>8982</v>
      </c>
      <c r="H4468" t="s">
        <v>8983</v>
      </c>
      <c r="J4468" t="str">
        <f>HYPERLINK("https://www.facebook.com/634639855377280/posts/765118255662772?comment_id=713875797384222&amp;reply_comment_id=697891062412507","https://www.facebook.com/634639855377280/posts/765118255662772?comment_id=713875797384222&amp;reply_comment_id=697891062412507")</f>
        <v>https://www.facebook.com/634639855377280/posts/765118255662772?comment_id=713875797384222&amp;reply_comment_id=697891062412507</v>
      </c>
      <c r="K4468" t="s">
        <v>67</v>
      </c>
      <c r="O4468">
        <v>0</v>
      </c>
      <c r="P4468">
        <v>0</v>
      </c>
      <c r="Q4468">
        <v>0</v>
      </c>
      <c r="S4468">
        <v>0</v>
      </c>
      <c r="T4468">
        <v>0</v>
      </c>
      <c r="U4468">
        <v>0</v>
      </c>
      <c r="W4468" t="s">
        <v>52</v>
      </c>
    </row>
    <row r="4469" spans="1:23" x14ac:dyDescent="0.35">
      <c r="A4469" t="s">
        <v>45</v>
      </c>
      <c r="B4469" t="s">
        <v>8916</v>
      </c>
      <c r="C4469" t="s">
        <v>93</v>
      </c>
      <c r="D4469" t="s">
        <v>94</v>
      </c>
      <c r="E4469" t="s">
        <v>45</v>
      </c>
      <c r="F4469" t="s">
        <v>49</v>
      </c>
      <c r="G4469" t="s">
        <v>8984</v>
      </c>
      <c r="H4469" t="s">
        <v>8985</v>
      </c>
      <c r="J4469" t="str">
        <f>HYPERLINK("https://twitter.com/SpiceMoneyIndia/status/1742464667522392127","https://twitter.com/SpiceMoneyIndia/status/1742464667522392127")</f>
        <v>https://twitter.com/SpiceMoneyIndia/status/1742464667522392127</v>
      </c>
      <c r="K4469" t="s">
        <v>67</v>
      </c>
      <c r="O4469">
        <v>0</v>
      </c>
      <c r="P4469">
        <v>0</v>
      </c>
      <c r="Q4469">
        <v>5981</v>
      </c>
      <c r="R4469" t="s">
        <v>97</v>
      </c>
      <c r="S4469">
        <v>0</v>
      </c>
      <c r="T4469">
        <v>0</v>
      </c>
      <c r="U4469">
        <v>0</v>
      </c>
      <c r="V4469" t="s">
        <v>98</v>
      </c>
      <c r="W4469" t="s">
        <v>99</v>
      </c>
    </row>
    <row r="4470" spans="1:23" x14ac:dyDescent="0.35">
      <c r="A4470" t="s">
        <v>45</v>
      </c>
      <c r="B4470" t="s">
        <v>8916</v>
      </c>
      <c r="C4470" t="s">
        <v>60</v>
      </c>
      <c r="D4470" t="s">
        <v>64</v>
      </c>
      <c r="E4470" t="s">
        <v>64</v>
      </c>
      <c r="F4470" t="s">
        <v>49</v>
      </c>
      <c r="G4470" t="s">
        <v>8982</v>
      </c>
      <c r="H4470" t="s">
        <v>8986</v>
      </c>
      <c r="J4470" t="str">
        <f>HYPERLINK("https://www.facebook.com/634639855377280/posts/765118255662772?comment_id=1402504713722396&amp;reply_comment_id=1360963041200728","https://www.facebook.com/634639855377280/posts/765118255662772?comment_id=1402504713722396&amp;reply_comment_id=1360963041200728")</f>
        <v>https://www.facebook.com/634639855377280/posts/765118255662772?comment_id=1402504713722396&amp;reply_comment_id=1360963041200728</v>
      </c>
      <c r="K4470" t="s">
        <v>67</v>
      </c>
      <c r="O4470">
        <v>0</v>
      </c>
      <c r="P4470">
        <v>0</v>
      </c>
      <c r="Q4470">
        <v>0</v>
      </c>
      <c r="S4470">
        <v>0</v>
      </c>
      <c r="T4470">
        <v>0</v>
      </c>
      <c r="U4470">
        <v>0</v>
      </c>
      <c r="W4470" t="s">
        <v>52</v>
      </c>
    </row>
    <row r="4471" spans="1:23" x14ac:dyDescent="0.35">
      <c r="A4471" t="s">
        <v>45</v>
      </c>
      <c r="B4471" t="s">
        <v>8916</v>
      </c>
      <c r="C4471" t="s">
        <v>60</v>
      </c>
      <c r="D4471" t="s">
        <v>64</v>
      </c>
      <c r="E4471" t="s">
        <v>64</v>
      </c>
      <c r="F4471" t="s">
        <v>49</v>
      </c>
      <c r="G4471" t="s">
        <v>8428</v>
      </c>
      <c r="H4471" t="s">
        <v>8987</v>
      </c>
      <c r="J4471" t="str">
        <f>HYPERLINK("https://www.facebook.com/634639855377280/posts/765234932317771?comment_id=1017702032662389&amp;reply_comment_id=911261240353722","https://www.facebook.com/634639855377280/posts/765234932317771?comment_id=1017702032662389&amp;reply_comment_id=911261240353722")</f>
        <v>https://www.facebook.com/634639855377280/posts/765234932317771?comment_id=1017702032662389&amp;reply_comment_id=911261240353722</v>
      </c>
      <c r="K4471" t="s">
        <v>67</v>
      </c>
      <c r="O4471">
        <v>0</v>
      </c>
      <c r="P4471">
        <v>0</v>
      </c>
      <c r="Q4471">
        <v>0</v>
      </c>
      <c r="S4471">
        <v>0</v>
      </c>
      <c r="T4471">
        <v>0</v>
      </c>
      <c r="U4471">
        <v>0</v>
      </c>
      <c r="W4471" t="s">
        <v>52</v>
      </c>
    </row>
    <row r="4472" spans="1:23" x14ac:dyDescent="0.35">
      <c r="A4472" t="s">
        <v>45</v>
      </c>
      <c r="B4472" t="s">
        <v>8916</v>
      </c>
      <c r="C4472" t="s">
        <v>60</v>
      </c>
      <c r="D4472" t="s">
        <v>64</v>
      </c>
      <c r="E4472" t="s">
        <v>64</v>
      </c>
      <c r="F4472" t="s">
        <v>49</v>
      </c>
      <c r="G4472" t="s">
        <v>270</v>
      </c>
      <c r="H4472" t="s">
        <v>8988</v>
      </c>
      <c r="J4472" t="str">
        <f>HYPERLINK("https://www.facebook.com/634639855377280/posts/765118255662772?comment_id=1017402555995553&amp;reply_comment_id=1344255656207162","https://www.facebook.com/634639855377280/posts/765118255662772?comment_id=1017402555995553&amp;reply_comment_id=1344255656207162")</f>
        <v>https://www.facebook.com/634639855377280/posts/765118255662772?comment_id=1017402555995553&amp;reply_comment_id=1344255656207162</v>
      </c>
      <c r="K4472" t="s">
        <v>67</v>
      </c>
      <c r="O4472">
        <v>0</v>
      </c>
      <c r="P4472">
        <v>0</v>
      </c>
      <c r="Q4472">
        <v>0</v>
      </c>
      <c r="S4472">
        <v>0</v>
      </c>
      <c r="T4472">
        <v>0</v>
      </c>
      <c r="U4472">
        <v>0</v>
      </c>
      <c r="W4472" t="s">
        <v>52</v>
      </c>
    </row>
    <row r="4473" spans="1:23" x14ac:dyDescent="0.35">
      <c r="A4473" t="s">
        <v>45</v>
      </c>
      <c r="B4473" t="s">
        <v>8916</v>
      </c>
      <c r="C4473" t="s">
        <v>60</v>
      </c>
      <c r="D4473" t="s">
        <v>64</v>
      </c>
      <c r="E4473" t="s">
        <v>64</v>
      </c>
      <c r="F4473" t="s">
        <v>49</v>
      </c>
      <c r="G4473" t="s">
        <v>8428</v>
      </c>
      <c r="H4473" t="s">
        <v>8989</v>
      </c>
      <c r="J4473" t="str">
        <f>HYPERLINK("https://www.facebook.com/634639855377280/posts/765234932317771?comment_id=3528691380705897&amp;reply_comment_id=739181504792666","https://www.facebook.com/634639855377280/posts/765234932317771?comment_id=3528691380705897&amp;reply_comment_id=739181504792666")</f>
        <v>https://www.facebook.com/634639855377280/posts/765234932317771?comment_id=3528691380705897&amp;reply_comment_id=739181504792666</v>
      </c>
      <c r="K4473" t="s">
        <v>67</v>
      </c>
      <c r="O4473">
        <v>0</v>
      </c>
      <c r="P4473">
        <v>0</v>
      </c>
      <c r="Q4473">
        <v>0</v>
      </c>
      <c r="S4473">
        <v>0</v>
      </c>
      <c r="T4473">
        <v>0</v>
      </c>
      <c r="U4473">
        <v>0</v>
      </c>
      <c r="W4473" t="s">
        <v>52</v>
      </c>
    </row>
    <row r="4474" spans="1:23" x14ac:dyDescent="0.35">
      <c r="A4474" t="s">
        <v>45</v>
      </c>
      <c r="B4474" t="s">
        <v>8916</v>
      </c>
      <c r="C4474" t="s">
        <v>60</v>
      </c>
      <c r="D4474" t="s">
        <v>64</v>
      </c>
      <c r="E4474" t="s">
        <v>64</v>
      </c>
      <c r="F4474" t="s">
        <v>49</v>
      </c>
      <c r="G4474" t="s">
        <v>8428</v>
      </c>
      <c r="H4474" t="s">
        <v>8990</v>
      </c>
      <c r="J4474" t="str">
        <f>HYPERLINK("https://www.facebook.com/634639855377280/posts/765234932317771?comment_id=1339459473421622&amp;reply_comment_id=649794163792329","https://www.facebook.com/634639855377280/posts/765234932317771?comment_id=1339459473421622&amp;reply_comment_id=649794163792329")</f>
        <v>https://www.facebook.com/634639855377280/posts/765234932317771?comment_id=1339459473421622&amp;reply_comment_id=649794163792329</v>
      </c>
      <c r="K4474" t="s">
        <v>67</v>
      </c>
      <c r="O4474">
        <v>0</v>
      </c>
      <c r="P4474">
        <v>0</v>
      </c>
      <c r="Q4474">
        <v>0</v>
      </c>
      <c r="S4474">
        <v>0</v>
      </c>
      <c r="T4474">
        <v>0</v>
      </c>
      <c r="U4474">
        <v>0</v>
      </c>
      <c r="W4474" t="s">
        <v>52</v>
      </c>
    </row>
    <row r="4475" spans="1:23" x14ac:dyDescent="0.35">
      <c r="A4475" t="s">
        <v>45</v>
      </c>
      <c r="B4475" t="s">
        <v>8916</v>
      </c>
      <c r="C4475" t="s">
        <v>60</v>
      </c>
      <c r="D4475" t="s">
        <v>64</v>
      </c>
      <c r="E4475" t="s">
        <v>64</v>
      </c>
      <c r="F4475" t="s">
        <v>49</v>
      </c>
      <c r="G4475" t="s">
        <v>1011</v>
      </c>
      <c r="H4475" t="s">
        <v>8991</v>
      </c>
      <c r="J4475" t="str">
        <f>HYPERLINK("https://www.facebook.com/634639855377280/posts/763771192464145?comment_id=3655288914759707&amp;reply_comment_id=2603721403111305","https://www.facebook.com/634639855377280/posts/763771192464145?comment_id=3655288914759707&amp;reply_comment_id=2603721403111305")</f>
        <v>https://www.facebook.com/634639855377280/posts/763771192464145?comment_id=3655288914759707&amp;reply_comment_id=2603721403111305</v>
      </c>
      <c r="K4475" t="s">
        <v>67</v>
      </c>
      <c r="O4475">
        <v>0</v>
      </c>
      <c r="P4475">
        <v>0</v>
      </c>
      <c r="Q4475">
        <v>0</v>
      </c>
      <c r="S4475">
        <v>0</v>
      </c>
      <c r="T4475">
        <v>0</v>
      </c>
      <c r="U4475">
        <v>0</v>
      </c>
      <c r="W4475" t="s">
        <v>52</v>
      </c>
    </row>
    <row r="4476" spans="1:23" x14ac:dyDescent="0.35">
      <c r="A4476" t="s">
        <v>45</v>
      </c>
      <c r="B4476" t="s">
        <v>8916</v>
      </c>
      <c r="C4476" t="s">
        <v>60</v>
      </c>
      <c r="D4476" t="s">
        <v>64</v>
      </c>
      <c r="E4476" t="s">
        <v>64</v>
      </c>
      <c r="F4476" t="s">
        <v>49</v>
      </c>
      <c r="G4476" t="s">
        <v>454</v>
      </c>
      <c r="H4476" t="s">
        <v>8992</v>
      </c>
      <c r="J4476" t="str">
        <f>HYPERLINK("https://www.facebook.com/634639855377280/posts/765118255662772?comment_id=1336853793641381&amp;reply_comment_id=1368450457196320","https://www.facebook.com/634639855377280/posts/765118255662772?comment_id=1336853793641381&amp;reply_comment_id=1368450457196320")</f>
        <v>https://www.facebook.com/634639855377280/posts/765118255662772?comment_id=1336853793641381&amp;reply_comment_id=1368450457196320</v>
      </c>
      <c r="K4476" t="s">
        <v>67</v>
      </c>
      <c r="O4476">
        <v>0</v>
      </c>
      <c r="P4476">
        <v>0</v>
      </c>
      <c r="Q4476">
        <v>0</v>
      </c>
      <c r="S4476">
        <v>0</v>
      </c>
      <c r="T4476">
        <v>0</v>
      </c>
      <c r="U4476">
        <v>0</v>
      </c>
      <c r="W4476" t="s">
        <v>52</v>
      </c>
    </row>
    <row r="4477" spans="1:23" x14ac:dyDescent="0.35">
      <c r="A4477" t="s">
        <v>45</v>
      </c>
      <c r="B4477" t="s">
        <v>8916</v>
      </c>
      <c r="C4477" t="s">
        <v>47</v>
      </c>
      <c r="D4477" t="s">
        <v>68</v>
      </c>
      <c r="E4477" t="s">
        <v>68</v>
      </c>
      <c r="F4477" t="s">
        <v>49</v>
      </c>
      <c r="G4477" t="s">
        <v>102</v>
      </c>
      <c r="H4477" t="s">
        <v>8993</v>
      </c>
      <c r="J4477" t="str">
        <f>HYPERLINK("https://www.youtube.com/watch?v=z58WzdIZIO8&amp;lc=Ugwt4gRih00oqjBh3Zh4AaABAg.9z40cMHy64P9z5uDan0ukc","https://www.youtube.com/watch?v=z58WzdIZIO8&amp;lc=Ugwt4gRih00oqjBh3Zh4AaABAg.9z40cMHy64P9z5uDan0ukc")</f>
        <v>https://www.youtube.com/watch?v=z58WzdIZIO8&amp;lc=Ugwt4gRih00oqjBh3Zh4AaABAg.9z40cMHy64P9z5uDan0ukc</v>
      </c>
      <c r="O4477">
        <v>0</v>
      </c>
      <c r="P4477">
        <v>0</v>
      </c>
      <c r="Q4477">
        <v>0</v>
      </c>
      <c r="S4477">
        <v>0</v>
      </c>
      <c r="T4477">
        <v>0</v>
      </c>
      <c r="U4477">
        <v>0</v>
      </c>
      <c r="W4477" t="s">
        <v>52</v>
      </c>
    </row>
    <row r="4478" spans="1:23" x14ac:dyDescent="0.35">
      <c r="A4478" t="s">
        <v>45</v>
      </c>
      <c r="B4478" t="s">
        <v>8916</v>
      </c>
      <c r="C4478" t="s">
        <v>47</v>
      </c>
      <c r="D4478" t="s">
        <v>68</v>
      </c>
      <c r="E4478" t="s">
        <v>68</v>
      </c>
      <c r="F4478" t="s">
        <v>49</v>
      </c>
      <c r="G4478" t="s">
        <v>8428</v>
      </c>
      <c r="H4478" t="s">
        <v>8994</v>
      </c>
      <c r="J4478" t="str">
        <f>HYPERLINK("https://www.youtube.com/watch?v=pJw8yRpVZew&amp;lc=Ugy_hrC2czV6Z4z2--B4AaABAg.9z427lJkFoP9z5u7n_cRJD","https://www.youtube.com/watch?v=pJw8yRpVZew&amp;lc=Ugy_hrC2czV6Z4z2--B4AaABAg.9z427lJkFoP9z5u7n_cRJD")</f>
        <v>https://www.youtube.com/watch?v=pJw8yRpVZew&amp;lc=Ugy_hrC2czV6Z4z2--B4AaABAg.9z427lJkFoP9z5u7n_cRJD</v>
      </c>
      <c r="O4478">
        <v>0</v>
      </c>
      <c r="P4478">
        <v>0</v>
      </c>
      <c r="Q4478">
        <v>0</v>
      </c>
      <c r="S4478">
        <v>0</v>
      </c>
      <c r="T4478">
        <v>0</v>
      </c>
      <c r="U4478">
        <v>0</v>
      </c>
      <c r="W4478" t="s">
        <v>52</v>
      </c>
    </row>
    <row r="4479" spans="1:23" x14ac:dyDescent="0.35">
      <c r="A4479" t="s">
        <v>45</v>
      </c>
      <c r="B4479" t="s">
        <v>8916</v>
      </c>
      <c r="C4479" t="s">
        <v>47</v>
      </c>
      <c r="D4479" t="s">
        <v>68</v>
      </c>
      <c r="E4479" t="s">
        <v>68</v>
      </c>
      <c r="F4479" t="s">
        <v>49</v>
      </c>
      <c r="G4479" t="s">
        <v>8428</v>
      </c>
      <c r="H4479" t="s">
        <v>8995</v>
      </c>
      <c r="J4479" t="str">
        <f>HYPERLINK("https://www.youtube.com/watch?v=pJw8yRpVZew&amp;lc=UgxqVtdx2U2ejrVvFl94AaABAg.9z3qU5Ua5BL9z5u31pLCiP","https://www.youtube.com/watch?v=pJw8yRpVZew&amp;lc=UgxqVtdx2U2ejrVvFl94AaABAg.9z3qU5Ua5BL9z5u31pLCiP")</f>
        <v>https://www.youtube.com/watch?v=pJw8yRpVZew&amp;lc=UgxqVtdx2U2ejrVvFl94AaABAg.9z3qU5Ua5BL9z5u31pLCiP</v>
      </c>
      <c r="O4479">
        <v>0</v>
      </c>
      <c r="P4479">
        <v>0</v>
      </c>
      <c r="Q4479">
        <v>0</v>
      </c>
      <c r="S4479">
        <v>0</v>
      </c>
      <c r="T4479">
        <v>0</v>
      </c>
      <c r="U4479">
        <v>0</v>
      </c>
      <c r="W4479" t="s">
        <v>52</v>
      </c>
    </row>
    <row r="4480" spans="1:23" x14ac:dyDescent="0.35">
      <c r="A4480" t="s">
        <v>45</v>
      </c>
      <c r="B4480" t="s">
        <v>8916</v>
      </c>
      <c r="C4480" t="s">
        <v>47</v>
      </c>
      <c r="D4480" t="s">
        <v>68</v>
      </c>
      <c r="E4480" t="s">
        <v>68</v>
      </c>
      <c r="F4480" t="s">
        <v>49</v>
      </c>
      <c r="G4480" t="s">
        <v>8265</v>
      </c>
      <c r="H4480" t="s">
        <v>8996</v>
      </c>
      <c r="J4480" t="str">
        <f>HYPERLINK("https://www.youtube.com/watch?v=pJw8yRpVZew&amp;lc=Ugx_nsexSyjjzWs0zGB4AaABAg.9z45-I6pZp59z5tu0Hwj7E","https://www.youtube.com/watch?v=pJw8yRpVZew&amp;lc=Ugx_nsexSyjjzWs0zGB4AaABAg.9z45-I6pZp59z5tu0Hwj7E")</f>
        <v>https://www.youtube.com/watch?v=pJw8yRpVZew&amp;lc=Ugx_nsexSyjjzWs0zGB4AaABAg.9z45-I6pZp59z5tu0Hwj7E</v>
      </c>
      <c r="O4480">
        <v>0</v>
      </c>
      <c r="P4480">
        <v>0</v>
      </c>
      <c r="Q4480">
        <v>0</v>
      </c>
      <c r="S4480">
        <v>0</v>
      </c>
      <c r="T4480">
        <v>0</v>
      </c>
      <c r="U4480">
        <v>0</v>
      </c>
      <c r="W4480" t="s">
        <v>52</v>
      </c>
    </row>
    <row r="4481" spans="1:23" x14ac:dyDescent="0.35">
      <c r="A4481" t="s">
        <v>45</v>
      </c>
      <c r="B4481" t="s">
        <v>8916</v>
      </c>
      <c r="C4481" t="s">
        <v>47</v>
      </c>
      <c r="D4481" t="s">
        <v>68</v>
      </c>
      <c r="E4481" t="s">
        <v>68</v>
      </c>
      <c r="F4481" t="s">
        <v>49</v>
      </c>
      <c r="G4481" t="s">
        <v>8428</v>
      </c>
      <c r="H4481" t="s">
        <v>8997</v>
      </c>
      <c r="J4481" t="str">
        <f>HYPERLINK("https://www.youtube.com/watch?v=pJw8yRpVZew&amp;lc=UgwxXbmUEyKaNhv14Dt4AaABAg.9z46iVcIkWc9z5tqI3zodJ","https://www.youtube.com/watch?v=pJw8yRpVZew&amp;lc=UgwxXbmUEyKaNhv14Dt4AaABAg.9z46iVcIkWc9z5tqI3zodJ")</f>
        <v>https://www.youtube.com/watch?v=pJw8yRpVZew&amp;lc=UgwxXbmUEyKaNhv14Dt4AaABAg.9z46iVcIkWc9z5tqI3zodJ</v>
      </c>
      <c r="O4481">
        <v>0</v>
      </c>
      <c r="P4481">
        <v>0</v>
      </c>
      <c r="Q4481">
        <v>0</v>
      </c>
      <c r="S4481">
        <v>0</v>
      </c>
      <c r="T4481">
        <v>0</v>
      </c>
      <c r="U4481">
        <v>0</v>
      </c>
      <c r="W4481" t="s">
        <v>52</v>
      </c>
    </row>
    <row r="4482" spans="1:23" x14ac:dyDescent="0.35">
      <c r="A4482" t="s">
        <v>45</v>
      </c>
      <c r="B4482" t="s">
        <v>8916</v>
      </c>
      <c r="C4482" t="s">
        <v>47</v>
      </c>
      <c r="D4482" t="s">
        <v>68</v>
      </c>
      <c r="E4482" t="s">
        <v>68</v>
      </c>
      <c r="F4482" t="s">
        <v>49</v>
      </c>
      <c r="G4482" t="s">
        <v>102</v>
      </c>
      <c r="H4482" t="s">
        <v>8998</v>
      </c>
      <c r="J4482" t="str">
        <f>HYPERLINK("https://www.youtube.com/watch?v=z58WzdIZIO8&amp;lc=UgxUzHPafrP3KmIM9u94AaABAg.9z48BdZqOEs9z5teywHyzk","https://www.youtube.com/watch?v=z58WzdIZIO8&amp;lc=UgxUzHPafrP3KmIM9u94AaABAg.9z48BdZqOEs9z5teywHyzk")</f>
        <v>https://www.youtube.com/watch?v=z58WzdIZIO8&amp;lc=UgxUzHPafrP3KmIM9u94AaABAg.9z48BdZqOEs9z5teywHyzk</v>
      </c>
      <c r="O4482">
        <v>0</v>
      </c>
      <c r="P4482">
        <v>0</v>
      </c>
      <c r="Q4482">
        <v>0</v>
      </c>
      <c r="S4482">
        <v>0</v>
      </c>
      <c r="T4482">
        <v>0</v>
      </c>
      <c r="U4482">
        <v>0</v>
      </c>
      <c r="W4482" t="s">
        <v>52</v>
      </c>
    </row>
    <row r="4483" spans="1:23" x14ac:dyDescent="0.35">
      <c r="A4483" t="s">
        <v>45</v>
      </c>
      <c r="B4483" t="s">
        <v>8916</v>
      </c>
      <c r="C4483" t="s">
        <v>47</v>
      </c>
      <c r="D4483" t="s">
        <v>68</v>
      </c>
      <c r="E4483" t="s">
        <v>68</v>
      </c>
      <c r="F4483" t="s">
        <v>49</v>
      </c>
      <c r="G4483" t="s">
        <v>8999</v>
      </c>
      <c r="H4483" t="s">
        <v>9000</v>
      </c>
      <c r="J4483" t="str">
        <f>HYPERLINK("https://www.youtube.com/watch?v=pJw8yRpVZew&amp;lc=Ugxrl52aKo2IslM4Hrx4AaABAg.9z4ATU9hRYy9z5tbZEoAB5","https://www.youtube.com/watch?v=pJw8yRpVZew&amp;lc=Ugxrl52aKo2IslM4Hrx4AaABAg.9z4ATU9hRYy9z5tbZEoAB5")</f>
        <v>https://www.youtube.com/watch?v=pJw8yRpVZew&amp;lc=Ugxrl52aKo2IslM4Hrx4AaABAg.9z4ATU9hRYy9z5tbZEoAB5</v>
      </c>
      <c r="O4483">
        <v>0</v>
      </c>
      <c r="P4483">
        <v>0</v>
      </c>
      <c r="Q4483">
        <v>0</v>
      </c>
      <c r="S4483">
        <v>0</v>
      </c>
      <c r="T4483">
        <v>0</v>
      </c>
      <c r="U4483">
        <v>0</v>
      </c>
      <c r="W4483" t="s">
        <v>52</v>
      </c>
    </row>
    <row r="4484" spans="1:23" x14ac:dyDescent="0.35">
      <c r="A4484" t="s">
        <v>45</v>
      </c>
      <c r="B4484" t="s">
        <v>8916</v>
      </c>
      <c r="C4484" t="s">
        <v>47</v>
      </c>
      <c r="D4484" t="s">
        <v>68</v>
      </c>
      <c r="E4484" t="s">
        <v>68</v>
      </c>
      <c r="F4484" t="s">
        <v>49</v>
      </c>
      <c r="G4484" t="s">
        <v>162</v>
      </c>
      <c r="H4484" t="s">
        <v>9001</v>
      </c>
      <c r="J4484" t="str">
        <f>HYPERLINK("https://www.youtube.com/watch?v=pJw8yRpVZew&amp;lc=UgwUDR_l1yfP-1Qhjgp4AaABAg.9z47kPZ8ydG9z5tXr-R15D","https://www.youtube.com/watch?v=pJw8yRpVZew&amp;lc=UgwUDR_l1yfP-1Qhjgp4AaABAg.9z47kPZ8ydG9z5tXr-R15D")</f>
        <v>https://www.youtube.com/watch?v=pJw8yRpVZew&amp;lc=UgwUDR_l1yfP-1Qhjgp4AaABAg.9z47kPZ8ydG9z5tXr-R15D</v>
      </c>
      <c r="O4484">
        <v>0</v>
      </c>
      <c r="P4484">
        <v>0</v>
      </c>
      <c r="Q4484">
        <v>0</v>
      </c>
      <c r="S4484">
        <v>0</v>
      </c>
      <c r="T4484">
        <v>0</v>
      </c>
      <c r="U4484">
        <v>0</v>
      </c>
      <c r="W4484" t="s">
        <v>52</v>
      </c>
    </row>
    <row r="4485" spans="1:23" x14ac:dyDescent="0.35">
      <c r="A4485" t="s">
        <v>45</v>
      </c>
      <c r="B4485" t="s">
        <v>8916</v>
      </c>
      <c r="C4485" t="s">
        <v>47</v>
      </c>
      <c r="D4485" t="s">
        <v>68</v>
      </c>
      <c r="E4485" t="s">
        <v>68</v>
      </c>
      <c r="F4485" t="s">
        <v>49</v>
      </c>
      <c r="G4485" t="s">
        <v>8428</v>
      </c>
      <c r="H4485" t="s">
        <v>9002</v>
      </c>
      <c r="J4485" t="str">
        <f>HYPERLINK("https://www.youtube.com/watch?v=pJw8yRpVZew&amp;lc=UgyVhELBk51UuMYY8J94AaABAg.9z48um6qGsl9z5tVCK83oP","https://www.youtube.com/watch?v=pJw8yRpVZew&amp;lc=UgyVhELBk51UuMYY8J94AaABAg.9z48um6qGsl9z5tVCK83oP")</f>
        <v>https://www.youtube.com/watch?v=pJw8yRpVZew&amp;lc=UgyVhELBk51UuMYY8J94AaABAg.9z48um6qGsl9z5tVCK83oP</v>
      </c>
      <c r="O4485">
        <v>0</v>
      </c>
      <c r="P4485">
        <v>0</v>
      </c>
      <c r="Q4485">
        <v>0</v>
      </c>
      <c r="S4485">
        <v>0</v>
      </c>
      <c r="T4485">
        <v>0</v>
      </c>
      <c r="U4485">
        <v>0</v>
      </c>
      <c r="W4485" t="s">
        <v>52</v>
      </c>
    </row>
    <row r="4486" spans="1:23" x14ac:dyDescent="0.35">
      <c r="A4486" t="s">
        <v>45</v>
      </c>
      <c r="B4486" t="s">
        <v>8916</v>
      </c>
      <c r="C4486" t="s">
        <v>47</v>
      </c>
      <c r="D4486" t="s">
        <v>68</v>
      </c>
      <c r="E4486" t="s">
        <v>68</v>
      </c>
      <c r="F4486" t="s">
        <v>49</v>
      </c>
      <c r="G4486" t="s">
        <v>8999</v>
      </c>
      <c r="H4486" t="s">
        <v>9003</v>
      </c>
      <c r="J4486" t="str">
        <f>HYPERLINK("https://www.youtube.com/watch?v=pJw8yRpVZew&amp;lc=Ugyx2hLzkO6KRGAck_J4AaABAg.9z3rI88TEoy9z5tGB8JOfz","https://www.youtube.com/watch?v=pJw8yRpVZew&amp;lc=Ugyx2hLzkO6KRGAck_J4AaABAg.9z3rI88TEoy9z5tGB8JOfz")</f>
        <v>https://www.youtube.com/watch?v=pJw8yRpVZew&amp;lc=Ugyx2hLzkO6KRGAck_J4AaABAg.9z3rI88TEoy9z5tGB8JOfz</v>
      </c>
      <c r="O4486">
        <v>0</v>
      </c>
      <c r="P4486">
        <v>0</v>
      </c>
      <c r="Q4486">
        <v>0</v>
      </c>
      <c r="S4486">
        <v>0</v>
      </c>
      <c r="T4486">
        <v>0</v>
      </c>
      <c r="U4486">
        <v>0</v>
      </c>
      <c r="W4486" t="s">
        <v>52</v>
      </c>
    </row>
    <row r="4487" spans="1:23" x14ac:dyDescent="0.35">
      <c r="A4487" t="s">
        <v>45</v>
      </c>
      <c r="B4487" t="s">
        <v>8916</v>
      </c>
      <c r="C4487" t="s">
        <v>47</v>
      </c>
      <c r="D4487" t="s">
        <v>68</v>
      </c>
      <c r="E4487" t="s">
        <v>68</v>
      </c>
      <c r="F4487" t="s">
        <v>49</v>
      </c>
      <c r="G4487" t="s">
        <v>8999</v>
      </c>
      <c r="H4487" t="s">
        <v>9004</v>
      </c>
      <c r="J4487" t="str">
        <f>HYPERLINK("https://www.youtube.com/watch?v=pJw8yRpVZew&amp;lc=UgxpzP-Jrt6q5eiXYId4AaABAg.9z4HhIqbqvO9z5tDFDPkuS","https://www.youtube.com/watch?v=pJw8yRpVZew&amp;lc=UgxpzP-Jrt6q5eiXYId4AaABAg.9z4HhIqbqvO9z5tDFDPkuS")</f>
        <v>https://www.youtube.com/watch?v=pJw8yRpVZew&amp;lc=UgxpzP-Jrt6q5eiXYId4AaABAg.9z4HhIqbqvO9z5tDFDPkuS</v>
      </c>
      <c r="O4487">
        <v>0</v>
      </c>
      <c r="P4487">
        <v>0</v>
      </c>
      <c r="Q4487">
        <v>0</v>
      </c>
      <c r="S4487">
        <v>0</v>
      </c>
      <c r="T4487">
        <v>0</v>
      </c>
      <c r="U4487">
        <v>0</v>
      </c>
      <c r="W4487" t="s">
        <v>52</v>
      </c>
    </row>
    <row r="4488" spans="1:23" x14ac:dyDescent="0.35">
      <c r="A4488" t="s">
        <v>45</v>
      </c>
      <c r="B4488" t="s">
        <v>8916</v>
      </c>
      <c r="C4488" t="s">
        <v>47</v>
      </c>
      <c r="D4488" t="s">
        <v>68</v>
      </c>
      <c r="E4488" t="s">
        <v>68</v>
      </c>
      <c r="F4488" t="s">
        <v>49</v>
      </c>
      <c r="G4488" t="s">
        <v>8428</v>
      </c>
      <c r="H4488" t="s">
        <v>9005</v>
      </c>
      <c r="J4488" t="str">
        <f>HYPERLINK("https://www.youtube.com/watch?v=pJw8yRpVZew&amp;lc=UgzgE_PFeteX1BbbC254AaABAg.9z4ImgtXd9f9z5sK_blqee","https://www.youtube.com/watch?v=pJw8yRpVZew&amp;lc=UgzgE_PFeteX1BbbC254AaABAg.9z4ImgtXd9f9z5sK_blqee")</f>
        <v>https://www.youtube.com/watch?v=pJw8yRpVZew&amp;lc=UgzgE_PFeteX1BbbC254AaABAg.9z4ImgtXd9f9z5sK_blqee</v>
      </c>
      <c r="O4488">
        <v>0</v>
      </c>
      <c r="P4488">
        <v>0</v>
      </c>
      <c r="Q4488">
        <v>0</v>
      </c>
      <c r="S4488">
        <v>0</v>
      </c>
      <c r="T4488">
        <v>0</v>
      </c>
      <c r="U4488">
        <v>0</v>
      </c>
      <c r="W4488" t="s">
        <v>52</v>
      </c>
    </row>
    <row r="4489" spans="1:23" x14ac:dyDescent="0.35">
      <c r="A4489" t="s">
        <v>45</v>
      </c>
      <c r="B4489" t="s">
        <v>8916</v>
      </c>
      <c r="C4489" t="s">
        <v>47</v>
      </c>
      <c r="D4489" t="s">
        <v>68</v>
      </c>
      <c r="E4489" t="s">
        <v>68</v>
      </c>
      <c r="F4489" t="s">
        <v>49</v>
      </c>
      <c r="G4489" t="s">
        <v>8265</v>
      </c>
      <c r="H4489" t="s">
        <v>9006</v>
      </c>
      <c r="J4489" t="str">
        <f>HYPERLINK("https://www.youtube.com/watch?v=pJw8yRpVZew&amp;lc=Ugw_VmqZz5r6A5MG_At4AaABAg.9z5JK3ju85p9z5sAuzEJLY","https://www.youtube.com/watch?v=pJw8yRpVZew&amp;lc=Ugw_VmqZz5r6A5MG_At4AaABAg.9z5JK3ju85p9z5sAuzEJLY")</f>
        <v>https://www.youtube.com/watch?v=pJw8yRpVZew&amp;lc=Ugw_VmqZz5r6A5MG_At4AaABAg.9z5JK3ju85p9z5sAuzEJLY</v>
      </c>
      <c r="O4489">
        <v>0</v>
      </c>
      <c r="P4489">
        <v>0</v>
      </c>
      <c r="Q4489">
        <v>0</v>
      </c>
      <c r="S4489">
        <v>0</v>
      </c>
      <c r="T4489">
        <v>0</v>
      </c>
      <c r="U4489">
        <v>0</v>
      </c>
      <c r="W4489" t="s">
        <v>52</v>
      </c>
    </row>
    <row r="4490" spans="1:23" x14ac:dyDescent="0.35">
      <c r="A4490" t="s">
        <v>45</v>
      </c>
      <c r="B4490" t="s">
        <v>8916</v>
      </c>
      <c r="C4490" t="s">
        <v>47</v>
      </c>
      <c r="D4490" t="s">
        <v>68</v>
      </c>
      <c r="E4490" t="s">
        <v>68</v>
      </c>
      <c r="F4490" t="s">
        <v>49</v>
      </c>
      <c r="G4490" t="s">
        <v>8428</v>
      </c>
      <c r="H4490" t="s">
        <v>9007</v>
      </c>
      <c r="J4490" t="str">
        <f>HYPERLINK("https://www.youtube.com/watch?v=pJw8yRpVZew&amp;lc=Ugw_F4KsQZZxnOJlvjN4AaABAg.9z5ZZpjL1GE9z5s7tbF_i9","https://www.youtube.com/watch?v=pJw8yRpVZew&amp;lc=Ugw_F4KsQZZxnOJlvjN4AaABAg.9z5ZZpjL1GE9z5s7tbF_i9")</f>
        <v>https://www.youtube.com/watch?v=pJw8yRpVZew&amp;lc=Ugw_F4KsQZZxnOJlvjN4AaABAg.9z5ZZpjL1GE9z5s7tbF_i9</v>
      </c>
      <c r="O4490">
        <v>0</v>
      </c>
      <c r="P4490">
        <v>0</v>
      </c>
      <c r="Q4490">
        <v>0</v>
      </c>
      <c r="S4490">
        <v>0</v>
      </c>
      <c r="T4490">
        <v>0</v>
      </c>
      <c r="U4490">
        <v>0</v>
      </c>
      <c r="W4490" t="s">
        <v>52</v>
      </c>
    </row>
    <row r="4491" spans="1:23" x14ac:dyDescent="0.35">
      <c r="A4491" t="s">
        <v>45</v>
      </c>
      <c r="B4491" t="s">
        <v>8916</v>
      </c>
      <c r="C4491" t="s">
        <v>47</v>
      </c>
      <c r="D4491" t="s">
        <v>68</v>
      </c>
      <c r="E4491" t="s">
        <v>68</v>
      </c>
      <c r="F4491" t="s">
        <v>49</v>
      </c>
      <c r="G4491" t="s">
        <v>8265</v>
      </c>
      <c r="H4491" t="s">
        <v>9008</v>
      </c>
      <c r="J4491" t="str">
        <f>HYPERLINK("https://www.youtube.com/watch?v=pJw8yRpVZew&amp;lc=Ugx_MefHC8idUYQFjFF4AaABAg.9z5gZZ3DVcI9z5rwpHQH0B","https://www.youtube.com/watch?v=pJw8yRpVZew&amp;lc=Ugx_MefHC8idUYQFjFF4AaABAg.9z5gZZ3DVcI9z5rwpHQH0B")</f>
        <v>https://www.youtube.com/watch?v=pJw8yRpVZew&amp;lc=Ugx_MefHC8idUYQFjFF4AaABAg.9z5gZZ3DVcI9z5rwpHQH0B</v>
      </c>
      <c r="O4491">
        <v>0</v>
      </c>
      <c r="P4491">
        <v>0</v>
      </c>
      <c r="Q4491">
        <v>0</v>
      </c>
      <c r="S4491">
        <v>0</v>
      </c>
      <c r="T4491">
        <v>0</v>
      </c>
      <c r="U4491">
        <v>0</v>
      </c>
      <c r="W4491" t="s">
        <v>52</v>
      </c>
    </row>
    <row r="4492" spans="1:23" x14ac:dyDescent="0.35">
      <c r="A4492" t="s">
        <v>45</v>
      </c>
      <c r="B4492" t="s">
        <v>8916</v>
      </c>
      <c r="C4492" t="s">
        <v>93</v>
      </c>
      <c r="D4492" t="s">
        <v>94</v>
      </c>
      <c r="E4492" t="s">
        <v>45</v>
      </c>
      <c r="F4492" t="s">
        <v>49</v>
      </c>
      <c r="G4492" t="s">
        <v>9009</v>
      </c>
      <c r="H4492" t="s">
        <v>9010</v>
      </c>
      <c r="J4492" t="str">
        <f>HYPERLINK("https://twitter.com/SpiceMoneyIndia/status/1742455345971163250","https://twitter.com/SpiceMoneyIndia/status/1742455345971163250")</f>
        <v>https://twitter.com/SpiceMoneyIndia/status/1742455345971163250</v>
      </c>
      <c r="K4492" t="s">
        <v>67</v>
      </c>
      <c r="O4492">
        <v>0</v>
      </c>
      <c r="P4492">
        <v>0</v>
      </c>
      <c r="Q4492">
        <v>5981</v>
      </c>
      <c r="R4492" t="s">
        <v>97</v>
      </c>
      <c r="S4492">
        <v>0</v>
      </c>
      <c r="T4492">
        <v>0</v>
      </c>
      <c r="U4492">
        <v>0</v>
      </c>
      <c r="V4492" t="s">
        <v>98</v>
      </c>
      <c r="W4492" t="s">
        <v>99</v>
      </c>
    </row>
    <row r="4493" spans="1:23" x14ac:dyDescent="0.35">
      <c r="A4493" t="s">
        <v>45</v>
      </c>
      <c r="B4493" t="s">
        <v>8916</v>
      </c>
      <c r="C4493" t="s">
        <v>47</v>
      </c>
      <c r="D4493" t="s">
        <v>68</v>
      </c>
      <c r="E4493" t="s">
        <v>68</v>
      </c>
      <c r="F4493" t="s">
        <v>49</v>
      </c>
      <c r="G4493" t="s">
        <v>8428</v>
      </c>
      <c r="H4493" t="s">
        <v>9011</v>
      </c>
      <c r="J4493" t="str">
        <f>HYPERLINK("https://www.youtube.com/watch?v=pJw8yRpVZew&amp;lc=UgwqYO6NgwSfoqdq9R14AaABAg.9z3pf-PmwUz9z5rbI2aCwp","https://www.youtube.com/watch?v=pJw8yRpVZew&amp;lc=UgwqYO6NgwSfoqdq9R14AaABAg.9z3pf-PmwUz9z5rbI2aCwp")</f>
        <v>https://www.youtube.com/watch?v=pJw8yRpVZew&amp;lc=UgwqYO6NgwSfoqdq9R14AaABAg.9z3pf-PmwUz9z5rbI2aCwp</v>
      </c>
      <c r="O4493">
        <v>0</v>
      </c>
      <c r="P4493">
        <v>0</v>
      </c>
      <c r="Q4493">
        <v>0</v>
      </c>
      <c r="S4493">
        <v>0</v>
      </c>
      <c r="T4493">
        <v>0</v>
      </c>
      <c r="U4493">
        <v>0</v>
      </c>
      <c r="W4493" t="s">
        <v>52</v>
      </c>
    </row>
    <row r="4494" spans="1:23" x14ac:dyDescent="0.35">
      <c r="A4494" t="s">
        <v>45</v>
      </c>
      <c r="B4494" t="s">
        <v>8916</v>
      </c>
      <c r="C4494" t="s">
        <v>47</v>
      </c>
      <c r="D4494" t="s">
        <v>68</v>
      </c>
      <c r="E4494" t="s">
        <v>68</v>
      </c>
      <c r="F4494" t="s">
        <v>49</v>
      </c>
      <c r="G4494" t="s">
        <v>1595</v>
      </c>
      <c r="H4494" t="s">
        <v>9012</v>
      </c>
      <c r="J4494" t="str">
        <f>HYPERLINK("https://www.youtube.com/watch?v=pJw8yRpVZew&amp;lc=UgwRA7wvFnTG-2WRZH54AaABAg.9z3ovQHtAsC9z5rTAjbC-H","https://www.youtube.com/watch?v=pJw8yRpVZew&amp;lc=UgwRA7wvFnTG-2WRZH54AaABAg.9z3ovQHtAsC9z5rTAjbC-H")</f>
        <v>https://www.youtube.com/watch?v=pJw8yRpVZew&amp;lc=UgwRA7wvFnTG-2WRZH54AaABAg.9z3ovQHtAsC9z5rTAjbC-H</v>
      </c>
      <c r="O4494">
        <v>0</v>
      </c>
      <c r="P4494">
        <v>0</v>
      </c>
      <c r="Q4494">
        <v>0</v>
      </c>
      <c r="S4494">
        <v>0</v>
      </c>
      <c r="T4494">
        <v>0</v>
      </c>
      <c r="U4494">
        <v>0</v>
      </c>
      <c r="W4494" t="s">
        <v>52</v>
      </c>
    </row>
    <row r="4495" spans="1:23" x14ac:dyDescent="0.35">
      <c r="A4495" t="s">
        <v>45</v>
      </c>
      <c r="B4495" t="s">
        <v>8916</v>
      </c>
      <c r="C4495" t="s">
        <v>47</v>
      </c>
      <c r="D4495" t="s">
        <v>9013</v>
      </c>
      <c r="E4495" t="s">
        <v>9013</v>
      </c>
      <c r="F4495" t="s">
        <v>49</v>
      </c>
      <c r="G4495" t="s">
        <v>9014</v>
      </c>
      <c r="H4495" t="s">
        <v>9015</v>
      </c>
      <c r="J4495" t="str">
        <f>HYPERLINK("https://www.youtube.com/watch?v=pJw8yRpVZew&amp;lc=Ugxrl52aKo2IslM4Hrx4AaABAg.9z4ATU9hRYy9z5r8H-OVzr","https://www.youtube.com/watch?v=pJw8yRpVZew&amp;lc=Ugxrl52aKo2IslM4Hrx4AaABAg.9z4ATU9hRYy9z5r8H-OVzr")</f>
        <v>https://www.youtube.com/watch?v=pJw8yRpVZew&amp;lc=Ugxrl52aKo2IslM4Hrx4AaABAg.9z4ATU9hRYy9z5r8H-OVzr</v>
      </c>
      <c r="O4495">
        <v>0</v>
      </c>
      <c r="P4495">
        <v>0</v>
      </c>
      <c r="Q4495">
        <v>0</v>
      </c>
      <c r="S4495">
        <v>0</v>
      </c>
      <c r="T4495">
        <v>0</v>
      </c>
      <c r="U4495">
        <v>0</v>
      </c>
      <c r="W4495" t="s">
        <v>52</v>
      </c>
    </row>
    <row r="4496" spans="1:23" x14ac:dyDescent="0.35">
      <c r="A4496" t="s">
        <v>45</v>
      </c>
      <c r="B4496" t="s">
        <v>8916</v>
      </c>
      <c r="C4496" t="s">
        <v>47</v>
      </c>
      <c r="D4496" t="s">
        <v>68</v>
      </c>
      <c r="E4496" t="s">
        <v>68</v>
      </c>
      <c r="F4496" t="s">
        <v>49</v>
      </c>
      <c r="G4496" t="s">
        <v>8428</v>
      </c>
      <c r="H4496" t="s">
        <v>9016</v>
      </c>
      <c r="J4496" t="str">
        <f>HYPERLINK("https://www.youtube.com/watch?v=pJw8yRpVZew&amp;lc=UgwRA7wvFnTG-2WRZH54AaABAg.9z3ovQHtAsC9z5r49_3LRo","https://www.youtube.com/watch?v=pJw8yRpVZew&amp;lc=UgwRA7wvFnTG-2WRZH54AaABAg.9z3ovQHtAsC9z5r49_3LRo")</f>
        <v>https://www.youtube.com/watch?v=pJw8yRpVZew&amp;lc=UgwRA7wvFnTG-2WRZH54AaABAg.9z3ovQHtAsC9z5r49_3LRo</v>
      </c>
      <c r="O4496">
        <v>0</v>
      </c>
      <c r="P4496">
        <v>0</v>
      </c>
      <c r="Q4496">
        <v>0</v>
      </c>
      <c r="S4496">
        <v>0</v>
      </c>
      <c r="T4496">
        <v>0</v>
      </c>
      <c r="U4496">
        <v>0</v>
      </c>
      <c r="W4496" t="s">
        <v>52</v>
      </c>
    </row>
    <row r="4497" spans="1:23" x14ac:dyDescent="0.35">
      <c r="A4497" t="s">
        <v>45</v>
      </c>
      <c r="B4497" t="s">
        <v>8916</v>
      </c>
      <c r="C4497" t="s">
        <v>47</v>
      </c>
      <c r="D4497" t="s">
        <v>68</v>
      </c>
      <c r="E4497" t="s">
        <v>68</v>
      </c>
      <c r="F4497" t="s">
        <v>49</v>
      </c>
      <c r="G4497" t="s">
        <v>8428</v>
      </c>
      <c r="H4497" t="s">
        <v>9017</v>
      </c>
      <c r="J4497" t="str">
        <f>HYPERLINK("https://www.youtube.com/watch?v=pJw8yRpVZew&amp;lc=Ugxt5tAbqMIFRN8yaAh4AaABAg.9z3rM3DltF_9z5r0QifXES","https://www.youtube.com/watch?v=pJw8yRpVZew&amp;lc=Ugxt5tAbqMIFRN8yaAh4AaABAg.9z3rM3DltF_9z5r0QifXES")</f>
        <v>https://www.youtube.com/watch?v=pJw8yRpVZew&amp;lc=Ugxt5tAbqMIFRN8yaAh4AaABAg.9z3rM3DltF_9z5r0QifXES</v>
      </c>
      <c r="O4497">
        <v>0</v>
      </c>
      <c r="P4497">
        <v>0</v>
      </c>
      <c r="Q4497">
        <v>0</v>
      </c>
      <c r="S4497">
        <v>0</v>
      </c>
      <c r="T4497">
        <v>0</v>
      </c>
      <c r="U4497">
        <v>0</v>
      </c>
      <c r="W4497" t="s">
        <v>52</v>
      </c>
    </row>
    <row r="4498" spans="1:23" x14ac:dyDescent="0.35">
      <c r="A4498" t="s">
        <v>45</v>
      </c>
      <c r="B4498" t="s">
        <v>8916</v>
      </c>
      <c r="C4498" t="s">
        <v>47</v>
      </c>
      <c r="D4498" t="s">
        <v>68</v>
      </c>
      <c r="E4498" t="s">
        <v>68</v>
      </c>
      <c r="F4498" t="s">
        <v>49</v>
      </c>
      <c r="G4498" t="s">
        <v>8999</v>
      </c>
      <c r="H4498" t="s">
        <v>9018</v>
      </c>
      <c r="J4498" t="str">
        <f>HYPERLINK("https://www.youtube.com/watch?v=pJw8yRpVZew&amp;lc=Ugyx2hLzkO6KRGAck_J4AaABAg.9z3rI88TEoy9z5qsXclep7","https://www.youtube.com/watch?v=pJw8yRpVZew&amp;lc=Ugyx2hLzkO6KRGAck_J4AaABAg.9z3rI88TEoy9z5qsXclep7")</f>
        <v>https://www.youtube.com/watch?v=pJw8yRpVZew&amp;lc=Ugyx2hLzkO6KRGAck_J4AaABAg.9z3rI88TEoy9z5qsXclep7</v>
      </c>
      <c r="O4498">
        <v>0</v>
      </c>
      <c r="P4498">
        <v>0</v>
      </c>
      <c r="Q4498">
        <v>0</v>
      </c>
      <c r="S4498">
        <v>0</v>
      </c>
      <c r="T4498">
        <v>0</v>
      </c>
      <c r="U4498">
        <v>0</v>
      </c>
      <c r="W4498" t="s">
        <v>52</v>
      </c>
    </row>
    <row r="4499" spans="1:23" x14ac:dyDescent="0.35">
      <c r="A4499" t="s">
        <v>45</v>
      </c>
      <c r="B4499" t="s">
        <v>8916</v>
      </c>
      <c r="C4499" t="s">
        <v>47</v>
      </c>
      <c r="D4499" t="s">
        <v>68</v>
      </c>
      <c r="E4499" t="s">
        <v>68</v>
      </c>
      <c r="F4499" t="s">
        <v>49</v>
      </c>
      <c r="G4499" t="s">
        <v>270</v>
      </c>
      <c r="H4499" t="s">
        <v>9019</v>
      </c>
      <c r="J4499" t="str">
        <f>HYPERLINK("https://www.youtube.com/watch?v=pJw8yRpVZew&amp;lc=Ugz-0iVDcb_ZT5PZp3t4AaABAg.9z3pQE_hxM-9z5pKoL3ZIm","https://www.youtube.com/watch?v=pJw8yRpVZew&amp;lc=Ugz-0iVDcb_ZT5PZp3t4AaABAg.9z3pQE_hxM-9z5pKoL3ZIm")</f>
        <v>https://www.youtube.com/watch?v=pJw8yRpVZew&amp;lc=Ugz-0iVDcb_ZT5PZp3t4AaABAg.9z3pQE_hxM-9z5pKoL3ZIm</v>
      </c>
      <c r="O4499">
        <v>0</v>
      </c>
      <c r="P4499">
        <v>0</v>
      </c>
      <c r="Q4499">
        <v>0</v>
      </c>
      <c r="S4499">
        <v>0</v>
      </c>
      <c r="T4499">
        <v>0</v>
      </c>
      <c r="U4499">
        <v>0</v>
      </c>
      <c r="W4499" t="s">
        <v>52</v>
      </c>
    </row>
    <row r="4500" spans="1:23" x14ac:dyDescent="0.35">
      <c r="A4500" t="s">
        <v>45</v>
      </c>
      <c r="B4500" t="s">
        <v>8916</v>
      </c>
      <c r="C4500" t="s">
        <v>47</v>
      </c>
      <c r="D4500" t="s">
        <v>68</v>
      </c>
      <c r="E4500" t="s">
        <v>68</v>
      </c>
      <c r="F4500" t="s">
        <v>49</v>
      </c>
      <c r="G4500" t="s">
        <v>162</v>
      </c>
      <c r="H4500" t="s">
        <v>9020</v>
      </c>
      <c r="J4500" t="str">
        <f>HYPERLINK("https://www.youtube.com/watch?v=pJw8yRpVZew&amp;lc=UgzX_-OhSs8mPQK3aDh4AaABAg.9z3oaaPGXsI9z5pAdVttig","https://www.youtube.com/watch?v=pJw8yRpVZew&amp;lc=UgzX_-OhSs8mPQK3aDh4AaABAg.9z3oaaPGXsI9z5pAdVttig")</f>
        <v>https://www.youtube.com/watch?v=pJw8yRpVZew&amp;lc=UgzX_-OhSs8mPQK3aDh4AaABAg.9z3oaaPGXsI9z5pAdVttig</v>
      </c>
      <c r="O4500">
        <v>0</v>
      </c>
      <c r="P4500">
        <v>0</v>
      </c>
      <c r="Q4500">
        <v>0</v>
      </c>
      <c r="S4500">
        <v>0</v>
      </c>
      <c r="T4500">
        <v>0</v>
      </c>
      <c r="U4500">
        <v>0</v>
      </c>
      <c r="W4500" t="s">
        <v>52</v>
      </c>
    </row>
    <row r="4501" spans="1:23" x14ac:dyDescent="0.35">
      <c r="A4501" t="s">
        <v>45</v>
      </c>
      <c r="B4501" t="s">
        <v>8916</v>
      </c>
      <c r="C4501" t="s">
        <v>93</v>
      </c>
      <c r="D4501" t="s">
        <v>94</v>
      </c>
      <c r="E4501" t="s">
        <v>45</v>
      </c>
      <c r="F4501" t="s">
        <v>49</v>
      </c>
      <c r="G4501" t="s">
        <v>9021</v>
      </c>
      <c r="H4501" t="s">
        <v>9022</v>
      </c>
      <c r="J4501" t="str">
        <f>HYPERLINK("https://twitter.com/SpiceMoneyIndia/status/1742449620515516644","https://twitter.com/SpiceMoneyIndia/status/1742449620515516644")</f>
        <v>https://twitter.com/SpiceMoneyIndia/status/1742449620515516644</v>
      </c>
      <c r="K4501" t="s">
        <v>67</v>
      </c>
      <c r="O4501">
        <v>0</v>
      </c>
      <c r="P4501">
        <v>0</v>
      </c>
      <c r="Q4501">
        <v>5981</v>
      </c>
      <c r="R4501" t="s">
        <v>97</v>
      </c>
      <c r="S4501">
        <v>0</v>
      </c>
      <c r="T4501">
        <v>0</v>
      </c>
      <c r="U4501">
        <v>0</v>
      </c>
      <c r="V4501" t="s">
        <v>98</v>
      </c>
      <c r="W4501" t="s">
        <v>99</v>
      </c>
    </row>
    <row r="4502" spans="1:23" x14ac:dyDescent="0.35">
      <c r="A4502" t="s">
        <v>45</v>
      </c>
      <c r="B4502" t="s">
        <v>8916</v>
      </c>
      <c r="C4502" t="s">
        <v>60</v>
      </c>
      <c r="D4502" t="s">
        <v>64</v>
      </c>
      <c r="E4502" t="s">
        <v>64</v>
      </c>
      <c r="F4502" t="s">
        <v>49</v>
      </c>
      <c r="G4502" t="s">
        <v>270</v>
      </c>
      <c r="H4502" t="s">
        <v>9023</v>
      </c>
      <c r="J4502" t="str">
        <f>HYPERLINK("https://www.facebook.com/634639855377280/posts/765118255662772?comment_id=388076487011291&amp;reply_comment_id=3204790316492282","https://www.facebook.com/634639855377280/posts/765118255662772?comment_id=388076487011291&amp;reply_comment_id=3204790316492282")</f>
        <v>https://www.facebook.com/634639855377280/posts/765118255662772?comment_id=388076487011291&amp;reply_comment_id=3204790316492282</v>
      </c>
      <c r="K4502" t="s">
        <v>67</v>
      </c>
      <c r="O4502">
        <v>0</v>
      </c>
      <c r="P4502">
        <v>0</v>
      </c>
      <c r="Q4502">
        <v>0</v>
      </c>
      <c r="S4502">
        <v>0</v>
      </c>
      <c r="T4502">
        <v>0</v>
      </c>
      <c r="U4502">
        <v>0</v>
      </c>
      <c r="W4502" t="s">
        <v>52</v>
      </c>
    </row>
    <row r="4503" spans="1:23" x14ac:dyDescent="0.35">
      <c r="A4503" t="s">
        <v>45</v>
      </c>
      <c r="B4503" t="s">
        <v>8916</v>
      </c>
      <c r="C4503" t="s">
        <v>47</v>
      </c>
      <c r="D4503" t="s">
        <v>9024</v>
      </c>
      <c r="E4503" t="s">
        <v>9024</v>
      </c>
      <c r="F4503" t="s">
        <v>49</v>
      </c>
      <c r="G4503" t="s">
        <v>9025</v>
      </c>
      <c r="H4503" t="s">
        <v>9026</v>
      </c>
      <c r="J4503" t="str">
        <f>HYPERLINK("https://www.youtube.com/watch?v=tADOhWeAi-c","https://www.youtube.com/watch?v=tADOhWeAi-c")</f>
        <v>https://www.youtube.com/watch?v=tADOhWeAi-c</v>
      </c>
      <c r="O4503">
        <v>0</v>
      </c>
      <c r="P4503">
        <v>0</v>
      </c>
      <c r="Q4503">
        <v>0</v>
      </c>
      <c r="S4503">
        <v>0</v>
      </c>
      <c r="T4503">
        <v>0</v>
      </c>
      <c r="U4503">
        <v>0</v>
      </c>
      <c r="W4503" t="s">
        <v>346</v>
      </c>
    </row>
    <row r="4504" spans="1:23" x14ac:dyDescent="0.35">
      <c r="A4504" t="s">
        <v>45</v>
      </c>
      <c r="B4504" t="s">
        <v>8916</v>
      </c>
      <c r="C4504" t="s">
        <v>60</v>
      </c>
      <c r="D4504" t="s">
        <v>61</v>
      </c>
      <c r="E4504" t="s">
        <v>61</v>
      </c>
      <c r="F4504" t="s">
        <v>54</v>
      </c>
      <c r="G4504" t="s">
        <v>8056</v>
      </c>
      <c r="H4504" t="s">
        <v>9027</v>
      </c>
      <c r="J4504" t="str">
        <f>HYPERLINK("https://www.facebook.com/634639855377280/posts/765234932317771?comment_id=2470659953135816","https://www.facebook.com/634639855377280/posts/765234932317771?comment_id=2470659953135816")</f>
        <v>https://www.facebook.com/634639855377280/posts/765234932317771?comment_id=2470659953135816</v>
      </c>
      <c r="O4504">
        <v>0</v>
      </c>
      <c r="P4504">
        <v>0</v>
      </c>
      <c r="Q4504">
        <v>0</v>
      </c>
      <c r="S4504">
        <v>0</v>
      </c>
      <c r="T4504">
        <v>0</v>
      </c>
      <c r="U4504">
        <v>0</v>
      </c>
      <c r="W4504" t="s">
        <v>52</v>
      </c>
    </row>
    <row r="4505" spans="1:23" x14ac:dyDescent="0.35">
      <c r="A4505" t="s">
        <v>45</v>
      </c>
      <c r="B4505" t="s">
        <v>8916</v>
      </c>
      <c r="C4505" t="s">
        <v>60</v>
      </c>
      <c r="D4505" t="s">
        <v>61</v>
      </c>
      <c r="E4505" t="s">
        <v>61</v>
      </c>
      <c r="F4505" t="s">
        <v>49</v>
      </c>
      <c r="G4505" t="s">
        <v>9028</v>
      </c>
      <c r="H4505" t="s">
        <v>9029</v>
      </c>
      <c r="J4505" t="str">
        <f>HYPERLINK("https://www.facebook.com/634639855377280/posts/765118255662772?comment_id=388076487011291","https://www.facebook.com/634639855377280/posts/765118255662772?comment_id=388076487011291")</f>
        <v>https://www.facebook.com/634639855377280/posts/765118255662772?comment_id=388076487011291</v>
      </c>
      <c r="O4505">
        <v>0</v>
      </c>
      <c r="P4505">
        <v>0</v>
      </c>
      <c r="Q4505">
        <v>0</v>
      </c>
      <c r="S4505">
        <v>0</v>
      </c>
      <c r="T4505">
        <v>0</v>
      </c>
      <c r="U4505">
        <v>0</v>
      </c>
      <c r="W4505" t="s">
        <v>52</v>
      </c>
    </row>
    <row r="4506" spans="1:23" x14ac:dyDescent="0.35">
      <c r="A4506" t="s">
        <v>45</v>
      </c>
      <c r="B4506" t="s">
        <v>8916</v>
      </c>
      <c r="C4506" t="s">
        <v>47</v>
      </c>
      <c r="D4506" t="s">
        <v>6448</v>
      </c>
      <c r="E4506" t="s">
        <v>6448</v>
      </c>
      <c r="F4506" t="s">
        <v>54</v>
      </c>
      <c r="G4506" t="s">
        <v>9030</v>
      </c>
      <c r="H4506" t="s">
        <v>9031</v>
      </c>
      <c r="J4506" t="str">
        <f>HYPERLINK("https://www.youtube.com/watch?v=pJw8yRpVZew&amp;lc=Ugx_MefHC8idUYQFjFF4AaABAg","https://www.youtube.com/watch?v=pJw8yRpVZew&amp;lc=Ugx_MefHC8idUYQFjFF4AaABAg")</f>
        <v>https://www.youtube.com/watch?v=pJw8yRpVZew&amp;lc=Ugx_MefHC8idUYQFjFF4AaABAg</v>
      </c>
      <c r="O4506">
        <v>0</v>
      </c>
      <c r="P4506">
        <v>0</v>
      </c>
      <c r="Q4506">
        <v>0</v>
      </c>
      <c r="S4506">
        <v>0</v>
      </c>
      <c r="T4506">
        <v>0</v>
      </c>
      <c r="U4506">
        <v>0</v>
      </c>
      <c r="W4506" t="s">
        <v>52</v>
      </c>
    </row>
    <row r="4507" spans="1:23" x14ac:dyDescent="0.35">
      <c r="A4507" t="s">
        <v>45</v>
      </c>
      <c r="B4507" t="s">
        <v>8916</v>
      </c>
      <c r="C4507" t="s">
        <v>47</v>
      </c>
      <c r="D4507" t="s">
        <v>6448</v>
      </c>
      <c r="E4507" t="s">
        <v>6448</v>
      </c>
      <c r="F4507" t="s">
        <v>193</v>
      </c>
      <c r="G4507" t="s">
        <v>9032</v>
      </c>
      <c r="H4507" t="s">
        <v>9033</v>
      </c>
      <c r="J4507" t="str">
        <f>HYPERLINK("https://www.youtube.com/watch?v=pJw8yRpVZew&amp;lc=UgzNvWDdwoioLi74FIJ4AaABAg","https://www.youtube.com/watch?v=pJw8yRpVZew&amp;lc=UgzNvWDdwoioLi74FIJ4AaABAg")</f>
        <v>https://www.youtube.com/watch?v=pJw8yRpVZew&amp;lc=UgzNvWDdwoioLi74FIJ4AaABAg</v>
      </c>
      <c r="O4507">
        <v>0</v>
      </c>
      <c r="P4507">
        <v>0</v>
      </c>
      <c r="Q4507">
        <v>0</v>
      </c>
      <c r="S4507">
        <v>0</v>
      </c>
      <c r="T4507">
        <v>0</v>
      </c>
      <c r="U4507">
        <v>0</v>
      </c>
      <c r="W4507" t="s">
        <v>52</v>
      </c>
    </row>
    <row r="4508" spans="1:23" x14ac:dyDescent="0.35">
      <c r="A4508" t="s">
        <v>45</v>
      </c>
      <c r="B4508" t="s">
        <v>8916</v>
      </c>
      <c r="C4508" t="s">
        <v>93</v>
      </c>
      <c r="D4508" t="s">
        <v>1332</v>
      </c>
      <c r="E4508" t="s">
        <v>1333</v>
      </c>
      <c r="F4508" t="s">
        <v>54</v>
      </c>
      <c r="G4508" t="s">
        <v>9034</v>
      </c>
      <c r="H4508" t="s">
        <v>9035</v>
      </c>
      <c r="J4508" t="str">
        <f>HYPERLINK("https://twitter.com/IamDilipModi/status/1742420972807106947","https://twitter.com/IamDilipModi/status/1742420972807106947")</f>
        <v>https://twitter.com/IamDilipModi/status/1742420972807106947</v>
      </c>
      <c r="K4508" t="s">
        <v>67</v>
      </c>
      <c r="O4508">
        <v>0</v>
      </c>
      <c r="P4508">
        <v>0</v>
      </c>
      <c r="Q4508">
        <v>1873</v>
      </c>
      <c r="S4508">
        <v>0</v>
      </c>
      <c r="T4508">
        <v>0</v>
      </c>
      <c r="U4508">
        <v>0</v>
      </c>
      <c r="V4508" t="s">
        <v>98</v>
      </c>
      <c r="W4508" t="s">
        <v>99</v>
      </c>
    </row>
    <row r="4509" spans="1:23" x14ac:dyDescent="0.35">
      <c r="A4509" t="s">
        <v>45</v>
      </c>
      <c r="B4509" t="s">
        <v>8916</v>
      </c>
      <c r="C4509" t="s">
        <v>93</v>
      </c>
      <c r="D4509" t="s">
        <v>9036</v>
      </c>
      <c r="E4509" t="s">
        <v>9037</v>
      </c>
      <c r="F4509" t="s">
        <v>49</v>
      </c>
      <c r="G4509" t="s">
        <v>9038</v>
      </c>
      <c r="H4509" t="s">
        <v>9039</v>
      </c>
      <c r="J4509" t="str">
        <f>HYPERLINK("https://twitter.com/Dilshadthegreat/status/1742419073537880201","https://twitter.com/Dilshadthegreat/status/1742419073537880201")</f>
        <v>https://twitter.com/Dilshadthegreat/status/1742419073537880201</v>
      </c>
      <c r="K4509" t="s">
        <v>67</v>
      </c>
      <c r="O4509">
        <v>0</v>
      </c>
      <c r="P4509">
        <v>0</v>
      </c>
      <c r="Q4509">
        <v>1028</v>
      </c>
      <c r="R4509" t="s">
        <v>8492</v>
      </c>
      <c r="S4509">
        <v>0</v>
      </c>
      <c r="T4509">
        <v>0</v>
      </c>
      <c r="U4509">
        <v>0</v>
      </c>
      <c r="W4509" t="s">
        <v>99</v>
      </c>
    </row>
    <row r="4510" spans="1:23" x14ac:dyDescent="0.35">
      <c r="A4510" t="s">
        <v>45</v>
      </c>
      <c r="B4510" t="s">
        <v>8916</v>
      </c>
      <c r="C4510" t="s">
        <v>60</v>
      </c>
      <c r="D4510" t="s">
        <v>5491</v>
      </c>
      <c r="E4510" t="s">
        <v>5491</v>
      </c>
      <c r="F4510" t="s">
        <v>54</v>
      </c>
      <c r="G4510" t="s">
        <v>9040</v>
      </c>
      <c r="H4510" t="s">
        <v>9041</v>
      </c>
      <c r="J4510" t="str">
        <f>HYPERLINK("https://www.facebook.com/634639855377280/posts/765118255662772?comment_id=332726916252275","https://www.facebook.com/634639855377280/posts/765118255662772?comment_id=332726916252275")</f>
        <v>https://www.facebook.com/634639855377280/posts/765118255662772?comment_id=332726916252275</v>
      </c>
      <c r="K4510" t="s">
        <v>471</v>
      </c>
      <c r="O4510">
        <v>0</v>
      </c>
      <c r="P4510">
        <v>0</v>
      </c>
      <c r="Q4510">
        <v>0</v>
      </c>
      <c r="S4510">
        <v>0</v>
      </c>
      <c r="T4510">
        <v>0</v>
      </c>
      <c r="U4510">
        <v>0</v>
      </c>
      <c r="W4510" t="s">
        <v>52</v>
      </c>
    </row>
    <row r="4511" spans="1:23" x14ac:dyDescent="0.35">
      <c r="A4511" t="s">
        <v>45</v>
      </c>
      <c r="B4511" t="s">
        <v>8916</v>
      </c>
      <c r="C4511" t="s">
        <v>93</v>
      </c>
      <c r="D4511" t="s">
        <v>7902</v>
      </c>
      <c r="E4511" t="s">
        <v>7903</v>
      </c>
      <c r="F4511" t="s">
        <v>49</v>
      </c>
      <c r="G4511" t="s">
        <v>9042</v>
      </c>
      <c r="H4511" t="s">
        <v>9043</v>
      </c>
      <c r="J4511" t="str">
        <f>HYPERLINK("https://twitter.com/KRISHNA67713666/status/1742414584244572487","https://twitter.com/KRISHNA67713666/status/1742414584244572487")</f>
        <v>https://twitter.com/KRISHNA67713666/status/1742414584244572487</v>
      </c>
      <c r="K4511" t="s">
        <v>67</v>
      </c>
      <c r="O4511">
        <v>0</v>
      </c>
      <c r="P4511">
        <v>0</v>
      </c>
      <c r="Q4511">
        <v>6</v>
      </c>
      <c r="S4511">
        <v>0</v>
      </c>
      <c r="T4511">
        <v>0</v>
      </c>
      <c r="U4511">
        <v>0</v>
      </c>
      <c r="W4511" t="s">
        <v>99</v>
      </c>
    </row>
    <row r="4512" spans="1:23" x14ac:dyDescent="0.35">
      <c r="A4512" t="s">
        <v>45</v>
      </c>
      <c r="B4512" t="s">
        <v>8916</v>
      </c>
      <c r="C4512" t="s">
        <v>47</v>
      </c>
      <c r="D4512" t="s">
        <v>9044</v>
      </c>
      <c r="E4512" t="s">
        <v>9044</v>
      </c>
      <c r="F4512" t="s">
        <v>193</v>
      </c>
      <c r="G4512" t="s">
        <v>9045</v>
      </c>
      <c r="H4512" t="s">
        <v>9046</v>
      </c>
      <c r="J4512" t="str">
        <f>HYPERLINK("https://www.youtube.com/watch?v=pJw8yRpVZew&amp;lc=Ugw_F4KsQZZxnOJlvjN4AaABAg","https://www.youtube.com/watch?v=pJw8yRpVZew&amp;lc=Ugw_F4KsQZZxnOJlvjN4AaABAg")</f>
        <v>https://www.youtube.com/watch?v=pJw8yRpVZew&amp;lc=Ugw_F4KsQZZxnOJlvjN4AaABAg</v>
      </c>
      <c r="O4512">
        <v>0</v>
      </c>
      <c r="P4512">
        <v>0</v>
      </c>
      <c r="Q4512">
        <v>0</v>
      </c>
      <c r="S4512">
        <v>0</v>
      </c>
      <c r="T4512">
        <v>0</v>
      </c>
      <c r="U4512">
        <v>0</v>
      </c>
      <c r="W4512" t="s">
        <v>52</v>
      </c>
    </row>
    <row r="4513" spans="1:23" x14ac:dyDescent="0.35">
      <c r="A4513" t="s">
        <v>45</v>
      </c>
      <c r="B4513" t="s">
        <v>8916</v>
      </c>
      <c r="C4513" t="s">
        <v>47</v>
      </c>
      <c r="D4513" t="s">
        <v>9047</v>
      </c>
      <c r="E4513" t="s">
        <v>9047</v>
      </c>
      <c r="F4513" t="s">
        <v>54</v>
      </c>
      <c r="G4513" t="s">
        <v>9048</v>
      </c>
      <c r="H4513" t="s">
        <v>9049</v>
      </c>
      <c r="J4513" t="str">
        <f>HYPERLINK("https://www.youtube.com/watch?v=DptHjx1M074","https://www.youtube.com/watch?v=DptHjx1M074")</f>
        <v>https://www.youtube.com/watch?v=DptHjx1M074</v>
      </c>
      <c r="O4513">
        <v>0</v>
      </c>
      <c r="P4513">
        <v>0</v>
      </c>
      <c r="Q4513">
        <v>0</v>
      </c>
      <c r="S4513">
        <v>0</v>
      </c>
      <c r="T4513">
        <v>0</v>
      </c>
      <c r="U4513">
        <v>0</v>
      </c>
      <c r="W4513" t="s">
        <v>346</v>
      </c>
    </row>
    <row r="4514" spans="1:23" x14ac:dyDescent="0.35">
      <c r="A4514" t="s">
        <v>45</v>
      </c>
      <c r="B4514" t="s">
        <v>8916</v>
      </c>
      <c r="C4514" t="s">
        <v>93</v>
      </c>
      <c r="D4514" t="s">
        <v>7857</v>
      </c>
      <c r="E4514" t="s">
        <v>7858</v>
      </c>
      <c r="F4514" t="s">
        <v>49</v>
      </c>
      <c r="G4514" t="s">
        <v>9050</v>
      </c>
      <c r="H4514" t="s">
        <v>9051</v>
      </c>
      <c r="J4514" t="str">
        <f>HYPERLINK("https://twitter.com/nsrajpurohit108/status/1742404867443118227","https://twitter.com/nsrajpurohit108/status/1742404867443118227")</f>
        <v>https://twitter.com/nsrajpurohit108/status/1742404867443118227</v>
      </c>
      <c r="K4514" t="s">
        <v>67</v>
      </c>
      <c r="O4514">
        <v>0</v>
      </c>
      <c r="P4514">
        <v>0</v>
      </c>
      <c r="Q4514">
        <v>14</v>
      </c>
      <c r="R4514" t="s">
        <v>7861</v>
      </c>
      <c r="S4514">
        <v>0</v>
      </c>
      <c r="T4514">
        <v>0</v>
      </c>
      <c r="U4514">
        <v>0</v>
      </c>
      <c r="W4514" t="s">
        <v>99</v>
      </c>
    </row>
    <row r="4515" spans="1:23" x14ac:dyDescent="0.35">
      <c r="A4515" t="s">
        <v>45</v>
      </c>
      <c r="B4515" t="s">
        <v>8916</v>
      </c>
      <c r="C4515" t="s">
        <v>47</v>
      </c>
      <c r="D4515" t="s">
        <v>45</v>
      </c>
      <c r="E4515" t="s">
        <v>45</v>
      </c>
      <c r="F4515" t="s">
        <v>49</v>
      </c>
      <c r="G4515" t="s">
        <v>8201</v>
      </c>
      <c r="H4515" t="s">
        <v>9052</v>
      </c>
      <c r="J4515" t="str">
        <f>HYPERLINK("https://www.youtube.com/watch?v=w_spCvVW92w","https://www.youtube.com/watch?v=w_spCvVW92w")</f>
        <v>https://www.youtube.com/watch?v=w_spCvVW92w</v>
      </c>
      <c r="O4515">
        <v>0</v>
      </c>
      <c r="P4515">
        <v>0</v>
      </c>
      <c r="Q4515">
        <v>0</v>
      </c>
      <c r="S4515">
        <v>0</v>
      </c>
      <c r="T4515">
        <v>0</v>
      </c>
      <c r="U4515">
        <v>0</v>
      </c>
      <c r="W4515" t="s">
        <v>346</v>
      </c>
    </row>
    <row r="4516" spans="1:23" x14ac:dyDescent="0.35">
      <c r="A4516" t="s">
        <v>45</v>
      </c>
      <c r="B4516" t="s">
        <v>8916</v>
      </c>
      <c r="C4516" t="s">
        <v>47</v>
      </c>
      <c r="D4516" t="s">
        <v>9053</v>
      </c>
      <c r="E4516" t="s">
        <v>9053</v>
      </c>
      <c r="F4516" t="s">
        <v>193</v>
      </c>
      <c r="G4516" t="s">
        <v>9054</v>
      </c>
      <c r="H4516" t="s">
        <v>9055</v>
      </c>
      <c r="J4516" t="str">
        <f>HYPERLINK("https://www.youtube.com/watch?v=pJw8yRpVZew&amp;lc=Ugw_VmqZz5r6A5MG_At4AaABAg","https://www.youtube.com/watch?v=pJw8yRpVZew&amp;lc=Ugw_VmqZz5r6A5MG_At4AaABAg")</f>
        <v>https://www.youtube.com/watch?v=pJw8yRpVZew&amp;lc=Ugw_VmqZz5r6A5MG_At4AaABAg</v>
      </c>
      <c r="O4516">
        <v>0</v>
      </c>
      <c r="P4516">
        <v>0</v>
      </c>
      <c r="Q4516">
        <v>0</v>
      </c>
      <c r="S4516">
        <v>0</v>
      </c>
      <c r="T4516">
        <v>0</v>
      </c>
      <c r="U4516">
        <v>0</v>
      </c>
      <c r="W4516" t="s">
        <v>52</v>
      </c>
    </row>
    <row r="4517" spans="1:23" x14ac:dyDescent="0.35">
      <c r="A4517" t="s">
        <v>45</v>
      </c>
      <c r="B4517" t="s">
        <v>8916</v>
      </c>
      <c r="C4517" t="s">
        <v>60</v>
      </c>
      <c r="D4517" t="s">
        <v>61</v>
      </c>
      <c r="E4517" t="s">
        <v>61</v>
      </c>
      <c r="F4517" t="s">
        <v>49</v>
      </c>
      <c r="G4517" t="s">
        <v>9056</v>
      </c>
      <c r="H4517" t="s">
        <v>9057</v>
      </c>
      <c r="J4517" t="str">
        <f>HYPERLINK("https://www.facebook.com/634639855377280/posts/765118255662772?comment_id=1336853793641381","https://www.facebook.com/634639855377280/posts/765118255662772?comment_id=1336853793641381")</f>
        <v>https://www.facebook.com/634639855377280/posts/765118255662772?comment_id=1336853793641381</v>
      </c>
      <c r="O4517">
        <v>0</v>
      </c>
      <c r="P4517">
        <v>0</v>
      </c>
      <c r="Q4517">
        <v>0</v>
      </c>
      <c r="S4517">
        <v>0</v>
      </c>
      <c r="T4517">
        <v>0</v>
      </c>
      <c r="U4517">
        <v>0</v>
      </c>
      <c r="W4517" t="s">
        <v>52</v>
      </c>
    </row>
    <row r="4518" spans="1:23" x14ac:dyDescent="0.35">
      <c r="A4518" t="s">
        <v>45</v>
      </c>
      <c r="B4518" t="s">
        <v>8916</v>
      </c>
      <c r="C4518" t="s">
        <v>60</v>
      </c>
      <c r="D4518" t="s">
        <v>61</v>
      </c>
      <c r="E4518" t="s">
        <v>61</v>
      </c>
      <c r="F4518" t="s">
        <v>49</v>
      </c>
      <c r="G4518" t="s">
        <v>9058</v>
      </c>
      <c r="H4518" t="s">
        <v>9059</v>
      </c>
      <c r="J4518" t="str">
        <f>HYPERLINK("https://www.facebook.com/634639855377280/posts/765234932317771?comment_id=1288580861832749","https://www.facebook.com/634639855377280/posts/765234932317771?comment_id=1288580861832749")</f>
        <v>https://www.facebook.com/634639855377280/posts/765234932317771?comment_id=1288580861832749</v>
      </c>
      <c r="O4518">
        <v>0</v>
      </c>
      <c r="P4518">
        <v>0</v>
      </c>
      <c r="Q4518">
        <v>0</v>
      </c>
      <c r="S4518">
        <v>0</v>
      </c>
      <c r="T4518">
        <v>0</v>
      </c>
      <c r="U4518">
        <v>0</v>
      </c>
      <c r="W4518" t="s">
        <v>52</v>
      </c>
    </row>
    <row r="4519" spans="1:23" x14ac:dyDescent="0.35">
      <c r="A4519" t="s">
        <v>45</v>
      </c>
      <c r="B4519" t="s">
        <v>8916</v>
      </c>
      <c r="C4519" t="s">
        <v>60</v>
      </c>
      <c r="D4519" t="s">
        <v>61</v>
      </c>
      <c r="E4519" t="s">
        <v>61</v>
      </c>
      <c r="F4519" t="s">
        <v>49</v>
      </c>
      <c r="G4519" t="s">
        <v>9060</v>
      </c>
      <c r="H4519" t="s">
        <v>9061</v>
      </c>
      <c r="J4519" t="str">
        <f>HYPERLINK("https://www.facebook.com/634639855377280/posts/763771192464145?comment_id=3655288914759707&amp;reply_comment_id=381273554291276","https://www.facebook.com/634639855377280/posts/763771192464145?comment_id=3655288914759707&amp;reply_comment_id=381273554291276")</f>
        <v>https://www.facebook.com/634639855377280/posts/763771192464145?comment_id=3655288914759707&amp;reply_comment_id=381273554291276</v>
      </c>
      <c r="O4519">
        <v>0</v>
      </c>
      <c r="P4519">
        <v>0</v>
      </c>
      <c r="Q4519">
        <v>0</v>
      </c>
      <c r="S4519">
        <v>0</v>
      </c>
      <c r="T4519">
        <v>0</v>
      </c>
      <c r="U4519">
        <v>0</v>
      </c>
      <c r="W4519" t="s">
        <v>52</v>
      </c>
    </row>
    <row r="4520" spans="1:23" x14ac:dyDescent="0.35">
      <c r="A4520" t="s">
        <v>45</v>
      </c>
      <c r="B4520" t="s">
        <v>9062</v>
      </c>
      <c r="C4520" t="s">
        <v>60</v>
      </c>
      <c r="D4520" t="s">
        <v>61</v>
      </c>
      <c r="E4520" t="s">
        <v>61</v>
      </c>
      <c r="F4520" t="s">
        <v>54</v>
      </c>
      <c r="G4520" t="s">
        <v>9063</v>
      </c>
      <c r="H4520" t="s">
        <v>9064</v>
      </c>
      <c r="J4520" t="str">
        <f>HYPERLINK("https://www.facebook.com/634639855377280/posts/763771192464145?comment_id=361385303260576","https://www.facebook.com/634639855377280/posts/763771192464145?comment_id=361385303260576")</f>
        <v>https://www.facebook.com/634639855377280/posts/763771192464145?comment_id=361385303260576</v>
      </c>
      <c r="O4520">
        <v>0</v>
      </c>
      <c r="P4520">
        <v>0</v>
      </c>
      <c r="Q4520">
        <v>0</v>
      </c>
      <c r="S4520">
        <v>0</v>
      </c>
      <c r="T4520">
        <v>0</v>
      </c>
      <c r="U4520">
        <v>0</v>
      </c>
      <c r="W4520" t="s">
        <v>52</v>
      </c>
    </row>
    <row r="4521" spans="1:23" x14ac:dyDescent="0.35">
      <c r="A4521" t="s">
        <v>45</v>
      </c>
      <c r="B4521" t="s">
        <v>9062</v>
      </c>
      <c r="C4521" t="s">
        <v>60</v>
      </c>
      <c r="D4521" t="s">
        <v>61</v>
      </c>
      <c r="E4521" t="s">
        <v>61</v>
      </c>
      <c r="F4521" t="s">
        <v>193</v>
      </c>
      <c r="G4521" t="s">
        <v>9065</v>
      </c>
      <c r="H4521" t="s">
        <v>9066</v>
      </c>
      <c r="J4521" t="str">
        <f>HYPERLINK("https://www.facebook.com/634639855377280/posts/765234932317771?comment_id=1339459473421622","https://www.facebook.com/634639855377280/posts/765234932317771?comment_id=1339459473421622")</f>
        <v>https://www.facebook.com/634639855377280/posts/765234932317771?comment_id=1339459473421622</v>
      </c>
      <c r="O4521">
        <v>0</v>
      </c>
      <c r="P4521">
        <v>0</v>
      </c>
      <c r="Q4521">
        <v>0</v>
      </c>
      <c r="S4521">
        <v>0</v>
      </c>
      <c r="T4521">
        <v>0</v>
      </c>
      <c r="U4521">
        <v>0</v>
      </c>
      <c r="W4521" t="s">
        <v>52</v>
      </c>
    </row>
    <row r="4522" spans="1:23" x14ac:dyDescent="0.35">
      <c r="A4522" t="s">
        <v>45</v>
      </c>
      <c r="B4522" t="s">
        <v>9062</v>
      </c>
      <c r="C4522" t="s">
        <v>47</v>
      </c>
      <c r="D4522" t="s">
        <v>9067</v>
      </c>
      <c r="E4522" t="s">
        <v>9067</v>
      </c>
      <c r="F4522" t="s">
        <v>49</v>
      </c>
      <c r="G4522" t="s">
        <v>4289</v>
      </c>
      <c r="H4522" t="s">
        <v>9068</v>
      </c>
      <c r="J4522" t="str">
        <f>HYPERLINK("https://www.youtube.com/watch?v=pJw8yRpVZew&amp;lc=Ugw4fDBPSU98qF4xDCp4AaABAg.9z3rKDM5c0Q9z4Iv7K7SYQ","https://www.youtube.com/watch?v=pJw8yRpVZew&amp;lc=Ugw4fDBPSU98qF4xDCp4AaABAg.9z3rKDM5c0Q9z4Iv7K7SYQ")</f>
        <v>https://www.youtube.com/watch?v=pJw8yRpVZew&amp;lc=Ugw4fDBPSU98qF4xDCp4AaABAg.9z3rKDM5c0Q9z4Iv7K7SYQ</v>
      </c>
      <c r="O4522">
        <v>0</v>
      </c>
      <c r="P4522">
        <v>0</v>
      </c>
      <c r="Q4522">
        <v>0</v>
      </c>
      <c r="S4522">
        <v>0</v>
      </c>
      <c r="T4522">
        <v>0</v>
      </c>
      <c r="U4522">
        <v>0</v>
      </c>
      <c r="W4522" t="s">
        <v>52</v>
      </c>
    </row>
    <row r="4523" spans="1:23" x14ac:dyDescent="0.35">
      <c r="A4523" t="s">
        <v>45</v>
      </c>
      <c r="B4523" t="s">
        <v>9062</v>
      </c>
      <c r="C4523" t="s">
        <v>47</v>
      </c>
      <c r="D4523" t="s">
        <v>9067</v>
      </c>
      <c r="E4523" t="s">
        <v>9067</v>
      </c>
      <c r="F4523" t="s">
        <v>49</v>
      </c>
      <c r="G4523" t="s">
        <v>9069</v>
      </c>
      <c r="H4523" t="s">
        <v>9070</v>
      </c>
      <c r="J4523" t="str">
        <f>HYPERLINK("https://www.youtube.com/watch?v=pJw8yRpVZew&amp;lc=UgzgE_PFeteX1BbbC254AaABAg","https://www.youtube.com/watch?v=pJw8yRpVZew&amp;lc=UgzgE_PFeteX1BbbC254AaABAg")</f>
        <v>https://www.youtube.com/watch?v=pJw8yRpVZew&amp;lc=UgzgE_PFeteX1BbbC254AaABAg</v>
      </c>
      <c r="O4523">
        <v>0</v>
      </c>
      <c r="P4523">
        <v>0</v>
      </c>
      <c r="Q4523">
        <v>0</v>
      </c>
      <c r="S4523">
        <v>0</v>
      </c>
      <c r="T4523">
        <v>0</v>
      </c>
      <c r="U4523">
        <v>0</v>
      </c>
      <c r="W4523" t="s">
        <v>52</v>
      </c>
    </row>
    <row r="4524" spans="1:23" x14ac:dyDescent="0.35">
      <c r="A4524" t="s">
        <v>45</v>
      </c>
      <c r="B4524" t="s">
        <v>9062</v>
      </c>
      <c r="C4524" t="s">
        <v>47</v>
      </c>
      <c r="D4524" t="s">
        <v>9071</v>
      </c>
      <c r="E4524" t="s">
        <v>9071</v>
      </c>
      <c r="F4524" t="s">
        <v>193</v>
      </c>
      <c r="G4524" t="s">
        <v>9072</v>
      </c>
      <c r="H4524" t="s">
        <v>9073</v>
      </c>
      <c r="J4524" t="str">
        <f>HYPERLINK("https://www.youtube.com/watch?v=pJw8yRpVZew&amp;lc=UgxpzP-Jrt6q5eiXYId4AaABAg","https://www.youtube.com/watch?v=pJw8yRpVZew&amp;lc=UgxpzP-Jrt6q5eiXYId4AaABAg")</f>
        <v>https://www.youtube.com/watch?v=pJw8yRpVZew&amp;lc=UgxpzP-Jrt6q5eiXYId4AaABAg</v>
      </c>
      <c r="O4524">
        <v>0</v>
      </c>
      <c r="P4524">
        <v>0</v>
      </c>
      <c r="Q4524">
        <v>0</v>
      </c>
      <c r="S4524">
        <v>0</v>
      </c>
      <c r="T4524">
        <v>0</v>
      </c>
      <c r="U4524">
        <v>0</v>
      </c>
      <c r="W4524" t="s">
        <v>52</v>
      </c>
    </row>
    <row r="4525" spans="1:23" x14ac:dyDescent="0.35">
      <c r="A4525" t="s">
        <v>45</v>
      </c>
      <c r="B4525" t="s">
        <v>9062</v>
      </c>
      <c r="C4525" t="s">
        <v>60</v>
      </c>
      <c r="D4525" t="s">
        <v>61</v>
      </c>
      <c r="E4525" t="s">
        <v>61</v>
      </c>
      <c r="F4525" t="s">
        <v>49</v>
      </c>
      <c r="G4525" t="s">
        <v>9074</v>
      </c>
      <c r="H4525" t="s">
        <v>9075</v>
      </c>
      <c r="J4525" t="str">
        <f>HYPERLINK("https://www.facebook.com/634639855377280/posts/765234932317771?comment_id=3528691380705897","https://www.facebook.com/634639855377280/posts/765234932317771?comment_id=3528691380705897")</f>
        <v>https://www.facebook.com/634639855377280/posts/765234932317771?comment_id=3528691380705897</v>
      </c>
      <c r="O4525">
        <v>0</v>
      </c>
      <c r="P4525">
        <v>0</v>
      </c>
      <c r="Q4525">
        <v>0</v>
      </c>
      <c r="S4525">
        <v>0</v>
      </c>
      <c r="T4525">
        <v>0</v>
      </c>
      <c r="U4525">
        <v>0</v>
      </c>
      <c r="W4525" t="s">
        <v>52</v>
      </c>
    </row>
    <row r="4526" spans="1:23" x14ac:dyDescent="0.35">
      <c r="A4526" t="s">
        <v>45</v>
      </c>
      <c r="B4526" t="s">
        <v>9062</v>
      </c>
      <c r="C4526" t="s">
        <v>60</v>
      </c>
      <c r="D4526" t="s">
        <v>61</v>
      </c>
      <c r="E4526" t="s">
        <v>61</v>
      </c>
      <c r="F4526" t="s">
        <v>49</v>
      </c>
      <c r="G4526" t="s">
        <v>9076</v>
      </c>
      <c r="H4526" t="s">
        <v>9077</v>
      </c>
      <c r="J4526" t="str">
        <f>HYPERLINK("https://www.facebook.com/634639855377280/posts/765118255662772?comment_id=254109024201507","https://www.facebook.com/634639855377280/posts/765118255662772?comment_id=254109024201507")</f>
        <v>https://www.facebook.com/634639855377280/posts/765118255662772?comment_id=254109024201507</v>
      </c>
      <c r="O4526">
        <v>0</v>
      </c>
      <c r="P4526">
        <v>0</v>
      </c>
      <c r="Q4526">
        <v>0</v>
      </c>
      <c r="S4526">
        <v>0</v>
      </c>
      <c r="T4526">
        <v>0</v>
      </c>
      <c r="U4526">
        <v>0</v>
      </c>
      <c r="W4526" t="s">
        <v>52</v>
      </c>
    </row>
    <row r="4527" spans="1:23" x14ac:dyDescent="0.35">
      <c r="A4527" t="s">
        <v>45</v>
      </c>
      <c r="B4527" t="s">
        <v>9062</v>
      </c>
      <c r="C4527" t="s">
        <v>47</v>
      </c>
      <c r="D4527" t="s">
        <v>9078</v>
      </c>
      <c r="E4527" t="s">
        <v>9078</v>
      </c>
      <c r="F4527" t="s">
        <v>193</v>
      </c>
      <c r="G4527" t="s">
        <v>9079</v>
      </c>
      <c r="H4527" t="s">
        <v>9080</v>
      </c>
      <c r="J4527" t="str">
        <f>HYPERLINK("https://www.youtube.com/watch?v=pJw8yRpVZew&amp;lc=Ugyx2hLzkO6KRGAck_J4AaABAg.9z3rI88TEoy9z4CpUzcTD5","https://www.youtube.com/watch?v=pJw8yRpVZew&amp;lc=Ugyx2hLzkO6KRGAck_J4AaABAg.9z3rI88TEoy9z4CpUzcTD5")</f>
        <v>https://www.youtube.com/watch?v=pJw8yRpVZew&amp;lc=Ugyx2hLzkO6KRGAck_J4AaABAg.9z3rI88TEoy9z4CpUzcTD5</v>
      </c>
      <c r="O4527">
        <v>0</v>
      </c>
      <c r="P4527">
        <v>0</v>
      </c>
      <c r="Q4527">
        <v>0</v>
      </c>
      <c r="S4527">
        <v>0</v>
      </c>
      <c r="T4527">
        <v>0</v>
      </c>
      <c r="U4527">
        <v>0</v>
      </c>
      <c r="W4527" t="s">
        <v>52</v>
      </c>
    </row>
    <row r="4528" spans="1:23" x14ac:dyDescent="0.35">
      <c r="A4528" t="s">
        <v>45</v>
      </c>
      <c r="B4528" t="s">
        <v>9062</v>
      </c>
      <c r="C4528" t="s">
        <v>47</v>
      </c>
      <c r="D4528" t="s">
        <v>9078</v>
      </c>
      <c r="E4528" t="s">
        <v>9078</v>
      </c>
      <c r="F4528" t="s">
        <v>49</v>
      </c>
      <c r="G4528" t="s">
        <v>9081</v>
      </c>
      <c r="H4528" t="s">
        <v>9082</v>
      </c>
      <c r="J4528" t="str">
        <f>HYPERLINK("https://www.youtube.com/watch?v=pJw8yRpVZew&amp;lc=UgzKHaNC6kOv_2OSld14AaABAg","https://www.youtube.com/watch?v=pJw8yRpVZew&amp;lc=UgzKHaNC6kOv_2OSld14AaABAg")</f>
        <v>https://www.youtube.com/watch?v=pJw8yRpVZew&amp;lc=UgzKHaNC6kOv_2OSld14AaABAg</v>
      </c>
      <c r="O4528">
        <v>0</v>
      </c>
      <c r="P4528">
        <v>0</v>
      </c>
      <c r="Q4528">
        <v>0</v>
      </c>
      <c r="S4528">
        <v>0</v>
      </c>
      <c r="T4528">
        <v>0</v>
      </c>
      <c r="U4528">
        <v>0</v>
      </c>
      <c r="W4528" t="s">
        <v>52</v>
      </c>
    </row>
    <row r="4529" spans="1:23" x14ac:dyDescent="0.35">
      <c r="A4529" t="s">
        <v>45</v>
      </c>
      <c r="B4529" t="s">
        <v>9062</v>
      </c>
      <c r="C4529" t="s">
        <v>60</v>
      </c>
      <c r="D4529" t="s">
        <v>61</v>
      </c>
      <c r="E4529" t="s">
        <v>61</v>
      </c>
      <c r="F4529" t="s">
        <v>49</v>
      </c>
      <c r="G4529" t="s">
        <v>8613</v>
      </c>
      <c r="H4529" t="s">
        <v>9083</v>
      </c>
      <c r="J4529" t="str">
        <f>HYPERLINK("https://www.facebook.com/634639855377280/posts/765118255662772?comment_id=1731173913960824","https://www.facebook.com/634639855377280/posts/765118255662772?comment_id=1731173913960824")</f>
        <v>https://www.facebook.com/634639855377280/posts/765118255662772?comment_id=1731173913960824</v>
      </c>
      <c r="O4529">
        <v>0</v>
      </c>
      <c r="P4529">
        <v>0</v>
      </c>
      <c r="Q4529">
        <v>0</v>
      </c>
      <c r="S4529">
        <v>0</v>
      </c>
      <c r="T4529">
        <v>0</v>
      </c>
      <c r="U4529">
        <v>0</v>
      </c>
      <c r="W4529" t="s">
        <v>52</v>
      </c>
    </row>
    <row r="4530" spans="1:23" x14ac:dyDescent="0.35">
      <c r="A4530" t="s">
        <v>45</v>
      </c>
      <c r="B4530" t="s">
        <v>9062</v>
      </c>
      <c r="C4530" t="s">
        <v>47</v>
      </c>
      <c r="D4530" t="s">
        <v>9084</v>
      </c>
      <c r="E4530" t="s">
        <v>9084</v>
      </c>
      <c r="F4530" t="s">
        <v>49</v>
      </c>
      <c r="G4530" t="s">
        <v>9085</v>
      </c>
      <c r="H4530" t="s">
        <v>9086</v>
      </c>
      <c r="J4530" t="str">
        <f>HYPERLINK("https://www.youtube.com/watch?v=pJw8yRpVZew&amp;lc=Ugxrl52aKo2IslM4Hrx4AaABAg.9z4ATU9hRYy9z4BMky4NVQ","https://www.youtube.com/watch?v=pJw8yRpVZew&amp;lc=Ugxrl52aKo2IslM4Hrx4AaABAg.9z4ATU9hRYy9z4BMky4NVQ")</f>
        <v>https://www.youtube.com/watch?v=pJw8yRpVZew&amp;lc=Ugxrl52aKo2IslM4Hrx4AaABAg.9z4ATU9hRYy9z4BMky4NVQ</v>
      </c>
      <c r="O4530">
        <v>0</v>
      </c>
      <c r="P4530">
        <v>0</v>
      </c>
      <c r="Q4530">
        <v>0</v>
      </c>
      <c r="S4530">
        <v>0</v>
      </c>
      <c r="T4530">
        <v>0</v>
      </c>
      <c r="U4530">
        <v>0</v>
      </c>
      <c r="W4530" t="s">
        <v>52</v>
      </c>
    </row>
    <row r="4531" spans="1:23" x14ac:dyDescent="0.35">
      <c r="A4531" t="s">
        <v>45</v>
      </c>
      <c r="B4531" t="s">
        <v>9062</v>
      </c>
      <c r="C4531" t="s">
        <v>60</v>
      </c>
      <c r="D4531" t="s">
        <v>61</v>
      </c>
      <c r="E4531" t="s">
        <v>61</v>
      </c>
      <c r="F4531" t="s">
        <v>49</v>
      </c>
      <c r="G4531" t="s">
        <v>9087</v>
      </c>
      <c r="H4531" t="s">
        <v>9088</v>
      </c>
      <c r="J4531" t="str">
        <f>HYPERLINK("https://www.facebook.com/634639855377280/posts/765118255662772?comment_id=269438019488382","https://www.facebook.com/634639855377280/posts/765118255662772?comment_id=269438019488382")</f>
        <v>https://www.facebook.com/634639855377280/posts/765118255662772?comment_id=269438019488382</v>
      </c>
      <c r="O4531">
        <v>0</v>
      </c>
      <c r="P4531">
        <v>0</v>
      </c>
      <c r="Q4531">
        <v>0</v>
      </c>
      <c r="S4531">
        <v>0</v>
      </c>
      <c r="T4531">
        <v>0</v>
      </c>
      <c r="U4531">
        <v>0</v>
      </c>
      <c r="W4531" t="s">
        <v>52</v>
      </c>
    </row>
    <row r="4532" spans="1:23" x14ac:dyDescent="0.35">
      <c r="A4532" t="s">
        <v>45</v>
      </c>
      <c r="B4532" t="s">
        <v>9062</v>
      </c>
      <c r="C4532" t="s">
        <v>60</v>
      </c>
      <c r="D4532" t="s">
        <v>61</v>
      </c>
      <c r="E4532" t="s">
        <v>61</v>
      </c>
      <c r="F4532" t="s">
        <v>193</v>
      </c>
      <c r="G4532" t="s">
        <v>9089</v>
      </c>
      <c r="H4532" t="s">
        <v>9090</v>
      </c>
      <c r="J4532" t="str">
        <f>HYPERLINK("https://www.facebook.com/634639855377280/posts/765118255662772?comment_id=1017402555995553","https://www.facebook.com/634639855377280/posts/765118255662772?comment_id=1017402555995553")</f>
        <v>https://www.facebook.com/634639855377280/posts/765118255662772?comment_id=1017402555995553</v>
      </c>
      <c r="O4532">
        <v>0</v>
      </c>
      <c r="P4532">
        <v>0</v>
      </c>
      <c r="Q4532">
        <v>0</v>
      </c>
      <c r="S4532">
        <v>0</v>
      </c>
      <c r="T4532">
        <v>0</v>
      </c>
      <c r="U4532">
        <v>0</v>
      </c>
      <c r="W4532" t="s">
        <v>52</v>
      </c>
    </row>
    <row r="4533" spans="1:23" x14ac:dyDescent="0.35">
      <c r="A4533" t="s">
        <v>45</v>
      </c>
      <c r="B4533" t="s">
        <v>9062</v>
      </c>
      <c r="C4533" t="s">
        <v>47</v>
      </c>
      <c r="D4533" t="s">
        <v>339</v>
      </c>
      <c r="E4533" t="s">
        <v>339</v>
      </c>
      <c r="F4533" t="s">
        <v>54</v>
      </c>
      <c r="G4533" t="s">
        <v>9091</v>
      </c>
      <c r="H4533" t="s">
        <v>9092</v>
      </c>
      <c r="J4533" t="str">
        <f>HYPERLINK("https://www.youtube.com/watch?v=pJw8yRpVZew&amp;lc=Ugxrl52aKo2IslM4Hrx4AaABAg","https://www.youtube.com/watch?v=pJw8yRpVZew&amp;lc=Ugxrl52aKo2IslM4Hrx4AaABAg")</f>
        <v>https://www.youtube.com/watch?v=pJw8yRpVZew&amp;lc=Ugxrl52aKo2IslM4Hrx4AaABAg</v>
      </c>
      <c r="O4533">
        <v>0</v>
      </c>
      <c r="P4533">
        <v>0</v>
      </c>
      <c r="Q4533">
        <v>0</v>
      </c>
      <c r="S4533">
        <v>0</v>
      </c>
      <c r="T4533">
        <v>0</v>
      </c>
      <c r="U4533">
        <v>0</v>
      </c>
      <c r="W4533" t="s">
        <v>52</v>
      </c>
    </row>
    <row r="4534" spans="1:23" x14ac:dyDescent="0.35">
      <c r="A4534" t="s">
        <v>45</v>
      </c>
      <c r="B4534" t="s">
        <v>9062</v>
      </c>
      <c r="C4534" t="s">
        <v>60</v>
      </c>
      <c r="D4534" t="s">
        <v>8959</v>
      </c>
      <c r="E4534" t="s">
        <v>8959</v>
      </c>
      <c r="F4534" t="s">
        <v>49</v>
      </c>
      <c r="G4534" t="s">
        <v>9093</v>
      </c>
      <c r="H4534" t="s">
        <v>9094</v>
      </c>
      <c r="J4534" t="str">
        <f>HYPERLINK("https://www.facebook.com/634639855377280/posts/765234932317771?comment_id=1017702032662389","https://www.facebook.com/634639855377280/posts/765234932317771?comment_id=1017702032662389")</f>
        <v>https://www.facebook.com/634639855377280/posts/765234932317771?comment_id=1017702032662389</v>
      </c>
      <c r="O4534">
        <v>0</v>
      </c>
      <c r="P4534">
        <v>0</v>
      </c>
      <c r="Q4534">
        <v>0</v>
      </c>
      <c r="S4534">
        <v>0</v>
      </c>
      <c r="T4534">
        <v>0</v>
      </c>
      <c r="U4534">
        <v>0</v>
      </c>
      <c r="W4534" t="s">
        <v>52</v>
      </c>
    </row>
    <row r="4535" spans="1:23" x14ac:dyDescent="0.35">
      <c r="A4535" t="s">
        <v>45</v>
      </c>
      <c r="B4535" t="s">
        <v>9062</v>
      </c>
      <c r="C4535" t="s">
        <v>60</v>
      </c>
      <c r="D4535" t="s">
        <v>61</v>
      </c>
      <c r="E4535" t="s">
        <v>61</v>
      </c>
      <c r="F4535" t="s">
        <v>49</v>
      </c>
      <c r="G4535" t="s">
        <v>9095</v>
      </c>
      <c r="H4535" t="s">
        <v>9096</v>
      </c>
      <c r="J4535" t="str">
        <f>HYPERLINK("https://www.facebook.com/634639855377280/posts/765118255662772?comment_id=2101699656856105","https://www.facebook.com/634639855377280/posts/765118255662772?comment_id=2101699656856105")</f>
        <v>https://www.facebook.com/634639855377280/posts/765118255662772?comment_id=2101699656856105</v>
      </c>
      <c r="O4535">
        <v>0</v>
      </c>
      <c r="P4535">
        <v>0</v>
      </c>
      <c r="Q4535">
        <v>0</v>
      </c>
      <c r="S4535">
        <v>0</v>
      </c>
      <c r="T4535">
        <v>0</v>
      </c>
      <c r="U4535">
        <v>0</v>
      </c>
      <c r="W4535" t="s">
        <v>52</v>
      </c>
    </row>
    <row r="4536" spans="1:23" x14ac:dyDescent="0.35">
      <c r="A4536" t="s">
        <v>45</v>
      </c>
      <c r="B4536" t="s">
        <v>9062</v>
      </c>
      <c r="C4536" t="s">
        <v>60</v>
      </c>
      <c r="D4536" t="s">
        <v>61</v>
      </c>
      <c r="E4536" t="s">
        <v>61</v>
      </c>
      <c r="F4536" t="s">
        <v>49</v>
      </c>
      <c r="G4536" t="s">
        <v>9097</v>
      </c>
      <c r="H4536" t="s">
        <v>9098</v>
      </c>
      <c r="J4536" t="str">
        <f>HYPERLINK("https://www.facebook.com/634639855377280/posts/765234932317771?comment_id=1051739182765407&amp;reply_comment_id=329452806630020","https://www.facebook.com/634639855377280/posts/765234932317771?comment_id=1051739182765407&amp;reply_comment_id=329452806630020")</f>
        <v>https://www.facebook.com/634639855377280/posts/765234932317771?comment_id=1051739182765407&amp;reply_comment_id=329452806630020</v>
      </c>
      <c r="O4536">
        <v>0</v>
      </c>
      <c r="P4536">
        <v>0</v>
      </c>
      <c r="Q4536">
        <v>0</v>
      </c>
      <c r="S4536">
        <v>0</v>
      </c>
      <c r="T4536">
        <v>0</v>
      </c>
      <c r="U4536">
        <v>0</v>
      </c>
      <c r="W4536" t="s">
        <v>52</v>
      </c>
    </row>
    <row r="4537" spans="1:23" x14ac:dyDescent="0.35">
      <c r="A4537" t="s">
        <v>45</v>
      </c>
      <c r="B4537" t="s">
        <v>9062</v>
      </c>
      <c r="C4537" t="s">
        <v>47</v>
      </c>
      <c r="D4537" t="s">
        <v>9099</v>
      </c>
      <c r="E4537" t="s">
        <v>9099</v>
      </c>
      <c r="F4537" t="s">
        <v>193</v>
      </c>
      <c r="G4537" t="s">
        <v>9100</v>
      </c>
      <c r="H4537" t="s">
        <v>9101</v>
      </c>
      <c r="J4537" t="str">
        <f>HYPERLINK("https://www.youtube.com/watch?v=pJw8yRpVZew&amp;lc=UgyQJ8fGX2i_Uotu_BR4AaABAg","https://www.youtube.com/watch?v=pJw8yRpVZew&amp;lc=UgyQJ8fGX2i_Uotu_BR4AaABAg")</f>
        <v>https://www.youtube.com/watch?v=pJw8yRpVZew&amp;lc=UgyQJ8fGX2i_Uotu_BR4AaABAg</v>
      </c>
      <c r="O4537">
        <v>0</v>
      </c>
      <c r="P4537">
        <v>0</v>
      </c>
      <c r="Q4537">
        <v>0</v>
      </c>
      <c r="S4537">
        <v>0</v>
      </c>
      <c r="T4537">
        <v>0</v>
      </c>
      <c r="U4537">
        <v>0</v>
      </c>
      <c r="W4537" t="s">
        <v>52</v>
      </c>
    </row>
    <row r="4538" spans="1:23" x14ac:dyDescent="0.35">
      <c r="A4538" t="s">
        <v>45</v>
      </c>
      <c r="B4538" t="s">
        <v>9062</v>
      </c>
      <c r="C4538" t="s">
        <v>47</v>
      </c>
      <c r="D4538" t="s">
        <v>9099</v>
      </c>
      <c r="E4538" t="s">
        <v>9099</v>
      </c>
      <c r="F4538" t="s">
        <v>193</v>
      </c>
      <c r="G4538" t="s">
        <v>9102</v>
      </c>
      <c r="H4538" t="s">
        <v>9103</v>
      </c>
      <c r="J4538" t="str">
        <f>HYPERLINK("https://www.youtube.com/watch?v=pJw8yRpVZew&amp;lc=UgyVhELBk51UuMYY8J94AaABAg","https://www.youtube.com/watch?v=pJw8yRpVZew&amp;lc=UgyVhELBk51UuMYY8J94AaABAg")</f>
        <v>https://www.youtube.com/watch?v=pJw8yRpVZew&amp;lc=UgyVhELBk51UuMYY8J94AaABAg</v>
      </c>
      <c r="O4538">
        <v>0</v>
      </c>
      <c r="P4538">
        <v>0</v>
      </c>
      <c r="Q4538">
        <v>0</v>
      </c>
      <c r="S4538">
        <v>0</v>
      </c>
      <c r="T4538">
        <v>0</v>
      </c>
      <c r="U4538">
        <v>0</v>
      </c>
      <c r="W4538" t="s">
        <v>52</v>
      </c>
    </row>
    <row r="4539" spans="1:23" x14ac:dyDescent="0.35">
      <c r="A4539" t="s">
        <v>45</v>
      </c>
      <c r="B4539" t="s">
        <v>9062</v>
      </c>
      <c r="C4539" t="s">
        <v>47</v>
      </c>
      <c r="D4539" t="s">
        <v>9104</v>
      </c>
      <c r="E4539" t="s">
        <v>9104</v>
      </c>
      <c r="F4539" t="s">
        <v>49</v>
      </c>
      <c r="G4539" t="s">
        <v>9105</v>
      </c>
      <c r="H4539" t="s">
        <v>9106</v>
      </c>
      <c r="J4539" t="str">
        <f>HYPERLINK("https://www.youtube.com/watch?v=z58WzdIZIO8&amp;lc=UgxUzHPafrP3KmIM9u94AaABAg","https://www.youtube.com/watch?v=z58WzdIZIO8&amp;lc=UgxUzHPafrP3KmIM9u94AaABAg")</f>
        <v>https://www.youtube.com/watch?v=z58WzdIZIO8&amp;lc=UgxUzHPafrP3KmIM9u94AaABAg</v>
      </c>
      <c r="O4539">
        <v>0</v>
      </c>
      <c r="P4539">
        <v>0</v>
      </c>
      <c r="Q4539">
        <v>0</v>
      </c>
      <c r="S4539">
        <v>0</v>
      </c>
      <c r="T4539">
        <v>0</v>
      </c>
      <c r="U4539">
        <v>0</v>
      </c>
      <c r="W4539" t="s">
        <v>52</v>
      </c>
    </row>
    <row r="4540" spans="1:23" x14ac:dyDescent="0.35">
      <c r="A4540" t="s">
        <v>45</v>
      </c>
      <c r="B4540" t="s">
        <v>9062</v>
      </c>
      <c r="C4540" t="s">
        <v>60</v>
      </c>
      <c r="D4540" t="s">
        <v>61</v>
      </c>
      <c r="E4540" t="s">
        <v>61</v>
      </c>
      <c r="F4540" t="s">
        <v>49</v>
      </c>
      <c r="G4540" t="s">
        <v>9107</v>
      </c>
      <c r="H4540" t="s">
        <v>9108</v>
      </c>
      <c r="J4540" t="str">
        <f>HYPERLINK("https://www.facebook.com/634639855377280/posts/765234932317771?comment_id=1051739182765407","https://www.facebook.com/634639855377280/posts/765234932317771?comment_id=1051739182765407")</f>
        <v>https://www.facebook.com/634639855377280/posts/765234932317771?comment_id=1051739182765407</v>
      </c>
      <c r="O4540">
        <v>0</v>
      </c>
      <c r="P4540">
        <v>0</v>
      </c>
      <c r="Q4540">
        <v>0</v>
      </c>
      <c r="S4540">
        <v>0</v>
      </c>
      <c r="T4540">
        <v>0</v>
      </c>
      <c r="U4540">
        <v>0</v>
      </c>
      <c r="W4540" t="s">
        <v>52</v>
      </c>
    </row>
    <row r="4541" spans="1:23" x14ac:dyDescent="0.35">
      <c r="A4541" t="s">
        <v>45</v>
      </c>
      <c r="B4541" t="s">
        <v>9062</v>
      </c>
      <c r="C4541" t="s">
        <v>60</v>
      </c>
      <c r="D4541" t="s">
        <v>61</v>
      </c>
      <c r="E4541" t="s">
        <v>61</v>
      </c>
      <c r="F4541" t="s">
        <v>54</v>
      </c>
      <c r="G4541" t="s">
        <v>2657</v>
      </c>
      <c r="H4541" t="s">
        <v>9109</v>
      </c>
      <c r="J4541" t="str">
        <f>HYPERLINK("https://www.facebook.com/634639855377280/posts/765234932317771?comment_id=393623119779964","https://www.facebook.com/634639855377280/posts/765234932317771?comment_id=393623119779964")</f>
        <v>https://www.facebook.com/634639855377280/posts/765234932317771?comment_id=393623119779964</v>
      </c>
      <c r="O4541">
        <v>0</v>
      </c>
      <c r="P4541">
        <v>0</v>
      </c>
      <c r="Q4541">
        <v>0</v>
      </c>
      <c r="S4541">
        <v>0</v>
      </c>
      <c r="T4541">
        <v>0</v>
      </c>
      <c r="U4541">
        <v>0</v>
      </c>
      <c r="W4541" t="s">
        <v>52</v>
      </c>
    </row>
    <row r="4542" spans="1:23" x14ac:dyDescent="0.35">
      <c r="A4542" t="s">
        <v>45</v>
      </c>
      <c r="B4542" t="s">
        <v>9062</v>
      </c>
      <c r="C4542" t="s">
        <v>47</v>
      </c>
      <c r="D4542" t="s">
        <v>9110</v>
      </c>
      <c r="E4542" t="s">
        <v>9110</v>
      </c>
      <c r="F4542" t="s">
        <v>54</v>
      </c>
      <c r="G4542" t="s">
        <v>8887</v>
      </c>
      <c r="H4542" t="s">
        <v>9111</v>
      </c>
      <c r="J4542" t="str">
        <f>HYPERLINK("https://www.youtube.com/watch?v=pJw8yRpVZew&amp;lc=UgwUDR_l1yfP-1Qhjgp4AaABAg","https://www.youtube.com/watch?v=pJw8yRpVZew&amp;lc=UgwUDR_l1yfP-1Qhjgp4AaABAg")</f>
        <v>https://www.youtube.com/watch?v=pJw8yRpVZew&amp;lc=UgwUDR_l1yfP-1Qhjgp4AaABAg</v>
      </c>
      <c r="O4542">
        <v>0</v>
      </c>
      <c r="P4542">
        <v>0</v>
      </c>
      <c r="Q4542">
        <v>0</v>
      </c>
      <c r="S4542">
        <v>0</v>
      </c>
      <c r="T4542">
        <v>0</v>
      </c>
      <c r="U4542">
        <v>0</v>
      </c>
      <c r="W4542" t="s">
        <v>52</v>
      </c>
    </row>
    <row r="4543" spans="1:23" x14ac:dyDescent="0.35">
      <c r="A4543" t="s">
        <v>45</v>
      </c>
      <c r="B4543" t="s">
        <v>9062</v>
      </c>
      <c r="C4543" t="s">
        <v>93</v>
      </c>
      <c r="D4543" t="s">
        <v>3646</v>
      </c>
      <c r="E4543" t="s">
        <v>3647</v>
      </c>
      <c r="F4543" t="s">
        <v>49</v>
      </c>
      <c r="G4543" t="s">
        <v>9112</v>
      </c>
      <c r="H4543" t="s">
        <v>9113</v>
      </c>
      <c r="J4543" t="str">
        <f>HYPERLINK("https://twitter.com/vishalmahere123/status/1742210908687135188","https://twitter.com/vishalmahere123/status/1742210908687135188")</f>
        <v>https://twitter.com/vishalmahere123/status/1742210908687135188</v>
      </c>
      <c r="O4543">
        <v>0</v>
      </c>
      <c r="P4543">
        <v>0</v>
      </c>
      <c r="Q4543">
        <v>27</v>
      </c>
      <c r="R4543" t="s">
        <v>3650</v>
      </c>
      <c r="S4543">
        <v>0</v>
      </c>
      <c r="T4543">
        <v>0</v>
      </c>
      <c r="U4543">
        <v>0</v>
      </c>
      <c r="W4543" t="s">
        <v>99</v>
      </c>
    </row>
    <row r="4544" spans="1:23" x14ac:dyDescent="0.35">
      <c r="A4544" t="s">
        <v>45</v>
      </c>
      <c r="B4544" t="s">
        <v>9062</v>
      </c>
      <c r="C4544" t="s">
        <v>93</v>
      </c>
      <c r="D4544" t="s">
        <v>8684</v>
      </c>
      <c r="E4544" t="s">
        <v>8685</v>
      </c>
      <c r="F4544" t="s">
        <v>49</v>
      </c>
      <c r="G4544" t="s">
        <v>9114</v>
      </c>
      <c r="H4544" t="s">
        <v>9115</v>
      </c>
      <c r="J4544" t="str">
        <f>HYPERLINK("https://twitter.com/ShyamjeeJha/status/1742210505949757685","https://twitter.com/ShyamjeeJha/status/1742210505949757685")</f>
        <v>https://twitter.com/ShyamjeeJha/status/1742210505949757685</v>
      </c>
      <c r="K4544" t="s">
        <v>67</v>
      </c>
      <c r="O4544">
        <v>0</v>
      </c>
      <c r="P4544">
        <v>0</v>
      </c>
      <c r="Q4544">
        <v>146</v>
      </c>
      <c r="R4544" t="s">
        <v>8492</v>
      </c>
      <c r="S4544">
        <v>0</v>
      </c>
      <c r="T4544">
        <v>0</v>
      </c>
      <c r="U4544">
        <v>0</v>
      </c>
      <c r="W4544" t="s">
        <v>99</v>
      </c>
    </row>
    <row r="4545" spans="1:23" x14ac:dyDescent="0.35">
      <c r="A4545" t="s">
        <v>45</v>
      </c>
      <c r="B4545" t="s">
        <v>9062</v>
      </c>
      <c r="C4545" t="s">
        <v>93</v>
      </c>
      <c r="D4545" t="s">
        <v>94</v>
      </c>
      <c r="E4545" t="s">
        <v>45</v>
      </c>
      <c r="F4545" t="s">
        <v>49</v>
      </c>
      <c r="G4545" t="s">
        <v>9116</v>
      </c>
      <c r="H4545" t="s">
        <v>9117</v>
      </c>
      <c r="J4545" t="str">
        <f>HYPERLINK("https://twitter.com/SpiceMoneyIndia/status/1742209476713922569","https://twitter.com/SpiceMoneyIndia/status/1742209476713922569")</f>
        <v>https://twitter.com/SpiceMoneyIndia/status/1742209476713922569</v>
      </c>
      <c r="K4545" t="s">
        <v>67</v>
      </c>
      <c r="O4545">
        <v>0</v>
      </c>
      <c r="P4545">
        <v>0</v>
      </c>
      <c r="Q4545">
        <v>5974</v>
      </c>
      <c r="R4545" t="s">
        <v>97</v>
      </c>
      <c r="S4545">
        <v>0</v>
      </c>
      <c r="T4545">
        <v>0</v>
      </c>
      <c r="U4545">
        <v>0</v>
      </c>
      <c r="V4545" t="s">
        <v>98</v>
      </c>
      <c r="W4545" t="s">
        <v>99</v>
      </c>
    </row>
    <row r="4546" spans="1:23" x14ac:dyDescent="0.35">
      <c r="A4546" t="s">
        <v>45</v>
      </c>
      <c r="B4546" t="s">
        <v>9062</v>
      </c>
      <c r="C4546" t="s">
        <v>47</v>
      </c>
      <c r="D4546" t="s">
        <v>9118</v>
      </c>
      <c r="E4546" t="s">
        <v>9118</v>
      </c>
      <c r="F4546" t="s">
        <v>49</v>
      </c>
      <c r="G4546" t="s">
        <v>9119</v>
      </c>
      <c r="H4546" t="s">
        <v>9120</v>
      </c>
      <c r="J4546" t="str">
        <f>HYPERLINK("https://www.youtube.com/watch?v=pJw8yRpVZew&amp;lc=UgxqVtdx2U2ejrVvFl94AaABAg.9z3qU5Ua5BL9z46qPa4uEm","https://www.youtube.com/watch?v=pJw8yRpVZew&amp;lc=UgxqVtdx2U2ejrVvFl94AaABAg.9z3qU5Ua5BL9z46qPa4uEm")</f>
        <v>https://www.youtube.com/watch?v=pJw8yRpVZew&amp;lc=UgxqVtdx2U2ejrVvFl94AaABAg.9z3qU5Ua5BL9z46qPa4uEm</v>
      </c>
      <c r="O4546">
        <v>0</v>
      </c>
      <c r="P4546">
        <v>0</v>
      </c>
      <c r="Q4546">
        <v>0</v>
      </c>
      <c r="S4546">
        <v>0</v>
      </c>
      <c r="T4546">
        <v>0</v>
      </c>
      <c r="U4546">
        <v>0</v>
      </c>
      <c r="W4546" t="s">
        <v>52</v>
      </c>
    </row>
    <row r="4547" spans="1:23" x14ac:dyDescent="0.35">
      <c r="A4547" t="s">
        <v>45</v>
      </c>
      <c r="B4547" t="s">
        <v>9062</v>
      </c>
      <c r="C4547" t="s">
        <v>60</v>
      </c>
      <c r="D4547" t="s">
        <v>64</v>
      </c>
      <c r="E4547" t="s">
        <v>64</v>
      </c>
      <c r="F4547" t="s">
        <v>49</v>
      </c>
      <c r="G4547" t="s">
        <v>9121</v>
      </c>
      <c r="H4547" t="s">
        <v>9122</v>
      </c>
      <c r="J4547" t="str">
        <f>HYPERLINK("https://www.facebook.com/634639855377280/posts/765234932317771","https://www.facebook.com/634639855377280/posts/765234932317771")</f>
        <v>https://www.facebook.com/634639855377280/posts/765234932317771</v>
      </c>
      <c r="O4547">
        <v>0</v>
      </c>
      <c r="P4547">
        <v>0</v>
      </c>
      <c r="Q4547">
        <v>0</v>
      </c>
      <c r="S4547">
        <v>14</v>
      </c>
      <c r="T4547">
        <v>42</v>
      </c>
      <c r="U4547">
        <v>5</v>
      </c>
      <c r="W4547" t="s">
        <v>346</v>
      </c>
    </row>
    <row r="4548" spans="1:23" x14ac:dyDescent="0.35">
      <c r="A4548" t="s">
        <v>45</v>
      </c>
      <c r="B4548" t="s">
        <v>9062</v>
      </c>
      <c r="C4548" t="s">
        <v>47</v>
      </c>
      <c r="D4548" t="s">
        <v>9123</v>
      </c>
      <c r="E4548" t="s">
        <v>9123</v>
      </c>
      <c r="F4548" t="s">
        <v>49</v>
      </c>
      <c r="G4548" t="s">
        <v>9124</v>
      </c>
      <c r="H4548" t="s">
        <v>9125</v>
      </c>
      <c r="J4548" t="str">
        <f>HYPERLINK("https://www.youtube.com/watch?v=pJw8yRpVZew&amp;lc=UgwxXbmUEyKaNhv14Dt4AaABAg","https://www.youtube.com/watch?v=pJw8yRpVZew&amp;lc=UgwxXbmUEyKaNhv14Dt4AaABAg")</f>
        <v>https://www.youtube.com/watch?v=pJw8yRpVZew&amp;lc=UgwxXbmUEyKaNhv14Dt4AaABAg</v>
      </c>
      <c r="O4548">
        <v>0</v>
      </c>
      <c r="P4548">
        <v>0</v>
      </c>
      <c r="Q4548">
        <v>0</v>
      </c>
      <c r="S4548">
        <v>0</v>
      </c>
      <c r="T4548">
        <v>0</v>
      </c>
      <c r="U4548">
        <v>0</v>
      </c>
      <c r="W4548" t="s">
        <v>52</v>
      </c>
    </row>
    <row r="4549" spans="1:23" x14ac:dyDescent="0.35">
      <c r="A4549" t="s">
        <v>45</v>
      </c>
      <c r="B4549" t="s">
        <v>9062</v>
      </c>
      <c r="C4549" t="s">
        <v>60</v>
      </c>
      <c r="D4549" t="s">
        <v>61</v>
      </c>
      <c r="E4549" t="s">
        <v>61</v>
      </c>
      <c r="F4549" t="s">
        <v>49</v>
      </c>
      <c r="G4549" t="s">
        <v>9126</v>
      </c>
      <c r="H4549" t="s">
        <v>9127</v>
      </c>
      <c r="J4549" t="str">
        <f>HYPERLINK("https://www.facebook.com/634639855377280/posts/765118255662772?comment_id=2099058273790563","https://www.facebook.com/634639855377280/posts/765118255662772?comment_id=2099058273790563")</f>
        <v>https://www.facebook.com/634639855377280/posts/765118255662772?comment_id=2099058273790563</v>
      </c>
      <c r="O4549">
        <v>0</v>
      </c>
      <c r="P4549">
        <v>0</v>
      </c>
      <c r="Q4549">
        <v>0</v>
      </c>
      <c r="S4549">
        <v>0</v>
      </c>
      <c r="T4549">
        <v>0</v>
      </c>
      <c r="U4549">
        <v>0</v>
      </c>
      <c r="W4549" t="s">
        <v>52</v>
      </c>
    </row>
    <row r="4550" spans="1:23" x14ac:dyDescent="0.35">
      <c r="A4550" t="s">
        <v>45</v>
      </c>
      <c r="B4550" t="s">
        <v>9062</v>
      </c>
      <c r="C4550" t="s">
        <v>47</v>
      </c>
      <c r="D4550" t="s">
        <v>9128</v>
      </c>
      <c r="E4550" t="s">
        <v>9128</v>
      </c>
      <c r="F4550" t="s">
        <v>49</v>
      </c>
      <c r="G4550" t="s">
        <v>9129</v>
      </c>
      <c r="H4550" t="s">
        <v>9130</v>
      </c>
      <c r="J4550" t="str">
        <f>HYPERLINK("https://www.youtube.com/watch?v=pJw8yRpVZew&amp;lc=UgxqVtdx2U2ejrVvFl94AaABAg.9z3qU5Ua5BL9z45aZERYkA","https://www.youtube.com/watch?v=pJw8yRpVZew&amp;lc=UgxqVtdx2U2ejrVvFl94AaABAg.9z3qU5Ua5BL9z45aZERYkA")</f>
        <v>https://www.youtube.com/watch?v=pJw8yRpVZew&amp;lc=UgxqVtdx2U2ejrVvFl94AaABAg.9z3qU5Ua5BL9z45aZERYkA</v>
      </c>
      <c r="O4550">
        <v>0</v>
      </c>
      <c r="P4550">
        <v>0</v>
      </c>
      <c r="Q4550">
        <v>0</v>
      </c>
      <c r="S4550">
        <v>0</v>
      </c>
      <c r="T4550">
        <v>0</v>
      </c>
      <c r="U4550">
        <v>0</v>
      </c>
      <c r="W4550" t="s">
        <v>52</v>
      </c>
    </row>
    <row r="4551" spans="1:23" x14ac:dyDescent="0.35">
      <c r="A4551" t="s">
        <v>45</v>
      </c>
      <c r="B4551" t="s">
        <v>9062</v>
      </c>
      <c r="C4551" t="s">
        <v>47</v>
      </c>
      <c r="D4551" t="s">
        <v>9131</v>
      </c>
      <c r="E4551" t="s">
        <v>9131</v>
      </c>
      <c r="F4551" t="s">
        <v>49</v>
      </c>
      <c r="G4551" t="s">
        <v>9132</v>
      </c>
      <c r="H4551" t="s">
        <v>9133</v>
      </c>
      <c r="J4551" t="str">
        <f>HYPERLINK("https://www.youtube.com/watch?v=pJw8yRpVZew&amp;lc=Ugx_nsexSyjjzWs0zGB4AaABAg","https://www.youtube.com/watch?v=pJw8yRpVZew&amp;lc=Ugx_nsexSyjjzWs0zGB4AaABAg")</f>
        <v>https://www.youtube.com/watch?v=pJw8yRpVZew&amp;lc=Ugx_nsexSyjjzWs0zGB4AaABAg</v>
      </c>
      <c r="O4551">
        <v>0</v>
      </c>
      <c r="P4551">
        <v>0</v>
      </c>
      <c r="Q4551">
        <v>0</v>
      </c>
      <c r="S4551">
        <v>0</v>
      </c>
      <c r="T4551">
        <v>0</v>
      </c>
      <c r="U4551">
        <v>0</v>
      </c>
      <c r="W4551" t="s">
        <v>52</v>
      </c>
    </row>
    <row r="4552" spans="1:23" x14ac:dyDescent="0.35">
      <c r="A4552" t="s">
        <v>45</v>
      </c>
      <c r="B4552" t="s">
        <v>9062</v>
      </c>
      <c r="C4552" t="s">
        <v>60</v>
      </c>
      <c r="D4552" t="s">
        <v>61</v>
      </c>
      <c r="E4552" t="s">
        <v>61</v>
      </c>
      <c r="F4552" t="s">
        <v>49</v>
      </c>
      <c r="G4552" t="s">
        <v>9134</v>
      </c>
      <c r="H4552" t="s">
        <v>9135</v>
      </c>
      <c r="J4552" t="str">
        <f>HYPERLINK("https://www.facebook.com/634639855377280/posts/765118255662772?comment_id=782731013871282","https://www.facebook.com/634639855377280/posts/765118255662772?comment_id=782731013871282")</f>
        <v>https://www.facebook.com/634639855377280/posts/765118255662772?comment_id=782731013871282</v>
      </c>
      <c r="O4552">
        <v>0</v>
      </c>
      <c r="P4552">
        <v>0</v>
      </c>
      <c r="Q4552">
        <v>0</v>
      </c>
      <c r="S4552">
        <v>0</v>
      </c>
      <c r="T4552">
        <v>0</v>
      </c>
      <c r="U4552">
        <v>0</v>
      </c>
      <c r="W4552" t="s">
        <v>52</v>
      </c>
    </row>
    <row r="4553" spans="1:23" x14ac:dyDescent="0.35">
      <c r="A4553" t="s">
        <v>45</v>
      </c>
      <c r="B4553" t="s">
        <v>9062</v>
      </c>
      <c r="C4553" t="s">
        <v>60</v>
      </c>
      <c r="D4553" t="s">
        <v>61</v>
      </c>
      <c r="E4553" t="s">
        <v>61</v>
      </c>
      <c r="F4553" t="s">
        <v>49</v>
      </c>
      <c r="G4553" t="s">
        <v>9076</v>
      </c>
      <c r="H4553" t="s">
        <v>9136</v>
      </c>
      <c r="J4553" t="str">
        <f>HYPERLINK("https://www.facebook.com/634639855377280/posts/765118255662772?comment_id=887185286211633","https://www.facebook.com/634639855377280/posts/765118255662772?comment_id=887185286211633")</f>
        <v>https://www.facebook.com/634639855377280/posts/765118255662772?comment_id=887185286211633</v>
      </c>
      <c r="O4553">
        <v>0</v>
      </c>
      <c r="P4553">
        <v>0</v>
      </c>
      <c r="Q4553">
        <v>0</v>
      </c>
      <c r="S4553">
        <v>0</v>
      </c>
      <c r="T4553">
        <v>0</v>
      </c>
      <c r="U4553">
        <v>0</v>
      </c>
      <c r="W4553" t="s">
        <v>52</v>
      </c>
    </row>
    <row r="4554" spans="1:23" x14ac:dyDescent="0.35">
      <c r="A4554" t="s">
        <v>45</v>
      </c>
      <c r="B4554" t="s">
        <v>9062</v>
      </c>
      <c r="C4554" t="s">
        <v>60</v>
      </c>
      <c r="D4554" t="s">
        <v>61</v>
      </c>
      <c r="E4554" t="s">
        <v>61</v>
      </c>
      <c r="F4554" t="s">
        <v>49</v>
      </c>
      <c r="G4554" t="s">
        <v>9137</v>
      </c>
      <c r="H4554" t="s">
        <v>9138</v>
      </c>
      <c r="J4554" t="str">
        <f>HYPERLINK("https://www.facebook.com/634639855377280/posts/765118255662772?comment_id=1402504713722396","https://www.facebook.com/634639855377280/posts/765118255662772?comment_id=1402504713722396")</f>
        <v>https://www.facebook.com/634639855377280/posts/765118255662772?comment_id=1402504713722396</v>
      </c>
      <c r="O4554">
        <v>0</v>
      </c>
      <c r="P4554">
        <v>0</v>
      </c>
      <c r="Q4554">
        <v>0</v>
      </c>
      <c r="S4554">
        <v>0</v>
      </c>
      <c r="T4554">
        <v>0</v>
      </c>
      <c r="U4554">
        <v>0</v>
      </c>
      <c r="W4554" t="s">
        <v>52</v>
      </c>
    </row>
    <row r="4555" spans="1:23" x14ac:dyDescent="0.35">
      <c r="A4555" t="s">
        <v>45</v>
      </c>
      <c r="B4555" t="s">
        <v>9062</v>
      </c>
      <c r="C4555" t="s">
        <v>93</v>
      </c>
      <c r="D4555" t="s">
        <v>9139</v>
      </c>
      <c r="E4555" t="s">
        <v>9140</v>
      </c>
      <c r="F4555" t="s">
        <v>49</v>
      </c>
      <c r="G4555" t="s">
        <v>9141</v>
      </c>
      <c r="H4555" t="s">
        <v>9142</v>
      </c>
      <c r="J4555" t="str">
        <f>HYPERLINK("https://twitter.com/AbhayRai1143054/status/1742201675492852169","https://twitter.com/AbhayRai1143054/status/1742201675492852169")</f>
        <v>https://twitter.com/AbhayRai1143054/status/1742201675492852169</v>
      </c>
      <c r="K4555" t="s">
        <v>67</v>
      </c>
      <c r="O4555">
        <v>0</v>
      </c>
      <c r="P4555">
        <v>0</v>
      </c>
      <c r="Q4555">
        <v>0</v>
      </c>
      <c r="S4555">
        <v>0</v>
      </c>
      <c r="T4555">
        <v>0</v>
      </c>
      <c r="U4555">
        <v>0</v>
      </c>
      <c r="W4555" t="s">
        <v>99</v>
      </c>
    </row>
    <row r="4556" spans="1:23" x14ac:dyDescent="0.35">
      <c r="A4556" t="s">
        <v>45</v>
      </c>
      <c r="B4556" t="s">
        <v>9062</v>
      </c>
      <c r="C4556" t="s">
        <v>47</v>
      </c>
      <c r="D4556" t="s">
        <v>9143</v>
      </c>
      <c r="E4556" t="s">
        <v>9143</v>
      </c>
      <c r="F4556" t="s">
        <v>49</v>
      </c>
      <c r="G4556" t="s">
        <v>9144</v>
      </c>
      <c r="H4556" t="s">
        <v>9145</v>
      </c>
      <c r="J4556" t="str">
        <f>HYPERLINK("https://www.youtube.com/watch?v=pJw8yRpVZew&amp;lc=Ugyx2hLzkO6KRGAck_J4AaABAg.9z3rI88TEoy9z436YiVnOv","https://www.youtube.com/watch?v=pJw8yRpVZew&amp;lc=Ugyx2hLzkO6KRGAck_J4AaABAg.9z3rI88TEoy9z436YiVnOv")</f>
        <v>https://www.youtube.com/watch?v=pJw8yRpVZew&amp;lc=Ugyx2hLzkO6KRGAck_J4AaABAg.9z3rI88TEoy9z436YiVnOv</v>
      </c>
      <c r="O4556">
        <v>0</v>
      </c>
      <c r="P4556">
        <v>0</v>
      </c>
      <c r="Q4556">
        <v>0</v>
      </c>
      <c r="S4556">
        <v>0</v>
      </c>
      <c r="T4556">
        <v>0</v>
      </c>
      <c r="U4556">
        <v>0</v>
      </c>
      <c r="W4556" t="s">
        <v>52</v>
      </c>
    </row>
    <row r="4557" spans="1:23" x14ac:dyDescent="0.35">
      <c r="A4557" t="s">
        <v>45</v>
      </c>
      <c r="B4557" t="s">
        <v>9062</v>
      </c>
      <c r="C4557" t="s">
        <v>47</v>
      </c>
      <c r="D4557" t="s">
        <v>9146</v>
      </c>
      <c r="E4557" t="s">
        <v>9146</v>
      </c>
      <c r="F4557" t="s">
        <v>49</v>
      </c>
      <c r="G4557" t="s">
        <v>9147</v>
      </c>
      <c r="H4557" t="s">
        <v>9148</v>
      </c>
      <c r="J4557" t="str">
        <f>HYPERLINK("https://www.youtube.com/watch?v=pJw8yRpVZew&amp;lc=Ugy_hrC2czV6Z4z2--B4AaABAg","https://www.youtube.com/watch?v=pJw8yRpVZew&amp;lc=Ugy_hrC2czV6Z4z2--B4AaABAg")</f>
        <v>https://www.youtube.com/watch?v=pJw8yRpVZew&amp;lc=Ugy_hrC2czV6Z4z2--B4AaABAg</v>
      </c>
      <c r="O4557">
        <v>0</v>
      </c>
      <c r="P4557">
        <v>0</v>
      </c>
      <c r="Q4557">
        <v>0</v>
      </c>
      <c r="S4557">
        <v>0</v>
      </c>
      <c r="T4557">
        <v>0</v>
      </c>
      <c r="U4557">
        <v>0</v>
      </c>
      <c r="W4557" t="s">
        <v>52</v>
      </c>
    </row>
    <row r="4558" spans="1:23" x14ac:dyDescent="0.35">
      <c r="A4558" t="s">
        <v>45</v>
      </c>
      <c r="B4558" t="s">
        <v>9062</v>
      </c>
      <c r="C4558" t="s">
        <v>47</v>
      </c>
      <c r="D4558" t="s">
        <v>9149</v>
      </c>
      <c r="E4558" t="s">
        <v>9149</v>
      </c>
      <c r="F4558" t="s">
        <v>49</v>
      </c>
      <c r="G4558" t="s">
        <v>9150</v>
      </c>
      <c r="H4558" t="s">
        <v>9151</v>
      </c>
      <c r="J4558" t="str">
        <f>HYPERLINK("https://www.youtube.com/watch?v=pJw8yRpVZew&amp;lc=UgxSTzQ1kKq5y2uhx4J4AaABAg","https://www.youtube.com/watch?v=pJw8yRpVZew&amp;lc=UgxSTzQ1kKq5y2uhx4J4AaABAg")</f>
        <v>https://www.youtube.com/watch?v=pJw8yRpVZew&amp;lc=UgxSTzQ1kKq5y2uhx4J4AaABAg</v>
      </c>
      <c r="O4558">
        <v>0</v>
      </c>
      <c r="P4558">
        <v>0</v>
      </c>
      <c r="Q4558">
        <v>0</v>
      </c>
      <c r="S4558">
        <v>0</v>
      </c>
      <c r="T4558">
        <v>0</v>
      </c>
      <c r="U4558">
        <v>0</v>
      </c>
      <c r="W4558" t="s">
        <v>52</v>
      </c>
    </row>
    <row r="4559" spans="1:23" x14ac:dyDescent="0.35">
      <c r="A4559" t="s">
        <v>45</v>
      </c>
      <c r="B4559" t="s">
        <v>9062</v>
      </c>
      <c r="C4559" t="s">
        <v>47</v>
      </c>
      <c r="D4559" t="s">
        <v>9146</v>
      </c>
      <c r="E4559" t="s">
        <v>9146</v>
      </c>
      <c r="F4559" t="s">
        <v>49</v>
      </c>
      <c r="G4559" t="s">
        <v>9152</v>
      </c>
      <c r="H4559" t="s">
        <v>9153</v>
      </c>
      <c r="J4559" t="str">
        <f>HYPERLINK("https://www.youtube.com/watch?v=pJw8yRpVZew&amp;lc=Ugyx2hLzkO6KRGAck_J4AaABAg.9z3rI88TEoy9z424OJ3M74","https://www.youtube.com/watch?v=pJw8yRpVZew&amp;lc=Ugyx2hLzkO6KRGAck_J4AaABAg.9z3rI88TEoy9z424OJ3M74")</f>
        <v>https://www.youtube.com/watch?v=pJw8yRpVZew&amp;lc=Ugyx2hLzkO6KRGAck_J4AaABAg.9z3rI88TEoy9z424OJ3M74</v>
      </c>
      <c r="O4559">
        <v>0</v>
      </c>
      <c r="P4559">
        <v>0</v>
      </c>
      <c r="Q4559">
        <v>0</v>
      </c>
      <c r="S4559">
        <v>0</v>
      </c>
      <c r="T4559">
        <v>0</v>
      </c>
      <c r="U4559">
        <v>0</v>
      </c>
      <c r="W4559" t="s">
        <v>52</v>
      </c>
    </row>
    <row r="4560" spans="1:23" x14ac:dyDescent="0.35">
      <c r="A4560" t="s">
        <v>45</v>
      </c>
      <c r="B4560" t="s">
        <v>9062</v>
      </c>
      <c r="C4560" t="s">
        <v>47</v>
      </c>
      <c r="D4560" t="s">
        <v>9154</v>
      </c>
      <c r="E4560" t="s">
        <v>9154</v>
      </c>
      <c r="F4560" t="s">
        <v>49</v>
      </c>
      <c r="G4560" t="s">
        <v>9155</v>
      </c>
      <c r="H4560" t="s">
        <v>9156</v>
      </c>
      <c r="J4560" t="str">
        <f>HYPERLINK("https://www.youtube.com/watch?v=z58WzdIZIO8&amp;lc=Ugwt4gRih00oqjBh3Zh4AaABAg","https://www.youtube.com/watch?v=z58WzdIZIO8&amp;lc=Ugwt4gRih00oqjBh3Zh4AaABAg")</f>
        <v>https://www.youtube.com/watch?v=z58WzdIZIO8&amp;lc=Ugwt4gRih00oqjBh3Zh4AaABAg</v>
      </c>
      <c r="O4560">
        <v>0</v>
      </c>
      <c r="P4560">
        <v>0</v>
      </c>
      <c r="Q4560">
        <v>0</v>
      </c>
      <c r="S4560">
        <v>0</v>
      </c>
      <c r="T4560">
        <v>0</v>
      </c>
      <c r="U4560">
        <v>0</v>
      </c>
      <c r="W4560" t="s">
        <v>52</v>
      </c>
    </row>
    <row r="4561" spans="1:23" x14ac:dyDescent="0.35">
      <c r="A4561" t="s">
        <v>45</v>
      </c>
      <c r="B4561" t="s">
        <v>9062</v>
      </c>
      <c r="C4561" t="s">
        <v>93</v>
      </c>
      <c r="D4561" t="s">
        <v>569</v>
      </c>
      <c r="E4561" t="s">
        <v>570</v>
      </c>
      <c r="F4561" t="s">
        <v>54</v>
      </c>
      <c r="G4561" t="s">
        <v>9157</v>
      </c>
      <c r="H4561" t="s">
        <v>9158</v>
      </c>
      <c r="J4561" t="str">
        <f>HYPERLINK("https://twitter.com/excelhinditips/status/1742192754040640000","https://twitter.com/excelhinditips/status/1742192754040640000")</f>
        <v>https://twitter.com/excelhinditips/status/1742192754040640000</v>
      </c>
      <c r="O4561">
        <v>0</v>
      </c>
      <c r="P4561">
        <v>0</v>
      </c>
      <c r="Q4561">
        <v>15</v>
      </c>
      <c r="R4561" t="s">
        <v>573</v>
      </c>
      <c r="S4561">
        <v>0</v>
      </c>
      <c r="T4561">
        <v>0</v>
      </c>
      <c r="U4561">
        <v>0</v>
      </c>
      <c r="W4561" t="s">
        <v>99</v>
      </c>
    </row>
    <row r="4562" spans="1:23" x14ac:dyDescent="0.35">
      <c r="A4562" t="s">
        <v>45</v>
      </c>
      <c r="B4562" t="s">
        <v>9062</v>
      </c>
      <c r="C4562" t="s">
        <v>93</v>
      </c>
      <c r="D4562" t="s">
        <v>7417</v>
      </c>
      <c r="E4562" t="s">
        <v>7418</v>
      </c>
      <c r="F4562" t="s">
        <v>49</v>
      </c>
      <c r="G4562" t="s">
        <v>9159</v>
      </c>
      <c r="H4562" t="s">
        <v>9160</v>
      </c>
      <c r="J4562" t="str">
        <f>HYPERLINK("https://twitter.com/Shobhitvar97831/status/1742184008614805677","https://twitter.com/Shobhitvar97831/status/1742184008614805677")</f>
        <v>https://twitter.com/Shobhitvar97831/status/1742184008614805677</v>
      </c>
      <c r="K4562" t="s">
        <v>67</v>
      </c>
      <c r="O4562">
        <v>0</v>
      </c>
      <c r="P4562">
        <v>0</v>
      </c>
      <c r="Q4562">
        <v>1</v>
      </c>
      <c r="S4562">
        <v>0</v>
      </c>
      <c r="T4562">
        <v>0</v>
      </c>
      <c r="U4562">
        <v>0</v>
      </c>
      <c r="W4562" t="s">
        <v>99</v>
      </c>
    </row>
    <row r="4563" spans="1:23" x14ac:dyDescent="0.35">
      <c r="A4563" t="s">
        <v>45</v>
      </c>
      <c r="B4563" t="s">
        <v>9062</v>
      </c>
      <c r="C4563" t="s">
        <v>47</v>
      </c>
      <c r="D4563" t="s">
        <v>45</v>
      </c>
      <c r="E4563" t="s">
        <v>45</v>
      </c>
      <c r="F4563" t="s">
        <v>49</v>
      </c>
      <c r="G4563" t="s">
        <v>8914</v>
      </c>
      <c r="H4563" t="s">
        <v>9161</v>
      </c>
      <c r="J4563" t="str">
        <f>HYPERLINK("https://www.youtube.com/watch?v=otifGXuH01E","https://www.youtube.com/watch?v=otifGXuH01E")</f>
        <v>https://www.youtube.com/watch?v=otifGXuH01E</v>
      </c>
      <c r="O4563">
        <v>0</v>
      </c>
      <c r="P4563">
        <v>0</v>
      </c>
      <c r="Q4563">
        <v>0</v>
      </c>
      <c r="S4563">
        <v>0</v>
      </c>
      <c r="T4563">
        <v>0</v>
      </c>
      <c r="U4563">
        <v>0</v>
      </c>
      <c r="W4563" t="s">
        <v>346</v>
      </c>
    </row>
    <row r="4564" spans="1:23" x14ac:dyDescent="0.35">
      <c r="A4564" t="s">
        <v>45</v>
      </c>
      <c r="B4564" t="s">
        <v>9062</v>
      </c>
      <c r="C4564" t="s">
        <v>47</v>
      </c>
      <c r="D4564" t="s">
        <v>9162</v>
      </c>
      <c r="E4564" t="s">
        <v>9162</v>
      </c>
      <c r="F4564" t="s">
        <v>193</v>
      </c>
      <c r="G4564" t="s">
        <v>9163</v>
      </c>
      <c r="H4564" t="s">
        <v>9164</v>
      </c>
      <c r="J4564" t="str">
        <f>HYPERLINK("https://www.youtube.com/watch?v=pJw8yRpVZew&amp;lc=UgwHWTvTjvraE3yQqWp4AaABAg","https://www.youtube.com/watch?v=pJw8yRpVZew&amp;lc=UgwHWTvTjvraE3yQqWp4AaABAg")</f>
        <v>https://www.youtube.com/watch?v=pJw8yRpVZew&amp;lc=UgwHWTvTjvraE3yQqWp4AaABAg</v>
      </c>
      <c r="O4564">
        <v>0</v>
      </c>
      <c r="P4564">
        <v>0</v>
      </c>
      <c r="Q4564">
        <v>0</v>
      </c>
      <c r="S4564">
        <v>0</v>
      </c>
      <c r="T4564">
        <v>0</v>
      </c>
      <c r="U4564">
        <v>0</v>
      </c>
      <c r="W4564" t="s">
        <v>52</v>
      </c>
    </row>
    <row r="4565" spans="1:23" x14ac:dyDescent="0.35">
      <c r="A4565" t="s">
        <v>45</v>
      </c>
      <c r="B4565" t="s">
        <v>9062</v>
      </c>
      <c r="C4565" t="s">
        <v>93</v>
      </c>
      <c r="D4565" t="s">
        <v>9036</v>
      </c>
      <c r="E4565" t="s">
        <v>9037</v>
      </c>
      <c r="F4565" t="s">
        <v>49</v>
      </c>
      <c r="G4565" t="s">
        <v>9165</v>
      </c>
      <c r="H4565" t="s">
        <v>9166</v>
      </c>
      <c r="J4565" t="str">
        <f>HYPERLINK("https://twitter.com/Dilshadthegreat/status/1742178773447958965","https://twitter.com/Dilshadthegreat/status/1742178773447958965")</f>
        <v>https://twitter.com/Dilshadthegreat/status/1742178773447958965</v>
      </c>
      <c r="K4565" t="s">
        <v>67</v>
      </c>
      <c r="O4565">
        <v>0</v>
      </c>
      <c r="P4565">
        <v>0</v>
      </c>
      <c r="Q4565">
        <v>1028</v>
      </c>
      <c r="R4565" t="s">
        <v>8492</v>
      </c>
      <c r="S4565">
        <v>0</v>
      </c>
      <c r="T4565">
        <v>0</v>
      </c>
      <c r="U4565">
        <v>0</v>
      </c>
      <c r="W4565" t="s">
        <v>99</v>
      </c>
    </row>
    <row r="4566" spans="1:23" x14ac:dyDescent="0.35">
      <c r="A4566" t="s">
        <v>45</v>
      </c>
      <c r="B4566" t="s">
        <v>9062</v>
      </c>
      <c r="C4566" t="s">
        <v>60</v>
      </c>
      <c r="D4566" t="s">
        <v>61</v>
      </c>
      <c r="E4566" t="s">
        <v>61</v>
      </c>
      <c r="F4566" t="s">
        <v>54</v>
      </c>
      <c r="G4566" t="s">
        <v>680</v>
      </c>
      <c r="H4566" t="s">
        <v>9167</v>
      </c>
      <c r="J4566" t="str">
        <f>HYPERLINK("https://www.facebook.com/634639855377280/posts/765118255662772?comment_id=969826644476242","https://www.facebook.com/634639855377280/posts/765118255662772?comment_id=969826644476242")</f>
        <v>https://www.facebook.com/634639855377280/posts/765118255662772?comment_id=969826644476242</v>
      </c>
      <c r="O4566">
        <v>0</v>
      </c>
      <c r="P4566">
        <v>0</v>
      </c>
      <c r="Q4566">
        <v>0</v>
      </c>
      <c r="S4566">
        <v>0</v>
      </c>
      <c r="T4566">
        <v>0</v>
      </c>
      <c r="U4566">
        <v>0</v>
      </c>
      <c r="W4566" t="s">
        <v>52</v>
      </c>
    </row>
    <row r="4567" spans="1:23" x14ac:dyDescent="0.35">
      <c r="A4567" t="s">
        <v>45</v>
      </c>
      <c r="B4567" t="s">
        <v>9062</v>
      </c>
      <c r="C4567" t="s">
        <v>60</v>
      </c>
      <c r="D4567" t="s">
        <v>61</v>
      </c>
      <c r="E4567" t="s">
        <v>61</v>
      </c>
      <c r="F4567" t="s">
        <v>49</v>
      </c>
      <c r="H4567" t="s">
        <v>9168</v>
      </c>
      <c r="J4567" t="str">
        <f>HYPERLINK("https://www.facebook.com/634639855377280/posts/765118255662772?comment_id=226729790513000","https://www.facebook.com/634639855377280/posts/765118255662772?comment_id=226729790513000")</f>
        <v>https://www.facebook.com/634639855377280/posts/765118255662772?comment_id=226729790513000</v>
      </c>
      <c r="O4567">
        <v>0</v>
      </c>
      <c r="P4567">
        <v>0</v>
      </c>
      <c r="Q4567">
        <v>0</v>
      </c>
      <c r="S4567">
        <v>0</v>
      </c>
      <c r="T4567">
        <v>0</v>
      </c>
      <c r="U4567">
        <v>0</v>
      </c>
      <c r="W4567" t="s">
        <v>52</v>
      </c>
    </row>
    <row r="4568" spans="1:23" x14ac:dyDescent="0.35">
      <c r="A4568" t="s">
        <v>45</v>
      </c>
      <c r="B4568" t="s">
        <v>9062</v>
      </c>
      <c r="C4568" t="s">
        <v>60</v>
      </c>
      <c r="D4568" t="s">
        <v>61</v>
      </c>
      <c r="E4568" t="s">
        <v>61</v>
      </c>
      <c r="F4568" t="s">
        <v>49</v>
      </c>
      <c r="G4568" t="s">
        <v>9169</v>
      </c>
      <c r="H4568" t="s">
        <v>9170</v>
      </c>
      <c r="J4568" t="str">
        <f>HYPERLINK("https://www.facebook.com/634639855377280/posts/765118255662772?comment_id=713875797384222","https://www.facebook.com/634639855377280/posts/765118255662772?comment_id=713875797384222")</f>
        <v>https://www.facebook.com/634639855377280/posts/765118255662772?comment_id=713875797384222</v>
      </c>
      <c r="O4568">
        <v>0</v>
      </c>
      <c r="P4568">
        <v>0</v>
      </c>
      <c r="Q4568">
        <v>0</v>
      </c>
      <c r="S4568">
        <v>0</v>
      </c>
      <c r="T4568">
        <v>0</v>
      </c>
      <c r="U4568">
        <v>0</v>
      </c>
      <c r="W4568" t="s">
        <v>52</v>
      </c>
    </row>
    <row r="4569" spans="1:23" x14ac:dyDescent="0.35">
      <c r="A4569" t="s">
        <v>45</v>
      </c>
      <c r="B4569" t="s">
        <v>9062</v>
      </c>
      <c r="C4569" t="s">
        <v>47</v>
      </c>
      <c r="D4569" t="s">
        <v>7514</v>
      </c>
      <c r="E4569" t="s">
        <v>7514</v>
      </c>
      <c r="F4569" t="s">
        <v>193</v>
      </c>
      <c r="G4569" t="s">
        <v>9171</v>
      </c>
      <c r="H4569" t="s">
        <v>9172</v>
      </c>
      <c r="J4569" t="str">
        <f>HYPERLINK("https://www.youtube.com/watch?v=pJw8yRpVZew&amp;lc=Ugxt5tAbqMIFRN8yaAh4AaABAg","https://www.youtube.com/watch?v=pJw8yRpVZew&amp;lc=Ugxt5tAbqMIFRN8yaAh4AaABAg")</f>
        <v>https://www.youtube.com/watch?v=pJw8yRpVZew&amp;lc=Ugxt5tAbqMIFRN8yaAh4AaABAg</v>
      </c>
      <c r="O4569">
        <v>0</v>
      </c>
      <c r="P4569">
        <v>0</v>
      </c>
      <c r="Q4569">
        <v>0</v>
      </c>
      <c r="S4569">
        <v>0</v>
      </c>
      <c r="T4569">
        <v>0</v>
      </c>
      <c r="U4569">
        <v>0</v>
      </c>
      <c r="W4569" t="s">
        <v>52</v>
      </c>
    </row>
    <row r="4570" spans="1:23" x14ac:dyDescent="0.35">
      <c r="A4570" t="s">
        <v>45</v>
      </c>
      <c r="B4570" t="s">
        <v>9062</v>
      </c>
      <c r="C4570" t="s">
        <v>47</v>
      </c>
      <c r="D4570" t="s">
        <v>7514</v>
      </c>
      <c r="E4570" t="s">
        <v>7514</v>
      </c>
      <c r="F4570" t="s">
        <v>193</v>
      </c>
      <c r="G4570" t="s">
        <v>9171</v>
      </c>
      <c r="H4570" t="s">
        <v>9173</v>
      </c>
      <c r="J4570" t="str">
        <f>HYPERLINK("https://www.youtube.com/watch?v=pJw8yRpVZew&amp;lc=Ugw4fDBPSU98qF4xDCp4AaABAg","https://www.youtube.com/watch?v=pJw8yRpVZew&amp;lc=Ugw4fDBPSU98qF4xDCp4AaABAg")</f>
        <v>https://www.youtube.com/watch?v=pJw8yRpVZew&amp;lc=Ugw4fDBPSU98qF4xDCp4AaABAg</v>
      </c>
      <c r="O4570">
        <v>0</v>
      </c>
      <c r="P4570">
        <v>0</v>
      </c>
      <c r="Q4570">
        <v>0</v>
      </c>
      <c r="S4570">
        <v>0</v>
      </c>
      <c r="T4570">
        <v>0</v>
      </c>
      <c r="U4570">
        <v>0</v>
      </c>
      <c r="W4570" t="s">
        <v>52</v>
      </c>
    </row>
    <row r="4571" spans="1:23" x14ac:dyDescent="0.35">
      <c r="A4571" t="s">
        <v>45</v>
      </c>
      <c r="B4571" t="s">
        <v>9062</v>
      </c>
      <c r="C4571" t="s">
        <v>47</v>
      </c>
      <c r="D4571" t="s">
        <v>9174</v>
      </c>
      <c r="E4571" t="s">
        <v>9174</v>
      </c>
      <c r="F4571" t="s">
        <v>49</v>
      </c>
      <c r="G4571" t="s">
        <v>9175</v>
      </c>
      <c r="H4571" t="s">
        <v>9176</v>
      </c>
      <c r="J4571" t="str">
        <f>HYPERLINK("https://www.youtube.com/watch?v=pJw8yRpVZew&amp;lc=Ugyx2hLzkO6KRGAck_J4AaABAg","https://www.youtube.com/watch?v=pJw8yRpVZew&amp;lc=Ugyx2hLzkO6KRGAck_J4AaABAg")</f>
        <v>https://www.youtube.com/watch?v=pJw8yRpVZew&amp;lc=Ugyx2hLzkO6KRGAck_J4AaABAg</v>
      </c>
      <c r="O4571">
        <v>0</v>
      </c>
      <c r="P4571">
        <v>0</v>
      </c>
      <c r="Q4571">
        <v>0</v>
      </c>
      <c r="S4571">
        <v>0</v>
      </c>
      <c r="T4571">
        <v>0</v>
      </c>
      <c r="U4571">
        <v>0</v>
      </c>
      <c r="W4571" t="s">
        <v>52</v>
      </c>
    </row>
    <row r="4572" spans="1:23" x14ac:dyDescent="0.35">
      <c r="A4572" t="s">
        <v>45</v>
      </c>
      <c r="B4572" t="s">
        <v>9062</v>
      </c>
      <c r="C4572" t="s">
        <v>47</v>
      </c>
      <c r="D4572" t="s">
        <v>7514</v>
      </c>
      <c r="E4572" t="s">
        <v>7514</v>
      </c>
      <c r="F4572" t="s">
        <v>193</v>
      </c>
      <c r="G4572" t="s">
        <v>9171</v>
      </c>
      <c r="H4572" t="s">
        <v>9177</v>
      </c>
      <c r="J4572" t="str">
        <f>HYPERLINK("https://www.youtube.com/watch?v=pJw8yRpVZew&amp;lc=UgwRA7wvFnTG-2WRZH54AaABAg.9z3ovQHtAsC9z3r0eKBp1-","https://www.youtube.com/watch?v=pJw8yRpVZew&amp;lc=UgwRA7wvFnTG-2WRZH54AaABAg.9z3ovQHtAsC9z3r0eKBp1-")</f>
        <v>https://www.youtube.com/watch?v=pJw8yRpVZew&amp;lc=UgwRA7wvFnTG-2WRZH54AaABAg.9z3ovQHtAsC9z3r0eKBp1-</v>
      </c>
      <c r="O4572">
        <v>0</v>
      </c>
      <c r="P4572">
        <v>0</v>
      </c>
      <c r="Q4572">
        <v>0</v>
      </c>
      <c r="S4572">
        <v>0</v>
      </c>
      <c r="T4572">
        <v>0</v>
      </c>
      <c r="U4572">
        <v>0</v>
      </c>
      <c r="W4572" t="s">
        <v>52</v>
      </c>
    </row>
    <row r="4573" spans="1:23" x14ac:dyDescent="0.35">
      <c r="A4573" t="s">
        <v>45</v>
      </c>
      <c r="B4573" t="s">
        <v>9062</v>
      </c>
      <c r="C4573" t="s">
        <v>47</v>
      </c>
      <c r="D4573" t="s">
        <v>9118</v>
      </c>
      <c r="E4573" t="s">
        <v>9118</v>
      </c>
      <c r="F4573" t="s">
        <v>193</v>
      </c>
      <c r="G4573" t="s">
        <v>9178</v>
      </c>
      <c r="H4573" t="s">
        <v>9179</v>
      </c>
      <c r="J4573" t="str">
        <f>HYPERLINK("https://www.youtube.com/watch?v=pJw8yRpVZew&amp;lc=UgxqVtdx2U2ejrVvFl94AaABAg","https://www.youtube.com/watch?v=pJw8yRpVZew&amp;lc=UgxqVtdx2U2ejrVvFl94AaABAg")</f>
        <v>https://www.youtube.com/watch?v=pJw8yRpVZew&amp;lc=UgxqVtdx2U2ejrVvFl94AaABAg</v>
      </c>
      <c r="O4573">
        <v>0</v>
      </c>
      <c r="P4573">
        <v>0</v>
      </c>
      <c r="Q4573">
        <v>0</v>
      </c>
      <c r="S4573">
        <v>0</v>
      </c>
      <c r="T4573">
        <v>0</v>
      </c>
      <c r="U4573">
        <v>0</v>
      </c>
      <c r="W4573" t="s">
        <v>52</v>
      </c>
    </row>
    <row r="4574" spans="1:23" x14ac:dyDescent="0.35">
      <c r="A4574" t="s">
        <v>45</v>
      </c>
      <c r="B4574" t="s">
        <v>9062</v>
      </c>
      <c r="C4574" t="s">
        <v>47</v>
      </c>
      <c r="D4574" t="s">
        <v>9180</v>
      </c>
      <c r="E4574" t="s">
        <v>9180</v>
      </c>
      <c r="F4574" t="s">
        <v>49</v>
      </c>
      <c r="G4574" t="s">
        <v>9181</v>
      </c>
      <c r="H4574" t="s">
        <v>9182</v>
      </c>
      <c r="J4574" t="str">
        <f>HYPERLINK("https://www.youtube.com/watch?v=pJw8yRpVZew&amp;lc=UgwqYO6NgwSfoqdq9R14AaABAg","https://www.youtube.com/watch?v=pJw8yRpVZew&amp;lc=UgwqYO6NgwSfoqdq9R14AaABAg")</f>
        <v>https://www.youtube.com/watch?v=pJw8yRpVZew&amp;lc=UgwqYO6NgwSfoqdq9R14AaABAg</v>
      </c>
      <c r="O4574">
        <v>0</v>
      </c>
      <c r="P4574">
        <v>0</v>
      </c>
      <c r="Q4574">
        <v>0</v>
      </c>
      <c r="S4574">
        <v>0</v>
      </c>
      <c r="T4574">
        <v>0</v>
      </c>
      <c r="U4574">
        <v>0</v>
      </c>
      <c r="W4574" t="s">
        <v>52</v>
      </c>
    </row>
    <row r="4575" spans="1:23" x14ac:dyDescent="0.35">
      <c r="A4575" t="s">
        <v>45</v>
      </c>
      <c r="B4575" t="s">
        <v>9062</v>
      </c>
      <c r="C4575" t="s">
        <v>47</v>
      </c>
      <c r="D4575" t="s">
        <v>9183</v>
      </c>
      <c r="E4575" t="s">
        <v>9183</v>
      </c>
      <c r="F4575" t="s">
        <v>49</v>
      </c>
      <c r="G4575" t="s">
        <v>9184</v>
      </c>
      <c r="H4575" t="s">
        <v>9185</v>
      </c>
      <c r="J4575" t="str">
        <f>HYPERLINK("https://www.youtube.com/watch?v=pJw8yRpVZew&amp;lc=Ugz-0iVDcb_ZT5PZp3t4AaABAg","https://www.youtube.com/watch?v=pJw8yRpVZew&amp;lc=Ugz-0iVDcb_ZT5PZp3t4AaABAg")</f>
        <v>https://www.youtube.com/watch?v=pJw8yRpVZew&amp;lc=Ugz-0iVDcb_ZT5PZp3t4AaABAg</v>
      </c>
      <c r="O4575">
        <v>0</v>
      </c>
      <c r="P4575">
        <v>0</v>
      </c>
      <c r="Q4575">
        <v>0</v>
      </c>
      <c r="S4575">
        <v>0</v>
      </c>
      <c r="T4575">
        <v>0</v>
      </c>
      <c r="U4575">
        <v>0</v>
      </c>
      <c r="W4575" t="s">
        <v>52</v>
      </c>
    </row>
    <row r="4576" spans="1:23" x14ac:dyDescent="0.35">
      <c r="A4576" t="s">
        <v>45</v>
      </c>
      <c r="B4576" t="s">
        <v>9062</v>
      </c>
      <c r="C4576" t="s">
        <v>47</v>
      </c>
      <c r="D4576" t="s">
        <v>1855</v>
      </c>
      <c r="E4576" t="s">
        <v>1855</v>
      </c>
      <c r="F4576" t="s">
        <v>49</v>
      </c>
      <c r="G4576" t="s">
        <v>9186</v>
      </c>
      <c r="H4576" t="s">
        <v>9187</v>
      </c>
      <c r="J4576" t="str">
        <f>HYPERLINK("https://www.youtube.com/watch?v=pJw8yRpVZew&amp;lc=UgwRA7wvFnTG-2WRZH54AaABAg.9z3ovQHtAsC9z3pN5n9eh3","https://www.youtube.com/watch?v=pJw8yRpVZew&amp;lc=UgwRA7wvFnTG-2WRZH54AaABAg.9z3ovQHtAsC9z3pN5n9eh3")</f>
        <v>https://www.youtube.com/watch?v=pJw8yRpVZew&amp;lc=UgwRA7wvFnTG-2WRZH54AaABAg.9z3ovQHtAsC9z3pN5n9eh3</v>
      </c>
      <c r="O4576">
        <v>0</v>
      </c>
      <c r="P4576">
        <v>0</v>
      </c>
      <c r="Q4576">
        <v>0</v>
      </c>
      <c r="S4576">
        <v>0</v>
      </c>
      <c r="T4576">
        <v>0</v>
      </c>
      <c r="U4576">
        <v>0</v>
      </c>
      <c r="W4576" t="s">
        <v>52</v>
      </c>
    </row>
    <row r="4577" spans="1:23" x14ac:dyDescent="0.35">
      <c r="A4577" t="s">
        <v>45</v>
      </c>
      <c r="B4577" t="s">
        <v>9062</v>
      </c>
      <c r="C4577" t="s">
        <v>60</v>
      </c>
      <c r="D4577" t="s">
        <v>61</v>
      </c>
      <c r="E4577" t="s">
        <v>61</v>
      </c>
      <c r="F4577" t="s">
        <v>49</v>
      </c>
      <c r="G4577" t="s">
        <v>3880</v>
      </c>
      <c r="H4577" t="s">
        <v>9188</v>
      </c>
      <c r="J4577" t="str">
        <f>HYPERLINK("https://www.facebook.com/634639855377280/posts/765118255662772?comment_id=746601967374988","https://www.facebook.com/634639855377280/posts/765118255662772?comment_id=746601967374988")</f>
        <v>https://www.facebook.com/634639855377280/posts/765118255662772?comment_id=746601967374988</v>
      </c>
      <c r="O4577">
        <v>0</v>
      </c>
      <c r="P4577">
        <v>0</v>
      </c>
      <c r="Q4577">
        <v>0</v>
      </c>
      <c r="S4577">
        <v>0</v>
      </c>
      <c r="T4577">
        <v>0</v>
      </c>
      <c r="U4577">
        <v>0</v>
      </c>
      <c r="W4577" t="s">
        <v>52</v>
      </c>
    </row>
    <row r="4578" spans="1:23" x14ac:dyDescent="0.35">
      <c r="A4578" t="s">
        <v>45</v>
      </c>
      <c r="B4578" t="s">
        <v>9062</v>
      </c>
      <c r="C4578" t="s">
        <v>47</v>
      </c>
      <c r="D4578" t="s">
        <v>6367</v>
      </c>
      <c r="E4578" t="s">
        <v>6367</v>
      </c>
      <c r="F4578" t="s">
        <v>193</v>
      </c>
      <c r="G4578" t="s">
        <v>9189</v>
      </c>
      <c r="H4578" t="s">
        <v>9190</v>
      </c>
      <c r="J4578" t="str">
        <f>HYPERLINK("https://www.youtube.com/watch?v=pJw8yRpVZew&amp;lc=UgwRA7wvFnTG-2WRZH54AaABAg","https://www.youtube.com/watch?v=pJw8yRpVZew&amp;lc=UgwRA7wvFnTG-2WRZH54AaABAg")</f>
        <v>https://www.youtube.com/watch?v=pJw8yRpVZew&amp;lc=UgwRA7wvFnTG-2WRZH54AaABAg</v>
      </c>
      <c r="O4578">
        <v>0</v>
      </c>
      <c r="P4578">
        <v>0</v>
      </c>
      <c r="Q4578">
        <v>0</v>
      </c>
      <c r="S4578">
        <v>0</v>
      </c>
      <c r="T4578">
        <v>0</v>
      </c>
      <c r="U4578">
        <v>0</v>
      </c>
      <c r="W4578" t="s">
        <v>52</v>
      </c>
    </row>
    <row r="4579" spans="1:23" x14ac:dyDescent="0.35">
      <c r="A4579" t="s">
        <v>45</v>
      </c>
      <c r="B4579" t="s">
        <v>9062</v>
      </c>
      <c r="C4579" t="s">
        <v>47</v>
      </c>
      <c r="D4579" t="s">
        <v>6401</v>
      </c>
      <c r="E4579" t="s">
        <v>6401</v>
      </c>
      <c r="F4579" t="s">
        <v>54</v>
      </c>
      <c r="G4579" t="s">
        <v>9191</v>
      </c>
      <c r="H4579" t="s">
        <v>9192</v>
      </c>
      <c r="J4579" t="str">
        <f>HYPERLINK("https://www.youtube.com/watch?v=pJw8yRpVZew&amp;lc=UgzX_-OhSs8mPQK3aDh4AaABAg","https://www.youtube.com/watch?v=pJw8yRpVZew&amp;lc=UgzX_-OhSs8mPQK3aDh4AaABAg")</f>
        <v>https://www.youtube.com/watch?v=pJw8yRpVZew&amp;lc=UgzX_-OhSs8mPQK3aDh4AaABAg</v>
      </c>
      <c r="O4579">
        <v>0</v>
      </c>
      <c r="P4579">
        <v>0</v>
      </c>
      <c r="Q4579">
        <v>0</v>
      </c>
      <c r="S4579">
        <v>0</v>
      </c>
      <c r="T4579">
        <v>0</v>
      </c>
      <c r="U4579">
        <v>0</v>
      </c>
      <c r="W4579" t="s">
        <v>52</v>
      </c>
    </row>
    <row r="4580" spans="1:23" x14ac:dyDescent="0.35">
      <c r="A4580" t="s">
        <v>45</v>
      </c>
      <c r="B4580" t="s">
        <v>9062</v>
      </c>
      <c r="C4580" t="s">
        <v>47</v>
      </c>
      <c r="D4580" t="s">
        <v>9193</v>
      </c>
      <c r="E4580" t="s">
        <v>9193</v>
      </c>
      <c r="F4580" t="s">
        <v>49</v>
      </c>
      <c r="G4580" t="s">
        <v>1402</v>
      </c>
      <c r="H4580" t="s">
        <v>9194</v>
      </c>
      <c r="J4580" t="str">
        <f>HYPERLINK("https://www.youtube.com/watch?v=pJw8yRpVZew&amp;lc=Ugx8veRrvCj6ELtMpMJ4AaABAg","https://www.youtube.com/watch?v=pJw8yRpVZew&amp;lc=Ugx8veRrvCj6ELtMpMJ4AaABAg")</f>
        <v>https://www.youtube.com/watch?v=pJw8yRpVZew&amp;lc=Ugx8veRrvCj6ELtMpMJ4AaABAg</v>
      </c>
      <c r="O4580">
        <v>0</v>
      </c>
      <c r="P4580">
        <v>0</v>
      </c>
      <c r="Q4580">
        <v>0</v>
      </c>
      <c r="S4580">
        <v>0</v>
      </c>
      <c r="T4580">
        <v>0</v>
      </c>
      <c r="U4580">
        <v>0</v>
      </c>
      <c r="W4580" t="s">
        <v>52</v>
      </c>
    </row>
    <row r="4581" spans="1:23" x14ac:dyDescent="0.35">
      <c r="A4581" t="s">
        <v>45</v>
      </c>
      <c r="B4581" t="s">
        <v>9062</v>
      </c>
      <c r="C4581" t="s">
        <v>47</v>
      </c>
      <c r="D4581" t="s">
        <v>45</v>
      </c>
      <c r="E4581" t="s">
        <v>45</v>
      </c>
      <c r="F4581" t="s">
        <v>49</v>
      </c>
      <c r="G4581" t="s">
        <v>9195</v>
      </c>
      <c r="H4581" t="s">
        <v>9196</v>
      </c>
      <c r="J4581" t="str">
        <f>HYPERLINK("https://www.youtube.com/watch?v=pJw8yRpVZew","https://www.youtube.com/watch?v=pJw8yRpVZew")</f>
        <v>https://www.youtube.com/watch?v=pJw8yRpVZew</v>
      </c>
      <c r="O4581">
        <v>0</v>
      </c>
      <c r="P4581">
        <v>0</v>
      </c>
      <c r="Q4581">
        <v>0</v>
      </c>
      <c r="S4581">
        <v>0</v>
      </c>
      <c r="T4581">
        <v>0</v>
      </c>
      <c r="U4581">
        <v>0</v>
      </c>
      <c r="W4581" t="s">
        <v>346</v>
      </c>
    </row>
    <row r="4582" spans="1:23" x14ac:dyDescent="0.35">
      <c r="A4582" t="s">
        <v>45</v>
      </c>
      <c r="B4582" t="s">
        <v>9062</v>
      </c>
      <c r="C4582" t="s">
        <v>47</v>
      </c>
      <c r="D4582" t="s">
        <v>45</v>
      </c>
      <c r="E4582" t="s">
        <v>45</v>
      </c>
      <c r="F4582" t="s">
        <v>49</v>
      </c>
      <c r="G4582" t="s">
        <v>9195</v>
      </c>
      <c r="H4582" t="s">
        <v>9197</v>
      </c>
      <c r="J4582" t="str">
        <f>HYPERLINK("https://www.youtube.com/watch?v=pJw8yRpVZew","https://www.youtube.com/watch?v=pJw8yRpVZew")</f>
        <v>https://www.youtube.com/watch?v=pJw8yRpVZew</v>
      </c>
      <c r="O4582">
        <v>0</v>
      </c>
      <c r="P4582">
        <v>0</v>
      </c>
      <c r="Q4582">
        <v>0</v>
      </c>
      <c r="S4582">
        <v>0</v>
      </c>
      <c r="T4582">
        <v>0</v>
      </c>
      <c r="U4582">
        <v>0</v>
      </c>
      <c r="W4582" t="s">
        <v>346</v>
      </c>
    </row>
    <row r="4583" spans="1:23" x14ac:dyDescent="0.35">
      <c r="A4583" t="s">
        <v>45</v>
      </c>
      <c r="B4583" t="s">
        <v>9062</v>
      </c>
      <c r="C4583" t="s">
        <v>60</v>
      </c>
      <c r="D4583" t="s">
        <v>61</v>
      </c>
      <c r="E4583" t="s">
        <v>61</v>
      </c>
      <c r="F4583" t="s">
        <v>49</v>
      </c>
      <c r="G4583" t="s">
        <v>9198</v>
      </c>
      <c r="H4583" t="s">
        <v>9199</v>
      </c>
      <c r="J4583" t="str">
        <f>HYPERLINK("https://www.facebook.com/634639855377280/posts/765118255662772?comment_id=1055329835787448","https://www.facebook.com/634639855377280/posts/765118255662772?comment_id=1055329835787448")</f>
        <v>https://www.facebook.com/634639855377280/posts/765118255662772?comment_id=1055329835787448</v>
      </c>
      <c r="O4583">
        <v>0</v>
      </c>
      <c r="P4583">
        <v>0</v>
      </c>
      <c r="Q4583">
        <v>0</v>
      </c>
      <c r="S4583">
        <v>0</v>
      </c>
      <c r="T4583">
        <v>0</v>
      </c>
      <c r="U4583">
        <v>0</v>
      </c>
      <c r="W4583" t="s">
        <v>52</v>
      </c>
    </row>
    <row r="4584" spans="1:23" x14ac:dyDescent="0.35">
      <c r="A4584" t="s">
        <v>45</v>
      </c>
      <c r="B4584" t="s">
        <v>9062</v>
      </c>
      <c r="C4584" t="s">
        <v>60</v>
      </c>
      <c r="D4584" t="s">
        <v>61</v>
      </c>
      <c r="E4584" t="s">
        <v>61</v>
      </c>
      <c r="F4584" t="s">
        <v>193</v>
      </c>
      <c r="G4584" t="s">
        <v>9200</v>
      </c>
      <c r="H4584" t="s">
        <v>9201</v>
      </c>
      <c r="J4584" t="str">
        <f>HYPERLINK("https://www.facebook.com/634639855377280/posts/765118255662772?comment_id=847119830515950","https://www.facebook.com/634639855377280/posts/765118255662772?comment_id=847119830515950")</f>
        <v>https://www.facebook.com/634639855377280/posts/765118255662772?comment_id=847119830515950</v>
      </c>
      <c r="O4584">
        <v>0</v>
      </c>
      <c r="P4584">
        <v>0</v>
      </c>
      <c r="Q4584">
        <v>0</v>
      </c>
      <c r="S4584">
        <v>0</v>
      </c>
      <c r="T4584">
        <v>0</v>
      </c>
      <c r="U4584">
        <v>0</v>
      </c>
      <c r="W4584" t="s">
        <v>52</v>
      </c>
    </row>
    <row r="4585" spans="1:23" x14ac:dyDescent="0.35">
      <c r="A4585" t="s">
        <v>45</v>
      </c>
      <c r="B4585" t="s">
        <v>9062</v>
      </c>
      <c r="C4585" t="s">
        <v>60</v>
      </c>
      <c r="D4585" t="s">
        <v>61</v>
      </c>
      <c r="E4585" t="s">
        <v>61</v>
      </c>
      <c r="F4585" t="s">
        <v>49</v>
      </c>
      <c r="G4585" t="s">
        <v>9076</v>
      </c>
      <c r="H4585" t="s">
        <v>9202</v>
      </c>
      <c r="J4585" t="str">
        <f>HYPERLINK("https://www.facebook.com/634639855377280/posts/765118255662772?comment_id=3642202312670345","https://www.facebook.com/634639855377280/posts/765118255662772?comment_id=3642202312670345")</f>
        <v>https://www.facebook.com/634639855377280/posts/765118255662772?comment_id=3642202312670345</v>
      </c>
      <c r="O4585">
        <v>0</v>
      </c>
      <c r="P4585">
        <v>0</v>
      </c>
      <c r="Q4585">
        <v>0</v>
      </c>
      <c r="S4585">
        <v>0</v>
      </c>
      <c r="T4585">
        <v>0</v>
      </c>
      <c r="U4585">
        <v>0</v>
      </c>
      <c r="W4585" t="s">
        <v>52</v>
      </c>
    </row>
    <row r="4586" spans="1:23" x14ac:dyDescent="0.35">
      <c r="A4586" t="s">
        <v>45</v>
      </c>
      <c r="B4586" t="s">
        <v>9062</v>
      </c>
      <c r="C4586" t="s">
        <v>60</v>
      </c>
      <c r="D4586" t="s">
        <v>61</v>
      </c>
      <c r="E4586" t="s">
        <v>61</v>
      </c>
      <c r="F4586" t="s">
        <v>49</v>
      </c>
      <c r="G4586" t="s">
        <v>9203</v>
      </c>
      <c r="H4586" t="s">
        <v>9204</v>
      </c>
      <c r="J4586" t="str">
        <f>HYPERLINK("https://www.facebook.com/634639855377280/posts/765118255662772?comment_id=384485177382813&amp;reply_comment_id=24535268859452873","https://www.facebook.com/634639855377280/posts/765118255662772?comment_id=384485177382813&amp;reply_comment_id=24535268859452873")</f>
        <v>https://www.facebook.com/634639855377280/posts/765118255662772?comment_id=384485177382813&amp;reply_comment_id=24535268859452873</v>
      </c>
      <c r="O4586">
        <v>0</v>
      </c>
      <c r="P4586">
        <v>0</v>
      </c>
      <c r="Q4586">
        <v>0</v>
      </c>
      <c r="S4586">
        <v>0</v>
      </c>
      <c r="T4586">
        <v>0</v>
      </c>
      <c r="U4586">
        <v>0</v>
      </c>
      <c r="W4586" t="s">
        <v>52</v>
      </c>
    </row>
    <row r="4587" spans="1:23" x14ac:dyDescent="0.35">
      <c r="A4587" t="s">
        <v>45</v>
      </c>
      <c r="B4587" t="s">
        <v>9062</v>
      </c>
      <c r="C4587" t="s">
        <v>60</v>
      </c>
      <c r="D4587" t="s">
        <v>64</v>
      </c>
      <c r="E4587" t="s">
        <v>64</v>
      </c>
      <c r="F4587" t="s">
        <v>49</v>
      </c>
      <c r="G4587" t="s">
        <v>270</v>
      </c>
      <c r="H4587" t="s">
        <v>9205</v>
      </c>
      <c r="J4587" t="str">
        <f>HYPERLINK("https://www.facebook.com/634639855377280/posts/765118255662772?comment_id=272768992157568&amp;reply_comment_id=715756563994945","https://www.facebook.com/634639855377280/posts/765118255662772?comment_id=272768992157568&amp;reply_comment_id=715756563994945")</f>
        <v>https://www.facebook.com/634639855377280/posts/765118255662772?comment_id=272768992157568&amp;reply_comment_id=715756563994945</v>
      </c>
      <c r="K4587" t="s">
        <v>67</v>
      </c>
      <c r="O4587">
        <v>0</v>
      </c>
      <c r="P4587">
        <v>0</v>
      </c>
      <c r="Q4587">
        <v>0</v>
      </c>
      <c r="S4587">
        <v>0</v>
      </c>
      <c r="T4587">
        <v>0</v>
      </c>
      <c r="U4587">
        <v>0</v>
      </c>
      <c r="W4587" t="s">
        <v>52</v>
      </c>
    </row>
    <row r="4588" spans="1:23" x14ac:dyDescent="0.35">
      <c r="A4588" t="s">
        <v>45</v>
      </c>
      <c r="B4588" t="s">
        <v>9062</v>
      </c>
      <c r="C4588" t="s">
        <v>60</v>
      </c>
      <c r="D4588" t="s">
        <v>64</v>
      </c>
      <c r="E4588" t="s">
        <v>64</v>
      </c>
      <c r="F4588" t="s">
        <v>49</v>
      </c>
      <c r="G4588" t="s">
        <v>8982</v>
      </c>
      <c r="H4588" t="s">
        <v>9206</v>
      </c>
      <c r="J4588" t="str">
        <f>HYPERLINK("https://www.facebook.com/634639855377280/posts/765118255662772?comment_id=3716203325370595&amp;reply_comment_id=734180748286583","https://www.facebook.com/634639855377280/posts/765118255662772?comment_id=3716203325370595&amp;reply_comment_id=734180748286583")</f>
        <v>https://www.facebook.com/634639855377280/posts/765118255662772?comment_id=3716203325370595&amp;reply_comment_id=734180748286583</v>
      </c>
      <c r="K4588" t="s">
        <v>67</v>
      </c>
      <c r="O4588">
        <v>0</v>
      </c>
      <c r="P4588">
        <v>0</v>
      </c>
      <c r="Q4588">
        <v>0</v>
      </c>
      <c r="S4588">
        <v>0</v>
      </c>
      <c r="T4588">
        <v>0</v>
      </c>
      <c r="U4588">
        <v>0</v>
      </c>
      <c r="W4588" t="s">
        <v>52</v>
      </c>
    </row>
    <row r="4589" spans="1:23" x14ac:dyDescent="0.35">
      <c r="A4589" t="s">
        <v>45</v>
      </c>
      <c r="B4589" t="s">
        <v>9062</v>
      </c>
      <c r="C4589" t="s">
        <v>60</v>
      </c>
      <c r="D4589" t="s">
        <v>64</v>
      </c>
      <c r="E4589" t="s">
        <v>64</v>
      </c>
      <c r="F4589" t="s">
        <v>49</v>
      </c>
      <c r="G4589" t="s">
        <v>8982</v>
      </c>
      <c r="H4589" t="s">
        <v>9207</v>
      </c>
      <c r="J4589" t="str">
        <f>HYPERLINK("https://www.facebook.com/634639855377280/posts/765118255662772?comment_id=384485177382813&amp;reply_comment_id=343065475336990","https://www.facebook.com/634639855377280/posts/765118255662772?comment_id=384485177382813&amp;reply_comment_id=343065475336990")</f>
        <v>https://www.facebook.com/634639855377280/posts/765118255662772?comment_id=384485177382813&amp;reply_comment_id=343065475336990</v>
      </c>
      <c r="K4589" t="s">
        <v>67</v>
      </c>
      <c r="O4589">
        <v>0</v>
      </c>
      <c r="P4589">
        <v>0</v>
      </c>
      <c r="Q4589">
        <v>0</v>
      </c>
      <c r="S4589">
        <v>0</v>
      </c>
      <c r="T4589">
        <v>0</v>
      </c>
      <c r="U4589">
        <v>0</v>
      </c>
      <c r="W4589" t="s">
        <v>52</v>
      </c>
    </row>
    <row r="4590" spans="1:23" x14ac:dyDescent="0.35">
      <c r="A4590" t="s">
        <v>45</v>
      </c>
      <c r="B4590" t="s">
        <v>9062</v>
      </c>
      <c r="C4590" t="s">
        <v>93</v>
      </c>
      <c r="D4590" t="s">
        <v>94</v>
      </c>
      <c r="E4590" t="s">
        <v>45</v>
      </c>
      <c r="F4590" t="s">
        <v>49</v>
      </c>
      <c r="G4590" t="s">
        <v>9208</v>
      </c>
      <c r="H4590" t="s">
        <v>9209</v>
      </c>
      <c r="J4590" t="str">
        <f>HYPERLINK("https://twitter.com/SpiceMoneyIndia/status/1742154590240329782","https://twitter.com/SpiceMoneyIndia/status/1742154590240329782")</f>
        <v>https://twitter.com/SpiceMoneyIndia/status/1742154590240329782</v>
      </c>
      <c r="K4590" t="s">
        <v>67</v>
      </c>
      <c r="O4590">
        <v>0</v>
      </c>
      <c r="P4590">
        <v>0</v>
      </c>
      <c r="Q4590">
        <v>5973</v>
      </c>
      <c r="R4590" t="s">
        <v>97</v>
      </c>
      <c r="S4590">
        <v>0</v>
      </c>
      <c r="T4590">
        <v>0</v>
      </c>
      <c r="U4590">
        <v>0</v>
      </c>
      <c r="V4590" t="s">
        <v>98</v>
      </c>
      <c r="W4590" t="s">
        <v>99</v>
      </c>
    </row>
    <row r="4591" spans="1:23" x14ac:dyDescent="0.35">
      <c r="A4591" t="s">
        <v>45</v>
      </c>
      <c r="B4591" t="s">
        <v>9062</v>
      </c>
      <c r="C4591" t="s">
        <v>60</v>
      </c>
      <c r="D4591" t="s">
        <v>61</v>
      </c>
      <c r="E4591" t="s">
        <v>61</v>
      </c>
      <c r="F4591" t="s">
        <v>49</v>
      </c>
      <c r="G4591" t="s">
        <v>9210</v>
      </c>
      <c r="H4591" t="s">
        <v>9211</v>
      </c>
      <c r="J4591" t="str">
        <f>HYPERLINK("https://www.facebook.com/634639855377280/posts/765118255662772?comment_id=384485177382813","https://www.facebook.com/634639855377280/posts/765118255662772?comment_id=384485177382813")</f>
        <v>https://www.facebook.com/634639855377280/posts/765118255662772?comment_id=384485177382813</v>
      </c>
      <c r="O4591">
        <v>0</v>
      </c>
      <c r="P4591">
        <v>0</v>
      </c>
      <c r="Q4591">
        <v>0</v>
      </c>
      <c r="S4591">
        <v>0</v>
      </c>
      <c r="T4591">
        <v>0</v>
      </c>
      <c r="U4591">
        <v>0</v>
      </c>
      <c r="W4591" t="s">
        <v>52</v>
      </c>
    </row>
    <row r="4592" spans="1:23" x14ac:dyDescent="0.35">
      <c r="A4592" t="s">
        <v>45</v>
      </c>
      <c r="B4592" t="s">
        <v>9062</v>
      </c>
      <c r="C4592" t="s">
        <v>60</v>
      </c>
      <c r="D4592" t="s">
        <v>61</v>
      </c>
      <c r="E4592" t="s">
        <v>61</v>
      </c>
      <c r="F4592" t="s">
        <v>49</v>
      </c>
      <c r="G4592" t="s">
        <v>9212</v>
      </c>
      <c r="H4592" t="s">
        <v>9213</v>
      </c>
      <c r="J4592" t="str">
        <f>HYPERLINK("https://www.facebook.com/634639855377280/posts/765118255662772?comment_id=3716203325370595","https://www.facebook.com/634639855377280/posts/765118255662772?comment_id=3716203325370595")</f>
        <v>https://www.facebook.com/634639855377280/posts/765118255662772?comment_id=3716203325370595</v>
      </c>
      <c r="O4592">
        <v>0</v>
      </c>
      <c r="P4592">
        <v>0</v>
      </c>
      <c r="Q4592">
        <v>0</v>
      </c>
      <c r="S4592">
        <v>0</v>
      </c>
      <c r="T4592">
        <v>0</v>
      </c>
      <c r="U4592">
        <v>0</v>
      </c>
      <c r="W4592" t="s">
        <v>52</v>
      </c>
    </row>
    <row r="4593" spans="1:23" x14ac:dyDescent="0.35">
      <c r="A4593" t="s">
        <v>45</v>
      </c>
      <c r="B4593" t="s">
        <v>9062</v>
      </c>
      <c r="C4593" t="s">
        <v>60</v>
      </c>
      <c r="D4593" t="s">
        <v>61</v>
      </c>
      <c r="E4593" t="s">
        <v>61</v>
      </c>
      <c r="F4593" t="s">
        <v>54</v>
      </c>
      <c r="G4593" t="s">
        <v>680</v>
      </c>
      <c r="H4593" t="s">
        <v>9214</v>
      </c>
      <c r="J4593" t="str">
        <f>HYPERLINK("https://www.facebook.com/634639855377280/posts/765118255662772?comment_id=744936827497522","https://www.facebook.com/634639855377280/posts/765118255662772?comment_id=744936827497522")</f>
        <v>https://www.facebook.com/634639855377280/posts/765118255662772?comment_id=744936827497522</v>
      </c>
      <c r="O4593">
        <v>0</v>
      </c>
      <c r="P4593">
        <v>0</v>
      </c>
      <c r="Q4593">
        <v>0</v>
      </c>
      <c r="S4593">
        <v>0</v>
      </c>
      <c r="T4593">
        <v>0</v>
      </c>
      <c r="U4593">
        <v>0</v>
      </c>
      <c r="W4593" t="s">
        <v>52</v>
      </c>
    </row>
    <row r="4594" spans="1:23" x14ac:dyDescent="0.35">
      <c r="A4594" t="s">
        <v>45</v>
      </c>
      <c r="B4594" t="s">
        <v>9062</v>
      </c>
      <c r="C4594" t="s">
        <v>60</v>
      </c>
      <c r="D4594" t="s">
        <v>61</v>
      </c>
      <c r="E4594" t="s">
        <v>61</v>
      </c>
      <c r="F4594" t="s">
        <v>49</v>
      </c>
      <c r="G4594" t="s">
        <v>9076</v>
      </c>
      <c r="H4594" t="s">
        <v>9215</v>
      </c>
      <c r="J4594" t="str">
        <f>HYPERLINK("https://www.facebook.com/634639855377280/posts/765118255662772?comment_id=327850413496869","https://www.facebook.com/634639855377280/posts/765118255662772?comment_id=327850413496869")</f>
        <v>https://www.facebook.com/634639855377280/posts/765118255662772?comment_id=327850413496869</v>
      </c>
      <c r="O4594">
        <v>0</v>
      </c>
      <c r="P4594">
        <v>0</v>
      </c>
      <c r="Q4594">
        <v>0</v>
      </c>
      <c r="S4594">
        <v>0</v>
      </c>
      <c r="T4594">
        <v>0</v>
      </c>
      <c r="U4594">
        <v>0</v>
      </c>
      <c r="W4594" t="s">
        <v>52</v>
      </c>
    </row>
    <row r="4595" spans="1:23" x14ac:dyDescent="0.35">
      <c r="A4595" t="s">
        <v>45</v>
      </c>
      <c r="B4595" t="s">
        <v>9062</v>
      </c>
      <c r="C4595" t="s">
        <v>60</v>
      </c>
      <c r="D4595" t="s">
        <v>61</v>
      </c>
      <c r="E4595" t="s">
        <v>61</v>
      </c>
      <c r="F4595" t="s">
        <v>49</v>
      </c>
      <c r="G4595" t="s">
        <v>8613</v>
      </c>
      <c r="H4595" t="s">
        <v>9216</v>
      </c>
      <c r="J4595" t="str">
        <f>HYPERLINK("https://www.facebook.com/634639855377280/posts/765118255662772?comment_id=733970881697181","https://www.facebook.com/634639855377280/posts/765118255662772?comment_id=733970881697181")</f>
        <v>https://www.facebook.com/634639855377280/posts/765118255662772?comment_id=733970881697181</v>
      </c>
      <c r="O4595">
        <v>0</v>
      </c>
      <c r="P4595">
        <v>0</v>
      </c>
      <c r="Q4595">
        <v>0</v>
      </c>
      <c r="S4595">
        <v>0</v>
      </c>
      <c r="T4595">
        <v>0</v>
      </c>
      <c r="U4595">
        <v>0</v>
      </c>
      <c r="W4595" t="s">
        <v>52</v>
      </c>
    </row>
    <row r="4596" spans="1:23" x14ac:dyDescent="0.35">
      <c r="A4596" t="s">
        <v>45</v>
      </c>
      <c r="B4596" t="s">
        <v>9062</v>
      </c>
      <c r="C4596" t="s">
        <v>60</v>
      </c>
      <c r="D4596" t="s">
        <v>61</v>
      </c>
      <c r="E4596" t="s">
        <v>61</v>
      </c>
      <c r="F4596" t="s">
        <v>49</v>
      </c>
      <c r="G4596" t="s">
        <v>9076</v>
      </c>
      <c r="H4596" t="s">
        <v>9217</v>
      </c>
      <c r="J4596" t="str">
        <f>HYPERLINK("https://www.facebook.com/634639855377280/posts/765118255662772?comment_id=1042162816992672","https://www.facebook.com/634639855377280/posts/765118255662772?comment_id=1042162816992672")</f>
        <v>https://www.facebook.com/634639855377280/posts/765118255662772?comment_id=1042162816992672</v>
      </c>
      <c r="O4596">
        <v>0</v>
      </c>
      <c r="P4596">
        <v>0</v>
      </c>
      <c r="Q4596">
        <v>0</v>
      </c>
      <c r="S4596">
        <v>0</v>
      </c>
      <c r="T4596">
        <v>0</v>
      </c>
      <c r="U4596">
        <v>0</v>
      </c>
      <c r="W4596" t="s">
        <v>52</v>
      </c>
    </row>
    <row r="4597" spans="1:23" x14ac:dyDescent="0.35">
      <c r="A4597" t="s">
        <v>45</v>
      </c>
      <c r="B4597" t="s">
        <v>9062</v>
      </c>
      <c r="C4597" t="s">
        <v>60</v>
      </c>
      <c r="D4597" t="s">
        <v>61</v>
      </c>
      <c r="E4597" t="s">
        <v>61</v>
      </c>
      <c r="F4597" t="s">
        <v>49</v>
      </c>
      <c r="G4597" t="s">
        <v>3880</v>
      </c>
      <c r="H4597" t="s">
        <v>9218</v>
      </c>
      <c r="J4597" t="str">
        <f>HYPERLINK("https://www.facebook.com/634639855377280/posts/765118255662772?comment_id=3135495539939155","https://www.facebook.com/634639855377280/posts/765118255662772?comment_id=3135495539939155")</f>
        <v>https://www.facebook.com/634639855377280/posts/765118255662772?comment_id=3135495539939155</v>
      </c>
      <c r="O4597">
        <v>0</v>
      </c>
      <c r="P4597">
        <v>0</v>
      </c>
      <c r="Q4597">
        <v>0</v>
      </c>
      <c r="S4597">
        <v>0</v>
      </c>
      <c r="T4597">
        <v>0</v>
      </c>
      <c r="U4597">
        <v>0</v>
      </c>
      <c r="W4597" t="s">
        <v>52</v>
      </c>
    </row>
    <row r="4598" spans="1:23" x14ac:dyDescent="0.35">
      <c r="A4598" t="s">
        <v>45</v>
      </c>
      <c r="B4598" t="s">
        <v>9062</v>
      </c>
      <c r="C4598" t="s">
        <v>60</v>
      </c>
      <c r="D4598" t="s">
        <v>61</v>
      </c>
      <c r="E4598" t="s">
        <v>61</v>
      </c>
      <c r="F4598" t="s">
        <v>49</v>
      </c>
      <c r="G4598" t="s">
        <v>9219</v>
      </c>
      <c r="H4598" t="s">
        <v>9220</v>
      </c>
      <c r="J4598" t="str">
        <f>HYPERLINK("https://www.facebook.com/634639855377280/posts/765118255662772?comment_id=272768992157568","https://www.facebook.com/634639855377280/posts/765118255662772?comment_id=272768992157568")</f>
        <v>https://www.facebook.com/634639855377280/posts/765118255662772?comment_id=272768992157568</v>
      </c>
      <c r="O4598">
        <v>0</v>
      </c>
      <c r="P4598">
        <v>0</v>
      </c>
      <c r="Q4598">
        <v>0</v>
      </c>
      <c r="S4598">
        <v>0</v>
      </c>
      <c r="T4598">
        <v>0</v>
      </c>
      <c r="U4598">
        <v>0</v>
      </c>
      <c r="W4598" t="s">
        <v>52</v>
      </c>
    </row>
    <row r="4599" spans="1:23" x14ac:dyDescent="0.35">
      <c r="A4599" t="s">
        <v>45</v>
      </c>
      <c r="B4599" t="s">
        <v>9062</v>
      </c>
      <c r="C4599" t="s">
        <v>60</v>
      </c>
      <c r="D4599" t="s">
        <v>61</v>
      </c>
      <c r="E4599" t="s">
        <v>61</v>
      </c>
      <c r="F4599" t="s">
        <v>54</v>
      </c>
      <c r="G4599" t="s">
        <v>680</v>
      </c>
      <c r="H4599" t="s">
        <v>9221</v>
      </c>
      <c r="J4599" t="str">
        <f>HYPERLINK("https://www.facebook.com/634639855377280/posts/765118255662772?comment_id=727237212841269","https://www.facebook.com/634639855377280/posts/765118255662772?comment_id=727237212841269")</f>
        <v>https://www.facebook.com/634639855377280/posts/765118255662772?comment_id=727237212841269</v>
      </c>
      <c r="O4599">
        <v>0</v>
      </c>
      <c r="P4599">
        <v>0</v>
      </c>
      <c r="Q4599">
        <v>0</v>
      </c>
      <c r="S4599">
        <v>0</v>
      </c>
      <c r="T4599">
        <v>0</v>
      </c>
      <c r="U4599">
        <v>0</v>
      </c>
      <c r="W4599" t="s">
        <v>52</v>
      </c>
    </row>
    <row r="4600" spans="1:23" x14ac:dyDescent="0.35">
      <c r="A4600" t="s">
        <v>45</v>
      </c>
      <c r="B4600" t="s">
        <v>9062</v>
      </c>
      <c r="C4600" t="s">
        <v>60</v>
      </c>
      <c r="D4600" t="s">
        <v>61</v>
      </c>
      <c r="E4600" t="s">
        <v>61</v>
      </c>
      <c r="F4600" t="s">
        <v>49</v>
      </c>
      <c r="G4600" t="s">
        <v>3880</v>
      </c>
      <c r="H4600" t="s">
        <v>9222</v>
      </c>
      <c r="J4600" t="str">
        <f>HYPERLINK("https://www.facebook.com/634639855377280/posts/765118255662772?comment_id=391674193323055","https://www.facebook.com/634639855377280/posts/765118255662772?comment_id=391674193323055")</f>
        <v>https://www.facebook.com/634639855377280/posts/765118255662772?comment_id=391674193323055</v>
      </c>
      <c r="O4600">
        <v>0</v>
      </c>
      <c r="P4600">
        <v>0</v>
      </c>
      <c r="Q4600">
        <v>0</v>
      </c>
      <c r="S4600">
        <v>0</v>
      </c>
      <c r="T4600">
        <v>0</v>
      </c>
      <c r="U4600">
        <v>0</v>
      </c>
      <c r="W4600" t="s">
        <v>52</v>
      </c>
    </row>
    <row r="4601" spans="1:23" x14ac:dyDescent="0.35">
      <c r="A4601" t="s">
        <v>45</v>
      </c>
      <c r="B4601" t="s">
        <v>9062</v>
      </c>
      <c r="C4601" t="s">
        <v>60</v>
      </c>
      <c r="D4601" t="s">
        <v>61</v>
      </c>
      <c r="E4601" t="s">
        <v>61</v>
      </c>
      <c r="F4601" t="s">
        <v>49</v>
      </c>
      <c r="G4601" t="s">
        <v>8896</v>
      </c>
      <c r="H4601" t="s">
        <v>9223</v>
      </c>
      <c r="J4601" t="str">
        <f>HYPERLINK("https://www.facebook.com/634639855377280/posts/765118255662772?comment_id=293525609880448","https://www.facebook.com/634639855377280/posts/765118255662772?comment_id=293525609880448")</f>
        <v>https://www.facebook.com/634639855377280/posts/765118255662772?comment_id=293525609880448</v>
      </c>
      <c r="O4601">
        <v>0</v>
      </c>
      <c r="P4601">
        <v>0</v>
      </c>
      <c r="Q4601">
        <v>0</v>
      </c>
      <c r="S4601">
        <v>0</v>
      </c>
      <c r="T4601">
        <v>0</v>
      </c>
      <c r="U4601">
        <v>0</v>
      </c>
      <c r="W4601" t="s">
        <v>52</v>
      </c>
    </row>
    <row r="4602" spans="1:23" x14ac:dyDescent="0.35">
      <c r="A4602" t="s">
        <v>45</v>
      </c>
      <c r="B4602" t="s">
        <v>9062</v>
      </c>
      <c r="C4602" t="s">
        <v>93</v>
      </c>
      <c r="D4602" t="s">
        <v>94</v>
      </c>
      <c r="E4602" t="s">
        <v>45</v>
      </c>
      <c r="F4602" t="s">
        <v>49</v>
      </c>
      <c r="G4602" t="s">
        <v>8686</v>
      </c>
      <c r="H4602" t="s">
        <v>9224</v>
      </c>
      <c r="J4602" t="str">
        <f>HYPERLINK("https://twitter.com/SpiceMoneyIndia/status/1742136951233520120","https://twitter.com/SpiceMoneyIndia/status/1742136951233520120")</f>
        <v>https://twitter.com/SpiceMoneyIndia/status/1742136951233520120</v>
      </c>
      <c r="K4602" t="s">
        <v>67</v>
      </c>
      <c r="O4602">
        <v>0</v>
      </c>
      <c r="P4602">
        <v>0</v>
      </c>
      <c r="Q4602">
        <v>5974</v>
      </c>
      <c r="R4602" t="s">
        <v>97</v>
      </c>
      <c r="S4602">
        <v>0</v>
      </c>
      <c r="T4602">
        <v>0</v>
      </c>
      <c r="U4602">
        <v>0</v>
      </c>
      <c r="V4602" t="s">
        <v>98</v>
      </c>
      <c r="W4602" t="s">
        <v>99</v>
      </c>
    </row>
    <row r="4603" spans="1:23" x14ac:dyDescent="0.35">
      <c r="A4603" t="s">
        <v>45</v>
      </c>
      <c r="B4603" t="s">
        <v>9062</v>
      </c>
      <c r="C4603" t="s">
        <v>60</v>
      </c>
      <c r="D4603" t="s">
        <v>64</v>
      </c>
      <c r="E4603" t="s">
        <v>64</v>
      </c>
      <c r="F4603" t="s">
        <v>49</v>
      </c>
      <c r="G4603" t="s">
        <v>9225</v>
      </c>
      <c r="H4603" t="s">
        <v>9226</v>
      </c>
      <c r="J4603" t="str">
        <f>HYPERLINK("https://www.facebook.com/634639855377280/posts/765118255662772","https://www.facebook.com/634639855377280/posts/765118255662772")</f>
        <v>https://www.facebook.com/634639855377280/posts/765118255662772</v>
      </c>
      <c r="O4603">
        <v>0</v>
      </c>
      <c r="P4603">
        <v>0</v>
      </c>
      <c r="Q4603">
        <v>0</v>
      </c>
      <c r="S4603">
        <v>37</v>
      </c>
      <c r="T4603">
        <v>90</v>
      </c>
      <c r="U4603">
        <v>4</v>
      </c>
      <c r="W4603" t="s">
        <v>346</v>
      </c>
    </row>
    <row r="4604" spans="1:23" x14ac:dyDescent="0.35">
      <c r="A4604" t="s">
        <v>45</v>
      </c>
      <c r="B4604" t="s">
        <v>9062</v>
      </c>
      <c r="C4604" t="s">
        <v>60</v>
      </c>
      <c r="D4604" t="s">
        <v>61</v>
      </c>
      <c r="E4604" t="s">
        <v>61</v>
      </c>
      <c r="F4604" t="s">
        <v>49</v>
      </c>
      <c r="G4604" t="s">
        <v>9227</v>
      </c>
      <c r="H4604" t="s">
        <v>9228</v>
      </c>
      <c r="J4604" t="str">
        <f>HYPERLINK("https://www.facebook.com/634639855377280/posts/763771192464145?comment_id=1505186116714089","https://www.facebook.com/634639855377280/posts/763771192464145?comment_id=1505186116714089")</f>
        <v>https://www.facebook.com/634639855377280/posts/763771192464145?comment_id=1505186116714089</v>
      </c>
      <c r="O4604">
        <v>0</v>
      </c>
      <c r="P4604">
        <v>0</v>
      </c>
      <c r="Q4604">
        <v>0</v>
      </c>
      <c r="S4604">
        <v>0</v>
      </c>
      <c r="T4604">
        <v>0</v>
      </c>
      <c r="U4604">
        <v>0</v>
      </c>
      <c r="W4604" t="s">
        <v>52</v>
      </c>
    </row>
    <row r="4605" spans="1:23" x14ac:dyDescent="0.35">
      <c r="A4605" t="s">
        <v>45</v>
      </c>
      <c r="B4605" t="s">
        <v>9062</v>
      </c>
      <c r="C4605" t="s">
        <v>47</v>
      </c>
      <c r="D4605" t="s">
        <v>68</v>
      </c>
      <c r="E4605" t="s">
        <v>68</v>
      </c>
      <c r="F4605" t="s">
        <v>49</v>
      </c>
      <c r="G4605" t="s">
        <v>1595</v>
      </c>
      <c r="H4605" t="s">
        <v>9229</v>
      </c>
      <c r="J4605" t="str">
        <f>HYPERLINK("https://www.youtube.com/watch?v=z58WzdIZIO8&amp;lc=UgyIL5QkZhSX6pV0YNN4AaABAg.9z2bj_9N5tR9z2kxYQ1s_Q","https://www.youtube.com/watch?v=z58WzdIZIO8&amp;lc=UgyIL5QkZhSX6pV0YNN4AaABAg.9z2bj_9N5tR9z2kxYQ1s_Q")</f>
        <v>https://www.youtube.com/watch?v=z58WzdIZIO8&amp;lc=UgyIL5QkZhSX6pV0YNN4AaABAg.9z2bj_9N5tR9z2kxYQ1s_Q</v>
      </c>
      <c r="O4605">
        <v>0</v>
      </c>
      <c r="P4605">
        <v>0</v>
      </c>
      <c r="Q4605">
        <v>0</v>
      </c>
      <c r="S4605">
        <v>0</v>
      </c>
      <c r="T4605">
        <v>0</v>
      </c>
      <c r="U4605">
        <v>0</v>
      </c>
      <c r="W4605" t="s">
        <v>52</v>
      </c>
    </row>
    <row r="4606" spans="1:23" x14ac:dyDescent="0.35">
      <c r="A4606" t="s">
        <v>45</v>
      </c>
      <c r="B4606" t="s">
        <v>9062</v>
      </c>
      <c r="C4606" t="s">
        <v>47</v>
      </c>
      <c r="D4606" t="s">
        <v>68</v>
      </c>
      <c r="E4606" t="s">
        <v>68</v>
      </c>
      <c r="F4606" t="s">
        <v>49</v>
      </c>
      <c r="G4606" t="s">
        <v>102</v>
      </c>
      <c r="H4606" t="s">
        <v>9230</v>
      </c>
      <c r="J4606" t="str">
        <f>HYPERLINK("https://www.youtube.com/watch?v=wJJ455CgzKg&amp;lc=UgzWb6y1NmEsmpS95914AaABAg.9z22Bl6dK-E9z2ksJsIiSA","https://www.youtube.com/watch?v=wJJ455CgzKg&amp;lc=UgzWb6y1NmEsmpS95914AaABAg.9z22Bl6dK-E9z2ksJsIiSA")</f>
        <v>https://www.youtube.com/watch?v=wJJ455CgzKg&amp;lc=UgzWb6y1NmEsmpS95914AaABAg.9z22Bl6dK-E9z2ksJsIiSA</v>
      </c>
      <c r="O4606">
        <v>0</v>
      </c>
      <c r="P4606">
        <v>0</v>
      </c>
      <c r="Q4606">
        <v>0</v>
      </c>
      <c r="S4606">
        <v>0</v>
      </c>
      <c r="T4606">
        <v>0</v>
      </c>
      <c r="U4606">
        <v>0</v>
      </c>
      <c r="W4606" t="s">
        <v>52</v>
      </c>
    </row>
    <row r="4607" spans="1:23" x14ac:dyDescent="0.35">
      <c r="A4607" t="s">
        <v>45</v>
      </c>
      <c r="B4607" t="s">
        <v>9062</v>
      </c>
      <c r="C4607" t="s">
        <v>47</v>
      </c>
      <c r="D4607" t="s">
        <v>9231</v>
      </c>
      <c r="E4607" t="s">
        <v>9231</v>
      </c>
      <c r="F4607" t="s">
        <v>49</v>
      </c>
      <c r="G4607" t="s">
        <v>9232</v>
      </c>
      <c r="H4607" t="s">
        <v>9233</v>
      </c>
      <c r="J4607" t="str">
        <f>HYPERLINK("https://www.youtube.com/watch?v=z58WzdIZIO8&amp;lc=UgyIL5QkZhSX6pV0YNN4AaABAg","https://www.youtube.com/watch?v=z58WzdIZIO8&amp;lc=UgyIL5QkZhSX6pV0YNN4AaABAg")</f>
        <v>https://www.youtube.com/watch?v=z58WzdIZIO8&amp;lc=UgyIL5QkZhSX6pV0YNN4AaABAg</v>
      </c>
      <c r="O4607">
        <v>0</v>
      </c>
      <c r="P4607">
        <v>0</v>
      </c>
      <c r="Q4607">
        <v>0</v>
      </c>
      <c r="S4607">
        <v>0</v>
      </c>
      <c r="T4607">
        <v>0</v>
      </c>
      <c r="U4607">
        <v>0</v>
      </c>
      <c r="W4607" t="s">
        <v>52</v>
      </c>
    </row>
    <row r="4608" spans="1:23" x14ac:dyDescent="0.35">
      <c r="A4608" t="s">
        <v>45</v>
      </c>
      <c r="B4608" t="s">
        <v>9062</v>
      </c>
      <c r="C4608" t="s">
        <v>47</v>
      </c>
      <c r="D4608" t="s">
        <v>9234</v>
      </c>
      <c r="E4608" t="s">
        <v>9234</v>
      </c>
      <c r="F4608" t="s">
        <v>49</v>
      </c>
      <c r="G4608" t="s">
        <v>9235</v>
      </c>
      <c r="H4608" t="s">
        <v>9236</v>
      </c>
      <c r="J4608" t="str">
        <f>HYPERLINK("https://www.youtube.com/watch?v=wJJ455CgzKg&amp;lc=UgzWb6y1NmEsmpS95914AaABAg","https://www.youtube.com/watch?v=wJJ455CgzKg&amp;lc=UgzWb6y1NmEsmpS95914AaABAg")</f>
        <v>https://www.youtube.com/watch?v=wJJ455CgzKg&amp;lc=UgzWb6y1NmEsmpS95914AaABAg</v>
      </c>
      <c r="O4608">
        <v>0</v>
      </c>
      <c r="P4608">
        <v>0</v>
      </c>
      <c r="Q4608">
        <v>0</v>
      </c>
      <c r="S4608">
        <v>0</v>
      </c>
      <c r="T4608">
        <v>0</v>
      </c>
      <c r="U4608">
        <v>0</v>
      </c>
      <c r="W4608" t="s">
        <v>52</v>
      </c>
    </row>
    <row r="4609" spans="1:23" x14ac:dyDescent="0.35">
      <c r="A4609" t="s">
        <v>45</v>
      </c>
      <c r="B4609" t="s">
        <v>9237</v>
      </c>
      <c r="C4609" t="s">
        <v>60</v>
      </c>
      <c r="D4609" t="s">
        <v>61</v>
      </c>
      <c r="E4609" t="s">
        <v>61</v>
      </c>
      <c r="F4609" t="s">
        <v>54</v>
      </c>
      <c r="G4609" t="s">
        <v>9238</v>
      </c>
      <c r="H4609" t="s">
        <v>9239</v>
      </c>
      <c r="J4609" t="str">
        <f>HYPERLINK("https://www.facebook.com/634639855377280/posts/764165905758007?comment_id=917348346724653","https://www.facebook.com/634639855377280/posts/764165905758007?comment_id=917348346724653")</f>
        <v>https://www.facebook.com/634639855377280/posts/764165905758007?comment_id=917348346724653</v>
      </c>
      <c r="O4609">
        <v>0</v>
      </c>
      <c r="P4609">
        <v>0</v>
      </c>
      <c r="Q4609">
        <v>0</v>
      </c>
      <c r="S4609">
        <v>0</v>
      </c>
      <c r="T4609">
        <v>0</v>
      </c>
      <c r="U4609">
        <v>0</v>
      </c>
      <c r="W4609" t="s">
        <v>52</v>
      </c>
    </row>
    <row r="4610" spans="1:23" x14ac:dyDescent="0.35">
      <c r="A4610" t="s">
        <v>45</v>
      </c>
      <c r="B4610" t="s">
        <v>9237</v>
      </c>
      <c r="C4610" t="s">
        <v>93</v>
      </c>
      <c r="D4610" t="s">
        <v>7417</v>
      </c>
      <c r="E4610" t="s">
        <v>7418</v>
      </c>
      <c r="F4610" t="s">
        <v>49</v>
      </c>
      <c r="G4610" t="s">
        <v>9240</v>
      </c>
      <c r="H4610" t="s">
        <v>9241</v>
      </c>
      <c r="J4610" t="str">
        <f>HYPERLINK("https://twitter.com/Shobhitvar97831/status/1741837087744397515","https://twitter.com/Shobhitvar97831/status/1741837087744397515")</f>
        <v>https://twitter.com/Shobhitvar97831/status/1741837087744397515</v>
      </c>
      <c r="K4610" t="s">
        <v>67</v>
      </c>
      <c r="O4610">
        <v>0</v>
      </c>
      <c r="P4610">
        <v>0</v>
      </c>
      <c r="Q4610">
        <v>1</v>
      </c>
      <c r="S4610">
        <v>0</v>
      </c>
      <c r="T4610">
        <v>0</v>
      </c>
      <c r="U4610">
        <v>0</v>
      </c>
      <c r="W4610" t="s">
        <v>99</v>
      </c>
    </row>
    <row r="4611" spans="1:23" x14ac:dyDescent="0.35">
      <c r="A4611" t="s">
        <v>45</v>
      </c>
      <c r="B4611" t="s">
        <v>9237</v>
      </c>
      <c r="C4611" t="s">
        <v>47</v>
      </c>
      <c r="D4611" t="s">
        <v>9242</v>
      </c>
      <c r="E4611" t="s">
        <v>9242</v>
      </c>
      <c r="F4611" t="s">
        <v>49</v>
      </c>
      <c r="G4611" t="s">
        <v>9243</v>
      </c>
      <c r="H4611" t="s">
        <v>9244</v>
      </c>
      <c r="J4611" t="str">
        <f>HYPERLINK("https://www.youtube.com/watch?v=ASfQx196DU4&amp;lc=UgxzX_9MmCihSoCIAWd4AaABAg","https://www.youtube.com/watch?v=ASfQx196DU4&amp;lc=UgxzX_9MmCihSoCIAWd4AaABAg")</f>
        <v>https://www.youtube.com/watch?v=ASfQx196DU4&amp;lc=UgxzX_9MmCihSoCIAWd4AaABAg</v>
      </c>
      <c r="O4611">
        <v>0</v>
      </c>
      <c r="P4611">
        <v>0</v>
      </c>
      <c r="Q4611">
        <v>0</v>
      </c>
      <c r="S4611">
        <v>0</v>
      </c>
      <c r="T4611">
        <v>0</v>
      </c>
      <c r="U4611">
        <v>0</v>
      </c>
      <c r="W4611" t="s">
        <v>52</v>
      </c>
    </row>
    <row r="4612" spans="1:23" x14ac:dyDescent="0.35">
      <c r="A4612" t="s">
        <v>45</v>
      </c>
      <c r="B4612" t="s">
        <v>9237</v>
      </c>
      <c r="C4612" t="s">
        <v>93</v>
      </c>
      <c r="D4612" t="s">
        <v>94</v>
      </c>
      <c r="E4612" t="s">
        <v>45</v>
      </c>
      <c r="F4612" t="s">
        <v>49</v>
      </c>
      <c r="G4612" t="s">
        <v>9245</v>
      </c>
      <c r="H4612" t="s">
        <v>9246</v>
      </c>
      <c r="J4612" t="str">
        <f>HYPERLINK("https://twitter.com/SpiceMoneyIndia/status/1741778834096099785","https://twitter.com/SpiceMoneyIndia/status/1741778834096099785")</f>
        <v>https://twitter.com/SpiceMoneyIndia/status/1741778834096099785</v>
      </c>
      <c r="K4612" t="s">
        <v>67</v>
      </c>
      <c r="O4612">
        <v>0</v>
      </c>
      <c r="P4612">
        <v>0</v>
      </c>
      <c r="Q4612">
        <v>5977</v>
      </c>
      <c r="R4612" t="s">
        <v>97</v>
      </c>
      <c r="S4612">
        <v>0</v>
      </c>
      <c r="T4612">
        <v>0</v>
      </c>
      <c r="U4612">
        <v>0</v>
      </c>
      <c r="V4612" t="s">
        <v>98</v>
      </c>
      <c r="W4612" t="s">
        <v>99</v>
      </c>
    </row>
    <row r="4613" spans="1:23" x14ac:dyDescent="0.35">
      <c r="A4613" t="s">
        <v>45</v>
      </c>
      <c r="B4613" t="s">
        <v>9237</v>
      </c>
      <c r="C4613" t="s">
        <v>93</v>
      </c>
      <c r="D4613" t="s">
        <v>9247</v>
      </c>
      <c r="E4613" t="s">
        <v>9248</v>
      </c>
      <c r="F4613" t="s">
        <v>49</v>
      </c>
      <c r="G4613" t="s">
        <v>9249</v>
      </c>
      <c r="H4613" t="s">
        <v>9250</v>
      </c>
      <c r="J4613" t="str">
        <f>HYPERLINK("https://twitter.com/Mubarikkha51039/status/1741776185967755514","https://twitter.com/Mubarikkha51039/status/1741776185967755514")</f>
        <v>https://twitter.com/Mubarikkha51039/status/1741776185967755514</v>
      </c>
      <c r="K4613" t="s">
        <v>67</v>
      </c>
      <c r="O4613">
        <v>0</v>
      </c>
      <c r="P4613">
        <v>0</v>
      </c>
      <c r="Q4613">
        <v>0</v>
      </c>
      <c r="S4613">
        <v>0</v>
      </c>
      <c r="T4613">
        <v>0</v>
      </c>
      <c r="U4613">
        <v>0</v>
      </c>
      <c r="W4613" t="s">
        <v>99</v>
      </c>
    </row>
    <row r="4614" spans="1:23" x14ac:dyDescent="0.35">
      <c r="A4614" t="s">
        <v>45</v>
      </c>
      <c r="B4614" t="s">
        <v>9237</v>
      </c>
      <c r="C4614" t="s">
        <v>93</v>
      </c>
      <c r="D4614" t="s">
        <v>9247</v>
      </c>
      <c r="E4614" t="s">
        <v>9248</v>
      </c>
      <c r="F4614" t="s">
        <v>49</v>
      </c>
      <c r="G4614" t="s">
        <v>9251</v>
      </c>
      <c r="H4614" t="s">
        <v>9252</v>
      </c>
      <c r="J4614" t="str">
        <f>HYPERLINK("https://twitter.com/Mubarikkha51039/status/1741775730374332639","https://twitter.com/Mubarikkha51039/status/1741775730374332639")</f>
        <v>https://twitter.com/Mubarikkha51039/status/1741775730374332639</v>
      </c>
      <c r="K4614" t="s">
        <v>67</v>
      </c>
      <c r="O4614">
        <v>0</v>
      </c>
      <c r="P4614">
        <v>0</v>
      </c>
      <c r="Q4614">
        <v>0</v>
      </c>
      <c r="S4614">
        <v>0</v>
      </c>
      <c r="T4614">
        <v>0</v>
      </c>
      <c r="U4614">
        <v>0</v>
      </c>
      <c r="W4614" t="s">
        <v>99</v>
      </c>
    </row>
    <row r="4615" spans="1:23" x14ac:dyDescent="0.35">
      <c r="A4615" t="s">
        <v>45</v>
      </c>
      <c r="B4615" t="s">
        <v>9237</v>
      </c>
      <c r="C4615" t="s">
        <v>60</v>
      </c>
      <c r="D4615" t="s">
        <v>61</v>
      </c>
      <c r="E4615" t="s">
        <v>61</v>
      </c>
      <c r="F4615" t="s">
        <v>54</v>
      </c>
      <c r="G4615" t="s">
        <v>9253</v>
      </c>
      <c r="H4615" t="s">
        <v>9254</v>
      </c>
      <c r="J4615" t="str">
        <f>HYPERLINK("https://www.facebook.com/634639855377280/posts/764165905758007?comment_id=743128027261638","https://www.facebook.com/634639855377280/posts/764165905758007?comment_id=743128027261638")</f>
        <v>https://www.facebook.com/634639855377280/posts/764165905758007?comment_id=743128027261638</v>
      </c>
      <c r="O4615">
        <v>0</v>
      </c>
      <c r="P4615">
        <v>0</v>
      </c>
      <c r="Q4615">
        <v>0</v>
      </c>
      <c r="S4615">
        <v>0</v>
      </c>
      <c r="T4615">
        <v>0</v>
      </c>
      <c r="U4615">
        <v>0</v>
      </c>
      <c r="W4615" t="s">
        <v>52</v>
      </c>
    </row>
    <row r="4616" spans="1:23" x14ac:dyDescent="0.35">
      <c r="A4616" t="s">
        <v>45</v>
      </c>
      <c r="B4616" t="s">
        <v>9237</v>
      </c>
      <c r="C4616" t="s">
        <v>60</v>
      </c>
      <c r="D4616" t="s">
        <v>64</v>
      </c>
      <c r="E4616" t="s">
        <v>64</v>
      </c>
      <c r="F4616" t="s">
        <v>49</v>
      </c>
      <c r="G4616" t="s">
        <v>454</v>
      </c>
      <c r="H4616" t="s">
        <v>9255</v>
      </c>
      <c r="J4616" t="str">
        <f>HYPERLINK("https://www.facebook.com/634639855377280/posts/763771192464145?comment_id=1643233569809920&amp;reply_comment_id=337494649082290","https://www.facebook.com/634639855377280/posts/763771192464145?comment_id=1643233569809920&amp;reply_comment_id=337494649082290")</f>
        <v>https://www.facebook.com/634639855377280/posts/763771192464145?comment_id=1643233569809920&amp;reply_comment_id=337494649082290</v>
      </c>
      <c r="K4616" t="s">
        <v>67</v>
      </c>
      <c r="O4616">
        <v>0</v>
      </c>
      <c r="P4616">
        <v>0</v>
      </c>
      <c r="Q4616">
        <v>0</v>
      </c>
      <c r="S4616">
        <v>0</v>
      </c>
      <c r="T4616">
        <v>0</v>
      </c>
      <c r="U4616">
        <v>0</v>
      </c>
      <c r="W4616" t="s">
        <v>52</v>
      </c>
    </row>
    <row r="4617" spans="1:23" x14ac:dyDescent="0.35">
      <c r="A4617" t="s">
        <v>45</v>
      </c>
      <c r="B4617" t="s">
        <v>9237</v>
      </c>
      <c r="C4617" t="s">
        <v>47</v>
      </c>
      <c r="D4617" t="s">
        <v>68</v>
      </c>
      <c r="E4617" t="s">
        <v>68</v>
      </c>
      <c r="F4617" t="s">
        <v>49</v>
      </c>
      <c r="G4617" t="s">
        <v>492</v>
      </c>
      <c r="H4617" t="s">
        <v>9256</v>
      </c>
      <c r="J4617" t="str">
        <f>HYPERLINK("https://www.youtube.com/watch?v=z58WzdIZIO8&amp;lc=UgxlPTH2jNaf5Le4E5B4AaABAg.9z0Z5u5Vztd9z0s83BtmY0","https://www.youtube.com/watch?v=z58WzdIZIO8&amp;lc=UgxlPTH2jNaf5Le4E5B4AaABAg.9z0Z5u5Vztd9z0s83BtmY0")</f>
        <v>https://www.youtube.com/watch?v=z58WzdIZIO8&amp;lc=UgxlPTH2jNaf5Le4E5B4AaABAg.9z0Z5u5Vztd9z0s83BtmY0</v>
      </c>
      <c r="O4617">
        <v>0</v>
      </c>
      <c r="P4617">
        <v>0</v>
      </c>
      <c r="Q4617">
        <v>0</v>
      </c>
      <c r="S4617">
        <v>0</v>
      </c>
      <c r="T4617">
        <v>0</v>
      </c>
      <c r="U4617">
        <v>0</v>
      </c>
      <c r="W4617" t="s">
        <v>52</v>
      </c>
    </row>
    <row r="4618" spans="1:23" x14ac:dyDescent="0.35">
      <c r="A4618" t="s">
        <v>45</v>
      </c>
      <c r="B4618" t="s">
        <v>9237</v>
      </c>
      <c r="C4618" t="s">
        <v>60</v>
      </c>
      <c r="D4618" t="s">
        <v>64</v>
      </c>
      <c r="E4618" t="s">
        <v>64</v>
      </c>
      <c r="F4618" t="s">
        <v>49</v>
      </c>
      <c r="G4618" t="s">
        <v>1595</v>
      </c>
      <c r="H4618" t="s">
        <v>9257</v>
      </c>
      <c r="J4618" t="str">
        <f>HYPERLINK("https://www.facebook.com/634639855377280/posts/762145742626690?comment_id=313646464328347&amp;reply_comment_id=2706801949487412","https://www.facebook.com/634639855377280/posts/762145742626690?comment_id=313646464328347&amp;reply_comment_id=2706801949487412")</f>
        <v>https://www.facebook.com/634639855377280/posts/762145742626690?comment_id=313646464328347&amp;reply_comment_id=2706801949487412</v>
      </c>
      <c r="K4618" t="s">
        <v>67</v>
      </c>
      <c r="O4618">
        <v>0</v>
      </c>
      <c r="P4618">
        <v>0</v>
      </c>
      <c r="Q4618">
        <v>0</v>
      </c>
      <c r="S4618">
        <v>0</v>
      </c>
      <c r="T4618">
        <v>0</v>
      </c>
      <c r="U4618">
        <v>0</v>
      </c>
      <c r="W4618" t="s">
        <v>52</v>
      </c>
    </row>
    <row r="4619" spans="1:23" x14ac:dyDescent="0.35">
      <c r="A4619" t="s">
        <v>45</v>
      </c>
      <c r="B4619" t="s">
        <v>9237</v>
      </c>
      <c r="C4619" t="s">
        <v>60</v>
      </c>
      <c r="D4619" t="s">
        <v>61</v>
      </c>
      <c r="E4619" t="s">
        <v>61</v>
      </c>
      <c r="F4619" t="s">
        <v>49</v>
      </c>
      <c r="G4619">
        <v>8875314904</v>
      </c>
      <c r="H4619" t="s">
        <v>9258</v>
      </c>
      <c r="J4619" t="str">
        <f>HYPERLINK("https://www.facebook.com/634639855377280/posts/763771192464145?comment_id=1643233569809920","https://www.facebook.com/634639855377280/posts/763771192464145?comment_id=1643233569809920")</f>
        <v>https://www.facebook.com/634639855377280/posts/763771192464145?comment_id=1643233569809920</v>
      </c>
      <c r="O4619">
        <v>0</v>
      </c>
      <c r="P4619">
        <v>0</v>
      </c>
      <c r="Q4619">
        <v>0</v>
      </c>
      <c r="S4619">
        <v>0</v>
      </c>
      <c r="T4619">
        <v>0</v>
      </c>
      <c r="U4619">
        <v>0</v>
      </c>
      <c r="W4619" t="s">
        <v>52</v>
      </c>
    </row>
    <row r="4620" spans="1:23" x14ac:dyDescent="0.35">
      <c r="A4620" t="s">
        <v>45</v>
      </c>
      <c r="B4620" t="s">
        <v>9237</v>
      </c>
      <c r="C4620" t="s">
        <v>93</v>
      </c>
      <c r="D4620" t="s">
        <v>94</v>
      </c>
      <c r="E4620" t="s">
        <v>45</v>
      </c>
      <c r="F4620" t="s">
        <v>49</v>
      </c>
      <c r="G4620" t="s">
        <v>9259</v>
      </c>
      <c r="H4620" t="s">
        <v>9260</v>
      </c>
      <c r="J4620" t="str">
        <f>HYPERLINK("https://twitter.com/SpiceMoneyIndia/status/1741708668280946929","https://twitter.com/SpiceMoneyIndia/status/1741708668280946929")</f>
        <v>https://twitter.com/SpiceMoneyIndia/status/1741708668280946929</v>
      </c>
      <c r="K4620" t="s">
        <v>67</v>
      </c>
      <c r="O4620">
        <v>0</v>
      </c>
      <c r="P4620">
        <v>0</v>
      </c>
      <c r="Q4620">
        <v>5976</v>
      </c>
      <c r="R4620" t="s">
        <v>97</v>
      </c>
      <c r="S4620">
        <v>0</v>
      </c>
      <c r="T4620">
        <v>0</v>
      </c>
      <c r="U4620">
        <v>0</v>
      </c>
      <c r="V4620" t="s">
        <v>98</v>
      </c>
      <c r="W4620" t="s">
        <v>99</v>
      </c>
    </row>
    <row r="4621" spans="1:23" x14ac:dyDescent="0.35">
      <c r="A4621" t="s">
        <v>45</v>
      </c>
      <c r="B4621" t="s">
        <v>9237</v>
      </c>
      <c r="C4621" t="s">
        <v>47</v>
      </c>
      <c r="D4621" t="s">
        <v>9261</v>
      </c>
      <c r="E4621" t="s">
        <v>9261</v>
      </c>
      <c r="F4621" t="s">
        <v>49</v>
      </c>
      <c r="G4621" t="s">
        <v>9262</v>
      </c>
      <c r="H4621" t="s">
        <v>9263</v>
      </c>
      <c r="J4621" t="str">
        <f>HYPERLINK("https://www.youtube.com/watch?v=z58WzdIZIO8&amp;lc=UgxlPTH2jNaf5Le4E5B4AaABAg","https://www.youtube.com/watch?v=z58WzdIZIO8&amp;lc=UgxlPTH2jNaf5Le4E5B4AaABAg")</f>
        <v>https://www.youtube.com/watch?v=z58WzdIZIO8&amp;lc=UgxlPTH2jNaf5Le4E5B4AaABAg</v>
      </c>
      <c r="O4621">
        <v>0</v>
      </c>
      <c r="P4621">
        <v>0</v>
      </c>
      <c r="Q4621">
        <v>0</v>
      </c>
      <c r="S4621">
        <v>0</v>
      </c>
      <c r="T4621">
        <v>0</v>
      </c>
      <c r="U4621">
        <v>0</v>
      </c>
      <c r="W4621" t="s">
        <v>52</v>
      </c>
    </row>
    <row r="4622" spans="1:23" x14ac:dyDescent="0.35">
      <c r="A4622" t="s">
        <v>45</v>
      </c>
      <c r="B4622" t="s">
        <v>9237</v>
      </c>
      <c r="C4622" t="s">
        <v>47</v>
      </c>
      <c r="D4622" t="s">
        <v>68</v>
      </c>
      <c r="E4622" t="s">
        <v>68</v>
      </c>
      <c r="F4622" t="s">
        <v>49</v>
      </c>
      <c r="G4622" t="s">
        <v>270</v>
      </c>
      <c r="H4622" t="s">
        <v>9264</v>
      </c>
      <c r="J4622" t="str">
        <f>HYPERLINK("https://www.youtube.com/watch?v=z58WzdIZIO8&amp;lc=Ugz7tsgnO9USh8ErcuV4AaABAg.9z0QaZaWt5p9z0Wwnfedgp","https://www.youtube.com/watch?v=z58WzdIZIO8&amp;lc=Ugz7tsgnO9USh8ErcuV4AaABAg.9z0QaZaWt5p9z0Wwnfedgp")</f>
        <v>https://www.youtube.com/watch?v=z58WzdIZIO8&amp;lc=Ugz7tsgnO9USh8ErcuV4AaABAg.9z0QaZaWt5p9z0Wwnfedgp</v>
      </c>
      <c r="O4622">
        <v>0</v>
      </c>
      <c r="P4622">
        <v>0</v>
      </c>
      <c r="Q4622">
        <v>0</v>
      </c>
      <c r="S4622">
        <v>0</v>
      </c>
      <c r="T4622">
        <v>0</v>
      </c>
      <c r="U4622">
        <v>0</v>
      </c>
      <c r="W4622" t="s">
        <v>52</v>
      </c>
    </row>
    <row r="4623" spans="1:23" x14ac:dyDescent="0.35">
      <c r="A4623" t="s">
        <v>45</v>
      </c>
      <c r="B4623" t="s">
        <v>9237</v>
      </c>
      <c r="C4623" t="s">
        <v>60</v>
      </c>
      <c r="D4623" t="s">
        <v>61</v>
      </c>
      <c r="E4623" t="s">
        <v>61</v>
      </c>
      <c r="F4623" t="s">
        <v>49</v>
      </c>
      <c r="G4623" t="s">
        <v>9265</v>
      </c>
      <c r="H4623" t="s">
        <v>9266</v>
      </c>
      <c r="J4623" t="str">
        <f>HYPERLINK("https://www.facebook.com/634639855377280/posts/762145742626690?comment_id=313646464328347","https://www.facebook.com/634639855377280/posts/762145742626690?comment_id=313646464328347")</f>
        <v>https://www.facebook.com/634639855377280/posts/762145742626690?comment_id=313646464328347</v>
      </c>
      <c r="O4623">
        <v>0</v>
      </c>
      <c r="P4623">
        <v>0</v>
      </c>
      <c r="Q4623">
        <v>0</v>
      </c>
      <c r="S4623">
        <v>0</v>
      </c>
      <c r="T4623">
        <v>0</v>
      </c>
      <c r="U4623">
        <v>0</v>
      </c>
      <c r="W4623" t="s">
        <v>52</v>
      </c>
    </row>
    <row r="4624" spans="1:23" x14ac:dyDescent="0.35">
      <c r="A4624" t="s">
        <v>45</v>
      </c>
      <c r="B4624" t="s">
        <v>9237</v>
      </c>
      <c r="C4624" t="s">
        <v>47</v>
      </c>
      <c r="D4624" t="s">
        <v>2711</v>
      </c>
      <c r="E4624" t="s">
        <v>2711</v>
      </c>
      <c r="F4624" t="s">
        <v>193</v>
      </c>
      <c r="G4624" t="s">
        <v>9267</v>
      </c>
      <c r="H4624" t="s">
        <v>9268</v>
      </c>
      <c r="J4624" t="str">
        <f>HYPERLINK("https://www.youtube.com/watch?v=z58WzdIZIO8&amp;lc=Ugz7tsgnO9USh8ErcuV4AaABAg.9z0QaZaWt5p9z0UGaUdY-o","https://www.youtube.com/watch?v=z58WzdIZIO8&amp;lc=Ugz7tsgnO9USh8ErcuV4AaABAg.9z0QaZaWt5p9z0UGaUdY-o")</f>
        <v>https://www.youtube.com/watch?v=z58WzdIZIO8&amp;lc=Ugz7tsgnO9USh8ErcuV4AaABAg.9z0QaZaWt5p9z0UGaUdY-o</v>
      </c>
      <c r="O4624">
        <v>0</v>
      </c>
      <c r="P4624">
        <v>0</v>
      </c>
      <c r="Q4624">
        <v>0</v>
      </c>
      <c r="S4624">
        <v>0</v>
      </c>
      <c r="T4624">
        <v>0</v>
      </c>
      <c r="U4624">
        <v>0</v>
      </c>
      <c r="W4624" t="s">
        <v>52</v>
      </c>
    </row>
    <row r="4625" spans="1:23" x14ac:dyDescent="0.35">
      <c r="A4625" t="s">
        <v>45</v>
      </c>
      <c r="B4625" t="s">
        <v>9237</v>
      </c>
      <c r="C4625" t="s">
        <v>47</v>
      </c>
      <c r="D4625" t="s">
        <v>68</v>
      </c>
      <c r="E4625" t="s">
        <v>68</v>
      </c>
      <c r="F4625" t="s">
        <v>49</v>
      </c>
      <c r="G4625" t="s">
        <v>270</v>
      </c>
      <c r="H4625" t="s">
        <v>9269</v>
      </c>
      <c r="J4625" t="str">
        <f>HYPERLINK("https://www.youtube.com/watch?v=z58WzdIZIO8&amp;lc=Ugz7tsgnO9USh8ErcuV4AaABAg.9z0QaZaWt5p9z0TxIcJl6D","https://www.youtube.com/watch?v=z58WzdIZIO8&amp;lc=Ugz7tsgnO9USh8ErcuV4AaABAg.9z0QaZaWt5p9z0TxIcJl6D")</f>
        <v>https://www.youtube.com/watch?v=z58WzdIZIO8&amp;lc=Ugz7tsgnO9USh8ErcuV4AaABAg.9z0QaZaWt5p9z0TxIcJl6D</v>
      </c>
      <c r="O4625">
        <v>0</v>
      </c>
      <c r="P4625">
        <v>0</v>
      </c>
      <c r="Q4625">
        <v>0</v>
      </c>
      <c r="S4625">
        <v>0</v>
      </c>
      <c r="T4625">
        <v>0</v>
      </c>
      <c r="U4625">
        <v>0</v>
      </c>
      <c r="W4625" t="s">
        <v>52</v>
      </c>
    </row>
    <row r="4626" spans="1:23" x14ac:dyDescent="0.35">
      <c r="A4626" t="s">
        <v>45</v>
      </c>
      <c r="B4626" t="s">
        <v>9237</v>
      </c>
      <c r="C4626" t="s">
        <v>60</v>
      </c>
      <c r="D4626" t="s">
        <v>64</v>
      </c>
      <c r="E4626" t="s">
        <v>64</v>
      </c>
      <c r="F4626" t="s">
        <v>49</v>
      </c>
      <c r="G4626" t="s">
        <v>8349</v>
      </c>
      <c r="H4626" t="s">
        <v>9270</v>
      </c>
      <c r="J4626" t="str">
        <f>HYPERLINK("https://www.facebook.com/634639855377280/posts/763771192464145?comment_id=3655288914759707&amp;reply_comment_id=894653295635306","https://www.facebook.com/634639855377280/posts/763771192464145?comment_id=3655288914759707&amp;reply_comment_id=894653295635306")</f>
        <v>https://www.facebook.com/634639855377280/posts/763771192464145?comment_id=3655288914759707&amp;reply_comment_id=894653295635306</v>
      </c>
      <c r="K4626" t="s">
        <v>67</v>
      </c>
      <c r="O4626">
        <v>0</v>
      </c>
      <c r="P4626">
        <v>0</v>
      </c>
      <c r="Q4626">
        <v>0</v>
      </c>
      <c r="S4626">
        <v>0</v>
      </c>
      <c r="T4626">
        <v>0</v>
      </c>
      <c r="U4626">
        <v>0</v>
      </c>
      <c r="W4626" t="s">
        <v>52</v>
      </c>
    </row>
    <row r="4627" spans="1:23" x14ac:dyDescent="0.35">
      <c r="A4627" t="s">
        <v>45</v>
      </c>
      <c r="B4627" t="s">
        <v>9237</v>
      </c>
      <c r="C4627" t="s">
        <v>60</v>
      </c>
      <c r="D4627" t="s">
        <v>64</v>
      </c>
      <c r="E4627" t="s">
        <v>64</v>
      </c>
      <c r="F4627" t="s">
        <v>49</v>
      </c>
      <c r="G4627" t="s">
        <v>266</v>
      </c>
      <c r="H4627" t="s">
        <v>9271</v>
      </c>
      <c r="J4627" t="str">
        <f>HYPERLINK("https://www.facebook.com/634639855377280/posts/764165905758007?comment_id=2923071441174293&amp;reply_comment_id=1053593685876594","https://www.facebook.com/634639855377280/posts/764165905758007?comment_id=2923071441174293&amp;reply_comment_id=1053593685876594")</f>
        <v>https://www.facebook.com/634639855377280/posts/764165905758007?comment_id=2923071441174293&amp;reply_comment_id=1053593685876594</v>
      </c>
      <c r="K4627" t="s">
        <v>67</v>
      </c>
      <c r="O4627">
        <v>0</v>
      </c>
      <c r="P4627">
        <v>0</v>
      </c>
      <c r="Q4627">
        <v>0</v>
      </c>
      <c r="S4627">
        <v>0</v>
      </c>
      <c r="T4627">
        <v>0</v>
      </c>
      <c r="U4627">
        <v>0</v>
      </c>
      <c r="W4627" t="s">
        <v>52</v>
      </c>
    </row>
    <row r="4628" spans="1:23" x14ac:dyDescent="0.35">
      <c r="A4628" t="s">
        <v>45</v>
      </c>
      <c r="B4628" t="s">
        <v>9237</v>
      </c>
      <c r="C4628" t="s">
        <v>60</v>
      </c>
      <c r="D4628" t="s">
        <v>7470</v>
      </c>
      <c r="E4628" t="s">
        <v>7470</v>
      </c>
      <c r="F4628" t="s">
        <v>54</v>
      </c>
      <c r="G4628" t="s">
        <v>9272</v>
      </c>
      <c r="H4628" t="s">
        <v>9273</v>
      </c>
      <c r="J4628" t="str">
        <f>HYPERLINK("https://www.facebook.com/634639855377280/posts/764165905758007?comment_id=892842595583706","https://www.facebook.com/634639855377280/posts/764165905758007?comment_id=892842595583706")</f>
        <v>https://www.facebook.com/634639855377280/posts/764165905758007?comment_id=892842595583706</v>
      </c>
      <c r="K4628" t="s">
        <v>67</v>
      </c>
      <c r="O4628">
        <v>0</v>
      </c>
      <c r="P4628">
        <v>0</v>
      </c>
      <c r="Q4628">
        <v>0</v>
      </c>
      <c r="S4628">
        <v>0</v>
      </c>
      <c r="T4628">
        <v>0</v>
      </c>
      <c r="U4628">
        <v>0</v>
      </c>
      <c r="W4628" t="s">
        <v>52</v>
      </c>
    </row>
    <row r="4629" spans="1:23" x14ac:dyDescent="0.35">
      <c r="A4629" t="s">
        <v>45</v>
      </c>
      <c r="B4629" t="s">
        <v>9237</v>
      </c>
      <c r="C4629" t="s">
        <v>93</v>
      </c>
      <c r="D4629" t="s">
        <v>94</v>
      </c>
      <c r="E4629" t="s">
        <v>45</v>
      </c>
      <c r="F4629" t="s">
        <v>49</v>
      </c>
      <c r="G4629" t="s">
        <v>9274</v>
      </c>
      <c r="H4629" t="s">
        <v>9275</v>
      </c>
      <c r="J4629" t="str">
        <f>HYPERLINK("https://twitter.com/SpiceMoneyIndia/status/1741691095203914226","https://twitter.com/SpiceMoneyIndia/status/1741691095203914226")</f>
        <v>https://twitter.com/SpiceMoneyIndia/status/1741691095203914226</v>
      </c>
      <c r="K4629" t="s">
        <v>67</v>
      </c>
      <c r="O4629">
        <v>0</v>
      </c>
      <c r="P4629">
        <v>0</v>
      </c>
      <c r="Q4629">
        <v>5975</v>
      </c>
      <c r="R4629" t="s">
        <v>97</v>
      </c>
      <c r="S4629">
        <v>0</v>
      </c>
      <c r="T4629">
        <v>0</v>
      </c>
      <c r="U4629">
        <v>0</v>
      </c>
      <c r="V4629" t="s">
        <v>98</v>
      </c>
      <c r="W4629" t="s">
        <v>99</v>
      </c>
    </row>
    <row r="4630" spans="1:23" x14ac:dyDescent="0.35">
      <c r="A4630" t="s">
        <v>45</v>
      </c>
      <c r="B4630" t="s">
        <v>9237</v>
      </c>
      <c r="C4630" t="s">
        <v>60</v>
      </c>
      <c r="D4630" t="s">
        <v>61</v>
      </c>
      <c r="E4630" t="s">
        <v>61</v>
      </c>
      <c r="F4630" t="s">
        <v>49</v>
      </c>
      <c r="G4630" t="s">
        <v>9276</v>
      </c>
      <c r="H4630" t="s">
        <v>9277</v>
      </c>
      <c r="J4630" t="str">
        <f>HYPERLINK("https://www.facebook.com/634639855377280/posts/763771192464145?comment_id=3655288914759707","https://www.facebook.com/634639855377280/posts/763771192464145?comment_id=3655288914759707")</f>
        <v>https://www.facebook.com/634639855377280/posts/763771192464145?comment_id=3655288914759707</v>
      </c>
      <c r="O4630">
        <v>0</v>
      </c>
      <c r="P4630">
        <v>0</v>
      </c>
      <c r="Q4630">
        <v>0</v>
      </c>
      <c r="S4630">
        <v>0</v>
      </c>
      <c r="T4630">
        <v>0</v>
      </c>
      <c r="U4630">
        <v>0</v>
      </c>
      <c r="W4630" t="s">
        <v>52</v>
      </c>
    </row>
    <row r="4631" spans="1:23" x14ac:dyDescent="0.35">
      <c r="A4631" t="s">
        <v>45</v>
      </c>
      <c r="B4631" t="s">
        <v>9237</v>
      </c>
      <c r="C4631" t="s">
        <v>47</v>
      </c>
      <c r="D4631" t="s">
        <v>2711</v>
      </c>
      <c r="E4631" t="s">
        <v>2711</v>
      </c>
      <c r="F4631" t="s">
        <v>49</v>
      </c>
      <c r="G4631" t="s">
        <v>9278</v>
      </c>
      <c r="H4631" t="s">
        <v>9279</v>
      </c>
      <c r="J4631" t="str">
        <f>HYPERLINK("https://www.youtube.com/watch?v=z58WzdIZIO8&amp;lc=Ugz7tsgnO9USh8ErcuV4AaABAg","https://www.youtube.com/watch?v=z58WzdIZIO8&amp;lc=Ugz7tsgnO9USh8ErcuV4AaABAg")</f>
        <v>https://www.youtube.com/watch?v=z58WzdIZIO8&amp;lc=Ugz7tsgnO9USh8ErcuV4AaABAg</v>
      </c>
      <c r="O4631">
        <v>0</v>
      </c>
      <c r="P4631">
        <v>0</v>
      </c>
      <c r="Q4631">
        <v>0</v>
      </c>
      <c r="S4631">
        <v>0</v>
      </c>
      <c r="T4631">
        <v>0</v>
      </c>
      <c r="U4631">
        <v>0</v>
      </c>
      <c r="W4631" t="s">
        <v>52</v>
      </c>
    </row>
    <row r="4632" spans="1:23" x14ac:dyDescent="0.35">
      <c r="A4632" t="s">
        <v>45</v>
      </c>
      <c r="B4632" t="s">
        <v>9237</v>
      </c>
      <c r="C4632" t="s">
        <v>60</v>
      </c>
      <c r="D4632" t="s">
        <v>61</v>
      </c>
      <c r="E4632" t="s">
        <v>61</v>
      </c>
      <c r="F4632" t="s">
        <v>54</v>
      </c>
      <c r="G4632" t="s">
        <v>9280</v>
      </c>
      <c r="H4632" t="s">
        <v>9281</v>
      </c>
      <c r="J4632" t="str">
        <f>HYPERLINK("https://www.facebook.com/634639855377280/posts/764165905758007?comment_id=2923071441174293","https://www.facebook.com/634639855377280/posts/764165905758007?comment_id=2923071441174293")</f>
        <v>https://www.facebook.com/634639855377280/posts/764165905758007?comment_id=2923071441174293</v>
      </c>
      <c r="O4632">
        <v>0</v>
      </c>
      <c r="P4632">
        <v>0</v>
      </c>
      <c r="Q4632">
        <v>0</v>
      </c>
      <c r="S4632">
        <v>0</v>
      </c>
      <c r="T4632">
        <v>0</v>
      </c>
      <c r="U4632">
        <v>0</v>
      </c>
      <c r="W4632" t="s">
        <v>52</v>
      </c>
    </row>
    <row r="4633" spans="1:23" x14ac:dyDescent="0.35">
      <c r="A4633" t="s">
        <v>45</v>
      </c>
      <c r="B4633" t="s">
        <v>9237</v>
      </c>
      <c r="C4633" t="s">
        <v>60</v>
      </c>
      <c r="D4633" t="s">
        <v>64</v>
      </c>
      <c r="E4633" t="s">
        <v>64</v>
      </c>
      <c r="F4633" t="s">
        <v>49</v>
      </c>
      <c r="G4633" t="s">
        <v>270</v>
      </c>
      <c r="H4633" t="s">
        <v>9282</v>
      </c>
      <c r="J4633" t="str">
        <f>HYPERLINK("https://www.facebook.com/634639855377280/posts/763771192464145?comment_id=384093330739497&amp;reply_comment_id=1099874947807537","https://www.facebook.com/634639855377280/posts/763771192464145?comment_id=384093330739497&amp;reply_comment_id=1099874947807537")</f>
        <v>https://www.facebook.com/634639855377280/posts/763771192464145?comment_id=384093330739497&amp;reply_comment_id=1099874947807537</v>
      </c>
      <c r="K4633" t="s">
        <v>67</v>
      </c>
      <c r="O4633">
        <v>0</v>
      </c>
      <c r="P4633">
        <v>0</v>
      </c>
      <c r="Q4633">
        <v>0</v>
      </c>
      <c r="S4633">
        <v>0</v>
      </c>
      <c r="T4633">
        <v>0</v>
      </c>
      <c r="U4633">
        <v>0</v>
      </c>
      <c r="W4633" t="s">
        <v>52</v>
      </c>
    </row>
    <row r="4634" spans="1:23" x14ac:dyDescent="0.35">
      <c r="A4634" t="s">
        <v>45</v>
      </c>
      <c r="B4634" t="s">
        <v>9237</v>
      </c>
      <c r="C4634" t="s">
        <v>60</v>
      </c>
      <c r="D4634" t="s">
        <v>64</v>
      </c>
      <c r="E4634" t="s">
        <v>64</v>
      </c>
      <c r="F4634" t="s">
        <v>49</v>
      </c>
      <c r="G4634" t="s">
        <v>162</v>
      </c>
      <c r="H4634" t="s">
        <v>9283</v>
      </c>
      <c r="J4634" t="str">
        <f>HYPERLINK("https://www.facebook.com/634639855377280/posts/762145742626690?comment_id=954612266437505&amp;reply_comment_id=255204427417698","https://www.facebook.com/634639855377280/posts/762145742626690?comment_id=954612266437505&amp;reply_comment_id=255204427417698")</f>
        <v>https://www.facebook.com/634639855377280/posts/762145742626690?comment_id=954612266437505&amp;reply_comment_id=255204427417698</v>
      </c>
      <c r="K4634" t="s">
        <v>67</v>
      </c>
      <c r="O4634">
        <v>0</v>
      </c>
      <c r="P4634">
        <v>0</v>
      </c>
      <c r="Q4634">
        <v>0</v>
      </c>
      <c r="S4634">
        <v>0</v>
      </c>
      <c r="T4634">
        <v>0</v>
      </c>
      <c r="U4634">
        <v>0</v>
      </c>
      <c r="W4634" t="s">
        <v>52</v>
      </c>
    </row>
    <row r="4635" spans="1:23" x14ac:dyDescent="0.35">
      <c r="A4635" t="s">
        <v>45</v>
      </c>
      <c r="B4635" t="s">
        <v>9237</v>
      </c>
      <c r="C4635" t="s">
        <v>60</v>
      </c>
      <c r="D4635" t="s">
        <v>61</v>
      </c>
      <c r="E4635" t="s">
        <v>61</v>
      </c>
      <c r="F4635" t="s">
        <v>49</v>
      </c>
      <c r="G4635" t="s">
        <v>9284</v>
      </c>
      <c r="H4635" t="s">
        <v>9285</v>
      </c>
      <c r="J4635" t="str">
        <f>HYPERLINK("https://www.facebook.com/634639855377280/posts/764165905758007?comment_id=902531818097205","https://www.facebook.com/634639855377280/posts/764165905758007?comment_id=902531818097205")</f>
        <v>https://www.facebook.com/634639855377280/posts/764165905758007?comment_id=902531818097205</v>
      </c>
      <c r="O4635">
        <v>0</v>
      </c>
      <c r="P4635">
        <v>0</v>
      </c>
      <c r="Q4635">
        <v>0</v>
      </c>
      <c r="S4635">
        <v>0</v>
      </c>
      <c r="T4635">
        <v>0</v>
      </c>
      <c r="U4635">
        <v>0</v>
      </c>
      <c r="W4635" t="s">
        <v>52</v>
      </c>
    </row>
    <row r="4636" spans="1:23" x14ac:dyDescent="0.35">
      <c r="A4636" t="s">
        <v>45</v>
      </c>
      <c r="B4636" t="s">
        <v>9237</v>
      </c>
      <c r="C4636" t="s">
        <v>60</v>
      </c>
      <c r="D4636" t="s">
        <v>64</v>
      </c>
      <c r="E4636" t="s">
        <v>64</v>
      </c>
      <c r="F4636" t="s">
        <v>49</v>
      </c>
      <c r="G4636" t="s">
        <v>270</v>
      </c>
      <c r="H4636" t="s">
        <v>9286</v>
      </c>
      <c r="J4636" t="str">
        <f>HYPERLINK("https://www.facebook.com/634639855377280/posts/762145742626690?comment_id=877008763972263&amp;reply_comment_id=378909177955212","https://www.facebook.com/634639855377280/posts/762145742626690?comment_id=877008763972263&amp;reply_comment_id=378909177955212")</f>
        <v>https://www.facebook.com/634639855377280/posts/762145742626690?comment_id=877008763972263&amp;reply_comment_id=378909177955212</v>
      </c>
      <c r="K4636" t="s">
        <v>67</v>
      </c>
      <c r="O4636">
        <v>0</v>
      </c>
      <c r="P4636">
        <v>0</v>
      </c>
      <c r="Q4636">
        <v>0</v>
      </c>
      <c r="S4636">
        <v>0</v>
      </c>
      <c r="T4636">
        <v>0</v>
      </c>
      <c r="U4636">
        <v>0</v>
      </c>
      <c r="W4636" t="s">
        <v>52</v>
      </c>
    </row>
    <row r="4637" spans="1:23" x14ac:dyDescent="0.35">
      <c r="A4637" t="s">
        <v>45</v>
      </c>
      <c r="B4637" t="s">
        <v>9237</v>
      </c>
      <c r="C4637" t="s">
        <v>60</v>
      </c>
      <c r="D4637" t="s">
        <v>61</v>
      </c>
      <c r="E4637" t="s">
        <v>61</v>
      </c>
      <c r="F4637" t="s">
        <v>54</v>
      </c>
      <c r="G4637" t="s">
        <v>9287</v>
      </c>
      <c r="H4637" t="s">
        <v>9288</v>
      </c>
      <c r="J4637" t="str">
        <f>HYPERLINK("https://www.facebook.com/634639855377280/posts/764165905758007?comment_id=3565893893654218","https://www.facebook.com/634639855377280/posts/764165905758007?comment_id=3565893893654218")</f>
        <v>https://www.facebook.com/634639855377280/posts/764165905758007?comment_id=3565893893654218</v>
      </c>
      <c r="O4637">
        <v>0</v>
      </c>
      <c r="P4637">
        <v>0</v>
      </c>
      <c r="Q4637">
        <v>0</v>
      </c>
      <c r="S4637">
        <v>0</v>
      </c>
      <c r="T4637">
        <v>0</v>
      </c>
      <c r="U4637">
        <v>0</v>
      </c>
      <c r="W4637" t="s">
        <v>52</v>
      </c>
    </row>
    <row r="4638" spans="1:23" x14ac:dyDescent="0.35">
      <c r="A4638" t="s">
        <v>45</v>
      </c>
      <c r="B4638" t="s">
        <v>9237</v>
      </c>
      <c r="C4638" t="s">
        <v>60</v>
      </c>
      <c r="D4638" t="s">
        <v>64</v>
      </c>
      <c r="E4638" t="s">
        <v>64</v>
      </c>
      <c r="F4638" t="s">
        <v>49</v>
      </c>
      <c r="G4638" t="s">
        <v>270</v>
      </c>
      <c r="H4638" t="s">
        <v>9289</v>
      </c>
      <c r="J4638" t="str">
        <f>HYPERLINK("https://www.facebook.com/634639855377280/posts/762145742626690?comment_id=375100791870195&amp;reply_comment_id=376386381603796","https://www.facebook.com/634639855377280/posts/762145742626690?comment_id=375100791870195&amp;reply_comment_id=376386381603796")</f>
        <v>https://www.facebook.com/634639855377280/posts/762145742626690?comment_id=375100791870195&amp;reply_comment_id=376386381603796</v>
      </c>
      <c r="K4638" t="s">
        <v>67</v>
      </c>
      <c r="O4638">
        <v>0</v>
      </c>
      <c r="P4638">
        <v>0</v>
      </c>
      <c r="Q4638">
        <v>0</v>
      </c>
      <c r="S4638">
        <v>0</v>
      </c>
      <c r="T4638">
        <v>0</v>
      </c>
      <c r="U4638">
        <v>0</v>
      </c>
      <c r="W4638" t="s">
        <v>52</v>
      </c>
    </row>
    <row r="4639" spans="1:23" x14ac:dyDescent="0.35">
      <c r="A4639" t="s">
        <v>45</v>
      </c>
      <c r="B4639" t="s">
        <v>9237</v>
      </c>
      <c r="C4639" t="s">
        <v>93</v>
      </c>
      <c r="D4639" t="s">
        <v>94</v>
      </c>
      <c r="E4639" t="s">
        <v>45</v>
      </c>
      <c r="F4639" t="s">
        <v>49</v>
      </c>
      <c r="G4639" t="s">
        <v>9290</v>
      </c>
      <c r="H4639" t="s">
        <v>9291</v>
      </c>
      <c r="J4639" t="str">
        <f>HYPERLINK("https://twitter.com/SpiceMoneyIndia/status/1741666409271177360","https://twitter.com/SpiceMoneyIndia/status/1741666409271177360")</f>
        <v>https://twitter.com/SpiceMoneyIndia/status/1741666409271177360</v>
      </c>
      <c r="K4639" t="s">
        <v>67</v>
      </c>
      <c r="O4639">
        <v>0</v>
      </c>
      <c r="P4639">
        <v>0</v>
      </c>
      <c r="Q4639">
        <v>5975</v>
      </c>
      <c r="R4639" t="s">
        <v>97</v>
      </c>
      <c r="S4639">
        <v>0</v>
      </c>
      <c r="T4639">
        <v>0</v>
      </c>
      <c r="U4639">
        <v>0</v>
      </c>
      <c r="V4639" t="s">
        <v>98</v>
      </c>
      <c r="W4639" t="s">
        <v>99</v>
      </c>
    </row>
    <row r="4640" spans="1:23" x14ac:dyDescent="0.35">
      <c r="A4640" t="s">
        <v>45</v>
      </c>
      <c r="B4640" t="s">
        <v>9237</v>
      </c>
      <c r="C4640" t="s">
        <v>47</v>
      </c>
      <c r="D4640" t="s">
        <v>9292</v>
      </c>
      <c r="E4640" t="s">
        <v>9292</v>
      </c>
      <c r="F4640" t="s">
        <v>54</v>
      </c>
      <c r="G4640" t="s">
        <v>9238</v>
      </c>
      <c r="H4640" t="s">
        <v>9293</v>
      </c>
      <c r="J4640" t="str">
        <f>HYPERLINK("https://www.youtube.com/watch?v=ASfQx196DU4&amp;lc=UgyG3fynrHq6fXfZ4nh4AaABAg","https://www.youtube.com/watch?v=ASfQx196DU4&amp;lc=UgyG3fynrHq6fXfZ4nh4AaABAg")</f>
        <v>https://www.youtube.com/watch?v=ASfQx196DU4&amp;lc=UgyG3fynrHq6fXfZ4nh4AaABAg</v>
      </c>
      <c r="O4640">
        <v>0</v>
      </c>
      <c r="P4640">
        <v>0</v>
      </c>
      <c r="Q4640">
        <v>0</v>
      </c>
      <c r="S4640">
        <v>0</v>
      </c>
      <c r="T4640">
        <v>0</v>
      </c>
      <c r="U4640">
        <v>0</v>
      </c>
      <c r="W4640" t="s">
        <v>52</v>
      </c>
    </row>
    <row r="4641" spans="1:28" x14ac:dyDescent="0.35">
      <c r="A4641" t="s">
        <v>45</v>
      </c>
      <c r="B4641" t="s">
        <v>9237</v>
      </c>
      <c r="C4641" t="s">
        <v>47</v>
      </c>
      <c r="D4641" t="s">
        <v>68</v>
      </c>
      <c r="E4641" t="s">
        <v>68</v>
      </c>
      <c r="F4641" t="s">
        <v>49</v>
      </c>
      <c r="G4641" t="s">
        <v>102</v>
      </c>
      <c r="H4641" t="s">
        <v>9294</v>
      </c>
      <c r="J4641" t="str">
        <f>HYPERLINK("https://www.youtube.com/watch?v=ASfQx196DU4&amp;lc=UgzY9eqKqsezIRJYmo94AaABAg.9yzxK5NqzFP9z0BHArZ6PO","https://www.youtube.com/watch?v=ASfQx196DU4&amp;lc=UgzY9eqKqsezIRJYmo94AaABAg.9yzxK5NqzFP9z0BHArZ6PO")</f>
        <v>https://www.youtube.com/watch?v=ASfQx196DU4&amp;lc=UgzY9eqKqsezIRJYmo94AaABAg.9yzxK5NqzFP9z0BHArZ6PO</v>
      </c>
      <c r="O4641">
        <v>0</v>
      </c>
      <c r="P4641">
        <v>0</v>
      </c>
      <c r="Q4641">
        <v>0</v>
      </c>
      <c r="S4641">
        <v>0</v>
      </c>
      <c r="T4641">
        <v>0</v>
      </c>
      <c r="U4641">
        <v>0</v>
      </c>
      <c r="W4641" t="s">
        <v>52</v>
      </c>
    </row>
    <row r="4642" spans="1:28" x14ac:dyDescent="0.35">
      <c r="A4642" t="s">
        <v>45</v>
      </c>
      <c r="B4642" t="s">
        <v>9237</v>
      </c>
      <c r="C4642" t="s">
        <v>47</v>
      </c>
      <c r="D4642" t="s">
        <v>68</v>
      </c>
      <c r="E4642" t="s">
        <v>68</v>
      </c>
      <c r="F4642" t="s">
        <v>49</v>
      </c>
      <c r="G4642" t="s">
        <v>102</v>
      </c>
      <c r="H4642" t="s">
        <v>9295</v>
      </c>
      <c r="J4642" t="str">
        <f>HYPERLINK("https://www.youtube.com/watch?v=1_UKRN_GOok&amp;lc=UgybsZnReB5izNwcVi14AaABAg.9z09PEzR04_9z0AkAYN3lH","https://www.youtube.com/watch?v=1_UKRN_GOok&amp;lc=UgybsZnReB5izNwcVi14AaABAg.9z09PEzR04_9z0AkAYN3lH")</f>
        <v>https://www.youtube.com/watch?v=1_UKRN_GOok&amp;lc=UgybsZnReB5izNwcVi14AaABAg.9z09PEzR04_9z0AkAYN3lH</v>
      </c>
      <c r="O4642">
        <v>0</v>
      </c>
      <c r="P4642">
        <v>0</v>
      </c>
      <c r="Q4642">
        <v>0</v>
      </c>
      <c r="S4642">
        <v>0</v>
      </c>
      <c r="T4642">
        <v>0</v>
      </c>
      <c r="U4642">
        <v>0</v>
      </c>
      <c r="W4642" t="s">
        <v>52</v>
      </c>
    </row>
    <row r="4643" spans="1:28" x14ac:dyDescent="0.35">
      <c r="A4643" t="s">
        <v>45</v>
      </c>
      <c r="B4643" t="s">
        <v>9237</v>
      </c>
      <c r="C4643" t="s">
        <v>93</v>
      </c>
      <c r="D4643" t="s">
        <v>94</v>
      </c>
      <c r="E4643" t="s">
        <v>45</v>
      </c>
      <c r="F4643" t="s">
        <v>49</v>
      </c>
      <c r="G4643" t="s">
        <v>9296</v>
      </c>
      <c r="H4643" t="s">
        <v>9297</v>
      </c>
      <c r="J4643" t="str">
        <f>HYPERLINK("https://twitter.com/SpiceMoneyIndia/status/1741654338697601127","https://twitter.com/SpiceMoneyIndia/status/1741654338697601127")</f>
        <v>https://twitter.com/SpiceMoneyIndia/status/1741654338697601127</v>
      </c>
      <c r="K4643" t="s">
        <v>67</v>
      </c>
      <c r="O4643">
        <v>0</v>
      </c>
      <c r="P4643">
        <v>0</v>
      </c>
      <c r="Q4643">
        <v>5976</v>
      </c>
      <c r="R4643" t="s">
        <v>97</v>
      </c>
      <c r="S4643">
        <v>0</v>
      </c>
      <c r="T4643">
        <v>0</v>
      </c>
      <c r="U4643">
        <v>0</v>
      </c>
      <c r="V4643" t="s">
        <v>98</v>
      </c>
      <c r="W4643" t="s">
        <v>99</v>
      </c>
    </row>
    <row r="4644" spans="1:28" x14ac:dyDescent="0.35">
      <c r="A4644" t="s">
        <v>45</v>
      </c>
      <c r="B4644" t="s">
        <v>9237</v>
      </c>
      <c r="C4644" t="s">
        <v>60</v>
      </c>
      <c r="D4644" t="s">
        <v>61</v>
      </c>
      <c r="E4644" t="s">
        <v>61</v>
      </c>
      <c r="F4644" t="s">
        <v>49</v>
      </c>
      <c r="H4644" t="s">
        <v>9298</v>
      </c>
      <c r="J4644" t="str">
        <f>HYPERLINK("https://www.facebook.com/634639855377280/posts/764165905758007?comment_id=3502365010001825","https://www.facebook.com/634639855377280/posts/764165905758007?comment_id=3502365010001825")</f>
        <v>https://www.facebook.com/634639855377280/posts/764165905758007?comment_id=3502365010001825</v>
      </c>
      <c r="O4644">
        <v>0</v>
      </c>
      <c r="P4644">
        <v>0</v>
      </c>
      <c r="Q4644">
        <v>0</v>
      </c>
      <c r="S4644">
        <v>0</v>
      </c>
      <c r="T4644">
        <v>0</v>
      </c>
      <c r="U4644">
        <v>0</v>
      </c>
      <c r="W4644" t="s">
        <v>52</v>
      </c>
    </row>
    <row r="4645" spans="1:28" x14ac:dyDescent="0.35">
      <c r="A4645" t="s">
        <v>45</v>
      </c>
      <c r="B4645" t="s">
        <v>9237</v>
      </c>
      <c r="C4645" t="s">
        <v>47</v>
      </c>
      <c r="D4645" t="s">
        <v>9299</v>
      </c>
      <c r="E4645" t="s">
        <v>9299</v>
      </c>
      <c r="F4645" t="s">
        <v>49</v>
      </c>
      <c r="G4645" t="s">
        <v>9300</v>
      </c>
      <c r="H4645" t="s">
        <v>9301</v>
      </c>
      <c r="J4645" t="str">
        <f>HYPERLINK("https://www.youtube.com/watch?v=1_UKRN_GOok&amp;lc=UgybsZnReB5izNwcVi14AaABAg","https://www.youtube.com/watch?v=1_UKRN_GOok&amp;lc=UgybsZnReB5izNwcVi14AaABAg")</f>
        <v>https://www.youtube.com/watch?v=1_UKRN_GOok&amp;lc=UgybsZnReB5izNwcVi14AaABAg</v>
      </c>
      <c r="O4645">
        <v>0</v>
      </c>
      <c r="P4645">
        <v>0</v>
      </c>
      <c r="Q4645">
        <v>0</v>
      </c>
      <c r="S4645">
        <v>0</v>
      </c>
      <c r="T4645">
        <v>0</v>
      </c>
      <c r="U4645">
        <v>0</v>
      </c>
      <c r="W4645" t="s">
        <v>52</v>
      </c>
    </row>
    <row r="4646" spans="1:28" x14ac:dyDescent="0.35">
      <c r="A4646" t="s">
        <v>45</v>
      </c>
      <c r="B4646" t="s">
        <v>9237</v>
      </c>
      <c r="C4646" t="s">
        <v>47</v>
      </c>
      <c r="D4646" t="s">
        <v>9302</v>
      </c>
      <c r="E4646" t="s">
        <v>9302</v>
      </c>
      <c r="F4646" t="s">
        <v>54</v>
      </c>
      <c r="G4646" t="s">
        <v>9303</v>
      </c>
      <c r="H4646" t="s">
        <v>9304</v>
      </c>
      <c r="J4646" t="str">
        <f>HYPERLINK("https://www.youtube.com/watch?v=ASfQx196DU4&amp;lc=Ugx09wOV086sYti2cgh4AaABAg","https://www.youtube.com/watch?v=ASfQx196DU4&amp;lc=Ugx09wOV086sYti2cgh4AaABAg")</f>
        <v>https://www.youtube.com/watch?v=ASfQx196DU4&amp;lc=Ugx09wOV086sYti2cgh4AaABAg</v>
      </c>
      <c r="O4646">
        <v>0</v>
      </c>
      <c r="P4646">
        <v>0</v>
      </c>
      <c r="Q4646">
        <v>0</v>
      </c>
      <c r="S4646">
        <v>0</v>
      </c>
      <c r="T4646">
        <v>0</v>
      </c>
      <c r="U4646">
        <v>0</v>
      </c>
      <c r="W4646" t="s">
        <v>52</v>
      </c>
    </row>
    <row r="4647" spans="1:28" x14ac:dyDescent="0.35">
      <c r="A4647" t="s">
        <v>45</v>
      </c>
      <c r="B4647" t="s">
        <v>9237</v>
      </c>
      <c r="C4647" t="s">
        <v>47</v>
      </c>
      <c r="D4647" t="s">
        <v>8582</v>
      </c>
      <c r="E4647" t="s">
        <v>8582</v>
      </c>
      <c r="F4647" t="s">
        <v>49</v>
      </c>
      <c r="G4647" t="s">
        <v>9305</v>
      </c>
      <c r="H4647" t="s">
        <v>9306</v>
      </c>
      <c r="J4647" t="str">
        <f>HYPERLINK("https://www.youtube.com/watch?v=z58WzdIZIO8&amp;lc=Ugyulls8LjMUZJhOGUB4AaABAg","https://www.youtube.com/watch?v=z58WzdIZIO8&amp;lc=Ugyulls8LjMUZJhOGUB4AaABAg")</f>
        <v>https://www.youtube.com/watch?v=z58WzdIZIO8&amp;lc=Ugyulls8LjMUZJhOGUB4AaABAg</v>
      </c>
      <c r="O4647">
        <v>0</v>
      </c>
      <c r="P4647">
        <v>0</v>
      </c>
      <c r="Q4647">
        <v>0</v>
      </c>
      <c r="S4647">
        <v>0</v>
      </c>
      <c r="T4647">
        <v>0</v>
      </c>
      <c r="U4647">
        <v>0</v>
      </c>
      <c r="W4647" t="s">
        <v>52</v>
      </c>
    </row>
    <row r="4648" spans="1:28" x14ac:dyDescent="0.35">
      <c r="A4648" t="s">
        <v>45</v>
      </c>
      <c r="B4648" t="s">
        <v>9237</v>
      </c>
      <c r="C4648" t="s">
        <v>60</v>
      </c>
      <c r="D4648" t="s">
        <v>61</v>
      </c>
      <c r="E4648" t="s">
        <v>61</v>
      </c>
      <c r="F4648" t="s">
        <v>54</v>
      </c>
      <c r="G4648" t="s">
        <v>9307</v>
      </c>
      <c r="H4648" t="s">
        <v>9308</v>
      </c>
      <c r="J4648" t="str">
        <f>HYPERLINK("https://www.facebook.com/634639855377280/posts/764165905758007?comment_id=1341159536520853","https://www.facebook.com/634639855377280/posts/764165905758007?comment_id=1341159536520853")</f>
        <v>https://www.facebook.com/634639855377280/posts/764165905758007?comment_id=1341159536520853</v>
      </c>
      <c r="O4648">
        <v>0</v>
      </c>
      <c r="P4648">
        <v>0</v>
      </c>
      <c r="Q4648">
        <v>0</v>
      </c>
      <c r="S4648">
        <v>0</v>
      </c>
      <c r="T4648">
        <v>0</v>
      </c>
      <c r="U4648">
        <v>0</v>
      </c>
      <c r="W4648" t="s">
        <v>52</v>
      </c>
    </row>
    <row r="4649" spans="1:28" x14ac:dyDescent="0.35">
      <c r="A4649" t="s">
        <v>45</v>
      </c>
      <c r="B4649" t="s">
        <v>9237</v>
      </c>
      <c r="C4649" t="s">
        <v>60</v>
      </c>
      <c r="D4649" t="s">
        <v>61</v>
      </c>
      <c r="E4649" t="s">
        <v>61</v>
      </c>
      <c r="F4649" t="s">
        <v>54</v>
      </c>
      <c r="G4649" t="s">
        <v>9309</v>
      </c>
      <c r="H4649" t="s">
        <v>9310</v>
      </c>
      <c r="J4649" t="str">
        <f>HYPERLINK("https://www.facebook.com/634639855377280/posts/764165905758007?comment_id=393368446465732","https://www.facebook.com/634639855377280/posts/764165905758007?comment_id=393368446465732")</f>
        <v>https://www.facebook.com/634639855377280/posts/764165905758007?comment_id=393368446465732</v>
      </c>
      <c r="O4649">
        <v>0</v>
      </c>
      <c r="P4649">
        <v>0</v>
      </c>
      <c r="Q4649">
        <v>0</v>
      </c>
      <c r="S4649">
        <v>0</v>
      </c>
      <c r="T4649">
        <v>0</v>
      </c>
      <c r="U4649">
        <v>0</v>
      </c>
      <c r="W4649" t="s">
        <v>52</v>
      </c>
    </row>
    <row r="4650" spans="1:28" x14ac:dyDescent="0.35">
      <c r="A4650" t="s">
        <v>45</v>
      </c>
      <c r="B4650" t="s">
        <v>9237</v>
      </c>
      <c r="C4650" t="s">
        <v>60</v>
      </c>
      <c r="D4650" t="s">
        <v>61</v>
      </c>
      <c r="E4650" t="s">
        <v>61</v>
      </c>
      <c r="F4650" t="s">
        <v>49</v>
      </c>
      <c r="G4650" t="s">
        <v>9311</v>
      </c>
      <c r="H4650" t="s">
        <v>9312</v>
      </c>
      <c r="J4650" t="str">
        <f>HYPERLINK("https://www.facebook.com/634639855377280/posts/762145742626690?comment_id=375100791870195","https://www.facebook.com/634639855377280/posts/762145742626690?comment_id=375100791870195")</f>
        <v>https://www.facebook.com/634639855377280/posts/762145742626690?comment_id=375100791870195</v>
      </c>
      <c r="O4650">
        <v>0</v>
      </c>
      <c r="P4650">
        <v>0</v>
      </c>
      <c r="Q4650">
        <v>0</v>
      </c>
      <c r="S4650">
        <v>0</v>
      </c>
      <c r="T4650">
        <v>0</v>
      </c>
      <c r="U4650">
        <v>0</v>
      </c>
      <c r="W4650" t="s">
        <v>52</v>
      </c>
    </row>
    <row r="4651" spans="1:28" x14ac:dyDescent="0.35">
      <c r="A4651" t="s">
        <v>45</v>
      </c>
      <c r="B4651" t="s">
        <v>9237</v>
      </c>
      <c r="C4651" t="s">
        <v>60</v>
      </c>
      <c r="D4651" t="s">
        <v>61</v>
      </c>
      <c r="E4651" t="s">
        <v>61</v>
      </c>
      <c r="F4651" t="s">
        <v>193</v>
      </c>
      <c r="G4651" t="s">
        <v>9313</v>
      </c>
      <c r="H4651" t="s">
        <v>9314</v>
      </c>
      <c r="J4651" t="str">
        <f>HYPERLINK("https://www.facebook.com/634639855377280/posts/762145742626690?comment_id=877008763972263","https://www.facebook.com/634639855377280/posts/762145742626690?comment_id=877008763972263")</f>
        <v>https://www.facebook.com/634639855377280/posts/762145742626690?comment_id=877008763972263</v>
      </c>
      <c r="O4651">
        <v>0</v>
      </c>
      <c r="P4651">
        <v>0</v>
      </c>
      <c r="Q4651">
        <v>0</v>
      </c>
      <c r="S4651">
        <v>0</v>
      </c>
      <c r="T4651">
        <v>0</v>
      </c>
      <c r="U4651">
        <v>0</v>
      </c>
      <c r="W4651" t="s">
        <v>52</v>
      </c>
    </row>
    <row r="4652" spans="1:28" x14ac:dyDescent="0.35">
      <c r="A4652" t="s">
        <v>45</v>
      </c>
      <c r="B4652" t="s">
        <v>9237</v>
      </c>
      <c r="C4652" t="s">
        <v>60</v>
      </c>
      <c r="D4652" t="s">
        <v>61</v>
      </c>
      <c r="E4652" t="s">
        <v>61</v>
      </c>
      <c r="F4652" t="s">
        <v>54</v>
      </c>
      <c r="G4652" t="s">
        <v>9238</v>
      </c>
      <c r="H4652" t="s">
        <v>9315</v>
      </c>
      <c r="J4652" t="str">
        <f>HYPERLINK("https://www.facebook.com/634639855377280/posts/764165905758007?comment_id=354464687195652","https://www.facebook.com/634639855377280/posts/764165905758007?comment_id=354464687195652")</f>
        <v>https://www.facebook.com/634639855377280/posts/764165905758007?comment_id=354464687195652</v>
      </c>
      <c r="O4652">
        <v>0</v>
      </c>
      <c r="P4652">
        <v>0</v>
      </c>
      <c r="Q4652">
        <v>0</v>
      </c>
      <c r="S4652">
        <v>0</v>
      </c>
      <c r="T4652">
        <v>0</v>
      </c>
      <c r="U4652">
        <v>0</v>
      </c>
      <c r="W4652" t="s">
        <v>52</v>
      </c>
    </row>
    <row r="4653" spans="1:28" x14ac:dyDescent="0.35">
      <c r="A4653" t="s">
        <v>45</v>
      </c>
      <c r="B4653" t="s">
        <v>9237</v>
      </c>
      <c r="C4653" t="s">
        <v>60</v>
      </c>
      <c r="D4653" t="s">
        <v>61</v>
      </c>
      <c r="E4653" t="s">
        <v>61</v>
      </c>
      <c r="F4653" t="s">
        <v>54</v>
      </c>
      <c r="G4653" t="s">
        <v>9316</v>
      </c>
      <c r="H4653" t="s">
        <v>9317</v>
      </c>
      <c r="J4653" t="str">
        <f>HYPERLINK("https://www.facebook.com/634639855377280/posts/764165905758007?comment_id=1115800509430839","https://www.facebook.com/634639855377280/posts/764165905758007?comment_id=1115800509430839")</f>
        <v>https://www.facebook.com/634639855377280/posts/764165905758007?comment_id=1115800509430839</v>
      </c>
      <c r="O4653">
        <v>0</v>
      </c>
      <c r="P4653">
        <v>0</v>
      </c>
      <c r="Q4653">
        <v>0</v>
      </c>
      <c r="S4653">
        <v>0</v>
      </c>
      <c r="T4653">
        <v>0</v>
      </c>
      <c r="U4653">
        <v>0</v>
      </c>
      <c r="W4653" t="s">
        <v>52</v>
      </c>
    </row>
    <row r="4654" spans="1:28" x14ac:dyDescent="0.35">
      <c r="A4654" t="s">
        <v>45</v>
      </c>
      <c r="B4654" t="s">
        <v>9237</v>
      </c>
      <c r="C4654" t="s">
        <v>60</v>
      </c>
      <c r="D4654" t="s">
        <v>61</v>
      </c>
      <c r="E4654" t="s">
        <v>61</v>
      </c>
      <c r="F4654" t="s">
        <v>54</v>
      </c>
      <c r="G4654" t="s">
        <v>9318</v>
      </c>
      <c r="H4654" t="s">
        <v>9319</v>
      </c>
      <c r="J4654" t="str">
        <f>HYPERLINK("https://www.facebook.com/634639855377280/posts/764165905758007?comment_id=3684357281844622","https://www.facebook.com/634639855377280/posts/764165905758007?comment_id=3684357281844622")</f>
        <v>https://www.facebook.com/634639855377280/posts/764165905758007?comment_id=3684357281844622</v>
      </c>
      <c r="O4654">
        <v>0</v>
      </c>
      <c r="P4654">
        <v>0</v>
      </c>
      <c r="Q4654">
        <v>0</v>
      </c>
      <c r="S4654">
        <v>0</v>
      </c>
      <c r="T4654">
        <v>0</v>
      </c>
      <c r="U4654">
        <v>0</v>
      </c>
      <c r="W4654" t="s">
        <v>52</v>
      </c>
    </row>
    <row r="4655" spans="1:28" x14ac:dyDescent="0.35">
      <c r="A4655" t="s">
        <v>45</v>
      </c>
      <c r="B4655" t="s">
        <v>9237</v>
      </c>
      <c r="C4655" t="s">
        <v>60</v>
      </c>
      <c r="D4655" t="s">
        <v>61</v>
      </c>
      <c r="E4655" t="s">
        <v>61</v>
      </c>
      <c r="F4655" t="s">
        <v>49</v>
      </c>
      <c r="H4655" t="s">
        <v>9320</v>
      </c>
      <c r="J4655" t="str">
        <f>HYPERLINK("https://www.facebook.com/634639855377280/posts/764165905758007?comment_id=898756241528315","https://www.facebook.com/634639855377280/posts/764165905758007?comment_id=898756241528315")</f>
        <v>https://www.facebook.com/634639855377280/posts/764165905758007?comment_id=898756241528315</v>
      </c>
      <c r="O4655">
        <v>0</v>
      </c>
      <c r="P4655">
        <v>0</v>
      </c>
      <c r="Q4655">
        <v>0</v>
      </c>
      <c r="S4655">
        <v>0</v>
      </c>
      <c r="T4655">
        <v>0</v>
      </c>
      <c r="U4655">
        <v>0</v>
      </c>
      <c r="W4655" t="s">
        <v>52</v>
      </c>
    </row>
    <row r="4656" spans="1:28" x14ac:dyDescent="0.35">
      <c r="A4656" t="s">
        <v>45</v>
      </c>
      <c r="B4656" t="s">
        <v>4609</v>
      </c>
      <c r="C4656" t="s">
        <v>9321</v>
      </c>
      <c r="F4656" t="s">
        <v>49</v>
      </c>
      <c r="G4656" t="s">
        <v>9322</v>
      </c>
      <c r="H4656" t="s">
        <v>9323</v>
      </c>
      <c r="J4656" s="1" t="s">
        <v>9324</v>
      </c>
      <c r="AB4656" t="s">
        <v>9325</v>
      </c>
    </row>
    <row r="4657" spans="1:28" x14ac:dyDescent="0.35">
      <c r="A4657" t="s">
        <v>45</v>
      </c>
      <c r="B4657" t="s">
        <v>6567</v>
      </c>
      <c r="C4657" t="s">
        <v>9321</v>
      </c>
      <c r="F4657" t="s">
        <v>49</v>
      </c>
      <c r="G4657" t="s">
        <v>9326</v>
      </c>
      <c r="H4657" t="s">
        <v>9327</v>
      </c>
      <c r="J4657" s="1" t="s">
        <v>9328</v>
      </c>
      <c r="AB4657" t="s">
        <v>9329</v>
      </c>
    </row>
    <row r="4658" spans="1:28" x14ac:dyDescent="0.35">
      <c r="A4658" t="s">
        <v>45</v>
      </c>
      <c r="B4658" t="s">
        <v>7218</v>
      </c>
      <c r="C4658" t="s">
        <v>9321</v>
      </c>
      <c r="F4658" t="s">
        <v>54</v>
      </c>
      <c r="G4658" t="s">
        <v>9330</v>
      </c>
      <c r="H4658" t="s">
        <v>9331</v>
      </c>
      <c r="J4658" s="1" t="s">
        <v>9332</v>
      </c>
      <c r="AB4658" t="s">
        <v>9333</v>
      </c>
    </row>
  </sheetData>
  <hyperlinks>
    <hyperlink ref="G1289" r:id="rId1"/>
    <hyperlink ref="G1421" r:id="rId2"/>
    <hyperlink ref="G3872" r:id="rId3" location="SpiceMoneySecurityBreach%20@RBI%20@Cyberdost%20@mpcyberpolice%20@collectorapr%20https://t.co/lh6yq297Gp"/>
    <hyperlink ref="G4054" r:id="rId4"/>
    <hyperlink ref="G4055" r:id="rId5"/>
    <hyperlink ref="G4056" r:id="rId6"/>
    <hyperlink ref="G4057" r:id="rId7"/>
    <hyperlink ref="G4058" r:id="rId8"/>
    <hyperlink ref="G4060" r:id="rId9"/>
    <hyperlink ref="J4656" r:id="rId10"/>
    <hyperlink ref="J4657" r:id="rId11"/>
    <hyperlink ref="J4658"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Chatter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Bonny Akhil</dc:creator>
  <cp:lastModifiedBy>Bonny Akhil</cp:lastModifiedBy>
  <dcterms:created xsi:type="dcterms:W3CDTF">2024-04-04T10:48:22Z</dcterms:created>
  <dcterms:modified xsi:type="dcterms:W3CDTF">2024-04-04T10:50:26Z</dcterms:modified>
</cp:coreProperties>
</file>