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showInkAnnotation="0"/>
  <mc:AlternateContent xmlns:mc="http://schemas.openxmlformats.org/markup-compatibility/2006">
    <mc:Choice Requires="x15">
      <x15ac:absPath xmlns:x15ac="http://schemas.microsoft.com/office/spreadsheetml/2010/11/ac" url="https://usdagcc.sharepoint.com/sites/REE-ERS-OilCropsOutlook/Shared Documents/General/Yearbooks/"/>
    </mc:Choice>
  </mc:AlternateContent>
  <xr:revisionPtr revIDLastSave="8" documentId="13_ncr:1_{01F8CDA6-7E43-448C-A15C-23EAA964E38D}" xr6:coauthVersionLast="47" xr6:coauthVersionMax="47" xr10:uidLastSave="{A1B8211B-B232-4B52-8517-FA6AEEECB61B}"/>
  <bookViews>
    <workbookView xWindow="-108" yWindow="-108" windowWidth="23256" windowHeight="12576" tabRatio="598" xr2:uid="{00000000-000D-0000-FFFF-FFFF00000000}"/>
  </bookViews>
  <sheets>
    <sheet name="Contents" sheetId="101" r:id="rId1"/>
    <sheet name="tab28" sheetId="102" r:id="rId2"/>
    <sheet name="tab29" sheetId="103" r:id="rId3"/>
    <sheet name="tab30" sheetId="104" r:id="rId4"/>
    <sheet name="tab31" sheetId="105" r:id="rId5"/>
  </sheets>
  <definedNames>
    <definedName name="_xlnm.Print_Area" localSheetId="1">'tab28'!$B$5:$F$49</definedName>
    <definedName name="_xlnm.Print_Area" localSheetId="2">'tab29'!$B$8:$M$55</definedName>
    <definedName name="_xlnm.Print_Area" localSheetId="3">'tab30'!$B$7:$J$52</definedName>
    <definedName name="_xlnm.Print_Area" localSheetId="4">'tab31'!$B$7:$I$53</definedName>
    <definedName name="_xlnm.Print_Titles" localSheetId="1">'tab28'!$A:$A,'tab28'!$1:$3</definedName>
    <definedName name="_xlnm.Print_Titles" localSheetId="2">'tab29'!$A:$A,'tab29'!$1:$6</definedName>
    <definedName name="_xlnm.Print_Titles" localSheetId="3">'tab30'!$A:$A,'tab30'!$1:$5</definedName>
    <definedName name="_xlnm.Print_Titles" localSheetId="4">'tab31'!$A:$A,'tab31'!$1:$5</definedName>
    <definedName name="WASDE_Updated" localSheetId="0">Contents!#REF!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105" l="1"/>
  <c r="G49" i="105" s="1"/>
  <c r="E49" i="105" s="1"/>
  <c r="B49" i="105"/>
  <c r="B48" i="105"/>
  <c r="D48" i="105" s="1"/>
  <c r="G48" i="105" s="1"/>
  <c r="E48" i="105" s="1"/>
  <c r="B47" i="105"/>
  <c r="D47" i="105" s="1"/>
  <c r="G47" i="105" s="1"/>
  <c r="E47" i="105" s="1"/>
  <c r="D46" i="105"/>
  <c r="G46" i="105" s="1"/>
  <c r="E46" i="105" s="1"/>
  <c r="B46" i="105"/>
  <c r="B45" i="105"/>
  <c r="D45" i="105" s="1"/>
  <c r="G45" i="105" s="1"/>
  <c r="E45" i="105" s="1"/>
  <c r="B44" i="105"/>
  <c r="D44" i="105" s="1"/>
  <c r="G44" i="105" s="1"/>
  <c r="E44" i="105" s="1"/>
  <c r="D43" i="105"/>
  <c r="G43" i="105" s="1"/>
  <c r="E43" i="105" s="1"/>
  <c r="B43" i="105"/>
  <c r="B42" i="105"/>
  <c r="D42" i="105" s="1"/>
  <c r="G42" i="105" s="1"/>
  <c r="E42" i="105" s="1"/>
  <c r="B41" i="105"/>
  <c r="D41" i="105" s="1"/>
  <c r="G41" i="105" s="1"/>
  <c r="E41" i="105" s="1"/>
  <c r="D40" i="105"/>
  <c r="G40" i="105" s="1"/>
  <c r="E40" i="105" s="1"/>
  <c r="B40" i="105"/>
  <c r="B39" i="105"/>
  <c r="D39" i="105" s="1"/>
  <c r="G39" i="105" s="1"/>
  <c r="E39" i="105" s="1"/>
  <c r="B38" i="105"/>
  <c r="D38" i="105" s="1"/>
  <c r="G38" i="105" s="1"/>
  <c r="E38" i="105" s="1"/>
  <c r="D37" i="105"/>
  <c r="G37" i="105" s="1"/>
  <c r="E37" i="105" s="1"/>
  <c r="B37" i="105"/>
  <c r="B36" i="105"/>
  <c r="D36" i="105" s="1"/>
  <c r="G36" i="105" s="1"/>
  <c r="E36" i="105" s="1"/>
  <c r="B35" i="105"/>
  <c r="D35" i="105" s="1"/>
  <c r="G35" i="105" s="1"/>
  <c r="E35" i="105" s="1"/>
  <c r="D34" i="105"/>
  <c r="G34" i="105" s="1"/>
  <c r="E34" i="105" s="1"/>
  <c r="B34" i="105"/>
  <c r="B33" i="105"/>
  <c r="D33" i="105" s="1"/>
  <c r="G33" i="105" s="1"/>
  <c r="E33" i="105" s="1"/>
  <c r="B32" i="105"/>
  <c r="D32" i="105" s="1"/>
  <c r="G32" i="105" s="1"/>
  <c r="E32" i="105" s="1"/>
  <c r="D31" i="105"/>
  <c r="G31" i="105" s="1"/>
  <c r="E31" i="105" s="1"/>
  <c r="B31" i="105"/>
  <c r="B30" i="105"/>
  <c r="D30" i="105" s="1"/>
  <c r="G30" i="105" s="1"/>
  <c r="E30" i="105" s="1"/>
  <c r="B29" i="105"/>
  <c r="D29" i="105" s="1"/>
  <c r="G29" i="105" s="1"/>
  <c r="E29" i="105" s="1"/>
  <c r="D28" i="105"/>
  <c r="G28" i="105" s="1"/>
  <c r="E28" i="105" s="1"/>
  <c r="B28" i="105"/>
  <c r="D27" i="105"/>
  <c r="G27" i="105" s="1"/>
  <c r="E27" i="105" s="1"/>
  <c r="G26" i="105"/>
  <c r="E26" i="105" s="1"/>
  <c r="D26" i="105"/>
  <c r="B26" i="105"/>
  <c r="D25" i="105"/>
  <c r="G25" i="105" s="1"/>
  <c r="E25" i="105" s="1"/>
  <c r="B25" i="105"/>
  <c r="B24" i="105"/>
  <c r="D24" i="105" s="1"/>
  <c r="G24" i="105" s="1"/>
  <c r="E24" i="105" s="1"/>
  <c r="G23" i="105"/>
  <c r="E23" i="105" s="1"/>
  <c r="D23" i="105"/>
  <c r="B23" i="105"/>
  <c r="D22" i="105"/>
  <c r="G22" i="105" s="1"/>
  <c r="E22" i="105" s="1"/>
  <c r="B22" i="105"/>
  <c r="B21" i="105"/>
  <c r="D21" i="105" s="1"/>
  <c r="G21" i="105" s="1"/>
  <c r="E21" i="105" s="1"/>
  <c r="G20" i="105"/>
  <c r="E20" i="105" s="1"/>
  <c r="D20" i="105"/>
  <c r="B20" i="105"/>
  <c r="D19" i="105"/>
  <c r="G19" i="105" s="1"/>
  <c r="E19" i="105" s="1"/>
  <c r="B19" i="105"/>
  <c r="B18" i="105"/>
  <c r="D18" i="105" s="1"/>
  <c r="G18" i="105" s="1"/>
  <c r="E18" i="105" s="1"/>
  <c r="G17" i="105"/>
  <c r="E17" i="105" s="1"/>
  <c r="D17" i="105"/>
  <c r="B17" i="105"/>
  <c r="D16" i="105"/>
  <c r="G16" i="105" s="1"/>
  <c r="E16" i="105" s="1"/>
  <c r="B16" i="105"/>
  <c r="B15" i="105"/>
  <c r="D15" i="105" s="1"/>
  <c r="G15" i="105" s="1"/>
  <c r="E15" i="105" s="1"/>
  <c r="G14" i="105"/>
  <c r="E14" i="105" s="1"/>
  <c r="D14" i="105"/>
  <c r="B14" i="105"/>
  <c r="D13" i="105"/>
  <c r="G13" i="105" s="1"/>
  <c r="E13" i="105" s="1"/>
  <c r="B13" i="105"/>
  <c r="B12" i="105"/>
  <c r="D12" i="105" s="1"/>
  <c r="G12" i="105" s="1"/>
  <c r="E12" i="105" s="1"/>
  <c r="G11" i="105"/>
  <c r="E11" i="105" s="1"/>
  <c r="D11" i="105"/>
  <c r="B11" i="105"/>
  <c r="D10" i="105"/>
  <c r="G10" i="105" s="1"/>
  <c r="E10" i="105" s="1"/>
  <c r="B10" i="105"/>
  <c r="B9" i="105"/>
  <c r="D9" i="105" s="1"/>
  <c r="G9" i="105" s="1"/>
  <c r="E9" i="105" s="1"/>
  <c r="G8" i="105"/>
  <c r="E8" i="105" s="1"/>
  <c r="D8" i="105"/>
  <c r="B8" i="105"/>
  <c r="D7" i="105"/>
  <c r="G7" i="105" s="1"/>
  <c r="E7" i="105" s="1"/>
  <c r="H49" i="104"/>
  <c r="E49" i="104"/>
  <c r="E48" i="104"/>
  <c r="H48" i="104" s="1"/>
  <c r="E47" i="104"/>
  <c r="H47" i="104" s="1"/>
  <c r="E46" i="104"/>
  <c r="H46" i="104" s="1"/>
  <c r="B46" i="104"/>
  <c r="B45" i="104"/>
  <c r="E45" i="104" s="1"/>
  <c r="H45" i="104" s="1"/>
  <c r="B44" i="104"/>
  <c r="E44" i="104" s="1"/>
  <c r="H44" i="104" s="1"/>
  <c r="F44" i="104" s="1"/>
  <c r="B43" i="104"/>
  <c r="E43" i="104" s="1"/>
  <c r="H43" i="104" s="1"/>
  <c r="F43" i="104" s="1"/>
  <c r="B42" i="104"/>
  <c r="E42" i="104" s="1"/>
  <c r="H42" i="104" s="1"/>
  <c r="F42" i="104" s="1"/>
  <c r="B41" i="104"/>
  <c r="E41" i="104" s="1"/>
  <c r="H41" i="104" s="1"/>
  <c r="F41" i="104" s="1"/>
  <c r="B40" i="104"/>
  <c r="E40" i="104" s="1"/>
  <c r="H40" i="104" s="1"/>
  <c r="F40" i="104" s="1"/>
  <c r="B39" i="104"/>
  <c r="E39" i="104" s="1"/>
  <c r="H39" i="104" s="1"/>
  <c r="F39" i="104" s="1"/>
  <c r="B38" i="104"/>
  <c r="E38" i="104" s="1"/>
  <c r="H38" i="104" s="1"/>
  <c r="F38" i="104" s="1"/>
  <c r="B37" i="104"/>
  <c r="E37" i="104" s="1"/>
  <c r="H37" i="104" s="1"/>
  <c r="F37" i="104" s="1"/>
  <c r="B36" i="104"/>
  <c r="E36" i="104" s="1"/>
  <c r="H36" i="104" s="1"/>
  <c r="F36" i="104" s="1"/>
  <c r="B35" i="104"/>
  <c r="E35" i="104" s="1"/>
  <c r="H35" i="104" s="1"/>
  <c r="F35" i="104" s="1"/>
  <c r="B34" i="104"/>
  <c r="E34" i="104" s="1"/>
  <c r="H34" i="104" s="1"/>
  <c r="F34" i="104" s="1"/>
  <c r="B33" i="104"/>
  <c r="E33" i="104" s="1"/>
  <c r="H33" i="104" s="1"/>
  <c r="F33" i="104" s="1"/>
  <c r="B32" i="104"/>
  <c r="E32" i="104" s="1"/>
  <c r="H32" i="104" s="1"/>
  <c r="F32" i="104" s="1"/>
  <c r="B31" i="104"/>
  <c r="E31" i="104" s="1"/>
  <c r="H31" i="104" s="1"/>
  <c r="F31" i="104" s="1"/>
  <c r="B30" i="104"/>
  <c r="E30" i="104" s="1"/>
  <c r="H30" i="104" s="1"/>
  <c r="F30" i="104" s="1"/>
  <c r="B29" i="104"/>
  <c r="E29" i="104" s="1"/>
  <c r="H29" i="104" s="1"/>
  <c r="F29" i="104" s="1"/>
  <c r="B28" i="104"/>
  <c r="E28" i="104" s="1"/>
  <c r="H28" i="104" s="1"/>
  <c r="F28" i="104" s="1"/>
  <c r="B27" i="104"/>
  <c r="E27" i="104" s="1"/>
  <c r="H27" i="104" s="1"/>
  <c r="F27" i="104" s="1"/>
  <c r="B26" i="104"/>
  <c r="E26" i="104" s="1"/>
  <c r="H26" i="104" s="1"/>
  <c r="F26" i="104" s="1"/>
  <c r="B25" i="104"/>
  <c r="E25" i="104" s="1"/>
  <c r="H25" i="104" s="1"/>
  <c r="F25" i="104" s="1"/>
  <c r="B24" i="104"/>
  <c r="E24" i="104" s="1"/>
  <c r="H24" i="104" s="1"/>
  <c r="F24" i="104" s="1"/>
  <c r="B23" i="104"/>
  <c r="E23" i="104" s="1"/>
  <c r="H23" i="104" s="1"/>
  <c r="F23" i="104" s="1"/>
  <c r="B22" i="104"/>
  <c r="E22" i="104" s="1"/>
  <c r="H22" i="104" s="1"/>
  <c r="F22" i="104" s="1"/>
  <c r="B21" i="104"/>
  <c r="E21" i="104" s="1"/>
  <c r="H21" i="104" s="1"/>
  <c r="F21" i="104" s="1"/>
  <c r="B20" i="104"/>
  <c r="E20" i="104" s="1"/>
  <c r="H20" i="104" s="1"/>
  <c r="F20" i="104" s="1"/>
  <c r="B19" i="104"/>
  <c r="E19" i="104" s="1"/>
  <c r="H19" i="104" s="1"/>
  <c r="F19" i="104" s="1"/>
  <c r="B18" i="104"/>
  <c r="E18" i="104" s="1"/>
  <c r="H18" i="104" s="1"/>
  <c r="F18" i="104" s="1"/>
  <c r="B17" i="104"/>
  <c r="E17" i="104" s="1"/>
  <c r="H17" i="104" s="1"/>
  <c r="F17" i="104" s="1"/>
  <c r="B16" i="104"/>
  <c r="E16" i="104" s="1"/>
  <c r="H16" i="104" s="1"/>
  <c r="F16" i="104" s="1"/>
  <c r="B15" i="104"/>
  <c r="E15" i="104" s="1"/>
  <c r="H15" i="104" s="1"/>
  <c r="F15" i="104" s="1"/>
  <c r="B14" i="104"/>
  <c r="E14" i="104" s="1"/>
  <c r="H14" i="104" s="1"/>
  <c r="F14" i="104" s="1"/>
  <c r="B13" i="104"/>
  <c r="E13" i="104" s="1"/>
  <c r="H13" i="104" s="1"/>
  <c r="F13" i="104" s="1"/>
  <c r="B12" i="104"/>
  <c r="E12" i="104" s="1"/>
  <c r="H12" i="104" s="1"/>
  <c r="F12" i="104" s="1"/>
  <c r="B11" i="104"/>
  <c r="E11" i="104" s="1"/>
  <c r="H11" i="104" s="1"/>
  <c r="F11" i="104" s="1"/>
  <c r="B10" i="104"/>
  <c r="E10" i="104" s="1"/>
  <c r="H10" i="104" s="1"/>
  <c r="F10" i="104" s="1"/>
  <c r="B9" i="104"/>
  <c r="E9" i="104" s="1"/>
  <c r="H9" i="104" s="1"/>
  <c r="F9" i="104" s="1"/>
  <c r="B8" i="104"/>
  <c r="E8" i="104" s="1"/>
  <c r="H8" i="104" s="1"/>
  <c r="F8" i="104" s="1"/>
  <c r="H7" i="104"/>
  <c r="F7" i="104"/>
  <c r="E7" i="104"/>
  <c r="J50" i="103"/>
  <c r="I50" i="103" s="1"/>
  <c r="E50" i="103"/>
  <c r="C50" i="103"/>
  <c r="J49" i="103"/>
  <c r="I49" i="103" s="1"/>
  <c r="E49" i="103"/>
  <c r="C49" i="103"/>
  <c r="E48" i="103"/>
  <c r="J48" i="103" s="1"/>
  <c r="I48" i="103" s="1"/>
  <c r="C48" i="103"/>
  <c r="J47" i="103"/>
  <c r="I47" i="103" s="1"/>
  <c r="E47" i="103"/>
  <c r="C47" i="103"/>
  <c r="J46" i="103"/>
  <c r="I46" i="103" s="1"/>
  <c r="E46" i="103"/>
  <c r="C46" i="103"/>
  <c r="E45" i="103"/>
  <c r="J45" i="103" s="1"/>
  <c r="I45" i="103" s="1"/>
  <c r="C45" i="103"/>
  <c r="J44" i="103"/>
  <c r="I44" i="103" s="1"/>
  <c r="E44" i="103"/>
  <c r="C44" i="103"/>
  <c r="J43" i="103"/>
  <c r="I43" i="103" s="1"/>
  <c r="C43" i="103"/>
  <c r="C42" i="103"/>
  <c r="E42" i="103" s="1"/>
  <c r="J42" i="103" s="1"/>
  <c r="I42" i="103" s="1"/>
  <c r="C41" i="103"/>
  <c r="E41" i="103" s="1"/>
  <c r="J41" i="103" s="1"/>
  <c r="I41" i="103" s="1"/>
  <c r="E40" i="103"/>
  <c r="J40" i="103" s="1"/>
  <c r="I40" i="103" s="1"/>
  <c r="C40" i="103"/>
  <c r="C39" i="103"/>
  <c r="E39" i="103" s="1"/>
  <c r="J39" i="103" s="1"/>
  <c r="I39" i="103" s="1"/>
  <c r="C38" i="103"/>
  <c r="E38" i="103" s="1"/>
  <c r="J38" i="103" s="1"/>
  <c r="I38" i="103" s="1"/>
  <c r="E37" i="103"/>
  <c r="J37" i="103" s="1"/>
  <c r="I37" i="103" s="1"/>
  <c r="C37" i="103"/>
  <c r="C36" i="103"/>
  <c r="E36" i="103" s="1"/>
  <c r="J36" i="103" s="1"/>
  <c r="I36" i="103" s="1"/>
  <c r="C35" i="103"/>
  <c r="E35" i="103" s="1"/>
  <c r="J35" i="103" s="1"/>
  <c r="I35" i="103" s="1"/>
  <c r="E34" i="103"/>
  <c r="J34" i="103" s="1"/>
  <c r="I34" i="103" s="1"/>
  <c r="C34" i="103"/>
  <c r="C33" i="103"/>
  <c r="E33" i="103" s="1"/>
  <c r="J33" i="103" s="1"/>
  <c r="I33" i="103" s="1"/>
  <c r="C32" i="103"/>
  <c r="E32" i="103" s="1"/>
  <c r="J32" i="103" s="1"/>
  <c r="I32" i="103" s="1"/>
  <c r="E31" i="103"/>
  <c r="J31" i="103" s="1"/>
  <c r="I31" i="103" s="1"/>
  <c r="C31" i="103"/>
  <c r="C30" i="103"/>
  <c r="E30" i="103" s="1"/>
  <c r="J30" i="103" s="1"/>
  <c r="I30" i="103" s="1"/>
  <c r="C29" i="103"/>
  <c r="E29" i="103" s="1"/>
  <c r="J29" i="103" s="1"/>
  <c r="I29" i="103" s="1"/>
  <c r="E28" i="103"/>
  <c r="J28" i="103" s="1"/>
  <c r="I28" i="103" s="1"/>
  <c r="C28" i="103"/>
  <c r="C27" i="103"/>
  <c r="E27" i="103" s="1"/>
  <c r="J27" i="103" s="1"/>
  <c r="I27" i="103" s="1"/>
  <c r="C26" i="103"/>
  <c r="E26" i="103" s="1"/>
  <c r="J26" i="103" s="1"/>
  <c r="I26" i="103" s="1"/>
  <c r="E25" i="103"/>
  <c r="J25" i="103" s="1"/>
  <c r="I25" i="103" s="1"/>
  <c r="C25" i="103"/>
  <c r="C24" i="103"/>
  <c r="E24" i="103" s="1"/>
  <c r="J24" i="103" s="1"/>
  <c r="I24" i="103" s="1"/>
  <c r="C23" i="103"/>
  <c r="E23" i="103" s="1"/>
  <c r="J23" i="103" s="1"/>
  <c r="I23" i="103" s="1"/>
  <c r="E22" i="103"/>
  <c r="J22" i="103" s="1"/>
  <c r="I22" i="103" s="1"/>
  <c r="C22" i="103"/>
  <c r="C21" i="103"/>
  <c r="E21" i="103" s="1"/>
  <c r="J21" i="103" s="1"/>
  <c r="I21" i="103" s="1"/>
  <c r="C20" i="103"/>
  <c r="E20" i="103" s="1"/>
  <c r="J20" i="103" s="1"/>
  <c r="I20" i="103" s="1"/>
  <c r="E19" i="103"/>
  <c r="J19" i="103" s="1"/>
  <c r="I19" i="103" s="1"/>
  <c r="C19" i="103"/>
  <c r="C18" i="103"/>
  <c r="E18" i="103" s="1"/>
  <c r="J18" i="103" s="1"/>
  <c r="I18" i="103" s="1"/>
  <c r="C17" i="103"/>
  <c r="E17" i="103" s="1"/>
  <c r="J17" i="103" s="1"/>
  <c r="I17" i="103" s="1"/>
  <c r="E16" i="103"/>
  <c r="J16" i="103" s="1"/>
  <c r="I16" i="103" s="1"/>
  <c r="C16" i="103"/>
  <c r="C15" i="103"/>
  <c r="E15" i="103" s="1"/>
  <c r="J15" i="103" s="1"/>
  <c r="I15" i="103" s="1"/>
  <c r="C14" i="103"/>
  <c r="E14" i="103" s="1"/>
  <c r="J14" i="103" s="1"/>
  <c r="I14" i="103" s="1"/>
  <c r="E13" i="103"/>
  <c r="J13" i="103" s="1"/>
  <c r="I13" i="103" s="1"/>
  <c r="C13" i="103"/>
  <c r="C12" i="103"/>
  <c r="E12" i="103" s="1"/>
  <c r="J12" i="103" s="1"/>
  <c r="I12" i="103" s="1"/>
  <c r="C11" i="103"/>
  <c r="E11" i="103" s="1"/>
  <c r="J11" i="103" s="1"/>
  <c r="I11" i="103" s="1"/>
  <c r="E10" i="103"/>
  <c r="J10" i="103" s="1"/>
  <c r="I10" i="103" s="1"/>
  <c r="C10" i="103"/>
  <c r="C9" i="103"/>
  <c r="E9" i="103" s="1"/>
  <c r="J9" i="103" s="1"/>
  <c r="I9" i="103" s="1"/>
  <c r="C8" i="103"/>
  <c r="E8" i="103" s="1"/>
  <c r="J8" i="103" s="1"/>
  <c r="I8" i="103" s="1"/>
  <c r="D47" i="102"/>
  <c r="D46" i="102"/>
  <c r="D45" i="102"/>
  <c r="D44" i="102"/>
  <c r="D43" i="102"/>
  <c r="D42" i="102"/>
  <c r="D41" i="102"/>
  <c r="D40" i="102"/>
  <c r="D39" i="102"/>
  <c r="D38" i="102"/>
  <c r="D37" i="102"/>
  <c r="D36" i="102"/>
  <c r="D35" i="102"/>
  <c r="D34" i="102"/>
  <c r="D33" i="102"/>
  <c r="D32" i="102"/>
  <c r="D31" i="102"/>
  <c r="D30" i="102"/>
  <c r="D29" i="102"/>
  <c r="D28" i="102"/>
  <c r="D27" i="102"/>
  <c r="D26" i="102"/>
  <c r="D25" i="102"/>
</calcChain>
</file>

<file path=xl/sharedStrings.xml><?xml version="1.0" encoding="utf-8"?>
<sst xmlns="http://schemas.openxmlformats.org/spreadsheetml/2006/main" count="252" uniqueCount="116">
  <si>
    <t>Total</t>
  </si>
  <si>
    <t>1,000 bushels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</si>
  <si>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</si>
  <si>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</si>
  <si>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</si>
  <si>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</si>
  <si>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</si>
  <si>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</si>
  <si>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</si>
  <si>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</si>
  <si>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</si>
  <si>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</si>
  <si>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</si>
  <si>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Year</t>
  </si>
  <si>
    <t>Planted</t>
  </si>
  <si>
    <t>Harvested</t>
  </si>
  <si>
    <t>Production</t>
  </si>
  <si>
    <t>Value</t>
  </si>
  <si>
    <t>Bushels</t>
  </si>
  <si>
    <t>Imports</t>
  </si>
  <si>
    <t>Exports</t>
  </si>
  <si>
    <t>Yield per acre</t>
  </si>
  <si>
    <t>beginning</t>
  </si>
  <si>
    <t>stocks</t>
  </si>
  <si>
    <t>Crush</t>
  </si>
  <si>
    <t>received</t>
  </si>
  <si>
    <t>Disappearance</t>
  </si>
  <si>
    <t>Price</t>
  </si>
  <si>
    <t>Supply</t>
  </si>
  <si>
    <t>Beginning</t>
  </si>
  <si>
    <t>Domestic</t>
  </si>
  <si>
    <t>Ending</t>
  </si>
  <si>
    <t xml:space="preserve"> June 1</t>
  </si>
  <si>
    <t xml:space="preserve"> Exports</t>
  </si>
  <si>
    <t>Residual</t>
  </si>
  <si>
    <t xml:space="preserve"> --------------- 1,000 bushels ---------------</t>
  </si>
  <si>
    <t>Seed</t>
  </si>
  <si>
    <t>by farmers</t>
  </si>
  <si>
    <t xml:space="preserve"> ---------------1,000 short tons ---------------</t>
  </si>
  <si>
    <t>-------------------- Million pounds --------------------</t>
  </si>
  <si>
    <t>Total 1/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</si>
  <si>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</si>
  <si>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</si>
  <si>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</si>
  <si>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</si>
  <si>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</si>
  <si>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</si>
  <si>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</si>
  <si>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</si>
  <si>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</si>
  <si>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2001/02</t>
  </si>
  <si>
    <t>2002/03</t>
  </si>
  <si>
    <t>2004/05</t>
  </si>
  <si>
    <t>2005/06</t>
  </si>
  <si>
    <t>2006/07</t>
  </si>
  <si>
    <t>NA</t>
  </si>
  <si>
    <t>2007/08</t>
  </si>
  <si>
    <t>2008/09</t>
  </si>
  <si>
    <t>2009/10</t>
  </si>
  <si>
    <t>2010/11</t>
  </si>
  <si>
    <t xml:space="preserve">2009/10 </t>
  </si>
  <si>
    <t xml:space="preserve">2010/11 </t>
  </si>
  <si>
    <t>2011/12</t>
  </si>
  <si>
    <t>2012/13</t>
  </si>
  <si>
    <t xml:space="preserve">2011/12 </t>
  </si>
  <si>
    <t>Cents/pound</t>
  </si>
  <si>
    <t>Loan rate</t>
  </si>
  <si>
    <t>2013/14</t>
  </si>
  <si>
    <t>Oil Crops Data: Yearbook Tables</t>
  </si>
  <si>
    <t>2014/15</t>
  </si>
  <si>
    <t>2015/16</t>
  </si>
  <si>
    <t xml:space="preserve">2014/15 </t>
  </si>
  <si>
    <t>2016/17</t>
  </si>
  <si>
    <t xml:space="preserve">2015/16 </t>
  </si>
  <si>
    <t>Season-average</t>
  </si>
  <si>
    <t xml:space="preserve">2016/17 </t>
  </si>
  <si>
    <t>2018/19</t>
  </si>
  <si>
    <t xml:space="preserve">2017/18 </t>
  </si>
  <si>
    <t>2019/20</t>
  </si>
  <si>
    <t xml:space="preserve">2018/19 </t>
  </si>
  <si>
    <r>
      <rPr>
        <i/>
        <sz val="8"/>
        <rFont val="Helvetica"/>
      </rPr>
      <t>Loan Deficiency Payments Fact Sheet</t>
    </r>
    <r>
      <rPr>
        <sz val="8"/>
        <rFont val="Helvetica"/>
      </rPr>
      <t>.</t>
    </r>
  </si>
  <si>
    <t xml:space="preserve">2019/20 </t>
  </si>
  <si>
    <t>Dollars/bushel</t>
  </si>
  <si>
    <t>Dollars/short ton</t>
  </si>
  <si>
    <t>Thousand dollars</t>
  </si>
  <si>
    <t>Minneapolis, MN</t>
  </si>
  <si>
    <t xml:space="preserve"> Year</t>
  </si>
  <si>
    <t xml:space="preserve"> Year   </t>
  </si>
  <si>
    <t xml:space="preserve">2000/01 </t>
  </si>
  <si>
    <t xml:space="preserve">2003/04 </t>
  </si>
  <si>
    <t xml:space="preserve"> --------1,000 acres---------</t>
  </si>
  <si>
    <t>34-percent protein</t>
  </si>
  <si>
    <t>2021/22 2/</t>
  </si>
  <si>
    <t>1/ Estimate. 2/ Forecast.</t>
  </si>
  <si>
    <t>1/ Forecast. 2/ Estimate.</t>
  </si>
  <si>
    <r>
      <t xml:space="preserve">and USDA, Foreign Agricultural Service, </t>
    </r>
    <r>
      <rPr>
        <sz val="8"/>
        <rFont val="Helvetica"/>
      </rPr>
      <t>Global Agricultural Trade System.</t>
    </r>
  </si>
  <si>
    <t>NA = Not available.</t>
  </si>
  <si>
    <r>
      <rPr>
        <i/>
        <sz val="8"/>
        <rFont val="Helvetica"/>
      </rPr>
      <t>Agricultural Prices</t>
    </r>
    <r>
      <rPr>
        <sz val="8"/>
        <rFont val="Helvetica"/>
      </rPr>
      <t>; USDA, Foreign Agricultural Service, Global Agricultural Trade System;</t>
    </r>
    <r>
      <rPr>
        <i/>
        <sz val="8"/>
        <rFont val="Helvetica"/>
      </rPr>
      <t xml:space="preserve"> </t>
    </r>
    <r>
      <rPr>
        <sz val="8"/>
        <rFont val="Helvetica"/>
      </rPr>
      <t>and USDA, Farm Service Agency,</t>
    </r>
    <r>
      <rPr>
        <i/>
        <sz val="8"/>
        <rFont val="Helvetica"/>
      </rPr>
      <t xml:space="preserve"> Nonrecourse Marketing Assistance Loans and </t>
    </r>
  </si>
  <si>
    <r>
      <t>Updates of these data and data covering more years and countries can be found in USDA, Economic Research Service, Data Products,</t>
    </r>
    <r>
      <rPr>
        <i/>
        <sz val="8"/>
        <rFont val="Helvetica"/>
      </rPr>
      <t xml:space="preserve"> Oil Crops Yearbook</t>
    </r>
    <r>
      <rPr>
        <sz val="8"/>
        <rFont val="Helvetica"/>
      </rPr>
      <t>.</t>
    </r>
  </si>
  <si>
    <t>U.S. flaxseed and flaxseed products—annual</t>
  </si>
  <si>
    <t>Contact: Maria Bukowski and Aaron M. Ates, USDA, Economic Research Service, Market and Trade Economics Division.</t>
  </si>
  <si>
    <t>1/ Total supply includes imports. 2/ Estimate. 3/ Forecast.</t>
  </si>
  <si>
    <t>Table 28—Flaxseed: U.S. acreage planted, harvested, yield, production, and value, 1980–2022</t>
  </si>
  <si>
    <t>Table 29—Flaxseed: U.S. supply, disappearance, and price, 1980/81–2022/23</t>
  </si>
  <si>
    <t>Table 30—Linseed meal: U.S. supply, disappearance, and price, 1980/81–2022/23</t>
  </si>
  <si>
    <t>Table 31—Linseed oil: U.S. supply, disappearance, and price, 1980/81–2022/23</t>
  </si>
  <si>
    <t>Last updated: March 27, 2023.</t>
  </si>
  <si>
    <r>
      <t>Source: USDA, Economic Research Service using data from USDA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Crop Values</t>
    </r>
    <r>
      <rPr>
        <sz val="8"/>
        <rFont val="Helvetica"/>
        <family val="2"/>
      </rPr>
      <t>.</t>
    </r>
  </si>
  <si>
    <t>Last updated: 03/27/2023.</t>
  </si>
  <si>
    <t>2020/21</t>
  </si>
  <si>
    <t>2021/22 1/</t>
  </si>
  <si>
    <t>2022/23 2/</t>
  </si>
  <si>
    <r>
      <t>Source: USDA, Economic Research Service using data from USDA, National Agricultural Statistics Service,</t>
    </r>
    <r>
      <rPr>
        <i/>
        <sz val="8"/>
        <rFont val="Helvetica"/>
      </rPr>
      <t xml:space="preserve"> Crop Production, Grain Stocks, and </t>
    </r>
  </si>
  <si>
    <r>
      <t xml:space="preserve">Source: USDA, Economic Research Service estimates; USDA, Agricultural Marketing Service, </t>
    </r>
    <r>
      <rPr>
        <i/>
        <sz val="8"/>
        <rFont val="Helvetica"/>
        <family val="2"/>
      </rPr>
      <t>National Monthly Feedstuff Prices;</t>
    </r>
  </si>
  <si>
    <t>2022/23 3/</t>
  </si>
  <si>
    <r>
      <t xml:space="preserve">Source: USDA, Economic Research Service estimates; USDA, Foreign Agricultural Service, </t>
    </r>
    <r>
      <rPr>
        <sz val="8"/>
        <rFont val="Helvetica"/>
      </rPr>
      <t>Global Agricultural Trade System;</t>
    </r>
    <r>
      <rPr>
        <sz val="8"/>
        <rFont val="Helvetica"/>
        <family val="2"/>
      </rPr>
      <t xml:space="preserve"> and Reuters.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</si>
</sst>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3" formatCode="_(* #,##0.00_);_(* \(#,##0.00\);_(* &quot;-&quot;??_);_(@_)"/>
    <numFmt numFmtId="164" formatCode="#,##0___________________)"/>
    <numFmt numFmtId="165" formatCode="#,##0_________)"/>
    <numFmt numFmtId="166" formatCode="#,##0___)"/>
    <numFmt numFmtId="167" formatCode="#,##0_______________)"/>
    <numFmt numFmtId="168" formatCode="#,##0.0___)"/>
    <numFmt numFmtId="169" formatCode="#,##0.00_______)"/>
    <numFmt numFmtId="170" formatCode="#,##0.0_______________)"/>
    <numFmt numFmtId="171" formatCode="#,##0.00_____)"/>
    <numFmt numFmtId="172" formatCode="0.00_)"/>
  </numFmts>
  <fonts count="42" x14ac:knownFonts="1">
    <font>
      <sz val="8"/>
      <name val="Helvetic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</font>
    <font>
      <sz val="8"/>
      <name val="Helvetica"/>
      <family val="2"/>
    </font>
    <font>
      <i/>
      <sz val="8"/>
      <name val="Helvetica"/>
      <family val="2"/>
    </font>
    <font>
      <u/>
      <sz val="8"/>
      <color indexed="12"/>
      <name val="Helvetica"/>
      <family val="2"/>
    </font>
    <font>
      <i/>
      <sz val="8"/>
      <name val="Helvetica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name val="Helvetica"/>
    </font>
    <font>
      <b/>
      <sz val="14"/>
      <name val="Helvetica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u/>
      <sz val="10.45"/>
      <color indexed="12"/>
      <name val="Arial"/>
      <family val="2"/>
    </font>
    <font>
      <sz val="10"/>
      <name val="Courier"/>
    </font>
    <font>
      <u/>
      <sz val="10"/>
      <color indexed="12"/>
      <name val="Courier"/>
      <family val="3"/>
    </font>
    <font>
      <sz val="10"/>
      <name val="Arial"/>
      <family val="2"/>
    </font>
    <font>
      <sz val="10"/>
      <name val="Arial"/>
      <family val="2"/>
    </font>
    <font>
      <sz val="8"/>
      <color theme="1"/>
      <name val="Helvetica"/>
    </font>
    <font>
      <sz val="8"/>
      <color theme="1"/>
      <name val="Helvetica"/>
      <family val="2"/>
    </font>
    <font>
      <u/>
      <sz val="8"/>
      <name val="Helvetica"/>
      <family val="2"/>
    </font>
    <font>
      <b/>
      <sz val="10"/>
      <color theme="1"/>
      <name val="Helvetica"/>
    </font>
    <font>
      <sz val="10"/>
      <color rgb="FF0000E1"/>
      <name val="Arial"/>
      <family val="2"/>
    </font>
    <font>
      <u/>
      <sz val="8"/>
      <color rgb="FF0000E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8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7" applyNumberFormat="0" applyAlignment="0" applyProtection="0"/>
    <xf numFmtId="0" fontId="22" fillId="6" borderId="8" applyNumberFormat="0" applyAlignment="0" applyProtection="0"/>
    <xf numFmtId="0" fontId="23" fillId="6" borderId="7" applyNumberFormat="0" applyAlignment="0" applyProtection="0"/>
    <xf numFmtId="0" fontId="24" fillId="0" borderId="9" applyNumberFormat="0" applyFill="0" applyAlignment="0" applyProtection="0"/>
    <xf numFmtId="0" fontId="25" fillId="7" borderId="10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72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37" fontId="32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8" borderId="11" applyNumberFormat="0" applyFont="0" applyAlignment="0" applyProtection="0"/>
    <xf numFmtId="0" fontId="34" fillId="0" borderId="0"/>
    <xf numFmtId="43" fontId="8" fillId="0" borderId="0" applyFont="0" applyFill="0" applyBorder="0" applyAlignment="0" applyProtection="0"/>
    <xf numFmtId="0" fontId="35" fillId="0" borderId="0"/>
    <xf numFmtId="43" fontId="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8" fillId="0" borderId="0"/>
    <xf numFmtId="0" fontId="8" fillId="0" borderId="0"/>
    <xf numFmtId="0" fontId="1" fillId="0" borderId="0"/>
    <xf numFmtId="9" fontId="8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7" fillId="0" borderId="0" xfId="0" applyFont="1"/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right"/>
    </xf>
    <xf numFmtId="0" fontId="8" fillId="0" borderId="0" xfId="4" applyAlignment="1">
      <alignment vertical="top" wrapText="1"/>
    </xf>
    <xf numFmtId="0" fontId="8" fillId="0" borderId="0" xfId="4"/>
    <xf numFmtId="0" fontId="10" fillId="0" borderId="0" xfId="2" applyFont="1" applyAlignment="1" applyProtection="1"/>
    <xf numFmtId="0" fontId="11" fillId="0" borderId="0" xfId="4" applyFont="1"/>
    <xf numFmtId="0" fontId="8" fillId="0" borderId="0" xfId="4" applyAlignment="1">
      <alignment wrapText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6" fillId="0" borderId="0" xfId="1" applyAlignment="1" applyProtection="1">
      <alignment horizontal="lef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right" indent="5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16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6" fontId="7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left" indent="4"/>
    </xf>
    <xf numFmtId="0" fontId="7" fillId="0" borderId="3" xfId="0" quotePrefix="1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0" xfId="0" applyFont="1" applyAlignment="1">
      <alignment horizontal="left" indent="6"/>
    </xf>
    <xf numFmtId="0" fontId="0" fillId="0" borderId="20" xfId="0" applyBorder="1" applyAlignment="1">
      <alignment horizontal="center"/>
    </xf>
    <xf numFmtId="4" fontId="0" fillId="0" borderId="0" xfId="0" applyNumberFormat="1"/>
    <xf numFmtId="167" fontId="36" fillId="0" borderId="0" xfId="0" applyNumberFormat="1" applyFont="1"/>
    <xf numFmtId="0" fontId="38" fillId="0" borderId="0" xfId="1" applyFont="1" applyFill="1" applyAlignment="1" applyProtection="1">
      <alignment horizontal="left"/>
    </xf>
    <xf numFmtId="0" fontId="39" fillId="0" borderId="0" xfId="0" applyFont="1" applyAlignment="1">
      <alignment horizontal="left"/>
    </xf>
    <xf numFmtId="0" fontId="37" fillId="0" borderId="1" xfId="0" applyFont="1" applyBorder="1"/>
    <xf numFmtId="0" fontId="36" fillId="0" borderId="0" xfId="0" applyFont="1" applyAlignment="1">
      <alignment horizontal="left"/>
    </xf>
    <xf numFmtId="170" fontId="36" fillId="0" borderId="0" xfId="0" applyNumberFormat="1" applyFont="1"/>
    <xf numFmtId="0" fontId="36" fillId="0" borderId="1" xfId="0" applyFont="1" applyBorder="1" applyAlignment="1">
      <alignment horizontal="left"/>
    </xf>
    <xf numFmtId="167" fontId="36" fillId="0" borderId="1" xfId="0" applyNumberFormat="1" applyFont="1" applyBorder="1"/>
    <xf numFmtId="170" fontId="36" fillId="0" borderId="1" xfId="0" applyNumberFormat="1" applyFont="1" applyBorder="1"/>
    <xf numFmtId="164" fontId="36" fillId="0" borderId="0" xfId="0" applyNumberFormat="1" applyFont="1" applyAlignment="1">
      <alignment horizontal="right"/>
    </xf>
    <xf numFmtId="0" fontId="37" fillId="0" borderId="1" xfId="0" quotePrefix="1" applyFont="1" applyBorder="1" applyAlignment="1">
      <alignment horizontal="left"/>
    </xf>
    <xf numFmtId="0" fontId="36" fillId="0" borderId="0" xfId="0" quotePrefix="1" applyFont="1" applyAlignment="1">
      <alignment horizontal="left"/>
    </xf>
    <xf numFmtId="166" fontId="36" fillId="0" borderId="0" xfId="0" applyNumberFormat="1" applyFont="1"/>
    <xf numFmtId="171" fontId="36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center"/>
    </xf>
    <xf numFmtId="0" fontId="36" fillId="0" borderId="1" xfId="0" quotePrefix="1" applyFont="1" applyBorder="1" applyAlignment="1">
      <alignment horizontal="left"/>
    </xf>
    <xf numFmtId="166" fontId="36" fillId="0" borderId="1" xfId="0" applyNumberFormat="1" applyFont="1" applyBorder="1"/>
    <xf numFmtId="171" fontId="36" fillId="0" borderId="1" xfId="0" applyNumberFormat="1" applyFont="1" applyBorder="1" applyAlignment="1">
      <alignment horizontal="center"/>
    </xf>
    <xf numFmtId="2" fontId="36" fillId="0" borderId="1" xfId="0" applyNumberFormat="1" applyFont="1" applyBorder="1" applyAlignment="1">
      <alignment horizontal="center"/>
    </xf>
    <xf numFmtId="165" fontId="36" fillId="0" borderId="0" xfId="0" applyNumberFormat="1" applyFont="1"/>
    <xf numFmtId="4" fontId="0" fillId="0" borderId="0" xfId="0" applyNumberFormat="1" applyAlignment="1">
      <alignment horizontal="center"/>
    </xf>
    <xf numFmtId="171" fontId="36" fillId="0" borderId="0" xfId="0" applyNumberFormat="1" applyFont="1"/>
    <xf numFmtId="0" fontId="37" fillId="0" borderId="0" xfId="0" quotePrefix="1" applyFont="1" applyAlignment="1">
      <alignment horizontal="left"/>
    </xf>
    <xf numFmtId="165" fontId="36" fillId="0" borderId="1" xfId="0" applyNumberFormat="1" applyFont="1" applyBorder="1"/>
    <xf numFmtId="171" fontId="36" fillId="0" borderId="1" xfId="0" applyNumberFormat="1" applyFont="1" applyBorder="1"/>
    <xf numFmtId="0" fontId="36" fillId="0" borderId="0" xfId="0" applyFont="1"/>
    <xf numFmtId="169" fontId="36" fillId="0" borderId="0" xfId="0" applyNumberFormat="1" applyFont="1" applyAlignment="1">
      <alignment horizontal="center"/>
    </xf>
    <xf numFmtId="169" fontId="36" fillId="0" borderId="1" xfId="0" applyNumberFormat="1" applyFont="1" applyBorder="1" applyAlignment="1">
      <alignment horizontal="center"/>
    </xf>
    <xf numFmtId="0" fontId="40" fillId="0" borderId="0" xfId="4" applyFont="1"/>
    <xf numFmtId="0" fontId="41" fillId="0" borderId="0" xfId="1" applyFont="1" applyFill="1" applyAlignment="1" applyProtection="1">
      <alignment horizontal="left"/>
    </xf>
    <xf numFmtId="0" fontId="41" fillId="0" borderId="0" xfId="1" quotePrefix="1" applyFont="1" applyFill="1" applyAlignment="1" applyProtection="1">
      <alignment horizontal="left"/>
    </xf>
  </cellXfs>
  <cellStyles count="61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 2" xfId="52" xr:uid="{00000000-0005-0000-0000-00001C000000}"/>
    <cellStyle name="Comma 3" xfId="54" xr:uid="{F948226D-468E-4FAB-A758-A67BEEC95FF2}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1" builtinId="8"/>
    <cellStyle name="Hyperlink 2" xfId="2" xr:uid="{00000000-0005-0000-0000-000024000000}"/>
    <cellStyle name="Hyperlink 3" xfId="46" xr:uid="{00000000-0005-0000-0000-000025000000}"/>
    <cellStyle name="Hyperlink 3 2" xfId="55" xr:uid="{8703CFFB-9370-4957-B1BE-A6D12ECDE211}"/>
    <cellStyle name="Hyperlink 4" xfId="48" xr:uid="{00000000-0005-0000-0000-000026000000}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 xr:uid="{00000000-0005-0000-0000-00002B000000}"/>
    <cellStyle name="Normal 2 2" xfId="4" xr:uid="{00000000-0005-0000-0000-00002C000000}"/>
    <cellStyle name="Normal 2 3" xfId="56" xr:uid="{6D24B3F8-0DF3-45EC-98DA-A0EA04135DAC}"/>
    <cellStyle name="Normal 3" xfId="45" xr:uid="{00000000-0005-0000-0000-00002D000000}"/>
    <cellStyle name="Normal 3 2" xfId="57" xr:uid="{81CD4063-B8D3-4147-B484-AF5964C3976B}"/>
    <cellStyle name="Normal 4" xfId="47" xr:uid="{00000000-0005-0000-0000-00002E000000}"/>
    <cellStyle name="Normal 4 2" xfId="58" xr:uid="{AB29F0B2-4697-4B7A-BA63-639E419D30A3}"/>
    <cellStyle name="Normal 5" xfId="49" xr:uid="{00000000-0005-0000-0000-00002F000000}"/>
    <cellStyle name="Normal 5 2" xfId="59" xr:uid="{2A994748-9ED1-468C-B3A3-D1E0D6FB9365}"/>
    <cellStyle name="Normal 6" xfId="51" xr:uid="{00000000-0005-0000-0000-000030000000}"/>
    <cellStyle name="Normal 7" xfId="53" xr:uid="{A43A8493-FF9B-4B3F-B6DB-4FE5C94C6D32}"/>
    <cellStyle name="Note 2" xfId="50" xr:uid="{00000000-0005-0000-0000-000031000000}"/>
    <cellStyle name="Output" xfId="14" builtinId="21" customBuiltin="1"/>
    <cellStyle name="Percent 2" xfId="60" xr:uid="{F5AF82C7-73BA-4A63-B152-0959F2849C38}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colors>
    <mruColors>
      <color rgb="FF000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" name="Picture 1" descr="PrintLogo">
          <a:extLst>
            <a:ext uri="{FF2B5EF4-FFF2-40B4-BE49-F238E27FC236}">
              <a16:creationId xmlns:a16="http://schemas.microsoft.com/office/drawing/2014/main" id="{36655F0E-BF08-45DF-98FA-266AAE1EF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" name="Picture 2" descr="PrintLogo">
          <a:extLst>
            <a:ext uri="{FF2B5EF4-FFF2-40B4-BE49-F238E27FC236}">
              <a16:creationId xmlns:a16="http://schemas.microsoft.com/office/drawing/2014/main" id="{A49F6855-0AB7-4510-BFBA-948BF1CDA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" name="Picture 3" descr="PrintLogo">
          <a:extLst>
            <a:ext uri="{FF2B5EF4-FFF2-40B4-BE49-F238E27FC236}">
              <a16:creationId xmlns:a16="http://schemas.microsoft.com/office/drawing/2014/main" id="{E14B59A7-65D1-4336-9670-6D30A948F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5" name="Picture 4" descr="PrintLogo">
          <a:extLst>
            <a:ext uri="{FF2B5EF4-FFF2-40B4-BE49-F238E27FC236}">
              <a16:creationId xmlns:a16="http://schemas.microsoft.com/office/drawing/2014/main" id="{12C289C0-4859-486A-95E0-4BA7DCC4B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6" name="Picture 5" descr="PrintLogo">
          <a:extLst>
            <a:ext uri="{FF2B5EF4-FFF2-40B4-BE49-F238E27FC236}">
              <a16:creationId xmlns:a16="http://schemas.microsoft.com/office/drawing/2014/main" id="{BE95797D-C85A-4F99-9C07-FB4163DC3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7" name="Picture 6" descr="PrintLogo">
          <a:extLst>
            <a:ext uri="{FF2B5EF4-FFF2-40B4-BE49-F238E27FC236}">
              <a16:creationId xmlns:a16="http://schemas.microsoft.com/office/drawing/2014/main" id="{F98142A1-94CD-4537-A337-0320F4361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8" name="Picture 7" descr="PrintLogo">
          <a:extLst>
            <a:ext uri="{FF2B5EF4-FFF2-40B4-BE49-F238E27FC236}">
              <a16:creationId xmlns:a16="http://schemas.microsoft.com/office/drawing/2014/main" id="{7E56E932-4A03-45E5-8E06-F916F7635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9" name="Picture 8" descr="PrintLogo">
          <a:extLst>
            <a:ext uri="{FF2B5EF4-FFF2-40B4-BE49-F238E27FC236}">
              <a16:creationId xmlns:a16="http://schemas.microsoft.com/office/drawing/2014/main" id="{E2211492-FC3E-46DF-9F55-5887A936C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0" name="Picture 9" descr="PrintLogo">
          <a:extLst>
            <a:ext uri="{FF2B5EF4-FFF2-40B4-BE49-F238E27FC236}">
              <a16:creationId xmlns:a16="http://schemas.microsoft.com/office/drawing/2014/main" id="{D4F39835-0E70-4E80-9EC2-59B48CEAB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1" name="Picture 10" descr="PrintLogo">
          <a:extLst>
            <a:ext uri="{FF2B5EF4-FFF2-40B4-BE49-F238E27FC236}">
              <a16:creationId xmlns:a16="http://schemas.microsoft.com/office/drawing/2014/main" id="{7590216D-583B-4F57-911B-3FCEB3B4B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2" name="Picture 11" descr="PrintLogo">
          <a:extLst>
            <a:ext uri="{FF2B5EF4-FFF2-40B4-BE49-F238E27FC236}">
              <a16:creationId xmlns:a16="http://schemas.microsoft.com/office/drawing/2014/main" id="{537E63DC-C2DB-4B68-ADB0-86A26841C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3" name="Picture 12" descr="PrintLogo">
          <a:extLst>
            <a:ext uri="{FF2B5EF4-FFF2-40B4-BE49-F238E27FC236}">
              <a16:creationId xmlns:a16="http://schemas.microsoft.com/office/drawing/2014/main" id="{9214E6A6-31CE-4DA9-BF8D-E9ED335C9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4" name="Picture 13" descr="PrintLogo">
          <a:extLst>
            <a:ext uri="{FF2B5EF4-FFF2-40B4-BE49-F238E27FC236}">
              <a16:creationId xmlns:a16="http://schemas.microsoft.com/office/drawing/2014/main" id="{19A99ADC-9F04-4C71-A523-88EDD07F5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" name="Picture 14" descr="PrintLogo">
          <a:extLst>
            <a:ext uri="{FF2B5EF4-FFF2-40B4-BE49-F238E27FC236}">
              <a16:creationId xmlns:a16="http://schemas.microsoft.com/office/drawing/2014/main" id="{84079017-36C6-4B44-A499-9833DF550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6" name="Picture 15" descr="PrintLogo">
          <a:extLst>
            <a:ext uri="{FF2B5EF4-FFF2-40B4-BE49-F238E27FC236}">
              <a16:creationId xmlns:a16="http://schemas.microsoft.com/office/drawing/2014/main" id="{8312CBD1-A9B8-450A-B040-D7413195B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7" name="Picture 16" descr="PrintLogo">
          <a:extLst>
            <a:ext uri="{FF2B5EF4-FFF2-40B4-BE49-F238E27FC236}">
              <a16:creationId xmlns:a16="http://schemas.microsoft.com/office/drawing/2014/main" id="{5D622DC2-3E82-42C2-A352-5A394839D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8" name="Picture 17" descr="PrintLogo">
          <a:extLst>
            <a:ext uri="{FF2B5EF4-FFF2-40B4-BE49-F238E27FC236}">
              <a16:creationId xmlns:a16="http://schemas.microsoft.com/office/drawing/2014/main" id="{22DB1CBB-34D9-46A9-B5C8-CAD9428B2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9" name="Picture 18" descr="PrintLogo">
          <a:extLst>
            <a:ext uri="{FF2B5EF4-FFF2-40B4-BE49-F238E27FC236}">
              <a16:creationId xmlns:a16="http://schemas.microsoft.com/office/drawing/2014/main" id="{CBBC1CBA-4F95-41AF-9DD0-5F6618D69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0" name="Picture 19" descr="PrintLogo">
          <a:extLst>
            <a:ext uri="{FF2B5EF4-FFF2-40B4-BE49-F238E27FC236}">
              <a16:creationId xmlns:a16="http://schemas.microsoft.com/office/drawing/2014/main" id="{AFCFFACD-EA1B-48A8-887E-5B53FEDF6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1" name="Picture 20" descr="PrintLogo">
          <a:extLst>
            <a:ext uri="{FF2B5EF4-FFF2-40B4-BE49-F238E27FC236}">
              <a16:creationId xmlns:a16="http://schemas.microsoft.com/office/drawing/2014/main" id="{5EE7A7D1-8677-4EB7-B0E0-238BFBC62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2" name="Picture 21" descr="PrintLogo">
          <a:extLst>
            <a:ext uri="{FF2B5EF4-FFF2-40B4-BE49-F238E27FC236}">
              <a16:creationId xmlns:a16="http://schemas.microsoft.com/office/drawing/2014/main" id="{D3A6DDFE-0177-4D4A-8A87-124CAEBA1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3" name="Picture 22" descr="PrintLogo">
          <a:extLst>
            <a:ext uri="{FF2B5EF4-FFF2-40B4-BE49-F238E27FC236}">
              <a16:creationId xmlns:a16="http://schemas.microsoft.com/office/drawing/2014/main" id="{F25930DD-7DDB-4151-8D59-08C7AE047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4" name="Picture 23" descr="PrintLogo">
          <a:extLst>
            <a:ext uri="{FF2B5EF4-FFF2-40B4-BE49-F238E27FC236}">
              <a16:creationId xmlns:a16="http://schemas.microsoft.com/office/drawing/2014/main" id="{683AAA0C-EE8F-4840-845A-A866BB5E2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5" name="Picture 24" descr="PrintLogo">
          <a:extLst>
            <a:ext uri="{FF2B5EF4-FFF2-40B4-BE49-F238E27FC236}">
              <a16:creationId xmlns:a16="http://schemas.microsoft.com/office/drawing/2014/main" id="{87797AC5-A971-4E38-8A76-E284BCCE4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6" name="Picture 25" descr="PrintLogo">
          <a:extLst>
            <a:ext uri="{FF2B5EF4-FFF2-40B4-BE49-F238E27FC236}">
              <a16:creationId xmlns:a16="http://schemas.microsoft.com/office/drawing/2014/main" id="{B5435AD1-0077-471F-A46C-16C0E5C26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7" name="Picture 26" descr="PrintLogo">
          <a:extLst>
            <a:ext uri="{FF2B5EF4-FFF2-40B4-BE49-F238E27FC236}">
              <a16:creationId xmlns:a16="http://schemas.microsoft.com/office/drawing/2014/main" id="{415348D4-B355-4F8F-9246-6561F1F01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8" name="Picture 27" descr="PrintLogo">
          <a:extLst>
            <a:ext uri="{FF2B5EF4-FFF2-40B4-BE49-F238E27FC236}">
              <a16:creationId xmlns:a16="http://schemas.microsoft.com/office/drawing/2014/main" id="{90E59C16-B36F-42BC-89FA-F8D44A7B1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9" name="Picture 28" descr="PrintLogo">
          <a:extLst>
            <a:ext uri="{FF2B5EF4-FFF2-40B4-BE49-F238E27FC236}">
              <a16:creationId xmlns:a16="http://schemas.microsoft.com/office/drawing/2014/main" id="{DE10383D-567C-4C90-9F50-315E6E458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0" name="Picture 29" descr="PrintLogo">
          <a:extLst>
            <a:ext uri="{FF2B5EF4-FFF2-40B4-BE49-F238E27FC236}">
              <a16:creationId xmlns:a16="http://schemas.microsoft.com/office/drawing/2014/main" id="{5F253E6F-CF34-4940-866D-B317637E1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1" name="Picture 30" descr="PrintLogo">
          <a:extLst>
            <a:ext uri="{FF2B5EF4-FFF2-40B4-BE49-F238E27FC236}">
              <a16:creationId xmlns:a16="http://schemas.microsoft.com/office/drawing/2014/main" id="{CD0409D3-321C-42D3-AFF1-F23EED16A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2" name="Picture 31" descr="PrintLogo">
          <a:extLst>
            <a:ext uri="{FF2B5EF4-FFF2-40B4-BE49-F238E27FC236}">
              <a16:creationId xmlns:a16="http://schemas.microsoft.com/office/drawing/2014/main" id="{8A6B8C95-3552-4353-9891-2559C8C4A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3" name="Picture 32" descr="PrintLogo">
          <a:extLst>
            <a:ext uri="{FF2B5EF4-FFF2-40B4-BE49-F238E27FC236}">
              <a16:creationId xmlns:a16="http://schemas.microsoft.com/office/drawing/2014/main" id="{1062E21F-E975-4AE9-8E8A-51CF7D0AF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4" name="Picture 33" descr="PrintLogo">
          <a:extLst>
            <a:ext uri="{FF2B5EF4-FFF2-40B4-BE49-F238E27FC236}">
              <a16:creationId xmlns:a16="http://schemas.microsoft.com/office/drawing/2014/main" id="{A9024924-AA1D-40A7-B7B9-17FCD2793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5" name="Picture 34" descr="PrintLogo">
          <a:extLst>
            <a:ext uri="{FF2B5EF4-FFF2-40B4-BE49-F238E27FC236}">
              <a16:creationId xmlns:a16="http://schemas.microsoft.com/office/drawing/2014/main" id="{F5A53C8D-9142-48F8-BE47-45BD523F6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6" name="Picture 35" descr="PrintLogo">
          <a:extLst>
            <a:ext uri="{FF2B5EF4-FFF2-40B4-BE49-F238E27FC236}">
              <a16:creationId xmlns:a16="http://schemas.microsoft.com/office/drawing/2014/main" id="{D7C0D173-47DE-4825-8D89-DE9B6F255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7" name="Picture 36" descr="PrintLogo">
          <a:extLst>
            <a:ext uri="{FF2B5EF4-FFF2-40B4-BE49-F238E27FC236}">
              <a16:creationId xmlns:a16="http://schemas.microsoft.com/office/drawing/2014/main" id="{90EC5AF9-4585-412C-A45D-03BF5A76F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8" name="Picture 37" descr="PrintLogo">
          <a:extLst>
            <a:ext uri="{FF2B5EF4-FFF2-40B4-BE49-F238E27FC236}">
              <a16:creationId xmlns:a16="http://schemas.microsoft.com/office/drawing/2014/main" id="{16547D9D-1E64-480A-B0F9-39AA792AE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9" name="Picture 38" descr="PrintLogo">
          <a:extLst>
            <a:ext uri="{FF2B5EF4-FFF2-40B4-BE49-F238E27FC236}">
              <a16:creationId xmlns:a16="http://schemas.microsoft.com/office/drawing/2014/main" id="{0B31CF8C-BC96-4248-A8DD-E354BCFD3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0" name="Picture 39" descr="PrintLogo">
          <a:extLst>
            <a:ext uri="{FF2B5EF4-FFF2-40B4-BE49-F238E27FC236}">
              <a16:creationId xmlns:a16="http://schemas.microsoft.com/office/drawing/2014/main" id="{2E7A5EFF-8F8F-4BE0-B9F5-B6EF8B3E1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1" name="Picture 40" descr="PrintLogo">
          <a:extLst>
            <a:ext uri="{FF2B5EF4-FFF2-40B4-BE49-F238E27FC236}">
              <a16:creationId xmlns:a16="http://schemas.microsoft.com/office/drawing/2014/main" id="{F02108E3-2E52-44A8-B426-3B08C2F4E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2" name="Picture 41" descr="PrintLogo">
          <a:extLst>
            <a:ext uri="{FF2B5EF4-FFF2-40B4-BE49-F238E27FC236}">
              <a16:creationId xmlns:a16="http://schemas.microsoft.com/office/drawing/2014/main" id="{33828B84-B572-4878-9807-C13C58A74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3" name="Picture 42" descr="PrintLogo">
          <a:extLst>
            <a:ext uri="{FF2B5EF4-FFF2-40B4-BE49-F238E27FC236}">
              <a16:creationId xmlns:a16="http://schemas.microsoft.com/office/drawing/2014/main" id="{3A478B15-15E6-4495-99FB-27F6DF87C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4" name="Picture 2098" descr="PrintLogo">
          <a:extLst>
            <a:ext uri="{FF2B5EF4-FFF2-40B4-BE49-F238E27FC236}">
              <a16:creationId xmlns:a16="http://schemas.microsoft.com/office/drawing/2014/main" id="{CD830C1D-FF01-4D01-8929-7F3A7F2A1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5" name="Picture 2099" descr="PrintLogo">
          <a:extLst>
            <a:ext uri="{FF2B5EF4-FFF2-40B4-BE49-F238E27FC236}">
              <a16:creationId xmlns:a16="http://schemas.microsoft.com/office/drawing/2014/main" id="{21677574-C16A-4FA2-AAC4-A3FBD3665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6" name="Picture 2100" descr="PrintLogo">
          <a:extLst>
            <a:ext uri="{FF2B5EF4-FFF2-40B4-BE49-F238E27FC236}">
              <a16:creationId xmlns:a16="http://schemas.microsoft.com/office/drawing/2014/main" id="{6DE20BE2-6F20-4945-B155-D52E9179A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7" name="Picture 2101" descr="PrintLogo">
          <a:extLst>
            <a:ext uri="{FF2B5EF4-FFF2-40B4-BE49-F238E27FC236}">
              <a16:creationId xmlns:a16="http://schemas.microsoft.com/office/drawing/2014/main" id="{F2A0DCB1-64C6-4171-BEF1-23B5F19F9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8" name="Picture 2102" descr="PrintLogo">
          <a:extLst>
            <a:ext uri="{FF2B5EF4-FFF2-40B4-BE49-F238E27FC236}">
              <a16:creationId xmlns:a16="http://schemas.microsoft.com/office/drawing/2014/main" id="{B78C97BF-4BCC-4086-8FF5-D34924788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9" name="Picture 2103" descr="PrintLogo">
          <a:extLst>
            <a:ext uri="{FF2B5EF4-FFF2-40B4-BE49-F238E27FC236}">
              <a16:creationId xmlns:a16="http://schemas.microsoft.com/office/drawing/2014/main" id="{02AA0CB7-A418-407E-89B1-D80587FA5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50" name="Picture 2104" descr="PrintLogo">
          <a:extLst>
            <a:ext uri="{FF2B5EF4-FFF2-40B4-BE49-F238E27FC236}">
              <a16:creationId xmlns:a16="http://schemas.microsoft.com/office/drawing/2014/main" id="{F4A3C832-6E56-4042-BA4D-FD926AF47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87630</xdr:colOff>
      <xdr:row>0</xdr:row>
      <xdr:rowOff>34290</xdr:rowOff>
    </xdr:from>
    <xdr:to>
      <xdr:col>0</xdr:col>
      <xdr:colOff>4354830</xdr:colOff>
      <xdr:row>0</xdr:row>
      <xdr:rowOff>533400</xdr:rowOff>
    </xdr:to>
    <xdr:pic>
      <xdr:nvPicPr>
        <xdr:cNvPr id="51" name="Picture 2105" descr="PrintLogo">
          <a:extLst>
            <a:ext uri="{FF2B5EF4-FFF2-40B4-BE49-F238E27FC236}">
              <a16:creationId xmlns:a16="http://schemas.microsoft.com/office/drawing/2014/main" id="{B0BB55C6-ADEA-4E8E-99C4-71CC5FF29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" y="3429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EAC697-4EDF-41C5-A28A-76E7A73F8B5B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X28A0T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7B6FA4-2D3A-4508-A561-8D7782FF5F3F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X29A0T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12318B-409E-48B7-9996-0E914A90C42E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X30A0T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A298-476C-4500-A8CD-4A8A99849C57}">
  <sheetPr>
    <pageSetUpPr fitToPage="1"/>
  </sheetPr>
  <dimension ref="A1:D16"/>
  <sheetViews>
    <sheetView tabSelected="1" workbookViewId="0">
      <selection activeCell="A6" sqref="A6"/>
    </sheetView>
  </sheetViews>
  <sheetFormatPr defaultColWidth="11.28515625" defaultRowHeight="13.2" x14ac:dyDescent="0.25"/>
  <cols>
    <col min="1" max="1" width="117.28515625" style="24" bestFit="1" customWidth="1"/>
    <col min="2" max="16384" width="11.28515625" style="21"/>
  </cols>
  <sheetData>
    <row r="1" spans="1:4" ht="44.25" customHeight="1" x14ac:dyDescent="0.25">
      <c r="A1" s="20"/>
    </row>
    <row r="2" spans="1:4" ht="17.399999999999999" x14ac:dyDescent="0.3">
      <c r="A2" s="26" t="s">
        <v>68</v>
      </c>
    </row>
    <row r="3" spans="1:4" s="23" customFormat="1" ht="10.199999999999999" x14ac:dyDescent="0.2">
      <c r="A3" s="22"/>
    </row>
    <row r="4" spans="1:4" x14ac:dyDescent="0.25">
      <c r="A4" s="50"/>
    </row>
    <row r="5" spans="1:4" x14ac:dyDescent="0.25">
      <c r="A5" s="25" t="s">
        <v>99</v>
      </c>
    </row>
    <row r="6" spans="1:4" x14ac:dyDescent="0.25">
      <c r="A6" s="78" t="s">
        <v>102</v>
      </c>
      <c r="D6" s="77"/>
    </row>
    <row r="7" spans="1:4" x14ac:dyDescent="0.25">
      <c r="A7" s="79" t="s">
        <v>103</v>
      </c>
    </row>
    <row r="8" spans="1:4" x14ac:dyDescent="0.25">
      <c r="A8" s="79" t="s">
        <v>104</v>
      </c>
    </row>
    <row r="9" spans="1:4" x14ac:dyDescent="0.25">
      <c r="A9" s="79" t="s">
        <v>105</v>
      </c>
    </row>
    <row r="10" spans="1:4" x14ac:dyDescent="0.25">
      <c r="A10" s="27"/>
    </row>
    <row r="11" spans="1:4" x14ac:dyDescent="0.25">
      <c r="A11" s="27"/>
    </row>
    <row r="12" spans="1:4" x14ac:dyDescent="0.25">
      <c r="A12" s="11" t="s">
        <v>100</v>
      </c>
    </row>
    <row r="13" spans="1:4" x14ac:dyDescent="0.25">
      <c r="A13" s="11"/>
    </row>
    <row r="15" spans="1:4" x14ac:dyDescent="0.25">
      <c r="A15" s="51" t="s">
        <v>106</v>
      </c>
    </row>
    <row r="16" spans="1:4" x14ac:dyDescent="0.25">
      <c r="A16" s="4" t="s">
        <v>98</v>
      </c>
    </row>
  </sheetData>
  <hyperlinks>
    <hyperlink ref="A6" location="'tab28'!A1" display="Table 28—Flaxseed: Acreage planted, harvested, yield, production, and value, U.S., 1980–2020" xr:uid="{E4482CD3-8DED-4024-BB74-506790A3C840}"/>
    <hyperlink ref="A7" location="'tab29'!A1" display="Table 29—Flaxseed: Supply, disappearance, and price, U.S., 1980/81–2020/21" xr:uid="{0FD091AC-7DB0-4B45-BCAE-E077A59E7536}"/>
    <hyperlink ref="A8" location="'tab30'!A1" display="Table 30—Linseed meal: Supply disappearance and price, U.S., 1980/81–2020/21" xr:uid="{50441E6D-B7BC-4A44-9816-875BAB692BBC}"/>
    <hyperlink ref="A9" location="'tab31'!A1" display="Table 31—Linseed oil: Supply, disappearance, and price, U.S., 1980/81–2020/21" xr:uid="{7AE6E251-67E0-44FF-80EC-A6BC31A52373}"/>
  </hyperlinks>
  <pageMargins left="0.75" right="0.75" top="1" bottom="1" header="0.5" footer="0.5"/>
  <pageSetup scale="5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78E2-85AA-4641-9785-82AA936EB450}">
  <sheetPr>
    <pageSetUpPr fitToPage="1"/>
  </sheetPr>
  <dimension ref="A1:Q50"/>
  <sheetViews>
    <sheetView zoomScaleNormal="100" zoomScaleSheetLayoutView="100" workbookViewId="0">
      <pane xSplit="1" ySplit="3" topLeftCell="B16" activePane="bottomRight" state="frozen"/>
      <selection activeCell="C57" sqref="C57"/>
      <selection pane="topRight" activeCell="C57" sqref="C57"/>
      <selection pane="bottomLeft" activeCell="C57" sqref="C57"/>
      <selection pane="bottomRight"/>
    </sheetView>
  </sheetViews>
  <sheetFormatPr defaultRowHeight="10.199999999999999" x14ac:dyDescent="0.2"/>
  <cols>
    <col min="1" max="1" width="15.28515625" customWidth="1"/>
    <col min="2" max="6" width="20.7109375" customWidth="1"/>
    <col min="8" max="8" width="15.85546875" customWidth="1"/>
    <col min="14" max="14" width="13.28515625" bestFit="1" customWidth="1"/>
    <col min="17" max="17" width="13.42578125" customWidth="1"/>
  </cols>
  <sheetData>
    <row r="1" spans="1:8" x14ac:dyDescent="0.2">
      <c r="A1" s="52" t="s">
        <v>102</v>
      </c>
      <c r="B1" s="1"/>
      <c r="C1" s="1"/>
      <c r="D1" s="1"/>
      <c r="E1" s="1"/>
      <c r="F1" s="1"/>
    </row>
    <row r="2" spans="1:8" x14ac:dyDescent="0.2">
      <c r="A2" s="1" t="s">
        <v>13</v>
      </c>
      <c r="B2" s="28" t="s">
        <v>14</v>
      </c>
      <c r="C2" s="28" t="s">
        <v>15</v>
      </c>
      <c r="D2" s="28" t="s">
        <v>21</v>
      </c>
      <c r="E2" s="28" t="s">
        <v>16</v>
      </c>
      <c r="F2" s="34" t="s">
        <v>17</v>
      </c>
    </row>
    <row r="3" spans="1:8" x14ac:dyDescent="0.2">
      <c r="A3" s="17"/>
      <c r="B3" s="46" t="s">
        <v>90</v>
      </c>
      <c r="C3" s="41"/>
      <c r="D3" s="41" t="s">
        <v>18</v>
      </c>
      <c r="E3" s="41" t="s">
        <v>1</v>
      </c>
      <c r="F3" s="42" t="s">
        <v>84</v>
      </c>
    </row>
    <row r="4" spans="1:8" x14ac:dyDescent="0.2">
      <c r="B4" s="2"/>
      <c r="C4" s="2"/>
      <c r="D4" s="2"/>
      <c r="E4" s="2"/>
      <c r="F4" s="3"/>
    </row>
    <row r="5" spans="1:8" x14ac:dyDescent="0.2">
      <c r="A5" s="4">
        <v>1980</v>
      </c>
      <c r="B5" s="7">
        <v>759</v>
      </c>
      <c r="C5" s="7">
        <v>663</v>
      </c>
      <c r="D5" s="9">
        <v>11.7</v>
      </c>
      <c r="E5" s="7">
        <v>7728</v>
      </c>
      <c r="F5" s="7">
        <v>57051</v>
      </c>
      <c r="H5" s="7"/>
    </row>
    <row r="6" spans="1:8" x14ac:dyDescent="0.2">
      <c r="A6" s="4">
        <v>1981</v>
      </c>
      <c r="B6" s="7">
        <v>605</v>
      </c>
      <c r="C6" s="7">
        <v>577</v>
      </c>
      <c r="D6" s="9">
        <v>12.6</v>
      </c>
      <c r="E6" s="7">
        <v>7289</v>
      </c>
      <c r="F6" s="7">
        <v>52453</v>
      </c>
      <c r="H6" s="7"/>
    </row>
    <row r="7" spans="1:8" x14ac:dyDescent="0.2">
      <c r="A7" s="4">
        <v>1982</v>
      </c>
      <c r="B7" s="7">
        <v>780</v>
      </c>
      <c r="C7" s="7">
        <v>735</v>
      </c>
      <c r="D7" s="9">
        <v>14</v>
      </c>
      <c r="E7" s="7">
        <v>10278</v>
      </c>
      <c r="F7" s="7">
        <v>53341</v>
      </c>
      <c r="H7" s="7"/>
    </row>
    <row r="8" spans="1:8" x14ac:dyDescent="0.2">
      <c r="A8" s="4">
        <v>1983</v>
      </c>
      <c r="B8" s="7">
        <v>605</v>
      </c>
      <c r="C8" s="7">
        <v>580</v>
      </c>
      <c r="D8" s="9">
        <v>11.9</v>
      </c>
      <c r="E8" s="7">
        <v>6903</v>
      </c>
      <c r="F8" s="7">
        <v>46925</v>
      </c>
      <c r="H8" s="7"/>
    </row>
    <row r="9" spans="1:8" x14ac:dyDescent="0.2">
      <c r="A9" s="4">
        <v>1984</v>
      </c>
      <c r="B9" s="7">
        <v>555</v>
      </c>
      <c r="C9" s="7">
        <v>538</v>
      </c>
      <c r="D9" s="9">
        <v>13.1</v>
      </c>
      <c r="E9" s="7">
        <v>7022</v>
      </c>
      <c r="F9" s="7">
        <v>42739</v>
      </c>
      <c r="H9" s="7"/>
    </row>
    <row r="10" spans="1:8" x14ac:dyDescent="0.2">
      <c r="A10" s="4">
        <v>1985</v>
      </c>
      <c r="B10" s="7">
        <v>620</v>
      </c>
      <c r="C10" s="7">
        <v>584</v>
      </c>
      <c r="D10" s="9">
        <v>14.2</v>
      </c>
      <c r="E10" s="7">
        <v>8293</v>
      </c>
      <c r="F10" s="7">
        <v>41912</v>
      </c>
      <c r="H10" s="7"/>
    </row>
    <row r="11" spans="1:8" x14ac:dyDescent="0.2">
      <c r="A11" s="4">
        <v>1986</v>
      </c>
      <c r="B11" s="7">
        <v>720</v>
      </c>
      <c r="C11" s="7">
        <v>683</v>
      </c>
      <c r="D11" s="9">
        <v>16.899999999999999</v>
      </c>
      <c r="E11" s="7">
        <v>11538</v>
      </c>
      <c r="F11" s="7">
        <v>39962</v>
      </c>
      <c r="H11" s="7"/>
    </row>
    <row r="12" spans="1:8" x14ac:dyDescent="0.2">
      <c r="A12" s="4">
        <v>1987</v>
      </c>
      <c r="B12" s="7">
        <v>470</v>
      </c>
      <c r="C12" s="7">
        <v>463</v>
      </c>
      <c r="D12" s="9">
        <v>16.100000000000001</v>
      </c>
      <c r="E12" s="7">
        <v>7444</v>
      </c>
      <c r="F12" s="7">
        <v>25188</v>
      </c>
      <c r="H12" s="7"/>
    </row>
    <row r="13" spans="1:8" x14ac:dyDescent="0.2">
      <c r="A13" s="4">
        <v>1988</v>
      </c>
      <c r="B13" s="7">
        <v>275</v>
      </c>
      <c r="C13" s="7">
        <v>226</v>
      </c>
      <c r="D13" s="9">
        <v>7.1</v>
      </c>
      <c r="E13" s="7">
        <v>1615</v>
      </c>
      <c r="F13" s="7">
        <v>12200</v>
      </c>
      <c r="H13" s="7"/>
    </row>
    <row r="14" spans="1:8" x14ac:dyDescent="0.2">
      <c r="A14" s="4">
        <v>1989</v>
      </c>
      <c r="B14" s="7">
        <v>195</v>
      </c>
      <c r="C14" s="7">
        <v>163</v>
      </c>
      <c r="D14" s="9">
        <v>7.5</v>
      </c>
      <c r="E14" s="7">
        <v>1215</v>
      </c>
      <c r="F14" s="7">
        <v>8724</v>
      </c>
      <c r="H14" s="7"/>
    </row>
    <row r="15" spans="1:8" x14ac:dyDescent="0.2">
      <c r="A15" s="4">
        <v>1990</v>
      </c>
      <c r="B15" s="7">
        <v>260</v>
      </c>
      <c r="C15" s="7">
        <v>253</v>
      </c>
      <c r="D15" s="9">
        <v>15.1</v>
      </c>
      <c r="E15" s="7">
        <v>3812</v>
      </c>
      <c r="F15" s="7">
        <v>20108</v>
      </c>
      <c r="H15" s="7"/>
    </row>
    <row r="16" spans="1:8" x14ac:dyDescent="0.2">
      <c r="A16" s="4">
        <v>1991</v>
      </c>
      <c r="B16" s="7">
        <v>356</v>
      </c>
      <c r="C16" s="7">
        <v>342</v>
      </c>
      <c r="D16" s="9">
        <v>18.100000000000001</v>
      </c>
      <c r="E16" s="7">
        <v>6200</v>
      </c>
      <c r="F16" s="7">
        <v>21845</v>
      </c>
      <c r="H16" s="7"/>
    </row>
    <row r="17" spans="1:8" x14ac:dyDescent="0.2">
      <c r="A17" s="4">
        <v>1992</v>
      </c>
      <c r="B17" s="7">
        <v>171</v>
      </c>
      <c r="C17" s="7">
        <v>165</v>
      </c>
      <c r="D17" s="9">
        <v>19.899999999999999</v>
      </c>
      <c r="E17" s="7">
        <v>3288</v>
      </c>
      <c r="F17" s="7">
        <v>13543</v>
      </c>
      <c r="H17" s="7"/>
    </row>
    <row r="18" spans="1:8" x14ac:dyDescent="0.2">
      <c r="A18" s="4">
        <v>1993</v>
      </c>
      <c r="B18" s="7">
        <v>206</v>
      </c>
      <c r="C18" s="7">
        <v>191</v>
      </c>
      <c r="D18" s="9">
        <v>18.2</v>
      </c>
      <c r="E18" s="7">
        <v>3482</v>
      </c>
      <c r="F18" s="7">
        <v>14857</v>
      </c>
      <c r="H18" s="7"/>
    </row>
    <row r="19" spans="1:8" x14ac:dyDescent="0.2">
      <c r="A19" s="4">
        <v>1994</v>
      </c>
      <c r="B19" s="7">
        <v>178</v>
      </c>
      <c r="C19" s="7">
        <v>171</v>
      </c>
      <c r="D19" s="9">
        <v>17.100000000000001</v>
      </c>
      <c r="E19" s="7">
        <v>2922</v>
      </c>
      <c r="F19" s="7">
        <v>13590</v>
      </c>
      <c r="H19" s="7"/>
    </row>
    <row r="20" spans="1:8" x14ac:dyDescent="0.2">
      <c r="A20" s="4">
        <v>1995</v>
      </c>
      <c r="B20" s="7">
        <v>165</v>
      </c>
      <c r="C20" s="7">
        <v>147</v>
      </c>
      <c r="D20" s="9">
        <v>15</v>
      </c>
      <c r="E20" s="7">
        <v>2212</v>
      </c>
      <c r="F20" s="7">
        <v>11481</v>
      </c>
      <c r="H20" s="7"/>
    </row>
    <row r="21" spans="1:8" x14ac:dyDescent="0.2">
      <c r="A21" s="4">
        <v>1996</v>
      </c>
      <c r="B21" s="7">
        <v>96</v>
      </c>
      <c r="C21" s="7">
        <v>92</v>
      </c>
      <c r="D21" s="9">
        <v>17.399999999999999</v>
      </c>
      <c r="E21" s="7">
        <v>1602</v>
      </c>
      <c r="F21" s="7">
        <v>10197</v>
      </c>
      <c r="H21" s="7"/>
    </row>
    <row r="22" spans="1:8" x14ac:dyDescent="0.2">
      <c r="A22" s="4">
        <v>1997</v>
      </c>
      <c r="B22" s="7">
        <v>151</v>
      </c>
      <c r="C22" s="7">
        <v>146</v>
      </c>
      <c r="D22" s="9">
        <v>16.600000000000001</v>
      </c>
      <c r="E22" s="7">
        <v>2420</v>
      </c>
      <c r="F22" s="7">
        <v>14046</v>
      </c>
      <c r="H22" s="7"/>
    </row>
    <row r="23" spans="1:8" x14ac:dyDescent="0.2">
      <c r="A23" s="4">
        <v>1998</v>
      </c>
      <c r="B23" s="7">
        <v>336</v>
      </c>
      <c r="C23" s="7">
        <v>329</v>
      </c>
      <c r="D23" s="9">
        <v>20.399999999999999</v>
      </c>
      <c r="E23" s="7">
        <v>6708</v>
      </c>
      <c r="F23" s="7">
        <v>33809</v>
      </c>
      <c r="H23" s="7"/>
    </row>
    <row r="24" spans="1:8" x14ac:dyDescent="0.2">
      <c r="A24" s="4">
        <v>1999</v>
      </c>
      <c r="B24" s="7">
        <v>387</v>
      </c>
      <c r="C24" s="7">
        <v>382</v>
      </c>
      <c r="D24" s="9">
        <v>20.6</v>
      </c>
      <c r="E24" s="7">
        <v>7864</v>
      </c>
      <c r="F24" s="7">
        <v>30098</v>
      </c>
      <c r="H24" s="7"/>
    </row>
    <row r="25" spans="1:8" x14ac:dyDescent="0.2">
      <c r="A25" s="4">
        <v>2000</v>
      </c>
      <c r="B25" s="7">
        <v>536</v>
      </c>
      <c r="C25" s="7">
        <v>517</v>
      </c>
      <c r="D25" s="9">
        <f t="shared" ref="D25:D43" si="0">+E25/C25</f>
        <v>20.754352030947775</v>
      </c>
      <c r="E25" s="7">
        <v>10730</v>
      </c>
      <c r="F25" s="7">
        <v>35569</v>
      </c>
      <c r="H25" s="7"/>
    </row>
    <row r="26" spans="1:8" x14ac:dyDescent="0.2">
      <c r="A26" s="4">
        <v>2001</v>
      </c>
      <c r="B26" s="7">
        <v>585</v>
      </c>
      <c r="C26" s="7">
        <v>578</v>
      </c>
      <c r="D26" s="9">
        <f t="shared" si="0"/>
        <v>19.818339100346019</v>
      </c>
      <c r="E26" s="7">
        <v>11455</v>
      </c>
      <c r="F26" s="7">
        <v>49004</v>
      </c>
      <c r="H26" s="7"/>
    </row>
    <row r="27" spans="1:8" x14ac:dyDescent="0.2">
      <c r="A27" s="4">
        <v>2002</v>
      </c>
      <c r="B27" s="7">
        <v>784</v>
      </c>
      <c r="C27" s="7">
        <v>703</v>
      </c>
      <c r="D27" s="9">
        <f t="shared" si="0"/>
        <v>16.874822190611663</v>
      </c>
      <c r="E27" s="7">
        <v>11863</v>
      </c>
      <c r="F27" s="7">
        <v>68564</v>
      </c>
      <c r="H27" s="7"/>
    </row>
    <row r="28" spans="1:8" x14ac:dyDescent="0.2">
      <c r="A28" s="4">
        <v>2003</v>
      </c>
      <c r="B28" s="7">
        <v>595</v>
      </c>
      <c r="C28" s="7">
        <v>588</v>
      </c>
      <c r="D28" s="9">
        <f t="shared" si="0"/>
        <v>17.8843537414966</v>
      </c>
      <c r="E28" s="7">
        <v>10516</v>
      </c>
      <c r="F28" s="7">
        <v>61900</v>
      </c>
      <c r="H28" s="7"/>
    </row>
    <row r="29" spans="1:8" x14ac:dyDescent="0.2">
      <c r="A29" s="4">
        <v>2004</v>
      </c>
      <c r="B29" s="7">
        <v>523</v>
      </c>
      <c r="C29" s="7">
        <v>511</v>
      </c>
      <c r="D29" s="9">
        <f t="shared" si="0"/>
        <v>20.289628180039138</v>
      </c>
      <c r="E29" s="7">
        <v>10368</v>
      </c>
      <c r="F29" s="7">
        <v>83767</v>
      </c>
      <c r="H29" s="7"/>
    </row>
    <row r="30" spans="1:8" x14ac:dyDescent="0.2">
      <c r="A30" s="4">
        <v>2005</v>
      </c>
      <c r="B30" s="7">
        <v>983</v>
      </c>
      <c r="C30" s="7">
        <v>955</v>
      </c>
      <c r="D30" s="9">
        <f t="shared" si="0"/>
        <v>20.623036649214658</v>
      </c>
      <c r="E30" s="7">
        <v>19695</v>
      </c>
      <c r="F30" s="7">
        <v>117070</v>
      </c>
      <c r="H30" s="7"/>
    </row>
    <row r="31" spans="1:8" x14ac:dyDescent="0.2">
      <c r="A31" s="4">
        <v>2006</v>
      </c>
      <c r="B31" s="7">
        <v>813</v>
      </c>
      <c r="C31" s="7">
        <v>767</v>
      </c>
      <c r="D31" s="9">
        <f t="shared" si="0"/>
        <v>14.366362451108214</v>
      </c>
      <c r="E31" s="7">
        <v>11019</v>
      </c>
      <c r="F31" s="7">
        <v>63961</v>
      </c>
      <c r="H31" s="7"/>
    </row>
    <row r="32" spans="1:8" x14ac:dyDescent="0.2">
      <c r="A32" s="4">
        <v>2007</v>
      </c>
      <c r="B32" s="7">
        <v>354</v>
      </c>
      <c r="C32" s="7">
        <v>349</v>
      </c>
      <c r="D32" s="9">
        <f t="shared" si="0"/>
        <v>16.893982808022923</v>
      </c>
      <c r="E32" s="7">
        <v>5896</v>
      </c>
      <c r="F32" s="7">
        <v>76521</v>
      </c>
      <c r="H32" s="7"/>
    </row>
    <row r="33" spans="1:17" x14ac:dyDescent="0.2">
      <c r="A33" s="4">
        <v>2008</v>
      </c>
      <c r="B33" s="7">
        <v>354</v>
      </c>
      <c r="C33" s="7">
        <v>340</v>
      </c>
      <c r="D33" s="9">
        <f t="shared" si="0"/>
        <v>16.811764705882354</v>
      </c>
      <c r="E33" s="7">
        <v>5716</v>
      </c>
      <c r="F33" s="7">
        <v>72773</v>
      </c>
      <c r="H33" s="7"/>
    </row>
    <row r="34" spans="1:17" x14ac:dyDescent="0.2">
      <c r="A34" s="4">
        <v>2009</v>
      </c>
      <c r="B34" s="7">
        <v>317</v>
      </c>
      <c r="C34" s="7">
        <v>314</v>
      </c>
      <c r="D34" s="9">
        <f t="shared" si="0"/>
        <v>23.640127388535031</v>
      </c>
      <c r="E34" s="7">
        <v>7423</v>
      </c>
      <c r="F34" s="7">
        <v>60373</v>
      </c>
      <c r="H34" s="7"/>
    </row>
    <row r="35" spans="1:17" x14ac:dyDescent="0.2">
      <c r="A35" s="4">
        <v>2010</v>
      </c>
      <c r="B35" s="7">
        <v>421</v>
      </c>
      <c r="C35" s="7">
        <v>418</v>
      </c>
      <c r="D35" s="9">
        <f t="shared" si="0"/>
        <v>21.665071770334929</v>
      </c>
      <c r="E35" s="7">
        <v>9056</v>
      </c>
      <c r="F35" s="7">
        <v>110251</v>
      </c>
      <c r="H35" s="7"/>
    </row>
    <row r="36" spans="1:17" x14ac:dyDescent="0.2">
      <c r="A36" s="4">
        <v>2011</v>
      </c>
      <c r="B36" s="7">
        <v>178</v>
      </c>
      <c r="C36" s="7">
        <v>173</v>
      </c>
      <c r="D36" s="9">
        <f t="shared" si="0"/>
        <v>16.132947976878611</v>
      </c>
      <c r="E36" s="7">
        <v>2791</v>
      </c>
      <c r="F36" s="7">
        <v>38570</v>
      </c>
      <c r="H36" s="7"/>
    </row>
    <row r="37" spans="1:17" x14ac:dyDescent="0.2">
      <c r="A37" s="4">
        <v>2012</v>
      </c>
      <c r="B37" s="7">
        <v>349</v>
      </c>
      <c r="C37" s="7">
        <v>336</v>
      </c>
      <c r="D37" s="9">
        <f t="shared" si="0"/>
        <v>17.25595238095238</v>
      </c>
      <c r="E37" s="7">
        <v>5798</v>
      </c>
      <c r="F37" s="7">
        <v>79919</v>
      </c>
      <c r="H37" s="7"/>
    </row>
    <row r="38" spans="1:17" x14ac:dyDescent="0.2">
      <c r="A38" s="4">
        <v>2013</v>
      </c>
      <c r="B38" s="7">
        <v>181</v>
      </c>
      <c r="C38" s="7">
        <v>172</v>
      </c>
      <c r="D38" s="9">
        <f t="shared" si="0"/>
        <v>19.511627906976745</v>
      </c>
      <c r="E38" s="7">
        <v>3356</v>
      </c>
      <c r="F38" s="7">
        <v>46325</v>
      </c>
      <c r="H38" s="7"/>
    </row>
    <row r="39" spans="1:17" x14ac:dyDescent="0.2">
      <c r="A39" s="4">
        <v>2014</v>
      </c>
      <c r="B39" s="7">
        <v>311</v>
      </c>
      <c r="C39" s="7">
        <v>302</v>
      </c>
      <c r="D39" s="9">
        <f t="shared" si="0"/>
        <v>21.086092715231789</v>
      </c>
      <c r="E39" s="7">
        <v>6368</v>
      </c>
      <c r="F39" s="7">
        <v>75077</v>
      </c>
      <c r="H39" s="7"/>
    </row>
    <row r="40" spans="1:17" x14ac:dyDescent="0.2">
      <c r="A40" s="4">
        <v>2015</v>
      </c>
      <c r="B40" s="7">
        <v>463</v>
      </c>
      <c r="C40" s="7">
        <v>456</v>
      </c>
      <c r="D40" s="9">
        <f t="shared" si="0"/>
        <v>22.138157894736842</v>
      </c>
      <c r="E40" s="7">
        <v>10095</v>
      </c>
      <c r="F40" s="7">
        <v>90561</v>
      </c>
      <c r="H40" s="7"/>
    </row>
    <row r="41" spans="1:17" x14ac:dyDescent="0.2">
      <c r="A41" s="4">
        <v>2016</v>
      </c>
      <c r="B41" s="7">
        <v>374</v>
      </c>
      <c r="C41" s="7">
        <v>366</v>
      </c>
      <c r="D41" s="9">
        <f t="shared" si="0"/>
        <v>23.650273224043715</v>
      </c>
      <c r="E41" s="7">
        <v>8656</v>
      </c>
      <c r="F41" s="7">
        <v>69352</v>
      </c>
      <c r="H41" s="7"/>
    </row>
    <row r="42" spans="1:17" x14ac:dyDescent="0.2">
      <c r="A42" s="53">
        <v>2017</v>
      </c>
      <c r="B42" s="49">
        <v>303</v>
      </c>
      <c r="C42" s="49">
        <v>272</v>
      </c>
      <c r="D42" s="54">
        <f t="shared" si="0"/>
        <v>14.125</v>
      </c>
      <c r="E42" s="49">
        <v>3842</v>
      </c>
      <c r="F42" s="49">
        <v>36340</v>
      </c>
      <c r="N42" s="7"/>
      <c r="O42" s="7"/>
      <c r="P42" s="7"/>
      <c r="Q42" s="7"/>
    </row>
    <row r="43" spans="1:17" x14ac:dyDescent="0.2">
      <c r="A43" s="53">
        <v>2018</v>
      </c>
      <c r="B43" s="49">
        <v>208</v>
      </c>
      <c r="C43" s="49">
        <v>198</v>
      </c>
      <c r="D43" s="54">
        <f t="shared" si="0"/>
        <v>22.555555555555557</v>
      </c>
      <c r="E43" s="49">
        <v>4466</v>
      </c>
      <c r="F43" s="49">
        <v>43533</v>
      </c>
      <c r="N43" s="7"/>
    </row>
    <row r="44" spans="1:17" x14ac:dyDescent="0.2">
      <c r="A44" s="53">
        <v>2019</v>
      </c>
      <c r="B44" s="49">
        <v>374</v>
      </c>
      <c r="C44" s="49">
        <v>284</v>
      </c>
      <c r="D44" s="54">
        <f>+E44/C44</f>
        <v>19.806338028169016</v>
      </c>
      <c r="E44" s="49">
        <v>5625</v>
      </c>
      <c r="F44" s="49">
        <v>49734</v>
      </c>
      <c r="N44" s="7"/>
    </row>
    <row r="45" spans="1:17" x14ac:dyDescent="0.2">
      <c r="A45" s="53">
        <v>2020</v>
      </c>
      <c r="B45" s="49">
        <v>305</v>
      </c>
      <c r="C45" s="49">
        <v>296</v>
      </c>
      <c r="D45" s="54">
        <f>+E45/C45</f>
        <v>19.277027027027028</v>
      </c>
      <c r="E45" s="49">
        <v>5706</v>
      </c>
      <c r="F45" s="49">
        <v>62357</v>
      </c>
      <c r="N45" s="7"/>
    </row>
    <row r="46" spans="1:17" x14ac:dyDescent="0.2">
      <c r="A46" s="53">
        <v>2021</v>
      </c>
      <c r="B46" s="49">
        <v>325</v>
      </c>
      <c r="C46" s="49">
        <v>270</v>
      </c>
      <c r="D46" s="54">
        <f>+E46/C46</f>
        <v>10.066666666666666</v>
      </c>
      <c r="E46" s="49">
        <v>2718</v>
      </c>
      <c r="F46" s="49">
        <v>69110</v>
      </c>
      <c r="N46" s="7"/>
    </row>
    <row r="47" spans="1:17" x14ac:dyDescent="0.2">
      <c r="A47" s="55">
        <v>2022</v>
      </c>
      <c r="B47" s="56">
        <v>263</v>
      </c>
      <c r="C47" s="56">
        <v>244</v>
      </c>
      <c r="D47" s="57">
        <f>+E47/C47</f>
        <v>17.639344262295083</v>
      </c>
      <c r="E47" s="56">
        <v>4304</v>
      </c>
      <c r="F47" s="56">
        <v>80157</v>
      </c>
      <c r="N47" s="7"/>
    </row>
    <row r="48" spans="1:17" x14ac:dyDescent="0.2">
      <c r="A48" s="14" t="s">
        <v>107</v>
      </c>
    </row>
    <row r="49" spans="6:10" ht="10.199999999999999" customHeight="1" x14ac:dyDescent="0.2">
      <c r="F49" s="58" t="s">
        <v>108</v>
      </c>
    </row>
    <row r="50" spans="6:10" x14ac:dyDescent="0.2">
      <c r="H50" s="7"/>
      <c r="I50" s="7"/>
      <c r="J50" s="7"/>
    </row>
  </sheetData>
  <pageMargins left="0.7" right="0.7" top="0.75" bottom="0.75" header="0.3" footer="0.3"/>
  <pageSetup scale="95" firstPageNumber="28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63C2-46FB-4F8A-ACD6-6F3DA5D61C6D}">
  <sheetPr>
    <pageSetUpPr fitToPage="1"/>
  </sheetPr>
  <dimension ref="A1:S58"/>
  <sheetViews>
    <sheetView zoomScaleNormal="100" zoomScaleSheetLayoutView="100" workbookViewId="0">
      <pane xSplit="1" ySplit="6" topLeftCell="B7" activePane="bottomRight" state="frozen"/>
      <selection activeCell="C57" sqref="C57"/>
      <selection pane="topRight" activeCell="C57" sqref="C57"/>
      <selection pane="bottomLeft" activeCell="C57" sqref="C57"/>
      <selection pane="bottomRight" activeCell="C57" sqref="C57"/>
    </sheetView>
  </sheetViews>
  <sheetFormatPr defaultRowHeight="10.199999999999999" x14ac:dyDescent="0.2"/>
  <cols>
    <col min="1" max="10" width="10.85546875" customWidth="1"/>
    <col min="11" max="11" width="13.85546875" customWidth="1"/>
    <col min="12" max="12" width="11.85546875" customWidth="1"/>
  </cols>
  <sheetData>
    <row r="1" spans="1:12" x14ac:dyDescent="0.2">
      <c r="A1" s="59" t="s">
        <v>103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2"/>
      <c r="B2" s="35"/>
      <c r="C2" s="2"/>
      <c r="D2" s="2"/>
      <c r="E2" s="2"/>
      <c r="F2" s="2"/>
      <c r="G2" s="2"/>
      <c r="H2" s="2"/>
      <c r="I2" s="2"/>
      <c r="J2" s="2"/>
      <c r="K2" s="35" t="s">
        <v>27</v>
      </c>
      <c r="L2" s="36"/>
    </row>
    <row r="3" spans="1:12" x14ac:dyDescent="0.2">
      <c r="A3" s="2" t="s">
        <v>87</v>
      </c>
      <c r="B3" s="35"/>
      <c r="C3" s="36" t="s">
        <v>28</v>
      </c>
      <c r="D3" s="36"/>
      <c r="E3" s="36"/>
      <c r="F3" s="35"/>
      <c r="G3" s="36"/>
      <c r="H3" s="36" t="s">
        <v>26</v>
      </c>
      <c r="I3" s="36"/>
      <c r="J3" s="36"/>
      <c r="K3" s="30" t="s">
        <v>74</v>
      </c>
      <c r="L3" s="2"/>
    </row>
    <row r="4" spans="1:12" x14ac:dyDescent="0.2">
      <c r="A4" s="2" t="s">
        <v>22</v>
      </c>
      <c r="B4" s="30" t="s">
        <v>29</v>
      </c>
      <c r="C4" s="2"/>
      <c r="D4" s="2"/>
      <c r="E4" s="2"/>
      <c r="F4" s="30"/>
      <c r="G4" s="2"/>
      <c r="H4" s="2"/>
      <c r="I4" s="2"/>
      <c r="J4" s="2"/>
      <c r="K4" s="30" t="s">
        <v>25</v>
      </c>
      <c r="L4" s="2" t="s">
        <v>66</v>
      </c>
    </row>
    <row r="5" spans="1:12" x14ac:dyDescent="0.2">
      <c r="A5" s="32" t="s">
        <v>32</v>
      </c>
      <c r="B5" s="33" t="s">
        <v>23</v>
      </c>
      <c r="C5" s="2" t="s">
        <v>16</v>
      </c>
      <c r="D5" s="2" t="s">
        <v>19</v>
      </c>
      <c r="E5" s="2" t="s">
        <v>0</v>
      </c>
      <c r="F5" s="33" t="s">
        <v>24</v>
      </c>
      <c r="G5" s="2" t="s">
        <v>20</v>
      </c>
      <c r="H5" s="2" t="s">
        <v>36</v>
      </c>
      <c r="I5" s="2" t="s">
        <v>34</v>
      </c>
      <c r="J5" s="2" t="s">
        <v>0</v>
      </c>
      <c r="K5" s="33" t="s">
        <v>37</v>
      </c>
      <c r="L5" s="28"/>
    </row>
    <row r="6" spans="1:12" x14ac:dyDescent="0.2">
      <c r="A6" s="17"/>
      <c r="B6" s="17"/>
      <c r="C6" s="40"/>
      <c r="D6" s="40"/>
      <c r="E6" s="40"/>
      <c r="F6" s="17"/>
      <c r="G6" s="45" t="s">
        <v>35</v>
      </c>
      <c r="H6" s="40"/>
      <c r="I6" s="40"/>
      <c r="J6" s="40"/>
      <c r="K6" s="41" t="s">
        <v>82</v>
      </c>
      <c r="L6" s="41" t="s">
        <v>82</v>
      </c>
    </row>
    <row r="7" spans="1:12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4" t="s">
        <v>41</v>
      </c>
      <c r="B8" s="6">
        <v>5018</v>
      </c>
      <c r="C8" s="6">
        <f>+'tab28'!E5</f>
        <v>7728</v>
      </c>
      <c r="D8" s="6">
        <v>2510</v>
      </c>
      <c r="E8" s="6">
        <f t="shared" ref="E8:E26" si="0">SUM(B8:D8)</f>
        <v>15256</v>
      </c>
      <c r="F8" s="6">
        <v>11927</v>
      </c>
      <c r="G8" s="6">
        <v>76</v>
      </c>
      <c r="H8" s="6">
        <v>547</v>
      </c>
      <c r="I8" s="6">
        <f t="shared" ref="I8:I50" si="1">+J8-F8-G8-H8</f>
        <v>-27</v>
      </c>
      <c r="J8" s="6">
        <f t="shared" ref="J8:J50" si="2">+E8-B9</f>
        <v>12523</v>
      </c>
      <c r="K8" s="39">
        <v>7.2</v>
      </c>
      <c r="L8" s="12">
        <v>4.5</v>
      </c>
    </row>
    <row r="9" spans="1:12" x14ac:dyDescent="0.2">
      <c r="A9" s="4" t="s">
        <v>42</v>
      </c>
      <c r="B9" s="6">
        <v>2733</v>
      </c>
      <c r="C9" s="6">
        <f>+'tab28'!E6</f>
        <v>7289</v>
      </c>
      <c r="D9" s="6">
        <v>3502</v>
      </c>
      <c r="E9" s="6">
        <f t="shared" si="0"/>
        <v>13524</v>
      </c>
      <c r="F9" s="6">
        <v>11231</v>
      </c>
      <c r="G9" s="6">
        <v>11</v>
      </c>
      <c r="H9" s="6">
        <v>691</v>
      </c>
      <c r="I9" s="6">
        <f t="shared" si="1"/>
        <v>-359</v>
      </c>
      <c r="J9" s="6">
        <f t="shared" si="2"/>
        <v>11574</v>
      </c>
      <c r="K9" s="39">
        <v>6.67</v>
      </c>
      <c r="L9" s="13" t="s">
        <v>55</v>
      </c>
    </row>
    <row r="10" spans="1:12" x14ac:dyDescent="0.2">
      <c r="A10" s="4" t="s">
        <v>43</v>
      </c>
      <c r="B10" s="6">
        <v>1950</v>
      </c>
      <c r="C10" s="6">
        <f>+'tab28'!E7</f>
        <v>10278</v>
      </c>
      <c r="D10" s="6">
        <v>1921</v>
      </c>
      <c r="E10" s="6">
        <f t="shared" si="0"/>
        <v>14149</v>
      </c>
      <c r="F10" s="6">
        <v>8722</v>
      </c>
      <c r="G10" s="6">
        <v>638</v>
      </c>
      <c r="H10" s="6">
        <v>486</v>
      </c>
      <c r="I10" s="6">
        <f t="shared" si="1"/>
        <v>1091</v>
      </c>
      <c r="J10" s="6">
        <f t="shared" si="2"/>
        <v>10937</v>
      </c>
      <c r="K10" s="39">
        <v>5.17</v>
      </c>
      <c r="L10" s="13" t="s">
        <v>55</v>
      </c>
    </row>
    <row r="11" spans="1:12" x14ac:dyDescent="0.2">
      <c r="A11" s="4" t="s">
        <v>44</v>
      </c>
      <c r="B11" s="6">
        <v>3212</v>
      </c>
      <c r="C11" s="6">
        <f>+'tab28'!E8</f>
        <v>6903</v>
      </c>
      <c r="D11" s="6">
        <v>4756</v>
      </c>
      <c r="E11" s="6">
        <f t="shared" si="0"/>
        <v>14871</v>
      </c>
      <c r="F11" s="6">
        <v>12733</v>
      </c>
      <c r="G11" s="6">
        <v>52</v>
      </c>
      <c r="H11" s="6">
        <v>438</v>
      </c>
      <c r="I11" s="6">
        <f t="shared" si="1"/>
        <v>-68</v>
      </c>
      <c r="J11" s="6">
        <f t="shared" si="2"/>
        <v>13155</v>
      </c>
      <c r="K11" s="39">
        <v>6.84</v>
      </c>
      <c r="L11" s="13" t="s">
        <v>55</v>
      </c>
    </row>
    <row r="12" spans="1:12" x14ac:dyDescent="0.2">
      <c r="A12" s="4" t="s">
        <v>45</v>
      </c>
      <c r="B12" s="6">
        <v>1716</v>
      </c>
      <c r="C12" s="6">
        <f>+'tab28'!E9</f>
        <v>7022</v>
      </c>
      <c r="D12" s="6">
        <v>3796</v>
      </c>
      <c r="E12" s="6">
        <f t="shared" si="0"/>
        <v>12534</v>
      </c>
      <c r="F12" s="6">
        <v>9935</v>
      </c>
      <c r="G12" s="6">
        <v>238</v>
      </c>
      <c r="H12" s="6">
        <v>511</v>
      </c>
      <c r="I12" s="6">
        <f t="shared" si="1"/>
        <v>201</v>
      </c>
      <c r="J12" s="6">
        <f t="shared" si="2"/>
        <v>10885</v>
      </c>
      <c r="K12" s="39">
        <v>6.09</v>
      </c>
      <c r="L12" s="13" t="s">
        <v>55</v>
      </c>
    </row>
    <row r="13" spans="1:12" x14ac:dyDescent="0.2">
      <c r="A13" s="4" t="s">
        <v>46</v>
      </c>
      <c r="B13" s="6">
        <v>1649</v>
      </c>
      <c r="C13" s="6">
        <f>+'tab28'!E10</f>
        <v>8293</v>
      </c>
      <c r="D13" s="6">
        <v>2927</v>
      </c>
      <c r="E13" s="6">
        <f t="shared" si="0"/>
        <v>12869</v>
      </c>
      <c r="F13" s="6">
        <v>10313</v>
      </c>
      <c r="G13" s="6">
        <v>250</v>
      </c>
      <c r="H13" s="6">
        <v>517</v>
      </c>
      <c r="I13" s="6">
        <f t="shared" si="1"/>
        <v>160</v>
      </c>
      <c r="J13" s="6">
        <f t="shared" si="2"/>
        <v>11240</v>
      </c>
      <c r="K13" s="39">
        <v>5.05</v>
      </c>
      <c r="L13" s="13" t="s">
        <v>55</v>
      </c>
    </row>
    <row r="14" spans="1:12" x14ac:dyDescent="0.2">
      <c r="A14" s="4" t="s">
        <v>47</v>
      </c>
      <c r="B14" s="6">
        <v>1629</v>
      </c>
      <c r="C14" s="6">
        <f>+'tab28'!E11</f>
        <v>11538</v>
      </c>
      <c r="D14" s="6">
        <v>2224</v>
      </c>
      <c r="E14" s="6">
        <f t="shared" si="0"/>
        <v>15391</v>
      </c>
      <c r="F14" s="6">
        <v>10000</v>
      </c>
      <c r="G14" s="6">
        <v>1448</v>
      </c>
      <c r="H14" s="6">
        <v>362</v>
      </c>
      <c r="I14" s="6">
        <f t="shared" si="1"/>
        <v>280</v>
      </c>
      <c r="J14" s="6">
        <f t="shared" si="2"/>
        <v>12090</v>
      </c>
      <c r="K14" s="39">
        <v>3.47</v>
      </c>
      <c r="L14" s="13" t="s">
        <v>55</v>
      </c>
    </row>
    <row r="15" spans="1:12" x14ac:dyDescent="0.2">
      <c r="A15" s="4" t="s">
        <v>48</v>
      </c>
      <c r="B15" s="6">
        <v>3301</v>
      </c>
      <c r="C15" s="6">
        <f>+'tab28'!E12</f>
        <v>7444</v>
      </c>
      <c r="D15" s="6">
        <v>2925</v>
      </c>
      <c r="E15" s="6">
        <f t="shared" si="0"/>
        <v>13670</v>
      </c>
      <c r="F15" s="6">
        <v>10800</v>
      </c>
      <c r="G15" s="6">
        <v>156</v>
      </c>
      <c r="H15" s="6">
        <v>223</v>
      </c>
      <c r="I15" s="6">
        <f t="shared" si="1"/>
        <v>166</v>
      </c>
      <c r="J15" s="6">
        <f t="shared" si="2"/>
        <v>11345</v>
      </c>
      <c r="K15" s="39">
        <v>3.39</v>
      </c>
      <c r="L15" s="13" t="s">
        <v>55</v>
      </c>
    </row>
    <row r="16" spans="1:12" x14ac:dyDescent="0.2">
      <c r="A16" s="4" t="s">
        <v>49</v>
      </c>
      <c r="B16" s="6">
        <v>2325</v>
      </c>
      <c r="C16" s="6">
        <f>+'tab28'!E13</f>
        <v>1615</v>
      </c>
      <c r="D16" s="6">
        <v>6730</v>
      </c>
      <c r="E16" s="6">
        <f t="shared" si="0"/>
        <v>10670</v>
      </c>
      <c r="F16" s="6">
        <v>8500</v>
      </c>
      <c r="G16" s="6">
        <v>764</v>
      </c>
      <c r="H16" s="6">
        <v>158</v>
      </c>
      <c r="I16" s="6">
        <f t="shared" si="1"/>
        <v>-59</v>
      </c>
      <c r="J16" s="6">
        <f t="shared" si="2"/>
        <v>9363</v>
      </c>
      <c r="K16" s="39">
        <v>7.56</v>
      </c>
      <c r="L16" s="13" t="s">
        <v>55</v>
      </c>
    </row>
    <row r="17" spans="1:12" x14ac:dyDescent="0.2">
      <c r="A17" s="4" t="s">
        <v>2</v>
      </c>
      <c r="B17" s="6">
        <v>1307</v>
      </c>
      <c r="C17" s="6">
        <f>+'tab28'!E14</f>
        <v>1215</v>
      </c>
      <c r="D17" s="6">
        <v>7260</v>
      </c>
      <c r="E17" s="6">
        <f t="shared" si="0"/>
        <v>9782</v>
      </c>
      <c r="F17" s="6">
        <v>8250</v>
      </c>
      <c r="G17" s="6">
        <v>1054</v>
      </c>
      <c r="H17" s="6">
        <v>211</v>
      </c>
      <c r="I17" s="6">
        <f t="shared" si="1"/>
        <v>23</v>
      </c>
      <c r="J17" s="6">
        <f t="shared" si="2"/>
        <v>9538</v>
      </c>
      <c r="K17" s="39">
        <v>7.2</v>
      </c>
      <c r="L17" s="13" t="s">
        <v>55</v>
      </c>
    </row>
    <row r="18" spans="1:12" x14ac:dyDescent="0.2">
      <c r="A18" s="4" t="s">
        <v>3</v>
      </c>
      <c r="B18" s="6">
        <v>244</v>
      </c>
      <c r="C18" s="6">
        <f>+'tab28'!E15</f>
        <v>3812</v>
      </c>
      <c r="D18" s="6">
        <v>6715</v>
      </c>
      <c r="E18" s="6">
        <f t="shared" si="0"/>
        <v>10771</v>
      </c>
      <c r="F18" s="6">
        <v>8800</v>
      </c>
      <c r="G18" s="6">
        <v>549</v>
      </c>
      <c r="H18" s="6">
        <v>288</v>
      </c>
      <c r="I18" s="6">
        <f t="shared" si="1"/>
        <v>163</v>
      </c>
      <c r="J18" s="6">
        <f t="shared" si="2"/>
        <v>9800</v>
      </c>
      <c r="K18" s="39">
        <v>5.27</v>
      </c>
      <c r="L18" s="13" t="s">
        <v>55</v>
      </c>
    </row>
    <row r="19" spans="1:12" x14ac:dyDescent="0.2">
      <c r="A19" s="4" t="s">
        <v>4</v>
      </c>
      <c r="B19" s="6">
        <v>971</v>
      </c>
      <c r="C19" s="6">
        <f>+'tab28'!E16</f>
        <v>6200</v>
      </c>
      <c r="D19" s="6">
        <v>4371</v>
      </c>
      <c r="E19" s="6">
        <f t="shared" si="0"/>
        <v>11542</v>
      </c>
      <c r="F19" s="6">
        <v>9050</v>
      </c>
      <c r="G19" s="6">
        <v>541</v>
      </c>
      <c r="H19" s="6">
        <v>139</v>
      </c>
      <c r="I19" s="6">
        <f t="shared" si="1"/>
        <v>256</v>
      </c>
      <c r="J19" s="6">
        <f t="shared" si="2"/>
        <v>9986</v>
      </c>
      <c r="K19" s="39">
        <v>3.52</v>
      </c>
      <c r="L19" s="12">
        <v>4.984</v>
      </c>
    </row>
    <row r="20" spans="1:12" x14ac:dyDescent="0.2">
      <c r="A20" s="4" t="s">
        <v>5</v>
      </c>
      <c r="B20" s="6">
        <v>1556</v>
      </c>
      <c r="C20" s="6">
        <f>+'tab28'!E17</f>
        <v>3288</v>
      </c>
      <c r="D20" s="6">
        <v>6035</v>
      </c>
      <c r="E20" s="6">
        <f t="shared" si="0"/>
        <v>10879</v>
      </c>
      <c r="F20" s="6">
        <v>8600</v>
      </c>
      <c r="G20" s="6">
        <v>230</v>
      </c>
      <c r="H20" s="6">
        <v>167</v>
      </c>
      <c r="I20" s="6">
        <f t="shared" si="1"/>
        <v>337</v>
      </c>
      <c r="J20" s="6">
        <f t="shared" si="2"/>
        <v>9334</v>
      </c>
      <c r="K20" s="39">
        <v>4.12</v>
      </c>
      <c r="L20" s="12">
        <v>4.984</v>
      </c>
    </row>
    <row r="21" spans="1:12" x14ac:dyDescent="0.2">
      <c r="A21" s="4" t="s">
        <v>6</v>
      </c>
      <c r="B21" s="6">
        <v>1545</v>
      </c>
      <c r="C21" s="6">
        <f>+'tab28'!E18</f>
        <v>3482</v>
      </c>
      <c r="D21" s="6">
        <v>5118.6616785714286</v>
      </c>
      <c r="E21" s="6">
        <f t="shared" si="0"/>
        <v>10145.661678571429</v>
      </c>
      <c r="F21" s="6">
        <v>8650</v>
      </c>
      <c r="G21" s="6">
        <v>126</v>
      </c>
      <c r="H21" s="6">
        <v>144</v>
      </c>
      <c r="I21" s="6">
        <f t="shared" si="1"/>
        <v>70.661678571428638</v>
      </c>
      <c r="J21" s="6">
        <f t="shared" si="2"/>
        <v>8990.6616785714286</v>
      </c>
      <c r="K21" s="39">
        <v>4.25</v>
      </c>
      <c r="L21" s="12">
        <v>4.984</v>
      </c>
    </row>
    <row r="22" spans="1:12" x14ac:dyDescent="0.2">
      <c r="A22" s="4" t="s">
        <v>7</v>
      </c>
      <c r="B22" s="6">
        <v>1155</v>
      </c>
      <c r="C22" s="6">
        <f>+'tab28'!E19</f>
        <v>2922</v>
      </c>
      <c r="D22" s="6">
        <v>6005</v>
      </c>
      <c r="E22" s="6">
        <f t="shared" si="0"/>
        <v>10082</v>
      </c>
      <c r="F22" s="6">
        <v>8550</v>
      </c>
      <c r="G22" s="6">
        <v>72</v>
      </c>
      <c r="H22" s="6">
        <v>134</v>
      </c>
      <c r="I22" s="6">
        <f t="shared" si="1"/>
        <v>156</v>
      </c>
      <c r="J22" s="6">
        <f t="shared" si="2"/>
        <v>8912</v>
      </c>
      <c r="K22" s="39">
        <v>4.63</v>
      </c>
      <c r="L22" s="12">
        <v>4.871999999999999</v>
      </c>
    </row>
    <row r="23" spans="1:12" x14ac:dyDescent="0.2">
      <c r="A23" s="4" t="s">
        <v>8</v>
      </c>
      <c r="B23" s="6">
        <v>1170</v>
      </c>
      <c r="C23" s="6">
        <f>+'tab28'!E20</f>
        <v>2212</v>
      </c>
      <c r="D23" s="6">
        <v>7247.98</v>
      </c>
      <c r="E23" s="6">
        <f t="shared" si="0"/>
        <v>10629.98</v>
      </c>
      <c r="F23" s="6">
        <v>9000</v>
      </c>
      <c r="G23" s="6">
        <v>119</v>
      </c>
      <c r="H23" s="6">
        <v>78</v>
      </c>
      <c r="I23" s="6">
        <f t="shared" si="1"/>
        <v>202.97999999999956</v>
      </c>
      <c r="J23" s="6">
        <f t="shared" si="2"/>
        <v>9399.98</v>
      </c>
      <c r="K23" s="39">
        <v>5.25</v>
      </c>
      <c r="L23" s="12">
        <v>4.871999999999999</v>
      </c>
    </row>
    <row r="24" spans="1:12" x14ac:dyDescent="0.2">
      <c r="A24" s="4" t="s">
        <v>9</v>
      </c>
      <c r="B24" s="6">
        <v>1230</v>
      </c>
      <c r="C24" s="6">
        <f>+'tab28'!E21</f>
        <v>1602</v>
      </c>
      <c r="D24" s="6">
        <v>8390.3780000000006</v>
      </c>
      <c r="E24" s="6">
        <f t="shared" si="0"/>
        <v>11222.378000000001</v>
      </c>
      <c r="F24" s="6">
        <v>10000</v>
      </c>
      <c r="G24" s="6">
        <v>144</v>
      </c>
      <c r="H24" s="6">
        <v>122</v>
      </c>
      <c r="I24" s="6">
        <f t="shared" si="1"/>
        <v>503.37800000000061</v>
      </c>
      <c r="J24" s="6">
        <f t="shared" si="2"/>
        <v>10769.378000000001</v>
      </c>
      <c r="K24" s="39">
        <v>6.21</v>
      </c>
      <c r="L24" s="12">
        <v>4.9896000000000003</v>
      </c>
    </row>
    <row r="25" spans="1:12" x14ac:dyDescent="0.2">
      <c r="A25" s="4" t="s">
        <v>10</v>
      </c>
      <c r="B25" s="6">
        <v>453</v>
      </c>
      <c r="C25" s="6">
        <f>+'tab28'!E22</f>
        <v>2420</v>
      </c>
      <c r="D25" s="6">
        <v>9636.0769999999993</v>
      </c>
      <c r="E25" s="6">
        <f t="shared" si="0"/>
        <v>12509.076999999999</v>
      </c>
      <c r="F25" s="6">
        <v>10500</v>
      </c>
      <c r="G25" s="6">
        <v>174</v>
      </c>
      <c r="H25" s="6">
        <v>272</v>
      </c>
      <c r="I25" s="6">
        <f t="shared" si="1"/>
        <v>382.07699999999932</v>
      </c>
      <c r="J25" s="6">
        <f t="shared" si="2"/>
        <v>11328.076999999999</v>
      </c>
      <c r="K25" s="39">
        <v>5.75</v>
      </c>
      <c r="L25" s="12">
        <v>5.2080000000000011</v>
      </c>
    </row>
    <row r="26" spans="1:12" x14ac:dyDescent="0.2">
      <c r="A26" s="4" t="s">
        <v>11</v>
      </c>
      <c r="B26" s="6">
        <v>1181</v>
      </c>
      <c r="C26" s="6">
        <f>+'tab28'!E23</f>
        <v>6708</v>
      </c>
      <c r="D26" s="6">
        <v>5991.89</v>
      </c>
      <c r="E26" s="6">
        <f t="shared" si="0"/>
        <v>13880.89</v>
      </c>
      <c r="F26" s="6">
        <v>10600</v>
      </c>
      <c r="G26" s="6">
        <v>476</v>
      </c>
      <c r="H26" s="6">
        <v>313</v>
      </c>
      <c r="I26" s="6">
        <f t="shared" si="1"/>
        <v>333.88999999999942</v>
      </c>
      <c r="J26" s="6">
        <f t="shared" si="2"/>
        <v>11722.89</v>
      </c>
      <c r="K26" s="39">
        <v>5.25</v>
      </c>
      <c r="L26" s="12">
        <v>5.2080000000000011</v>
      </c>
    </row>
    <row r="27" spans="1:12" x14ac:dyDescent="0.2">
      <c r="A27" s="4" t="s">
        <v>12</v>
      </c>
      <c r="B27" s="6">
        <v>2158</v>
      </c>
      <c r="C27" s="6">
        <f>+'tab28'!E24</f>
        <v>7864</v>
      </c>
      <c r="D27" s="6">
        <v>6629.03</v>
      </c>
      <c r="E27" s="6">
        <f>SUM(B27:D27)</f>
        <v>16651.03</v>
      </c>
      <c r="F27" s="6">
        <v>11500</v>
      </c>
      <c r="G27" s="6">
        <v>200.77693332075003</v>
      </c>
      <c r="H27" s="6">
        <v>434</v>
      </c>
      <c r="I27" s="6">
        <f t="shared" si="1"/>
        <v>2749.2530666792486</v>
      </c>
      <c r="J27" s="6">
        <f t="shared" si="2"/>
        <v>14884.029999999999</v>
      </c>
      <c r="K27" s="39">
        <v>3.79</v>
      </c>
      <c r="L27" s="12">
        <v>5.2080000000000011</v>
      </c>
    </row>
    <row r="28" spans="1:12" x14ac:dyDescent="0.2">
      <c r="A28" s="4" t="s">
        <v>88</v>
      </c>
      <c r="B28" s="6">
        <v>1767</v>
      </c>
      <c r="C28" s="6">
        <f>+'tab28'!E25</f>
        <v>10730</v>
      </c>
      <c r="D28" s="6">
        <v>2848.6403910427503</v>
      </c>
      <c r="E28" s="6">
        <f>SUM(B28:D28)</f>
        <v>15345.640391042751</v>
      </c>
      <c r="F28" s="6">
        <v>12000</v>
      </c>
      <c r="G28" s="6">
        <v>1016.7494627070001</v>
      </c>
      <c r="H28" s="6">
        <v>474</v>
      </c>
      <c r="I28" s="6">
        <f t="shared" si="1"/>
        <v>546.89092833575057</v>
      </c>
      <c r="J28" s="6">
        <f t="shared" si="2"/>
        <v>14037.640391042751</v>
      </c>
      <c r="K28" s="39">
        <v>3.3</v>
      </c>
      <c r="L28" s="12">
        <v>5.2080000000000011</v>
      </c>
    </row>
    <row r="29" spans="1:12" x14ac:dyDescent="0.2">
      <c r="A29" s="4" t="s">
        <v>50</v>
      </c>
      <c r="B29" s="6">
        <v>1308</v>
      </c>
      <c r="C29" s="6">
        <f>+'tab28'!E26</f>
        <v>11455</v>
      </c>
      <c r="D29" s="6">
        <v>1904.1090303419996</v>
      </c>
      <c r="E29" s="6">
        <f>SUM(B29:D29)</f>
        <v>14667.109030341999</v>
      </c>
      <c r="F29" s="6">
        <v>10000</v>
      </c>
      <c r="G29" s="6">
        <v>2385.9618440894997</v>
      </c>
      <c r="H29" s="6">
        <v>635</v>
      </c>
      <c r="I29" s="6">
        <f t="shared" si="1"/>
        <v>753.14718625249907</v>
      </c>
      <c r="J29" s="6">
        <f t="shared" si="2"/>
        <v>13774.109030341999</v>
      </c>
      <c r="K29" s="39">
        <v>4.29</v>
      </c>
      <c r="L29" s="12">
        <v>5.2080000000000011</v>
      </c>
    </row>
    <row r="30" spans="1:12" x14ac:dyDescent="0.2">
      <c r="A30" s="4" t="s">
        <v>51</v>
      </c>
      <c r="B30" s="6">
        <v>893</v>
      </c>
      <c r="C30" s="6">
        <f>+'tab28'!E27</f>
        <v>11863</v>
      </c>
      <c r="D30" s="6">
        <v>2900.8668232800005</v>
      </c>
      <c r="E30" s="6">
        <f>SUM(B30:D30)</f>
        <v>15656.866823280001</v>
      </c>
      <c r="F30" s="6">
        <v>10500</v>
      </c>
      <c r="G30" s="6">
        <v>3180.7399643010003</v>
      </c>
      <c r="H30" s="6">
        <v>482</v>
      </c>
      <c r="I30" s="6">
        <f t="shared" si="1"/>
        <v>416.12685897900064</v>
      </c>
      <c r="J30" s="6">
        <f t="shared" si="2"/>
        <v>14578.866823280001</v>
      </c>
      <c r="K30" s="39">
        <v>5.77</v>
      </c>
      <c r="L30" s="12">
        <v>5.3760000000000003</v>
      </c>
    </row>
    <row r="31" spans="1:12" x14ac:dyDescent="0.2">
      <c r="A31" s="4" t="s">
        <v>89</v>
      </c>
      <c r="B31" s="6">
        <v>1078</v>
      </c>
      <c r="C31" s="6">
        <f>+'tab28'!E28</f>
        <v>10516</v>
      </c>
      <c r="D31" s="6">
        <v>4580.0208701954998</v>
      </c>
      <c r="E31" s="6">
        <f t="shared" ref="E31:E42" si="3">B31+C31+D31</f>
        <v>16174.0208701955</v>
      </c>
      <c r="F31" s="6">
        <v>11260</v>
      </c>
      <c r="G31" s="6">
        <v>2515.6389305452503</v>
      </c>
      <c r="H31" s="6">
        <v>424</v>
      </c>
      <c r="I31" s="6">
        <f t="shared" si="1"/>
        <v>686.38193965024948</v>
      </c>
      <c r="J31" s="6">
        <f t="shared" si="2"/>
        <v>14886.0208701955</v>
      </c>
      <c r="K31" s="39">
        <v>5.88</v>
      </c>
      <c r="L31" s="12">
        <v>5.3760000000000003</v>
      </c>
    </row>
    <row r="32" spans="1:12" x14ac:dyDescent="0.2">
      <c r="A32" s="4" t="s">
        <v>52</v>
      </c>
      <c r="B32" s="6">
        <v>1288</v>
      </c>
      <c r="C32" s="6">
        <f>+'tab28'!E29</f>
        <v>10368</v>
      </c>
      <c r="D32" s="6">
        <v>5413.1293752322508</v>
      </c>
      <c r="E32" s="6">
        <f t="shared" si="3"/>
        <v>17069.129375232253</v>
      </c>
      <c r="F32" s="6">
        <v>13600</v>
      </c>
      <c r="G32" s="6">
        <v>1509.5931438577497</v>
      </c>
      <c r="H32" s="6">
        <v>796</v>
      </c>
      <c r="I32" s="6">
        <f t="shared" si="1"/>
        <v>300.5362313745029</v>
      </c>
      <c r="J32" s="6">
        <f t="shared" si="2"/>
        <v>16206.129375232253</v>
      </c>
      <c r="K32" s="39">
        <v>8.07</v>
      </c>
      <c r="L32" s="12">
        <v>5.3760000000000003</v>
      </c>
    </row>
    <row r="33" spans="1:19" x14ac:dyDescent="0.2">
      <c r="A33" s="4" t="s">
        <v>53</v>
      </c>
      <c r="B33" s="6">
        <v>863</v>
      </c>
      <c r="C33" s="6">
        <f>+'tab28'!E30</f>
        <v>19695</v>
      </c>
      <c r="D33" s="6">
        <v>4255.8753369037504</v>
      </c>
      <c r="E33" s="6">
        <f t="shared" si="3"/>
        <v>24813.875336903751</v>
      </c>
      <c r="F33" s="6">
        <v>16400</v>
      </c>
      <c r="G33" s="6">
        <v>3779.5423454887505</v>
      </c>
      <c r="H33" s="6">
        <v>659</v>
      </c>
      <c r="I33" s="6">
        <f t="shared" si="1"/>
        <v>440.33299141500083</v>
      </c>
      <c r="J33" s="6">
        <f t="shared" si="2"/>
        <v>21278.875336903751</v>
      </c>
      <c r="K33" s="39">
        <v>5.94</v>
      </c>
      <c r="L33" s="12">
        <v>5.3760000000000003</v>
      </c>
    </row>
    <row r="34" spans="1:19" x14ac:dyDescent="0.2">
      <c r="A34" s="4" t="s">
        <v>54</v>
      </c>
      <c r="B34" s="6">
        <v>3535</v>
      </c>
      <c r="C34" s="6">
        <f>+'tab28'!E31</f>
        <v>11019</v>
      </c>
      <c r="D34" s="6">
        <v>5463.86402637225</v>
      </c>
      <c r="E34" s="6">
        <f t="shared" si="3"/>
        <v>20017.864026372248</v>
      </c>
      <c r="F34" s="6">
        <v>14900</v>
      </c>
      <c r="G34" s="6">
        <v>1787.8624617420003</v>
      </c>
      <c r="H34" s="6">
        <v>287</v>
      </c>
      <c r="I34" s="6">
        <f t="shared" si="1"/>
        <v>599.00156463024791</v>
      </c>
      <c r="J34" s="6">
        <f t="shared" si="2"/>
        <v>17573.864026372248</v>
      </c>
      <c r="K34" s="39">
        <v>5.8</v>
      </c>
      <c r="L34" s="12">
        <v>5.3760000000000003</v>
      </c>
    </row>
    <row r="35" spans="1:19" x14ac:dyDescent="0.2">
      <c r="A35" s="4" t="s">
        <v>56</v>
      </c>
      <c r="B35" s="6">
        <v>2444</v>
      </c>
      <c r="C35" s="6">
        <f>+'tab28'!E32</f>
        <v>5896</v>
      </c>
      <c r="D35" s="6">
        <v>8019.384</v>
      </c>
      <c r="E35" s="6">
        <f t="shared" si="3"/>
        <v>16359.384</v>
      </c>
      <c r="F35" s="6">
        <v>11700</v>
      </c>
      <c r="G35" s="6">
        <v>2220.5250801652501</v>
      </c>
      <c r="H35" s="6">
        <v>287</v>
      </c>
      <c r="I35" s="6">
        <f t="shared" si="1"/>
        <v>639.85891983474994</v>
      </c>
      <c r="J35" s="6">
        <f t="shared" si="2"/>
        <v>14847.384</v>
      </c>
      <c r="K35" s="39">
        <v>13</v>
      </c>
      <c r="L35" s="12">
        <v>5.3760000000000003</v>
      </c>
    </row>
    <row r="36" spans="1:19" x14ac:dyDescent="0.2">
      <c r="A36" s="4" t="s">
        <v>57</v>
      </c>
      <c r="B36" s="6">
        <v>1512</v>
      </c>
      <c r="C36" s="6">
        <f>+'tab28'!E33</f>
        <v>5716</v>
      </c>
      <c r="D36" s="6">
        <v>4794.1263182362518</v>
      </c>
      <c r="E36" s="6">
        <f t="shared" si="3"/>
        <v>12022.126318236253</v>
      </c>
      <c r="F36" s="6">
        <v>8150</v>
      </c>
      <c r="G36" s="6">
        <v>432.30354061499997</v>
      </c>
      <c r="H36" s="6">
        <v>257</v>
      </c>
      <c r="I36" s="6">
        <f t="shared" si="1"/>
        <v>630.82277762125273</v>
      </c>
      <c r="J36" s="6">
        <f t="shared" si="2"/>
        <v>9470.1263182362527</v>
      </c>
      <c r="K36" s="39">
        <v>12.7</v>
      </c>
      <c r="L36" s="12">
        <v>5.2080000000000011</v>
      </c>
    </row>
    <row r="37" spans="1:19" x14ac:dyDescent="0.2">
      <c r="A37" s="15" t="s">
        <v>58</v>
      </c>
      <c r="B37" s="6">
        <v>2552</v>
      </c>
      <c r="C37" s="6">
        <f>+'tab28'!E34</f>
        <v>7423</v>
      </c>
      <c r="D37" s="6">
        <v>6283.0003458014999</v>
      </c>
      <c r="E37" s="6">
        <f t="shared" si="3"/>
        <v>16258.0003458015</v>
      </c>
      <c r="F37" s="6">
        <v>12000</v>
      </c>
      <c r="G37" s="6">
        <v>1751.6518209697499</v>
      </c>
      <c r="H37" s="6">
        <v>341</v>
      </c>
      <c r="I37" s="6">
        <f t="shared" si="1"/>
        <v>608.34852483174996</v>
      </c>
      <c r="J37" s="6">
        <f t="shared" si="2"/>
        <v>14701.0003458015</v>
      </c>
      <c r="K37" s="39">
        <v>8.15</v>
      </c>
      <c r="L37" s="12">
        <v>5.2080000000000011</v>
      </c>
    </row>
    <row r="38" spans="1:19" x14ac:dyDescent="0.2">
      <c r="A38" s="15" t="s">
        <v>59</v>
      </c>
      <c r="B38" s="6">
        <v>1557</v>
      </c>
      <c r="C38" s="6">
        <f>+'tab28'!E35</f>
        <v>9056</v>
      </c>
      <c r="D38" s="6">
        <v>6039.7701876742494</v>
      </c>
      <c r="E38" s="6">
        <f t="shared" si="3"/>
        <v>16652.77018767425</v>
      </c>
      <c r="F38" s="6">
        <v>11635</v>
      </c>
      <c r="G38" s="6">
        <v>2130.4855619077498</v>
      </c>
      <c r="H38" s="6">
        <v>144</v>
      </c>
      <c r="I38" s="6">
        <f t="shared" si="1"/>
        <v>573.28462576650054</v>
      </c>
      <c r="J38" s="6">
        <f t="shared" si="2"/>
        <v>14482.77018767425</v>
      </c>
      <c r="K38" s="39">
        <v>12.2</v>
      </c>
      <c r="L38" s="12">
        <v>5.6503999999999994</v>
      </c>
    </row>
    <row r="39" spans="1:19" x14ac:dyDescent="0.2">
      <c r="A39" s="15" t="s">
        <v>62</v>
      </c>
      <c r="B39" s="6">
        <v>2170</v>
      </c>
      <c r="C39" s="6">
        <f>+'tab28'!E36</f>
        <v>2791</v>
      </c>
      <c r="D39" s="6">
        <v>8285.7205434735006</v>
      </c>
      <c r="E39" s="6">
        <f t="shared" si="3"/>
        <v>13246.720543473501</v>
      </c>
      <c r="F39" s="6">
        <v>10500</v>
      </c>
      <c r="G39" s="6">
        <v>654.03481552200003</v>
      </c>
      <c r="H39" s="6">
        <v>279</v>
      </c>
      <c r="I39" s="6">
        <f t="shared" si="1"/>
        <v>693.68572795150055</v>
      </c>
      <c r="J39" s="6">
        <f t="shared" si="2"/>
        <v>12126.720543473501</v>
      </c>
      <c r="K39" s="39">
        <v>13.9</v>
      </c>
      <c r="L39" s="12">
        <v>5.6503999999999994</v>
      </c>
    </row>
    <row r="40" spans="1:19" x14ac:dyDescent="0.2">
      <c r="A40" s="15" t="s">
        <v>63</v>
      </c>
      <c r="B40" s="6">
        <v>1120</v>
      </c>
      <c r="C40" s="6">
        <f>+'tab28'!E37</f>
        <v>5798</v>
      </c>
      <c r="D40" s="6">
        <v>6927.7528917175496</v>
      </c>
      <c r="E40" s="6">
        <f t="shared" si="3"/>
        <v>13845.75289171755</v>
      </c>
      <c r="F40" s="6">
        <v>11000</v>
      </c>
      <c r="G40" s="6">
        <v>1019.80880878275</v>
      </c>
      <c r="H40" s="6">
        <v>147</v>
      </c>
      <c r="I40" s="6">
        <f t="shared" si="1"/>
        <v>754.94408293479955</v>
      </c>
      <c r="J40" s="6">
        <f t="shared" si="2"/>
        <v>12921.75289171755</v>
      </c>
      <c r="K40" s="39">
        <v>13.8</v>
      </c>
      <c r="L40" s="12">
        <v>5.6503999999999994</v>
      </c>
    </row>
    <row r="41" spans="1:19" x14ac:dyDescent="0.2">
      <c r="A41" s="15" t="s">
        <v>67</v>
      </c>
      <c r="B41" s="6">
        <v>924</v>
      </c>
      <c r="C41" s="6">
        <f>+'tab28'!E38</f>
        <v>3356</v>
      </c>
      <c r="D41" s="6">
        <v>6759</v>
      </c>
      <c r="E41" s="6">
        <f t="shared" si="3"/>
        <v>11039</v>
      </c>
      <c r="F41" s="6">
        <v>8700</v>
      </c>
      <c r="G41" s="6">
        <v>598.69734669675006</v>
      </c>
      <c r="H41" s="6">
        <v>252</v>
      </c>
      <c r="I41" s="6">
        <f t="shared" si="1"/>
        <v>725.30265330324994</v>
      </c>
      <c r="J41" s="6">
        <f t="shared" si="2"/>
        <v>10276</v>
      </c>
      <c r="K41" s="39">
        <v>13.8</v>
      </c>
      <c r="L41" s="12">
        <v>5.6503999999999994</v>
      </c>
    </row>
    <row r="42" spans="1:19" x14ac:dyDescent="0.2">
      <c r="A42" s="15" t="s">
        <v>71</v>
      </c>
      <c r="B42" s="6">
        <v>763</v>
      </c>
      <c r="C42" s="6">
        <f>+'tab28'!E39</f>
        <v>6368</v>
      </c>
      <c r="D42" s="6">
        <v>7464.4880222047505</v>
      </c>
      <c r="E42" s="6">
        <f t="shared" si="3"/>
        <v>14595.48802220475</v>
      </c>
      <c r="F42" s="6">
        <v>11850</v>
      </c>
      <c r="G42" s="6">
        <v>528.45950703375001</v>
      </c>
      <c r="H42" s="6">
        <v>375</v>
      </c>
      <c r="I42" s="6">
        <f t="shared" si="1"/>
        <v>1034.0285151710004</v>
      </c>
      <c r="J42" s="6">
        <f t="shared" si="2"/>
        <v>13787.48802220475</v>
      </c>
      <c r="K42" s="39">
        <v>11.8</v>
      </c>
      <c r="L42" s="12">
        <v>5.6503999999999994</v>
      </c>
    </row>
    <row r="43" spans="1:19" x14ac:dyDescent="0.2">
      <c r="A43" s="15" t="s">
        <v>70</v>
      </c>
      <c r="B43" s="6">
        <v>808</v>
      </c>
      <c r="C43" s="6">
        <f>+'tab28'!E40</f>
        <v>10095</v>
      </c>
      <c r="D43" s="6">
        <v>4436.5</v>
      </c>
      <c r="E43" s="6">
        <v>15339.497379691</v>
      </c>
      <c r="F43" s="6">
        <v>10700</v>
      </c>
      <c r="G43" s="6">
        <v>869.82573644999991</v>
      </c>
      <c r="H43" s="6">
        <v>303</v>
      </c>
      <c r="I43" s="6">
        <f t="shared" si="1"/>
        <v>552.67164324099997</v>
      </c>
      <c r="J43" s="6">
        <f t="shared" si="2"/>
        <v>12425.497379691</v>
      </c>
      <c r="K43" s="39">
        <v>8.9499999999999993</v>
      </c>
      <c r="L43" s="12">
        <v>5.6503999999999994</v>
      </c>
    </row>
    <row r="44" spans="1:19" x14ac:dyDescent="0.2">
      <c r="A44" s="15" t="s">
        <v>72</v>
      </c>
      <c r="B44" s="6">
        <v>2914</v>
      </c>
      <c r="C44" s="6">
        <f>+'tab28'!E41</f>
        <v>8656</v>
      </c>
      <c r="D44" s="6">
        <v>3086.4556038554997</v>
      </c>
      <c r="E44" s="6">
        <f t="shared" ref="E44:E50" si="4">B44+C44+D44</f>
        <v>14656.4556038555</v>
      </c>
      <c r="F44" s="6">
        <v>10500</v>
      </c>
      <c r="G44" s="6">
        <v>1331.737350525</v>
      </c>
      <c r="H44" s="6">
        <v>245</v>
      </c>
      <c r="I44" s="6">
        <f t="shared" si="1"/>
        <v>409.71825333050015</v>
      </c>
      <c r="J44" s="6">
        <f t="shared" si="2"/>
        <v>12486.4556038555</v>
      </c>
      <c r="K44" s="39">
        <v>8</v>
      </c>
      <c r="L44" s="12">
        <v>5.6503999999999994</v>
      </c>
    </row>
    <row r="45" spans="1:19" x14ac:dyDescent="0.2">
      <c r="A45" s="60" t="s">
        <v>77</v>
      </c>
      <c r="B45" s="61">
        <v>2170</v>
      </c>
      <c r="C45" s="61">
        <f>+'tab28'!E42</f>
        <v>3842</v>
      </c>
      <c r="D45" s="61">
        <v>5451.3742893001054</v>
      </c>
      <c r="E45" s="61">
        <f t="shared" si="4"/>
        <v>11463.374289300105</v>
      </c>
      <c r="F45" s="61">
        <v>9000</v>
      </c>
      <c r="G45" s="61">
        <v>480.00933359171421</v>
      </c>
      <c r="H45" s="61">
        <v>168.48000000000002</v>
      </c>
      <c r="I45" s="61">
        <f t="shared" si="1"/>
        <v>185.88495570839115</v>
      </c>
      <c r="J45" s="61">
        <f t="shared" si="2"/>
        <v>9834.3742893001054</v>
      </c>
      <c r="K45" s="62">
        <v>9.5299999999999994</v>
      </c>
      <c r="L45" s="63">
        <v>5.6503999999999994</v>
      </c>
      <c r="O45" s="48"/>
      <c r="P45" s="6"/>
      <c r="Q45" s="6"/>
      <c r="R45" s="6"/>
      <c r="S45" s="6"/>
    </row>
    <row r="46" spans="1:19" x14ac:dyDescent="0.2">
      <c r="A46" s="60" t="s">
        <v>79</v>
      </c>
      <c r="B46" s="61">
        <v>1629</v>
      </c>
      <c r="C46" s="61">
        <f>+'tab28'!E43</f>
        <v>4466</v>
      </c>
      <c r="D46" s="61">
        <v>5503.1553630873559</v>
      </c>
      <c r="E46" s="61">
        <f t="shared" si="4"/>
        <v>11598.155363087357</v>
      </c>
      <c r="F46" s="61">
        <v>9150</v>
      </c>
      <c r="G46" s="61">
        <v>262.16112412685709</v>
      </c>
      <c r="H46" s="61">
        <v>302.94</v>
      </c>
      <c r="I46" s="61">
        <f t="shared" si="1"/>
        <v>321.05423896049973</v>
      </c>
      <c r="J46" s="61">
        <f t="shared" si="2"/>
        <v>10036.155363087357</v>
      </c>
      <c r="K46" s="62">
        <v>9.89</v>
      </c>
      <c r="L46" s="63">
        <v>5.6503999999999994</v>
      </c>
      <c r="O46" s="48"/>
      <c r="P46" s="6"/>
      <c r="Q46" s="6"/>
      <c r="R46" s="6"/>
      <c r="S46" s="6"/>
    </row>
    <row r="47" spans="1:19" ht="12" customHeight="1" x14ac:dyDescent="0.2">
      <c r="A47" s="60" t="s">
        <v>78</v>
      </c>
      <c r="B47" s="61">
        <v>1562</v>
      </c>
      <c r="C47" s="61">
        <f>+'tab28'!E44</f>
        <v>5625</v>
      </c>
      <c r="D47" s="61">
        <v>4381.8252461637494</v>
      </c>
      <c r="E47" s="61">
        <f t="shared" si="4"/>
        <v>11568.825246163749</v>
      </c>
      <c r="F47" s="61">
        <v>8950</v>
      </c>
      <c r="G47" s="61">
        <v>875.2509274444285</v>
      </c>
      <c r="H47" s="61">
        <v>247.05</v>
      </c>
      <c r="I47" s="61">
        <f t="shared" si="1"/>
        <v>233.52431871932089</v>
      </c>
      <c r="J47" s="61">
        <f t="shared" si="2"/>
        <v>10305.825246163749</v>
      </c>
      <c r="K47" s="62">
        <v>9.15</v>
      </c>
      <c r="L47" s="63">
        <v>5.6503999999999994</v>
      </c>
      <c r="O47" s="48"/>
      <c r="P47" s="6"/>
      <c r="Q47" s="6"/>
      <c r="R47" s="6"/>
      <c r="S47" s="6"/>
    </row>
    <row r="48" spans="1:19" ht="12" customHeight="1" x14ac:dyDescent="0.2">
      <c r="A48" s="60" t="s">
        <v>109</v>
      </c>
      <c r="B48" s="61">
        <v>1263</v>
      </c>
      <c r="C48" s="61">
        <f>+'tab28'!E45</f>
        <v>5706</v>
      </c>
      <c r="D48" s="61">
        <v>4067.6547123354276</v>
      </c>
      <c r="E48" s="61">
        <f t="shared" si="4"/>
        <v>11036.654712335428</v>
      </c>
      <c r="F48" s="61">
        <v>8000</v>
      </c>
      <c r="G48" s="61">
        <v>1187.7561838294284</v>
      </c>
      <c r="H48" s="61">
        <v>263.25</v>
      </c>
      <c r="I48" s="61">
        <f t="shared" si="1"/>
        <v>242.64852850600005</v>
      </c>
      <c r="J48" s="61">
        <f t="shared" si="2"/>
        <v>9693.6547123354285</v>
      </c>
      <c r="K48" s="62">
        <v>11.1</v>
      </c>
      <c r="L48" s="63">
        <v>5.6503999999999994</v>
      </c>
      <c r="O48" s="48"/>
      <c r="P48" s="6"/>
      <c r="Q48" s="6"/>
      <c r="R48" s="6"/>
      <c r="S48" s="6"/>
    </row>
    <row r="49" spans="1:19" ht="12" customHeight="1" x14ac:dyDescent="0.2">
      <c r="A49" s="60" t="s">
        <v>110</v>
      </c>
      <c r="B49" s="61">
        <v>1343</v>
      </c>
      <c r="C49" s="61">
        <f>+'tab28'!E46</f>
        <v>2718</v>
      </c>
      <c r="D49" s="61">
        <v>6683.5969240097138</v>
      </c>
      <c r="E49" s="61">
        <f t="shared" si="4"/>
        <v>10744.596924009715</v>
      </c>
      <c r="F49" s="61">
        <v>9300</v>
      </c>
      <c r="G49" s="61">
        <v>477.69054301460699</v>
      </c>
      <c r="H49" s="61">
        <v>213.03</v>
      </c>
      <c r="I49" s="61">
        <f t="shared" si="1"/>
        <v>265.87638099510775</v>
      </c>
      <c r="J49" s="61">
        <f t="shared" si="2"/>
        <v>10256.596924009715</v>
      </c>
      <c r="K49" s="62">
        <v>25.9</v>
      </c>
      <c r="L49" s="63">
        <v>5.6503999999999994</v>
      </c>
      <c r="O49" s="48"/>
      <c r="P49" s="6"/>
      <c r="Q49" s="6"/>
      <c r="R49" s="6"/>
      <c r="S49" s="6"/>
    </row>
    <row r="50" spans="1:19" ht="12" customHeight="1" x14ac:dyDescent="0.2">
      <c r="A50" s="64" t="s">
        <v>111</v>
      </c>
      <c r="B50" s="65">
        <v>488</v>
      </c>
      <c r="C50" s="65">
        <f>+'tab28'!E47</f>
        <v>4304</v>
      </c>
      <c r="D50" s="65">
        <v>6687</v>
      </c>
      <c r="E50" s="65">
        <f t="shared" si="4"/>
        <v>11479</v>
      </c>
      <c r="F50" s="65">
        <v>9850</v>
      </c>
      <c r="G50" s="65">
        <v>400</v>
      </c>
      <c r="H50" s="65">
        <v>283.5</v>
      </c>
      <c r="I50" s="65">
        <f t="shared" si="1"/>
        <v>945.5</v>
      </c>
      <c r="J50" s="65">
        <f t="shared" si="2"/>
        <v>11479</v>
      </c>
      <c r="K50" s="66">
        <v>17.903200000000002</v>
      </c>
      <c r="L50" s="67">
        <v>5.6503999999999994</v>
      </c>
      <c r="O50" s="48"/>
      <c r="P50" s="6"/>
      <c r="Q50" s="6"/>
      <c r="R50" s="6"/>
      <c r="S50" s="6"/>
    </row>
    <row r="51" spans="1:19" ht="12" customHeight="1" x14ac:dyDescent="0.2">
      <c r="A51" s="16" t="s">
        <v>96</v>
      </c>
      <c r="B51" s="6"/>
      <c r="C51" s="6"/>
      <c r="D51" s="6"/>
      <c r="E51" s="6"/>
      <c r="F51" s="6"/>
      <c r="G51" s="6"/>
      <c r="H51" s="6"/>
      <c r="I51" s="6"/>
      <c r="J51" s="6"/>
      <c r="K51" s="39"/>
      <c r="L51" s="12"/>
    </row>
    <row r="52" spans="1:19" ht="13.2" customHeight="1" x14ac:dyDescent="0.2">
      <c r="A52" s="14" t="s">
        <v>93</v>
      </c>
      <c r="B52" s="15"/>
    </row>
    <row r="53" spans="1:19" x14ac:dyDescent="0.2">
      <c r="A53" s="14" t="s">
        <v>112</v>
      </c>
    </row>
    <row r="54" spans="1:19" x14ac:dyDescent="0.2">
      <c r="A54" t="s">
        <v>97</v>
      </c>
    </row>
    <row r="55" spans="1:19" ht="10.199999999999999" customHeight="1" x14ac:dyDescent="0.2">
      <c r="A55" t="s">
        <v>80</v>
      </c>
      <c r="K55" s="19"/>
    </row>
    <row r="56" spans="1:19" ht="10.199999999999999" customHeight="1" x14ac:dyDescent="0.2">
      <c r="L56" s="58" t="s">
        <v>108</v>
      </c>
    </row>
    <row r="58" spans="1:19" x14ac:dyDescent="0.2">
      <c r="D58" s="6"/>
    </row>
  </sheetData>
  <pageMargins left="0.7" right="0.7" top="0.75" bottom="0.75" header="0.3" footer="0.3"/>
  <pageSetup scale="80" firstPageNumber="29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FAEA-05CA-4E50-B948-95801856395B}">
  <sheetPr>
    <pageSetUpPr fitToPage="1"/>
  </sheetPr>
  <dimension ref="A1:Q53"/>
  <sheetViews>
    <sheetView zoomScaleNormal="100" zoomScaleSheetLayoutView="100" workbookViewId="0">
      <pane xSplit="1" ySplit="5" topLeftCell="B33" activePane="bottomRight" state="frozen"/>
      <selection activeCell="C57" sqref="C57"/>
      <selection pane="topRight" activeCell="C57" sqref="C57"/>
      <selection pane="bottomLeft" activeCell="C57" sqref="C57"/>
      <selection pane="bottomRight" activeCell="C57" sqref="C57"/>
    </sheetView>
  </sheetViews>
  <sheetFormatPr defaultRowHeight="10.199999999999999" x14ac:dyDescent="0.2"/>
  <cols>
    <col min="1" max="9" width="11.85546875" customWidth="1"/>
    <col min="10" max="10" width="16.7109375" customWidth="1"/>
  </cols>
  <sheetData>
    <row r="1" spans="1:13" x14ac:dyDescent="0.2">
      <c r="A1" s="59" t="s">
        <v>104</v>
      </c>
      <c r="B1" s="1"/>
      <c r="C1" s="1"/>
      <c r="D1" s="1"/>
      <c r="E1" s="1"/>
      <c r="F1" s="1"/>
      <c r="G1" s="1"/>
      <c r="H1" s="1"/>
      <c r="I1" s="1"/>
      <c r="J1" s="1"/>
    </row>
    <row r="2" spans="1:13" x14ac:dyDescent="0.2">
      <c r="A2" s="2" t="s">
        <v>86</v>
      </c>
      <c r="B2" s="35"/>
      <c r="C2" s="36" t="s">
        <v>28</v>
      </c>
      <c r="D2" s="36"/>
      <c r="E2" s="37"/>
      <c r="F2" s="36"/>
      <c r="G2" s="36" t="s">
        <v>26</v>
      </c>
      <c r="H2" s="36"/>
      <c r="I2" s="47"/>
      <c r="J2" s="35" t="s">
        <v>27</v>
      </c>
    </row>
    <row r="3" spans="1:13" x14ac:dyDescent="0.2">
      <c r="A3" s="2" t="s">
        <v>22</v>
      </c>
      <c r="B3" s="30" t="s">
        <v>29</v>
      </c>
      <c r="C3" s="2"/>
      <c r="D3" s="2"/>
      <c r="E3" s="2"/>
      <c r="F3" s="29"/>
      <c r="G3" s="2"/>
      <c r="H3" s="2"/>
      <c r="I3" s="30" t="s">
        <v>31</v>
      </c>
      <c r="J3" s="30" t="s">
        <v>85</v>
      </c>
    </row>
    <row r="4" spans="1:13" x14ac:dyDescent="0.2">
      <c r="A4" s="28" t="s">
        <v>32</v>
      </c>
      <c r="B4" s="33" t="s">
        <v>23</v>
      </c>
      <c r="C4" s="28" t="s">
        <v>16</v>
      </c>
      <c r="D4" s="28" t="s">
        <v>19</v>
      </c>
      <c r="E4" s="32" t="s">
        <v>0</v>
      </c>
      <c r="F4" s="28" t="s">
        <v>30</v>
      </c>
      <c r="G4" s="28" t="s">
        <v>33</v>
      </c>
      <c r="H4" s="32" t="s">
        <v>0</v>
      </c>
      <c r="I4" s="28" t="s">
        <v>23</v>
      </c>
      <c r="J4" s="33" t="s">
        <v>91</v>
      </c>
    </row>
    <row r="5" spans="1:13" x14ac:dyDescent="0.2">
      <c r="A5" s="17"/>
      <c r="B5" s="17"/>
      <c r="C5" s="40"/>
      <c r="D5" s="43" t="s">
        <v>38</v>
      </c>
      <c r="E5" s="17"/>
      <c r="F5" s="40"/>
      <c r="G5" s="40"/>
      <c r="H5" s="40"/>
      <c r="I5" s="40"/>
      <c r="J5" s="41" t="s">
        <v>83</v>
      </c>
    </row>
    <row r="6" spans="1:13" x14ac:dyDescent="0.2">
      <c r="B6" s="2"/>
      <c r="C6" s="2"/>
      <c r="D6" s="2"/>
      <c r="E6" s="2"/>
      <c r="F6" s="2"/>
      <c r="G6" s="2"/>
      <c r="H6" s="2"/>
      <c r="I6" s="2"/>
      <c r="J6" s="2"/>
    </row>
    <row r="7" spans="1:13" x14ac:dyDescent="0.2">
      <c r="A7" s="4" t="s">
        <v>41</v>
      </c>
      <c r="B7" s="5">
        <v>7</v>
      </c>
      <c r="C7" s="5">
        <v>214.68600000000004</v>
      </c>
      <c r="D7" s="5">
        <v>2</v>
      </c>
      <c r="E7" s="5">
        <f t="shared" ref="E7:E45" si="0">SUM(B7:D7)</f>
        <v>223.68600000000004</v>
      </c>
      <c r="F7" s="5">
        <f t="shared" ref="F7:F43" si="1">+H7-G7</f>
        <v>88.052286747000011</v>
      </c>
      <c r="G7" s="5">
        <v>133.63371325300002</v>
      </c>
      <c r="H7" s="5">
        <f t="shared" ref="H7:H49" si="2">+E7-I7</f>
        <v>221.68600000000004</v>
      </c>
      <c r="I7" s="5">
        <v>2</v>
      </c>
      <c r="J7" s="10">
        <v>162.80000000000001</v>
      </c>
      <c r="L7" s="48"/>
      <c r="M7" s="48"/>
    </row>
    <row r="8" spans="1:13" x14ac:dyDescent="0.2">
      <c r="A8" s="4" t="s">
        <v>42</v>
      </c>
      <c r="B8" s="5">
        <f>I7</f>
        <v>2</v>
      </c>
      <c r="C8" s="5">
        <v>202.15800000000002</v>
      </c>
      <c r="D8" s="5">
        <v>2</v>
      </c>
      <c r="E8" s="5">
        <f t="shared" si="0"/>
        <v>206.15800000000002</v>
      </c>
      <c r="F8" s="5">
        <f t="shared" si="1"/>
        <v>53.16364877700002</v>
      </c>
      <c r="G8" s="5">
        <v>150.994351223</v>
      </c>
      <c r="H8" s="5">
        <f t="shared" si="2"/>
        <v>204.15800000000002</v>
      </c>
      <c r="I8" s="5">
        <v>2</v>
      </c>
      <c r="J8" s="10">
        <v>151.02000000000001</v>
      </c>
      <c r="L8" s="48"/>
      <c r="M8" s="48"/>
    </row>
    <row r="9" spans="1:13" x14ac:dyDescent="0.2">
      <c r="A9" s="4" t="s">
        <v>43</v>
      </c>
      <c r="B9" s="5">
        <f t="shared" ref="B9:B32" si="3">I8</f>
        <v>2</v>
      </c>
      <c r="C9" s="5">
        <v>156.99600000000001</v>
      </c>
      <c r="D9" s="5">
        <v>2</v>
      </c>
      <c r="E9" s="5">
        <f t="shared" si="0"/>
        <v>160.99600000000001</v>
      </c>
      <c r="F9" s="5">
        <f t="shared" si="1"/>
        <v>79.887889768000008</v>
      </c>
      <c r="G9" s="5">
        <v>79.108110232000001</v>
      </c>
      <c r="H9" s="5">
        <f t="shared" si="2"/>
        <v>158.99600000000001</v>
      </c>
      <c r="I9" s="5">
        <v>2</v>
      </c>
      <c r="J9" s="10">
        <v>143.4</v>
      </c>
      <c r="L9" s="48"/>
      <c r="M9" s="48"/>
    </row>
    <row r="10" spans="1:13" x14ac:dyDescent="0.2">
      <c r="A10" s="4" t="s">
        <v>44</v>
      </c>
      <c r="B10" s="5">
        <f t="shared" si="3"/>
        <v>2</v>
      </c>
      <c r="C10" s="5">
        <v>229.19400000000002</v>
      </c>
      <c r="D10" s="5">
        <v>2</v>
      </c>
      <c r="E10" s="5">
        <f t="shared" si="0"/>
        <v>233.19400000000002</v>
      </c>
      <c r="F10" s="5">
        <f t="shared" si="1"/>
        <v>105.66630856600003</v>
      </c>
      <c r="G10" s="5">
        <v>124.52769143399999</v>
      </c>
      <c r="H10" s="5">
        <f t="shared" si="2"/>
        <v>230.19400000000002</v>
      </c>
      <c r="I10" s="5">
        <v>3</v>
      </c>
      <c r="J10" s="10">
        <v>155.28</v>
      </c>
      <c r="L10" s="48"/>
      <c r="M10" s="48"/>
    </row>
    <row r="11" spans="1:13" x14ac:dyDescent="0.2">
      <c r="A11" s="4" t="s">
        <v>45</v>
      </c>
      <c r="B11" s="5">
        <f t="shared" si="3"/>
        <v>3</v>
      </c>
      <c r="C11" s="5">
        <v>178.83</v>
      </c>
      <c r="D11" s="5">
        <v>1</v>
      </c>
      <c r="E11" s="5">
        <f t="shared" si="0"/>
        <v>182.83</v>
      </c>
      <c r="F11" s="5">
        <f t="shared" si="1"/>
        <v>119.499695249</v>
      </c>
      <c r="G11" s="5">
        <v>60.330304751000014</v>
      </c>
      <c r="H11" s="5">
        <f t="shared" si="2"/>
        <v>179.83</v>
      </c>
      <c r="I11" s="5">
        <v>3</v>
      </c>
      <c r="J11" s="10">
        <v>98.99</v>
      </c>
      <c r="L11" s="48"/>
      <c r="M11" s="48"/>
    </row>
    <row r="12" spans="1:13" x14ac:dyDescent="0.2">
      <c r="A12" s="4" t="s">
        <v>46</v>
      </c>
      <c r="B12" s="5">
        <f t="shared" si="3"/>
        <v>3</v>
      </c>
      <c r="C12" s="5">
        <v>183.57140000000001</v>
      </c>
      <c r="D12" s="5">
        <v>3</v>
      </c>
      <c r="E12" s="5">
        <f t="shared" si="0"/>
        <v>189.57140000000001</v>
      </c>
      <c r="F12" s="5">
        <f t="shared" si="1"/>
        <v>109.86740000000002</v>
      </c>
      <c r="G12" s="5">
        <v>74.703999999999994</v>
      </c>
      <c r="H12" s="5">
        <f t="shared" si="2"/>
        <v>184.57140000000001</v>
      </c>
      <c r="I12" s="5">
        <v>5</v>
      </c>
      <c r="J12" s="10">
        <v>102.62</v>
      </c>
      <c r="L12" s="48"/>
      <c r="M12" s="48"/>
    </row>
    <row r="13" spans="1:13" x14ac:dyDescent="0.2">
      <c r="A13" s="4" t="s">
        <v>47</v>
      </c>
      <c r="B13" s="5">
        <f t="shared" si="3"/>
        <v>5</v>
      </c>
      <c r="C13" s="5">
        <v>180</v>
      </c>
      <c r="D13" s="5">
        <v>2</v>
      </c>
      <c r="E13" s="5">
        <f t="shared" si="0"/>
        <v>187</v>
      </c>
      <c r="F13" s="5">
        <f t="shared" si="1"/>
        <v>122.328</v>
      </c>
      <c r="G13" s="5">
        <v>62.671999999999997</v>
      </c>
      <c r="H13" s="5">
        <f t="shared" si="2"/>
        <v>185</v>
      </c>
      <c r="I13" s="5">
        <v>2</v>
      </c>
      <c r="J13" s="10">
        <v>111.98</v>
      </c>
      <c r="L13" s="48"/>
      <c r="M13" s="48"/>
    </row>
    <row r="14" spans="1:13" x14ac:dyDescent="0.2">
      <c r="A14" s="4" t="s">
        <v>48</v>
      </c>
      <c r="B14" s="5">
        <f t="shared" si="3"/>
        <v>2</v>
      </c>
      <c r="C14" s="5">
        <v>194.4</v>
      </c>
      <c r="D14" s="5">
        <v>2</v>
      </c>
      <c r="E14" s="5">
        <f t="shared" si="0"/>
        <v>198.4</v>
      </c>
      <c r="F14" s="5">
        <f t="shared" si="1"/>
        <v>136.01300000000001</v>
      </c>
      <c r="G14" s="5">
        <v>59.387000000000008</v>
      </c>
      <c r="H14" s="5">
        <f t="shared" si="2"/>
        <v>195.4</v>
      </c>
      <c r="I14" s="5">
        <v>3</v>
      </c>
      <c r="J14" s="10">
        <v>130.24</v>
      </c>
      <c r="L14" s="48"/>
      <c r="M14" s="48"/>
    </row>
    <row r="15" spans="1:13" x14ac:dyDescent="0.2">
      <c r="A15" s="4" t="s">
        <v>49</v>
      </c>
      <c r="B15" s="5">
        <f t="shared" si="3"/>
        <v>3</v>
      </c>
      <c r="C15" s="5">
        <v>153</v>
      </c>
      <c r="D15" s="5">
        <v>11</v>
      </c>
      <c r="E15" s="5">
        <f t="shared" si="0"/>
        <v>167</v>
      </c>
      <c r="F15" s="5">
        <f t="shared" si="1"/>
        <v>99.063511748005993</v>
      </c>
      <c r="G15" s="5">
        <v>62.936488251994</v>
      </c>
      <c r="H15" s="5">
        <f t="shared" si="2"/>
        <v>162</v>
      </c>
      <c r="I15" s="5">
        <v>5</v>
      </c>
      <c r="J15" s="10">
        <v>178.43</v>
      </c>
      <c r="L15" s="48"/>
      <c r="M15" s="48"/>
    </row>
    <row r="16" spans="1:13" x14ac:dyDescent="0.2">
      <c r="A16" s="4" t="s">
        <v>2</v>
      </c>
      <c r="B16" s="5">
        <f t="shared" si="3"/>
        <v>5</v>
      </c>
      <c r="C16" s="5">
        <v>148.5</v>
      </c>
      <c r="D16" s="5">
        <v>9</v>
      </c>
      <c r="E16" s="5">
        <f t="shared" si="0"/>
        <v>162.5</v>
      </c>
      <c r="F16" s="5">
        <f t="shared" si="1"/>
        <v>134.027795216448</v>
      </c>
      <c r="G16" s="5">
        <v>23.472204783552002</v>
      </c>
      <c r="H16" s="5">
        <f t="shared" si="2"/>
        <v>157.5</v>
      </c>
      <c r="I16" s="5">
        <v>5</v>
      </c>
      <c r="J16" s="10">
        <v>139.27000000000001</v>
      </c>
      <c r="L16" s="48"/>
      <c r="M16" s="48"/>
    </row>
    <row r="17" spans="1:13" x14ac:dyDescent="0.2">
      <c r="A17" s="4" t="s">
        <v>3</v>
      </c>
      <c r="B17" s="5">
        <f t="shared" si="3"/>
        <v>5</v>
      </c>
      <c r="C17" s="5">
        <v>158.4</v>
      </c>
      <c r="D17" s="5">
        <v>2.8740267900000003</v>
      </c>
      <c r="E17" s="5">
        <f t="shared" si="0"/>
        <v>166.27402678999999</v>
      </c>
      <c r="F17" s="5">
        <f t="shared" si="1"/>
        <v>120.37210141835698</v>
      </c>
      <c r="G17" s="5">
        <v>40.90192537164301</v>
      </c>
      <c r="H17" s="5">
        <f t="shared" si="2"/>
        <v>161.27402678999999</v>
      </c>
      <c r="I17" s="5">
        <v>5</v>
      </c>
      <c r="J17" s="10">
        <v>130.06</v>
      </c>
      <c r="L17" s="48"/>
      <c r="M17" s="48"/>
    </row>
    <row r="18" spans="1:13" x14ac:dyDescent="0.2">
      <c r="A18" s="4" t="s">
        <v>4</v>
      </c>
      <c r="B18" s="5">
        <f t="shared" si="3"/>
        <v>5</v>
      </c>
      <c r="C18" s="5">
        <v>162.9</v>
      </c>
      <c r="D18" s="5">
        <v>0.135351417</v>
      </c>
      <c r="E18" s="5">
        <f t="shared" si="0"/>
        <v>168.03535141700002</v>
      </c>
      <c r="F18" s="5">
        <f t="shared" si="1"/>
        <v>123.40859374020002</v>
      </c>
      <c r="G18" s="5">
        <v>39.626757676800004</v>
      </c>
      <c r="H18" s="5">
        <f t="shared" si="2"/>
        <v>163.03535141700002</v>
      </c>
      <c r="I18" s="5">
        <v>5</v>
      </c>
      <c r="J18" s="10">
        <v>127.57</v>
      </c>
      <c r="L18" s="48"/>
      <c r="M18" s="48"/>
    </row>
    <row r="19" spans="1:13" x14ac:dyDescent="0.2">
      <c r="A19" s="4" t="s">
        <v>5</v>
      </c>
      <c r="B19" s="5">
        <f t="shared" si="3"/>
        <v>5</v>
      </c>
      <c r="C19" s="5">
        <v>154.80000000000001</v>
      </c>
      <c r="D19" s="5">
        <v>0.15452041399999999</v>
      </c>
      <c r="E19" s="5">
        <f t="shared" si="0"/>
        <v>159.954520414</v>
      </c>
      <c r="F19" s="5">
        <f t="shared" si="1"/>
        <v>101.83005603401298</v>
      </c>
      <c r="G19" s="5">
        <v>53.12446437998701</v>
      </c>
      <c r="H19" s="5">
        <f t="shared" si="2"/>
        <v>154.954520414</v>
      </c>
      <c r="I19" s="5">
        <v>5</v>
      </c>
      <c r="J19" s="10">
        <v>133.6</v>
      </c>
      <c r="L19" s="48"/>
      <c r="M19" s="48"/>
    </row>
    <row r="20" spans="1:13" x14ac:dyDescent="0.2">
      <c r="A20" s="4" t="s">
        <v>6</v>
      </c>
      <c r="B20" s="5">
        <f t="shared" si="3"/>
        <v>5</v>
      </c>
      <c r="C20" s="5">
        <v>155.69999999999999</v>
      </c>
      <c r="D20" s="5">
        <v>2.3151474624000001</v>
      </c>
      <c r="E20" s="5">
        <f t="shared" si="0"/>
        <v>163.01514746239999</v>
      </c>
      <c r="F20" s="5">
        <f t="shared" si="1"/>
        <v>108.81183148778999</v>
      </c>
      <c r="G20" s="5">
        <v>49.20331597461</v>
      </c>
      <c r="H20" s="5">
        <f t="shared" si="2"/>
        <v>158.01514746239999</v>
      </c>
      <c r="I20" s="5">
        <v>5</v>
      </c>
      <c r="J20" s="10">
        <v>139.54</v>
      </c>
      <c r="L20" s="48"/>
      <c r="M20" s="48"/>
    </row>
    <row r="21" spans="1:13" x14ac:dyDescent="0.2">
      <c r="A21" s="4" t="s">
        <v>7</v>
      </c>
      <c r="B21" s="5">
        <f t="shared" si="3"/>
        <v>5</v>
      </c>
      <c r="C21" s="5">
        <v>153.9</v>
      </c>
      <c r="D21" s="5">
        <v>4.8764682768999998</v>
      </c>
      <c r="E21" s="5">
        <f t="shared" si="0"/>
        <v>163.7764682769</v>
      </c>
      <c r="F21" s="5">
        <f t="shared" si="1"/>
        <v>101.18253403311701</v>
      </c>
      <c r="G21" s="5">
        <v>57.593934243783004</v>
      </c>
      <c r="H21" s="5">
        <f t="shared" si="2"/>
        <v>158.7764682769</v>
      </c>
      <c r="I21" s="5">
        <v>5</v>
      </c>
      <c r="J21" s="10">
        <v>101.34</v>
      </c>
      <c r="L21" s="48"/>
      <c r="M21" s="48"/>
    </row>
    <row r="22" spans="1:13" x14ac:dyDescent="0.2">
      <c r="A22" s="4" t="s">
        <v>8</v>
      </c>
      <c r="B22" s="5">
        <f t="shared" si="3"/>
        <v>5</v>
      </c>
      <c r="C22" s="5">
        <v>162</v>
      </c>
      <c r="D22" s="5">
        <v>2.0122034556999999</v>
      </c>
      <c r="E22" s="5">
        <f t="shared" si="0"/>
        <v>169.01220345569999</v>
      </c>
      <c r="F22" s="5">
        <f t="shared" si="1"/>
        <v>129.34375088799999</v>
      </c>
      <c r="G22" s="5">
        <v>34.668452567700001</v>
      </c>
      <c r="H22" s="5">
        <f t="shared" si="2"/>
        <v>164.01220345569999</v>
      </c>
      <c r="I22" s="5">
        <v>5</v>
      </c>
      <c r="J22" s="10">
        <v>133.54</v>
      </c>
      <c r="L22" s="48"/>
      <c r="M22" s="48"/>
    </row>
    <row r="23" spans="1:13" x14ac:dyDescent="0.2">
      <c r="A23" s="4" t="s">
        <v>9</v>
      </c>
      <c r="B23" s="5">
        <f t="shared" si="3"/>
        <v>5</v>
      </c>
      <c r="C23" s="5">
        <v>180</v>
      </c>
      <c r="D23" s="5">
        <v>12.621810091300004</v>
      </c>
      <c r="E23" s="5">
        <f t="shared" si="0"/>
        <v>197.62181009130001</v>
      </c>
      <c r="F23" s="5">
        <f t="shared" si="1"/>
        <v>149.02131826286802</v>
      </c>
      <c r="G23" s="5">
        <v>43.600491828431998</v>
      </c>
      <c r="H23" s="5">
        <f t="shared" si="2"/>
        <v>192.62181009130001</v>
      </c>
      <c r="I23" s="5">
        <v>5</v>
      </c>
      <c r="J23" s="10">
        <v>169.74</v>
      </c>
      <c r="L23" s="48"/>
      <c r="M23" s="48"/>
    </row>
    <row r="24" spans="1:13" x14ac:dyDescent="0.2">
      <c r="A24" s="4" t="s">
        <v>10</v>
      </c>
      <c r="B24" s="5">
        <f t="shared" si="3"/>
        <v>5</v>
      </c>
      <c r="C24" s="5">
        <v>189</v>
      </c>
      <c r="D24" s="5">
        <v>14.625002244500001</v>
      </c>
      <c r="E24" s="5">
        <f t="shared" si="0"/>
        <v>208.6250022445</v>
      </c>
      <c r="F24" s="5">
        <f t="shared" si="1"/>
        <v>185.05004446144699</v>
      </c>
      <c r="G24" s="5">
        <v>18.574957783053005</v>
      </c>
      <c r="H24" s="5">
        <f t="shared" si="2"/>
        <v>203.6250022445</v>
      </c>
      <c r="I24" s="5">
        <v>5</v>
      </c>
      <c r="J24" s="10">
        <v>131.4</v>
      </c>
      <c r="L24" s="48"/>
      <c r="M24" s="48"/>
    </row>
    <row r="25" spans="1:13" x14ac:dyDescent="0.2">
      <c r="A25" s="4" t="s">
        <v>11</v>
      </c>
      <c r="B25" s="5">
        <f t="shared" si="3"/>
        <v>5</v>
      </c>
      <c r="C25" s="5">
        <v>190.8</v>
      </c>
      <c r="D25" s="5">
        <v>3.9192386729999993</v>
      </c>
      <c r="E25" s="5">
        <f t="shared" si="0"/>
        <v>199.71923867300001</v>
      </c>
      <c r="F25" s="5">
        <f t="shared" si="1"/>
        <v>168.725372915805</v>
      </c>
      <c r="G25" s="5">
        <v>25.993865757195003</v>
      </c>
      <c r="H25" s="5">
        <f t="shared" si="2"/>
        <v>194.71923867300001</v>
      </c>
      <c r="I25" s="5">
        <v>5</v>
      </c>
      <c r="J25" s="10">
        <v>91.63</v>
      </c>
      <c r="L25" s="48"/>
      <c r="M25" s="48"/>
    </row>
    <row r="26" spans="1:13" x14ac:dyDescent="0.2">
      <c r="A26" s="4" t="s">
        <v>12</v>
      </c>
      <c r="B26" s="5">
        <f t="shared" si="3"/>
        <v>5</v>
      </c>
      <c r="C26" s="5">
        <v>207</v>
      </c>
      <c r="D26" s="5">
        <v>0.89384294470000003</v>
      </c>
      <c r="E26" s="5">
        <f t="shared" si="0"/>
        <v>212.8938429447</v>
      </c>
      <c r="F26" s="5">
        <f t="shared" si="1"/>
        <v>188.928252598711</v>
      </c>
      <c r="G26" s="5">
        <v>18.965590345989</v>
      </c>
      <c r="H26" s="5">
        <f t="shared" si="2"/>
        <v>207.8938429447</v>
      </c>
      <c r="I26" s="5">
        <v>5</v>
      </c>
      <c r="J26" s="10">
        <v>93.77</v>
      </c>
      <c r="L26" s="48"/>
      <c r="M26" s="48"/>
    </row>
    <row r="27" spans="1:13" x14ac:dyDescent="0.2">
      <c r="A27" s="4" t="s">
        <v>88</v>
      </c>
      <c r="B27" s="5">
        <f t="shared" si="3"/>
        <v>5</v>
      </c>
      <c r="C27" s="5">
        <v>216</v>
      </c>
      <c r="D27" s="5">
        <v>5.1819321414000008</v>
      </c>
      <c r="E27" s="5">
        <f t="shared" si="0"/>
        <v>226.18193214140001</v>
      </c>
      <c r="F27" s="5">
        <f t="shared" si="1"/>
        <v>196.371509678427</v>
      </c>
      <c r="G27" s="5">
        <v>24.810422462972998</v>
      </c>
      <c r="H27" s="5">
        <f t="shared" si="2"/>
        <v>221.18193214140001</v>
      </c>
      <c r="I27" s="5">
        <v>5</v>
      </c>
      <c r="J27" s="10">
        <v>116.23</v>
      </c>
      <c r="L27" s="48"/>
      <c r="M27" s="48"/>
    </row>
    <row r="28" spans="1:13" x14ac:dyDescent="0.2">
      <c r="A28" s="4" t="s">
        <v>50</v>
      </c>
      <c r="B28" s="5">
        <f t="shared" si="3"/>
        <v>5</v>
      </c>
      <c r="C28" s="5">
        <v>180</v>
      </c>
      <c r="D28" s="5">
        <v>5.8428061857000007</v>
      </c>
      <c r="E28" s="5">
        <f t="shared" si="0"/>
        <v>190.8428061857</v>
      </c>
      <c r="F28" s="5">
        <f t="shared" si="1"/>
        <v>124.00643294937001</v>
      </c>
      <c r="G28" s="5">
        <v>61.836373236329997</v>
      </c>
      <c r="H28" s="5">
        <f t="shared" si="2"/>
        <v>185.8428061857</v>
      </c>
      <c r="I28" s="5">
        <v>5</v>
      </c>
      <c r="J28" s="10">
        <v>119.62</v>
      </c>
      <c r="L28" s="48"/>
      <c r="M28" s="48"/>
    </row>
    <row r="29" spans="1:13" x14ac:dyDescent="0.2">
      <c r="A29" s="4" t="s">
        <v>51</v>
      </c>
      <c r="B29" s="5">
        <f t="shared" si="3"/>
        <v>5</v>
      </c>
      <c r="C29" s="5">
        <v>189</v>
      </c>
      <c r="D29" s="5">
        <v>19.420010551400001</v>
      </c>
      <c r="E29" s="5">
        <f t="shared" si="0"/>
        <v>213.4200105514</v>
      </c>
      <c r="F29" s="5">
        <f t="shared" si="1"/>
        <v>177.830018294198</v>
      </c>
      <c r="G29" s="5">
        <v>30.589992257201999</v>
      </c>
      <c r="H29" s="5">
        <f t="shared" si="2"/>
        <v>208.4200105514</v>
      </c>
      <c r="I29" s="5">
        <v>5</v>
      </c>
      <c r="J29" s="10">
        <v>122.89</v>
      </c>
      <c r="L29" s="48"/>
      <c r="M29" s="48"/>
    </row>
    <row r="30" spans="1:13" x14ac:dyDescent="0.2">
      <c r="A30" s="4" t="s">
        <v>89</v>
      </c>
      <c r="B30" s="5">
        <f t="shared" si="3"/>
        <v>5</v>
      </c>
      <c r="C30" s="5">
        <v>203</v>
      </c>
      <c r="D30" s="5">
        <v>26.360366926400001</v>
      </c>
      <c r="E30" s="5">
        <f t="shared" si="0"/>
        <v>234.36036692639999</v>
      </c>
      <c r="F30" s="5">
        <f t="shared" si="1"/>
        <v>197.47139485213299</v>
      </c>
      <c r="G30" s="5">
        <v>31.888972074266999</v>
      </c>
      <c r="H30" s="5">
        <f t="shared" si="2"/>
        <v>229.36036692639999</v>
      </c>
      <c r="I30" s="5">
        <v>5</v>
      </c>
      <c r="J30" s="10">
        <v>158.9</v>
      </c>
      <c r="L30" s="48"/>
      <c r="M30" s="48"/>
    </row>
    <row r="31" spans="1:13" x14ac:dyDescent="0.2">
      <c r="A31" s="4" t="s">
        <v>52</v>
      </c>
      <c r="B31" s="5">
        <f t="shared" si="3"/>
        <v>5</v>
      </c>
      <c r="C31" s="5">
        <v>245</v>
      </c>
      <c r="D31" s="5">
        <v>22.731319751399997</v>
      </c>
      <c r="E31" s="5">
        <f t="shared" si="0"/>
        <v>272.73131975140001</v>
      </c>
      <c r="F31" s="5">
        <f t="shared" si="1"/>
        <v>205.84969664851999</v>
      </c>
      <c r="G31" s="5">
        <v>61.881623102880013</v>
      </c>
      <c r="H31" s="5">
        <f t="shared" si="2"/>
        <v>267.73131975140001</v>
      </c>
      <c r="I31" s="5">
        <v>5</v>
      </c>
      <c r="J31" s="10">
        <v>114.24</v>
      </c>
      <c r="L31" s="48"/>
      <c r="M31" s="48"/>
    </row>
    <row r="32" spans="1:13" x14ac:dyDescent="0.2">
      <c r="A32" s="4" t="s">
        <v>53</v>
      </c>
      <c r="B32" s="5">
        <f t="shared" si="3"/>
        <v>5</v>
      </c>
      <c r="C32" s="5">
        <v>295</v>
      </c>
      <c r="D32" s="5">
        <v>18.032295319300001</v>
      </c>
      <c r="E32" s="5">
        <f t="shared" si="0"/>
        <v>318.03229531929998</v>
      </c>
      <c r="F32" s="5">
        <f t="shared" si="1"/>
        <v>269.05767252360198</v>
      </c>
      <c r="G32" s="5">
        <v>43.974622795698011</v>
      </c>
      <c r="H32" s="5">
        <f t="shared" si="2"/>
        <v>313.03229531929998</v>
      </c>
      <c r="I32" s="5">
        <v>5</v>
      </c>
      <c r="J32" s="10">
        <v>124.69</v>
      </c>
      <c r="L32" s="48"/>
      <c r="M32" s="48"/>
    </row>
    <row r="33" spans="1:17" x14ac:dyDescent="0.2">
      <c r="A33" s="4" t="s">
        <v>54</v>
      </c>
      <c r="B33" s="5">
        <f t="shared" ref="B33:B44" si="4">+I32</f>
        <v>5</v>
      </c>
      <c r="C33" s="5">
        <v>268</v>
      </c>
      <c r="D33" s="5">
        <v>17.0478984296</v>
      </c>
      <c r="E33" s="5">
        <f t="shared" si="0"/>
        <v>290.04789842960002</v>
      </c>
      <c r="F33" s="5">
        <f t="shared" si="1"/>
        <v>275.07927235993202</v>
      </c>
      <c r="G33" s="5">
        <v>9.9686260696679998</v>
      </c>
      <c r="H33" s="5">
        <f t="shared" si="2"/>
        <v>285.04789842960002</v>
      </c>
      <c r="I33" s="5">
        <v>5</v>
      </c>
      <c r="J33" s="10">
        <v>124.61</v>
      </c>
      <c r="L33" s="48"/>
      <c r="M33" s="48"/>
    </row>
    <row r="34" spans="1:17" x14ac:dyDescent="0.2">
      <c r="A34" s="4" t="s">
        <v>56</v>
      </c>
      <c r="B34" s="5">
        <f t="shared" si="4"/>
        <v>5</v>
      </c>
      <c r="C34" s="5">
        <v>211</v>
      </c>
      <c r="D34" s="5">
        <v>9.0919070852000008</v>
      </c>
      <c r="E34" s="5">
        <f t="shared" si="0"/>
        <v>225.09190708520001</v>
      </c>
      <c r="F34" s="5">
        <f t="shared" si="1"/>
        <v>210.031678971432</v>
      </c>
      <c r="G34" s="5">
        <v>10.060228113768002</v>
      </c>
      <c r="H34" s="5">
        <f t="shared" si="2"/>
        <v>220.09190708520001</v>
      </c>
      <c r="I34" s="5">
        <v>5</v>
      </c>
      <c r="J34" s="10">
        <v>191.54</v>
      </c>
      <c r="L34" s="48"/>
      <c r="M34" s="48"/>
    </row>
    <row r="35" spans="1:17" x14ac:dyDescent="0.2">
      <c r="A35" s="4" t="s">
        <v>57</v>
      </c>
      <c r="B35" s="5">
        <f t="shared" si="4"/>
        <v>5</v>
      </c>
      <c r="C35" s="5">
        <v>147</v>
      </c>
      <c r="D35" s="5">
        <v>10.299236433799999</v>
      </c>
      <c r="E35" s="5">
        <f t="shared" si="0"/>
        <v>162.29923643379999</v>
      </c>
      <c r="F35" s="5">
        <f t="shared" si="1"/>
        <v>129.61570648798698</v>
      </c>
      <c r="G35" s="5">
        <v>27.683529945813</v>
      </c>
      <c r="H35" s="5">
        <f t="shared" si="2"/>
        <v>157.29923643379999</v>
      </c>
      <c r="I35" s="5">
        <v>5</v>
      </c>
      <c r="J35" s="10">
        <v>227.66</v>
      </c>
      <c r="L35" s="48"/>
      <c r="M35" s="48"/>
    </row>
    <row r="36" spans="1:17" x14ac:dyDescent="0.2">
      <c r="A36" s="15" t="s">
        <v>60</v>
      </c>
      <c r="B36" s="5">
        <f t="shared" si="4"/>
        <v>5</v>
      </c>
      <c r="C36" s="5">
        <v>216</v>
      </c>
      <c r="D36" s="5">
        <v>3.3788801900000003</v>
      </c>
      <c r="E36" s="5">
        <f t="shared" si="0"/>
        <v>224.37888018999999</v>
      </c>
      <c r="F36" s="5">
        <f t="shared" si="1"/>
        <v>209.83300912811899</v>
      </c>
      <c r="G36" s="5">
        <v>9.5458710618809999</v>
      </c>
      <c r="H36" s="5">
        <f t="shared" si="2"/>
        <v>219.37888018999999</v>
      </c>
      <c r="I36" s="5">
        <v>5</v>
      </c>
      <c r="J36" s="10">
        <v>217.24</v>
      </c>
      <c r="L36" s="48"/>
      <c r="M36" s="48"/>
    </row>
    <row r="37" spans="1:17" x14ac:dyDescent="0.2">
      <c r="A37" s="15" t="s">
        <v>61</v>
      </c>
      <c r="B37" s="5">
        <f t="shared" si="4"/>
        <v>5</v>
      </c>
      <c r="C37" s="5">
        <v>209</v>
      </c>
      <c r="D37" s="5">
        <v>6.579221951300001</v>
      </c>
      <c r="E37" s="5">
        <f t="shared" si="0"/>
        <v>220.57922195130001</v>
      </c>
      <c r="F37" s="5">
        <f t="shared" si="1"/>
        <v>208.47492896891202</v>
      </c>
      <c r="G37" s="5">
        <v>7.1042929823880003</v>
      </c>
      <c r="H37" s="5">
        <f t="shared" si="2"/>
        <v>215.57922195130001</v>
      </c>
      <c r="I37" s="5">
        <v>5</v>
      </c>
      <c r="J37" s="10">
        <v>223.23</v>
      </c>
      <c r="L37" s="48"/>
      <c r="M37" s="48"/>
    </row>
    <row r="38" spans="1:17" x14ac:dyDescent="0.2">
      <c r="A38" s="15" t="s">
        <v>64</v>
      </c>
      <c r="B38" s="5">
        <f t="shared" si="4"/>
        <v>5</v>
      </c>
      <c r="C38" s="5">
        <v>189</v>
      </c>
      <c r="D38" s="5">
        <v>7.5209999999999999</v>
      </c>
      <c r="E38" s="5">
        <f t="shared" si="0"/>
        <v>201.52099999999999</v>
      </c>
      <c r="F38" s="5">
        <f t="shared" si="1"/>
        <v>193.58110128904798</v>
      </c>
      <c r="G38" s="5">
        <v>2.9398987109520003</v>
      </c>
      <c r="H38" s="5">
        <f t="shared" si="2"/>
        <v>196.52099999999999</v>
      </c>
      <c r="I38" s="5">
        <v>5</v>
      </c>
      <c r="J38" s="10">
        <v>238.35</v>
      </c>
      <c r="L38" s="48"/>
      <c r="M38" s="48"/>
    </row>
    <row r="39" spans="1:17" x14ac:dyDescent="0.2">
      <c r="A39" s="15" t="s">
        <v>63</v>
      </c>
      <c r="B39" s="5">
        <f t="shared" si="4"/>
        <v>5</v>
      </c>
      <c r="C39" s="5">
        <v>198</v>
      </c>
      <c r="D39" s="5">
        <v>6.1879999999999997</v>
      </c>
      <c r="E39" s="5">
        <f t="shared" si="0"/>
        <v>209.18799999999999</v>
      </c>
      <c r="F39" s="5">
        <f t="shared" si="1"/>
        <v>198.93736201369998</v>
      </c>
      <c r="G39" s="5">
        <v>5.2506379863000001</v>
      </c>
      <c r="H39" s="5">
        <f t="shared" si="2"/>
        <v>204.18799999999999</v>
      </c>
      <c r="I39" s="5">
        <v>5</v>
      </c>
      <c r="J39" s="10">
        <v>320.13</v>
      </c>
      <c r="L39" s="48"/>
      <c r="M39" s="48"/>
    </row>
    <row r="40" spans="1:17" x14ac:dyDescent="0.2">
      <c r="A40" s="15" t="s">
        <v>67</v>
      </c>
      <c r="B40" s="5">
        <f t="shared" si="4"/>
        <v>5</v>
      </c>
      <c r="C40" s="5">
        <v>157</v>
      </c>
      <c r="D40" s="5">
        <v>1.3879999999999999</v>
      </c>
      <c r="E40" s="5">
        <f t="shared" si="0"/>
        <v>163.38800000000001</v>
      </c>
      <c r="F40" s="5">
        <f t="shared" si="1"/>
        <v>152.54033163681299</v>
      </c>
      <c r="G40" s="5">
        <v>5.847668363187001</v>
      </c>
      <c r="H40" s="5">
        <f t="shared" si="2"/>
        <v>158.38800000000001</v>
      </c>
      <c r="I40" s="5">
        <v>5</v>
      </c>
      <c r="J40" s="10">
        <v>359.42</v>
      </c>
      <c r="L40" s="48"/>
      <c r="M40" s="48"/>
    </row>
    <row r="41" spans="1:17" x14ac:dyDescent="0.2">
      <c r="A41" s="15" t="s">
        <v>71</v>
      </c>
      <c r="B41" s="5">
        <f t="shared" si="4"/>
        <v>5</v>
      </c>
      <c r="C41" s="5">
        <v>213</v>
      </c>
      <c r="D41" s="5">
        <v>2.9206110903000009</v>
      </c>
      <c r="E41" s="5">
        <f t="shared" si="0"/>
        <v>220.92061109030001</v>
      </c>
      <c r="F41" s="5">
        <f t="shared" si="1"/>
        <v>211.87772345808301</v>
      </c>
      <c r="G41" s="5">
        <v>4.0428876322169991</v>
      </c>
      <c r="H41" s="5">
        <f t="shared" si="2"/>
        <v>215.92061109030001</v>
      </c>
      <c r="I41" s="5">
        <v>5</v>
      </c>
      <c r="J41" s="10">
        <v>263.89999999999998</v>
      </c>
      <c r="L41" s="48"/>
      <c r="M41" s="48"/>
    </row>
    <row r="42" spans="1:17" x14ac:dyDescent="0.2">
      <c r="A42" s="15" t="s">
        <v>70</v>
      </c>
      <c r="B42" s="5">
        <f t="shared" si="4"/>
        <v>5</v>
      </c>
      <c r="C42" s="5">
        <v>193</v>
      </c>
      <c r="D42" s="5">
        <v>7.0109950658999987</v>
      </c>
      <c r="E42" s="5">
        <f t="shared" si="0"/>
        <v>205.0109950659</v>
      </c>
      <c r="F42" s="5">
        <f t="shared" si="1"/>
        <v>196.31284197120101</v>
      </c>
      <c r="G42" s="5">
        <v>3.6981530946990002</v>
      </c>
      <c r="H42" s="5">
        <f t="shared" si="2"/>
        <v>200.0109950659</v>
      </c>
      <c r="I42" s="5">
        <v>5</v>
      </c>
      <c r="J42" s="10">
        <v>234.78250000000003</v>
      </c>
      <c r="L42" s="48"/>
      <c r="M42" s="48"/>
    </row>
    <row r="43" spans="1:17" x14ac:dyDescent="0.2">
      <c r="A43" s="15" t="s">
        <v>72</v>
      </c>
      <c r="B43" s="68">
        <f t="shared" si="4"/>
        <v>5</v>
      </c>
      <c r="C43" s="68">
        <v>189</v>
      </c>
      <c r="D43" s="5">
        <v>6</v>
      </c>
      <c r="E43" s="5">
        <f t="shared" si="0"/>
        <v>200</v>
      </c>
      <c r="F43" s="5">
        <f t="shared" si="1"/>
        <v>190</v>
      </c>
      <c r="G43" s="5">
        <v>5</v>
      </c>
      <c r="H43" s="5">
        <f t="shared" si="2"/>
        <v>195</v>
      </c>
      <c r="I43" s="5">
        <v>5</v>
      </c>
      <c r="J43" s="10">
        <v>313.16791666666671</v>
      </c>
      <c r="L43" s="69"/>
      <c r="M43" s="48"/>
      <c r="P43" s="5"/>
      <c r="Q43" s="5"/>
    </row>
    <row r="44" spans="1:17" x14ac:dyDescent="0.2">
      <c r="A44" s="16" t="s">
        <v>77</v>
      </c>
      <c r="B44" s="68">
        <f t="shared" si="4"/>
        <v>5</v>
      </c>
      <c r="C44" s="68">
        <v>162</v>
      </c>
      <c r="D44" s="68">
        <v>6.6941161233679987</v>
      </c>
      <c r="E44" s="68">
        <f t="shared" si="0"/>
        <v>173.69411612336799</v>
      </c>
      <c r="F44" s="68">
        <f>+H44-G44</f>
        <v>165.79823408086699</v>
      </c>
      <c r="G44" s="68">
        <v>2.895882042500999</v>
      </c>
      <c r="H44" s="68">
        <f t="shared" si="2"/>
        <v>168.69411612336799</v>
      </c>
      <c r="I44" s="68">
        <v>5</v>
      </c>
      <c r="J44" s="70">
        <v>236.92249999999999</v>
      </c>
      <c r="L44" s="48"/>
      <c r="M44" s="48"/>
      <c r="P44" s="5"/>
      <c r="Q44" s="5"/>
    </row>
    <row r="45" spans="1:17" x14ac:dyDescent="0.2">
      <c r="A45" s="16" t="s">
        <v>76</v>
      </c>
      <c r="B45" s="68">
        <f>I44</f>
        <v>5</v>
      </c>
      <c r="C45" s="68">
        <v>164.7</v>
      </c>
      <c r="D45" s="68">
        <v>7.6532371941989981</v>
      </c>
      <c r="E45" s="68">
        <f t="shared" si="0"/>
        <v>177.35323719419898</v>
      </c>
      <c r="F45" s="68">
        <v>170.16002259000001</v>
      </c>
      <c r="G45" s="68">
        <v>2.1931585823759994</v>
      </c>
      <c r="H45" s="68">
        <f t="shared" si="2"/>
        <v>172.35323719419898</v>
      </c>
      <c r="I45" s="68">
        <v>5</v>
      </c>
      <c r="J45" s="70">
        <v>236.37208333333334</v>
      </c>
      <c r="L45" s="48"/>
      <c r="M45" s="48"/>
      <c r="P45" s="5"/>
      <c r="Q45" s="5"/>
    </row>
    <row r="46" spans="1:17" ht="10.5" customHeight="1" x14ac:dyDescent="0.2">
      <c r="A46" s="16" t="s">
        <v>81</v>
      </c>
      <c r="B46" s="68">
        <f>I45</f>
        <v>5</v>
      </c>
      <c r="C46" s="68">
        <v>161.1</v>
      </c>
      <c r="D46" s="68">
        <v>4.0789927715239989</v>
      </c>
      <c r="E46" s="68">
        <f>SUM(B46:D46)</f>
        <v>170.17899277152398</v>
      </c>
      <c r="F46" s="68">
        <v>163.78343912</v>
      </c>
      <c r="G46" s="68">
        <v>1.3955261184599996</v>
      </c>
      <c r="H46" s="68">
        <f t="shared" si="2"/>
        <v>165.17899277152398</v>
      </c>
      <c r="I46" s="68">
        <v>5</v>
      </c>
      <c r="J46" s="70">
        <v>241.56750000000002</v>
      </c>
      <c r="L46" s="48"/>
      <c r="M46" s="48"/>
      <c r="P46" s="5"/>
      <c r="Q46" s="5"/>
    </row>
    <row r="47" spans="1:17" ht="10.5" customHeight="1" x14ac:dyDescent="0.2">
      <c r="A47" s="71" t="s">
        <v>109</v>
      </c>
      <c r="B47" s="68">
        <v>5</v>
      </c>
      <c r="C47" s="68">
        <v>144</v>
      </c>
      <c r="D47" s="68">
        <v>3.5404034654579992</v>
      </c>
      <c r="E47" s="68">
        <f t="shared" ref="E47:E49" si="5">SUM(B47:D47)</f>
        <v>152.54040346545801</v>
      </c>
      <c r="F47" s="68">
        <v>152</v>
      </c>
      <c r="G47" s="68">
        <v>2.0742191920269994</v>
      </c>
      <c r="H47" s="68">
        <f t="shared" si="2"/>
        <v>147.54040346545801</v>
      </c>
      <c r="I47" s="68">
        <v>5</v>
      </c>
      <c r="J47" s="70">
        <v>277.35958333333332</v>
      </c>
      <c r="L47" s="48"/>
      <c r="M47" s="48"/>
      <c r="P47" s="5"/>
      <c r="Q47" s="5"/>
    </row>
    <row r="48" spans="1:17" ht="10.5" customHeight="1" x14ac:dyDescent="0.2">
      <c r="A48" s="71" t="s">
        <v>110</v>
      </c>
      <c r="B48" s="68">
        <v>5</v>
      </c>
      <c r="C48" s="68">
        <v>167.39999999999998</v>
      </c>
      <c r="D48" s="68">
        <v>4.3717666554599992</v>
      </c>
      <c r="E48" s="68">
        <f t="shared" si="5"/>
        <v>176.77176665545997</v>
      </c>
      <c r="F48" s="68">
        <v>115.99999999999999</v>
      </c>
      <c r="G48" s="68">
        <v>1.6207283190929995</v>
      </c>
      <c r="H48" s="68">
        <f t="shared" si="2"/>
        <v>171.77176665545997</v>
      </c>
      <c r="I48" s="68">
        <v>5</v>
      </c>
      <c r="J48" s="70">
        <v>311.36</v>
      </c>
      <c r="M48" s="48"/>
      <c r="P48" s="5"/>
      <c r="Q48" s="5"/>
    </row>
    <row r="49" spans="1:17" ht="10.5" customHeight="1" x14ac:dyDescent="0.2">
      <c r="A49" s="59" t="s">
        <v>111</v>
      </c>
      <c r="B49" s="72">
        <v>5</v>
      </c>
      <c r="C49" s="72">
        <v>177.29999999999998</v>
      </c>
      <c r="D49" s="72">
        <v>10</v>
      </c>
      <c r="E49" s="72">
        <f t="shared" si="5"/>
        <v>192.29999999999998</v>
      </c>
      <c r="F49" s="72">
        <v>115.99999999999999</v>
      </c>
      <c r="G49" s="72">
        <v>1.6207283190929995</v>
      </c>
      <c r="H49" s="72">
        <f t="shared" si="2"/>
        <v>187.29999999999998</v>
      </c>
      <c r="I49" s="72">
        <v>5</v>
      </c>
      <c r="J49" s="73">
        <v>390</v>
      </c>
      <c r="M49" s="48"/>
      <c r="Q49" s="5"/>
    </row>
    <row r="50" spans="1:17" x14ac:dyDescent="0.2">
      <c r="A50" s="14" t="s">
        <v>94</v>
      </c>
    </row>
    <row r="51" spans="1:17" x14ac:dyDescent="0.2">
      <c r="A51" s="14" t="s">
        <v>113</v>
      </c>
    </row>
    <row r="52" spans="1:17" ht="10.199999999999999" customHeight="1" x14ac:dyDescent="0.2">
      <c r="A52" s="14" t="s">
        <v>95</v>
      </c>
      <c r="I52" s="19"/>
    </row>
    <row r="53" spans="1:17" ht="10.199999999999999" customHeight="1" x14ac:dyDescent="0.2">
      <c r="I53" s="74"/>
      <c r="J53" s="58" t="s">
        <v>108</v>
      </c>
      <c r="K53" s="19"/>
      <c r="L53" s="19"/>
      <c r="M53" s="19"/>
    </row>
  </sheetData>
  <pageMargins left="0.7" right="0.7" top="0.75" bottom="0.75" header="0.3" footer="0.3"/>
  <pageSetup scale="93" firstPageNumber="40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7539-B330-4407-BE8B-F36E341BCACB}">
  <sheetPr>
    <pageSetUpPr fitToPage="1"/>
  </sheetPr>
  <dimension ref="A1:R53"/>
  <sheetViews>
    <sheetView zoomScaleNormal="100" zoomScaleSheetLayoutView="100" workbookViewId="0">
      <pane xSplit="1" ySplit="5" topLeftCell="B6" activePane="bottomRight" state="frozen"/>
      <selection activeCell="C57" sqref="C57"/>
      <selection pane="topRight" activeCell="C57" sqref="C57"/>
      <selection pane="bottomLeft" activeCell="C57" sqref="C57"/>
      <selection pane="bottomRight"/>
    </sheetView>
  </sheetViews>
  <sheetFormatPr defaultRowHeight="10.199999999999999" x14ac:dyDescent="0.2"/>
  <cols>
    <col min="1" max="8" width="12.85546875" customWidth="1"/>
    <col min="9" max="9" width="14.7109375" customWidth="1"/>
  </cols>
  <sheetData>
    <row r="1" spans="1:9" x14ac:dyDescent="0.2">
      <c r="A1" s="59" t="s">
        <v>105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s="2" t="s">
        <v>86</v>
      </c>
      <c r="B2" s="35"/>
      <c r="C2" s="36" t="s">
        <v>28</v>
      </c>
      <c r="D2" s="37"/>
      <c r="E2" s="36"/>
      <c r="F2" s="36" t="s">
        <v>26</v>
      </c>
      <c r="G2" s="37"/>
      <c r="H2" s="2"/>
      <c r="I2" s="29"/>
    </row>
    <row r="3" spans="1:9" x14ac:dyDescent="0.2">
      <c r="A3" s="2" t="s">
        <v>22</v>
      </c>
      <c r="B3" s="30" t="s">
        <v>29</v>
      </c>
      <c r="C3" s="2"/>
      <c r="D3" s="31"/>
      <c r="E3" s="2"/>
      <c r="F3" s="2"/>
      <c r="G3" s="31"/>
      <c r="H3" s="2" t="s">
        <v>31</v>
      </c>
      <c r="I3" s="33" t="s">
        <v>27</v>
      </c>
    </row>
    <row r="4" spans="1:9" x14ac:dyDescent="0.2">
      <c r="A4" s="28" t="s">
        <v>32</v>
      </c>
      <c r="B4" s="33" t="s">
        <v>23</v>
      </c>
      <c r="C4" s="28" t="s">
        <v>16</v>
      </c>
      <c r="D4" s="32" t="s">
        <v>40</v>
      </c>
      <c r="E4" s="28" t="s">
        <v>30</v>
      </c>
      <c r="F4" s="28" t="s">
        <v>33</v>
      </c>
      <c r="G4" s="32" t="s">
        <v>0</v>
      </c>
      <c r="H4" s="28" t="s">
        <v>23</v>
      </c>
      <c r="I4" s="33" t="s">
        <v>85</v>
      </c>
    </row>
    <row r="5" spans="1:9" x14ac:dyDescent="0.2">
      <c r="A5" s="17"/>
      <c r="B5" s="17"/>
      <c r="C5" s="44"/>
      <c r="D5" s="44"/>
      <c r="E5" s="44" t="s">
        <v>39</v>
      </c>
      <c r="F5" s="44"/>
      <c r="G5" s="44"/>
      <c r="H5" s="44"/>
      <c r="I5" s="41" t="s">
        <v>65</v>
      </c>
    </row>
    <row r="6" spans="1:9" x14ac:dyDescent="0.2">
      <c r="B6" s="18"/>
      <c r="C6" s="18"/>
      <c r="D6" s="18"/>
      <c r="E6" s="18"/>
      <c r="F6" s="18"/>
      <c r="G6" s="18"/>
      <c r="H6" s="18"/>
      <c r="I6" s="2"/>
    </row>
    <row r="7" spans="1:9" x14ac:dyDescent="0.2">
      <c r="A7" s="4" t="s">
        <v>41</v>
      </c>
      <c r="B7" s="5">
        <v>54</v>
      </c>
      <c r="C7" s="5">
        <v>251</v>
      </c>
      <c r="D7" s="5">
        <f>+B7+C7+0</f>
        <v>305</v>
      </c>
      <c r="E7" s="5">
        <f t="shared" ref="E7:E49" si="0">+G7-F7</f>
        <v>187.96199999999999</v>
      </c>
      <c r="F7" s="5">
        <v>60.660000000000011</v>
      </c>
      <c r="G7" s="5">
        <f t="shared" ref="G7:G45" si="1">+D7-H7</f>
        <v>248.62200000000001</v>
      </c>
      <c r="H7" s="5">
        <v>56.378</v>
      </c>
      <c r="I7" s="8">
        <v>30.02</v>
      </c>
    </row>
    <row r="8" spans="1:9" x14ac:dyDescent="0.2">
      <c r="A8" s="4" t="s">
        <v>42</v>
      </c>
      <c r="B8" s="5">
        <f t="shared" ref="B8:B26" si="2">+H7</f>
        <v>56.378</v>
      </c>
      <c r="C8" s="5">
        <v>237</v>
      </c>
      <c r="D8" s="5">
        <f>+B8+C8+0</f>
        <v>293.37799999999999</v>
      </c>
      <c r="E8" s="5">
        <f t="shared" si="0"/>
        <v>189.17799999999997</v>
      </c>
      <c r="F8" s="5">
        <v>53.851999999999997</v>
      </c>
      <c r="G8" s="5">
        <f t="shared" si="1"/>
        <v>243.02999999999997</v>
      </c>
      <c r="H8" s="5">
        <v>50.347999999999999</v>
      </c>
      <c r="I8" s="8">
        <v>30.01</v>
      </c>
    </row>
    <row r="9" spans="1:9" x14ac:dyDescent="0.2">
      <c r="A9" s="4" t="s">
        <v>43</v>
      </c>
      <c r="B9" s="5">
        <f t="shared" si="2"/>
        <v>50.347999999999999</v>
      </c>
      <c r="C9" s="5">
        <v>182</v>
      </c>
      <c r="D9" s="5">
        <f>+B9+C9+0</f>
        <v>232.34800000000001</v>
      </c>
      <c r="E9" s="5">
        <f t="shared" si="0"/>
        <v>176.47900000000001</v>
      </c>
      <c r="F9" s="5">
        <v>20.748999999999999</v>
      </c>
      <c r="G9" s="5">
        <f t="shared" si="1"/>
        <v>197.22800000000001</v>
      </c>
      <c r="H9" s="5">
        <v>35.119999999999997</v>
      </c>
      <c r="I9" s="8">
        <v>25.19</v>
      </c>
    </row>
    <row r="10" spans="1:9" x14ac:dyDescent="0.2">
      <c r="A10" s="4" t="s">
        <v>44</v>
      </c>
      <c r="B10" s="5">
        <f t="shared" si="2"/>
        <v>35.119999999999997</v>
      </c>
      <c r="C10" s="5">
        <v>265</v>
      </c>
      <c r="D10" s="5">
        <f>+B10+C10+0</f>
        <v>300.12</v>
      </c>
      <c r="E10" s="5">
        <f t="shared" si="0"/>
        <v>201.04900000000004</v>
      </c>
      <c r="F10" s="5">
        <v>51.454999999999998</v>
      </c>
      <c r="G10" s="5">
        <f t="shared" si="1"/>
        <v>252.50400000000002</v>
      </c>
      <c r="H10" s="5">
        <v>47.616</v>
      </c>
      <c r="I10" s="8">
        <v>30.12</v>
      </c>
    </row>
    <row r="11" spans="1:9" x14ac:dyDescent="0.2">
      <c r="A11" s="4" t="s">
        <v>45</v>
      </c>
      <c r="B11" s="5">
        <f t="shared" si="2"/>
        <v>47.616</v>
      </c>
      <c r="C11" s="5">
        <v>194</v>
      </c>
      <c r="D11" s="5">
        <f>+B11+C11+0</f>
        <v>241.61599999999999</v>
      </c>
      <c r="E11" s="5">
        <f t="shared" si="0"/>
        <v>192.749</v>
      </c>
      <c r="F11" s="5">
        <v>15.481000000000002</v>
      </c>
      <c r="G11" s="5">
        <f t="shared" si="1"/>
        <v>208.23</v>
      </c>
      <c r="H11" s="5">
        <v>33.386000000000003</v>
      </c>
      <c r="I11" s="8">
        <v>32.6</v>
      </c>
    </row>
    <row r="12" spans="1:9" x14ac:dyDescent="0.2">
      <c r="A12" s="4" t="s">
        <v>46</v>
      </c>
      <c r="B12" s="5">
        <f t="shared" si="2"/>
        <v>33.386000000000003</v>
      </c>
      <c r="C12" s="5">
        <v>205</v>
      </c>
      <c r="D12" s="5">
        <f>+B12+C12+0.51</f>
        <v>238.89599999999999</v>
      </c>
      <c r="E12" s="5">
        <f t="shared" si="0"/>
        <v>184.33299999999997</v>
      </c>
      <c r="F12" s="5">
        <v>14.434999999999997</v>
      </c>
      <c r="G12" s="5">
        <f t="shared" si="1"/>
        <v>198.76799999999997</v>
      </c>
      <c r="H12" s="5">
        <v>40.128</v>
      </c>
      <c r="I12" s="8">
        <v>31.14</v>
      </c>
    </row>
    <row r="13" spans="1:9" x14ac:dyDescent="0.2">
      <c r="A13" s="4" t="s">
        <v>47</v>
      </c>
      <c r="B13" s="5">
        <f t="shared" si="2"/>
        <v>40.128</v>
      </c>
      <c r="C13" s="5">
        <v>201</v>
      </c>
      <c r="D13" s="5">
        <f>+B13+C13+0.34</f>
        <v>241.46799999999999</v>
      </c>
      <c r="E13" s="5">
        <f t="shared" si="0"/>
        <v>183.98699999999999</v>
      </c>
      <c r="F13" s="5">
        <v>6.3860000000000001</v>
      </c>
      <c r="G13" s="5">
        <f t="shared" si="1"/>
        <v>190.37299999999999</v>
      </c>
      <c r="H13" s="5">
        <v>51.094999999999999</v>
      </c>
      <c r="I13" s="8">
        <v>26.34</v>
      </c>
    </row>
    <row r="14" spans="1:9" x14ac:dyDescent="0.2">
      <c r="A14" s="4" t="s">
        <v>48</v>
      </c>
      <c r="B14" s="5">
        <f t="shared" si="2"/>
        <v>51.094999999999999</v>
      </c>
      <c r="C14" s="5">
        <v>217</v>
      </c>
      <c r="D14" s="5">
        <f>+B14+C14+0.56</f>
        <v>268.65500000000003</v>
      </c>
      <c r="E14" s="5">
        <f t="shared" si="0"/>
        <v>219.82600000000002</v>
      </c>
      <c r="F14" s="5">
        <v>8.0290000000000017</v>
      </c>
      <c r="G14" s="5">
        <f t="shared" si="1"/>
        <v>227.85500000000002</v>
      </c>
      <c r="H14" s="5">
        <v>40.799999999999997</v>
      </c>
      <c r="I14" s="8">
        <v>24.71</v>
      </c>
    </row>
    <row r="15" spans="1:9" x14ac:dyDescent="0.2">
      <c r="A15" s="4" t="s">
        <v>49</v>
      </c>
      <c r="B15" s="5">
        <f t="shared" si="2"/>
        <v>40.799999999999997</v>
      </c>
      <c r="C15" s="5">
        <v>170</v>
      </c>
      <c r="D15" s="5">
        <f>+B15+C15+0.09</f>
        <v>210.89000000000001</v>
      </c>
      <c r="E15" s="5">
        <f t="shared" si="0"/>
        <v>151.24023751945001</v>
      </c>
      <c r="F15" s="5">
        <v>12.149762480550001</v>
      </c>
      <c r="G15" s="5">
        <f t="shared" si="1"/>
        <v>163.39000000000001</v>
      </c>
      <c r="H15" s="5">
        <v>47.5</v>
      </c>
      <c r="I15" s="8">
        <v>39.380000000000003</v>
      </c>
    </row>
    <row r="16" spans="1:9" x14ac:dyDescent="0.2">
      <c r="A16" s="4" t="s">
        <v>2</v>
      </c>
      <c r="B16" s="5">
        <f t="shared" si="2"/>
        <v>47.5</v>
      </c>
      <c r="C16" s="5">
        <v>165</v>
      </c>
      <c r="D16" s="5">
        <f>+B16+C16+0.01</f>
        <v>212.51</v>
      </c>
      <c r="E16" s="5">
        <f t="shared" si="0"/>
        <v>164.18497032312598</v>
      </c>
      <c r="F16" s="5">
        <v>11.525029676874</v>
      </c>
      <c r="G16" s="5">
        <f t="shared" si="1"/>
        <v>175.70999999999998</v>
      </c>
      <c r="H16" s="5">
        <v>36.799999999999997</v>
      </c>
      <c r="I16" s="8">
        <v>40.200000000000003</v>
      </c>
    </row>
    <row r="17" spans="1:9" x14ac:dyDescent="0.2">
      <c r="A17" s="4" t="s">
        <v>3</v>
      </c>
      <c r="B17" s="5">
        <f t="shared" si="2"/>
        <v>36.799999999999997</v>
      </c>
      <c r="C17" s="5">
        <v>172</v>
      </c>
      <c r="D17" s="5">
        <f>+B17+C17+0.21</f>
        <v>209.01000000000002</v>
      </c>
      <c r="E17" s="5">
        <f t="shared" si="0"/>
        <v>162.55617412484602</v>
      </c>
      <c r="F17" s="5">
        <v>6.453825875154001</v>
      </c>
      <c r="G17" s="5">
        <f t="shared" si="1"/>
        <v>169.01000000000002</v>
      </c>
      <c r="H17" s="5">
        <v>40</v>
      </c>
      <c r="I17" s="8">
        <v>38.04</v>
      </c>
    </row>
    <row r="18" spans="1:9" x14ac:dyDescent="0.2">
      <c r="A18" s="4" t="s">
        <v>4</v>
      </c>
      <c r="B18" s="5">
        <f t="shared" si="2"/>
        <v>40</v>
      </c>
      <c r="C18" s="5">
        <v>176</v>
      </c>
      <c r="D18" s="5">
        <f>+B18+C18+0.77</f>
        <v>216.77</v>
      </c>
      <c r="E18" s="5">
        <f t="shared" si="0"/>
        <v>146.46992939767603</v>
      </c>
      <c r="F18" s="5">
        <v>12.000070602324001</v>
      </c>
      <c r="G18" s="5">
        <f t="shared" si="1"/>
        <v>158.47000000000003</v>
      </c>
      <c r="H18" s="5">
        <v>58.3</v>
      </c>
      <c r="I18" s="8">
        <v>32</v>
      </c>
    </row>
    <row r="19" spans="1:9" x14ac:dyDescent="0.2">
      <c r="A19" s="4" t="s">
        <v>5</v>
      </c>
      <c r="B19" s="5">
        <f t="shared" si="2"/>
        <v>58.3</v>
      </c>
      <c r="C19" s="5">
        <v>168</v>
      </c>
      <c r="D19" s="5">
        <f>+B19+C19+0.08</f>
        <v>226.38000000000002</v>
      </c>
      <c r="E19" s="5">
        <f t="shared" si="0"/>
        <v>163.87902055903601</v>
      </c>
      <c r="F19" s="5">
        <v>8.3009794409639994</v>
      </c>
      <c r="G19" s="5">
        <f t="shared" si="1"/>
        <v>172.18</v>
      </c>
      <c r="H19" s="5">
        <v>54.2</v>
      </c>
      <c r="I19" s="8">
        <v>31.5</v>
      </c>
    </row>
    <row r="20" spans="1:9" x14ac:dyDescent="0.2">
      <c r="A20" s="4" t="s">
        <v>6</v>
      </c>
      <c r="B20" s="5">
        <f t="shared" si="2"/>
        <v>54.2</v>
      </c>
      <c r="C20" s="5">
        <v>169</v>
      </c>
      <c r="D20" s="5">
        <f>+B20+C20+0.62</f>
        <v>223.82</v>
      </c>
      <c r="E20" s="5">
        <f t="shared" si="0"/>
        <v>154.381906305624</v>
      </c>
      <c r="F20" s="5">
        <v>6.8380936943760009</v>
      </c>
      <c r="G20" s="5">
        <f t="shared" si="1"/>
        <v>161.22</v>
      </c>
      <c r="H20" s="5">
        <v>62.6</v>
      </c>
      <c r="I20" s="8">
        <v>31.78</v>
      </c>
    </row>
    <row r="21" spans="1:9" x14ac:dyDescent="0.2">
      <c r="A21" s="4" t="s">
        <v>7</v>
      </c>
      <c r="B21" s="5">
        <f t="shared" si="2"/>
        <v>62.6</v>
      </c>
      <c r="C21" s="5">
        <v>167</v>
      </c>
      <c r="D21" s="5">
        <f>+B21+C21+2.71</f>
        <v>232.31</v>
      </c>
      <c r="E21" s="5">
        <f t="shared" si="0"/>
        <v>163.74454576719802</v>
      </c>
      <c r="F21" s="5">
        <v>23.865454232802001</v>
      </c>
      <c r="G21" s="5">
        <f t="shared" si="1"/>
        <v>187.61</v>
      </c>
      <c r="H21" s="5">
        <v>44.7</v>
      </c>
      <c r="I21" s="8">
        <v>33.729999999999997</v>
      </c>
    </row>
    <row r="22" spans="1:9" x14ac:dyDescent="0.2">
      <c r="A22" s="4" t="s">
        <v>8</v>
      </c>
      <c r="B22" s="5">
        <f t="shared" si="2"/>
        <v>44.7</v>
      </c>
      <c r="C22" s="5">
        <v>176</v>
      </c>
      <c r="D22" s="5">
        <f>+B22+C22+3.64</f>
        <v>224.33999999999997</v>
      </c>
      <c r="E22" s="5">
        <f t="shared" si="0"/>
        <v>150.92542402282999</v>
      </c>
      <c r="F22" s="5">
        <v>26.21457597717</v>
      </c>
      <c r="G22" s="5">
        <f t="shared" si="1"/>
        <v>177.14</v>
      </c>
      <c r="H22" s="5">
        <v>47.2</v>
      </c>
      <c r="I22" s="8">
        <v>36.54</v>
      </c>
    </row>
    <row r="23" spans="1:9" x14ac:dyDescent="0.2">
      <c r="A23" s="4" t="s">
        <v>9</v>
      </c>
      <c r="B23" s="5">
        <f t="shared" si="2"/>
        <v>47.2</v>
      </c>
      <c r="C23" s="5">
        <v>195</v>
      </c>
      <c r="D23" s="5">
        <f>+B23+C23+6.5</f>
        <v>248.7</v>
      </c>
      <c r="E23" s="5">
        <f t="shared" si="0"/>
        <v>137.298863218956</v>
      </c>
      <c r="F23" s="5">
        <v>65.801136781044008</v>
      </c>
      <c r="G23" s="5">
        <f t="shared" si="1"/>
        <v>203.1</v>
      </c>
      <c r="H23" s="5">
        <v>45.6</v>
      </c>
      <c r="I23" s="8">
        <v>35.97</v>
      </c>
    </row>
    <row r="24" spans="1:9" x14ac:dyDescent="0.2">
      <c r="A24" s="4" t="s">
        <v>10</v>
      </c>
      <c r="B24" s="5">
        <f t="shared" si="2"/>
        <v>45.6</v>
      </c>
      <c r="C24" s="5">
        <v>205</v>
      </c>
      <c r="D24" s="5">
        <f>+B24+C24+6.6</f>
        <v>257.2</v>
      </c>
      <c r="E24" s="5">
        <f t="shared" si="0"/>
        <v>149.87220551671399</v>
      </c>
      <c r="F24" s="5">
        <v>57.927794483285993</v>
      </c>
      <c r="G24" s="5">
        <f t="shared" si="1"/>
        <v>207.79999999999998</v>
      </c>
      <c r="H24" s="5">
        <v>49.4</v>
      </c>
      <c r="I24" s="8">
        <v>36.33</v>
      </c>
    </row>
    <row r="25" spans="1:9" x14ac:dyDescent="0.2">
      <c r="A25" s="4" t="s">
        <v>11</v>
      </c>
      <c r="B25" s="5">
        <f t="shared" si="2"/>
        <v>49.4</v>
      </c>
      <c r="C25" s="5">
        <v>207</v>
      </c>
      <c r="D25" s="5">
        <f>+B25+C25+12.33</f>
        <v>268.72999999999996</v>
      </c>
      <c r="E25" s="5">
        <f t="shared" si="0"/>
        <v>129.36613346796798</v>
      </c>
      <c r="F25" s="5">
        <v>63.163866532031996</v>
      </c>
      <c r="G25" s="5">
        <f t="shared" si="1"/>
        <v>192.52999999999997</v>
      </c>
      <c r="H25" s="5">
        <v>76.2</v>
      </c>
      <c r="I25" s="8">
        <v>36.42</v>
      </c>
    </row>
    <row r="26" spans="1:9" x14ac:dyDescent="0.2">
      <c r="A26" s="4" t="s">
        <v>12</v>
      </c>
      <c r="B26" s="5">
        <f t="shared" si="2"/>
        <v>76.2</v>
      </c>
      <c r="C26" s="5">
        <v>224</v>
      </c>
      <c r="D26" s="5">
        <f>+B26+C26+13.01</f>
        <v>313.20999999999998</v>
      </c>
      <c r="E26" s="5">
        <f t="shared" si="0"/>
        <v>194.78438360887594</v>
      </c>
      <c r="F26" s="5">
        <v>74.325616391124001</v>
      </c>
      <c r="G26" s="5">
        <f t="shared" si="1"/>
        <v>269.10999999999996</v>
      </c>
      <c r="H26" s="5">
        <v>44.1</v>
      </c>
      <c r="I26" s="8">
        <v>35.83</v>
      </c>
    </row>
    <row r="27" spans="1:9" x14ac:dyDescent="0.2">
      <c r="A27" s="4" t="s">
        <v>88</v>
      </c>
      <c r="B27" s="5">
        <v>49</v>
      </c>
      <c r="C27" s="5">
        <v>234</v>
      </c>
      <c r="D27" s="5">
        <f>+B27+C27+12.49</f>
        <v>295.49</v>
      </c>
      <c r="E27" s="5">
        <f t="shared" si="0"/>
        <v>177.55969383262203</v>
      </c>
      <c r="F27" s="5">
        <v>73.030306167377987</v>
      </c>
      <c r="G27" s="5">
        <f t="shared" si="1"/>
        <v>250.59</v>
      </c>
      <c r="H27" s="5">
        <v>44.9</v>
      </c>
      <c r="I27" s="8">
        <v>36</v>
      </c>
    </row>
    <row r="28" spans="1:9" x14ac:dyDescent="0.2">
      <c r="A28" s="4" t="s">
        <v>50</v>
      </c>
      <c r="B28" s="5">
        <f t="shared" ref="B28:B49" si="3">+H27</f>
        <v>44.9</v>
      </c>
      <c r="C28" s="5">
        <v>195</v>
      </c>
      <c r="D28" s="5">
        <f>+B28+C28+10.59</f>
        <v>250.49</v>
      </c>
      <c r="E28" s="5">
        <f t="shared" si="0"/>
        <v>168.90411507277659</v>
      </c>
      <c r="F28" s="5">
        <v>50.485884927223417</v>
      </c>
      <c r="G28" s="5">
        <f t="shared" si="1"/>
        <v>219.39000000000001</v>
      </c>
      <c r="H28" s="5">
        <v>31.1</v>
      </c>
      <c r="I28" s="8">
        <v>38.1</v>
      </c>
    </row>
    <row r="29" spans="1:9" x14ac:dyDescent="0.2">
      <c r="A29" s="4" t="s">
        <v>51</v>
      </c>
      <c r="B29" s="5">
        <f t="shared" si="3"/>
        <v>31.1</v>
      </c>
      <c r="C29" s="5">
        <v>205</v>
      </c>
      <c r="D29" s="5">
        <f>+B29+C29+12.98</f>
        <v>249.07999999999998</v>
      </c>
      <c r="E29" s="5">
        <f t="shared" si="0"/>
        <v>145.287366944768</v>
      </c>
      <c r="F29" s="5">
        <v>70.054633055232003</v>
      </c>
      <c r="G29" s="5">
        <f t="shared" si="1"/>
        <v>215.34199999999998</v>
      </c>
      <c r="H29" s="5">
        <v>33.738</v>
      </c>
      <c r="I29" s="8">
        <v>39.86</v>
      </c>
    </row>
    <row r="30" spans="1:9" x14ac:dyDescent="0.2">
      <c r="A30" s="4" t="s">
        <v>89</v>
      </c>
      <c r="B30" s="5">
        <f t="shared" si="3"/>
        <v>33.738</v>
      </c>
      <c r="C30" s="5">
        <v>220</v>
      </c>
      <c r="D30" s="5">
        <f>+B30+C30+14.45</f>
        <v>268.18799999999999</v>
      </c>
      <c r="E30" s="5">
        <f t="shared" si="0"/>
        <v>172.11826930714801</v>
      </c>
      <c r="F30" s="5">
        <v>76.224730692851992</v>
      </c>
      <c r="G30" s="5">
        <f t="shared" si="1"/>
        <v>248.34299999999999</v>
      </c>
      <c r="H30" s="5">
        <v>19.844999999999999</v>
      </c>
      <c r="I30" s="8">
        <v>42</v>
      </c>
    </row>
    <row r="31" spans="1:9" x14ac:dyDescent="0.2">
      <c r="A31" s="4" t="s">
        <v>52</v>
      </c>
      <c r="B31" s="5">
        <f t="shared" si="3"/>
        <v>19.844999999999999</v>
      </c>
      <c r="C31" s="5">
        <v>265</v>
      </c>
      <c r="D31" s="5">
        <f>+B31+C31+16.02</f>
        <v>300.86500000000001</v>
      </c>
      <c r="E31" s="5">
        <f t="shared" si="0"/>
        <v>148.85250052119198</v>
      </c>
      <c r="F31" s="5">
        <v>106.87249947880802</v>
      </c>
      <c r="G31" s="5">
        <f t="shared" si="1"/>
        <v>255.72500000000002</v>
      </c>
      <c r="H31" s="5">
        <v>45.14</v>
      </c>
      <c r="I31" s="8">
        <v>59.49</v>
      </c>
    </row>
    <row r="32" spans="1:9" x14ac:dyDescent="0.2">
      <c r="A32" s="4" t="s">
        <v>53</v>
      </c>
      <c r="B32" s="5">
        <f t="shared" si="3"/>
        <v>45.14</v>
      </c>
      <c r="C32" s="5">
        <v>320</v>
      </c>
      <c r="D32" s="5">
        <f>+B32+C32+10.04</f>
        <v>375.18</v>
      </c>
      <c r="E32" s="5">
        <f t="shared" si="0"/>
        <v>247.76390305783195</v>
      </c>
      <c r="F32" s="5">
        <v>98.316096942168016</v>
      </c>
      <c r="G32" s="5">
        <f t="shared" si="1"/>
        <v>346.08</v>
      </c>
      <c r="H32" s="5">
        <v>29.1</v>
      </c>
      <c r="I32" s="8">
        <v>53.99</v>
      </c>
    </row>
    <row r="33" spans="1:18" x14ac:dyDescent="0.2">
      <c r="A33" s="4" t="s">
        <v>54</v>
      </c>
      <c r="B33" s="5">
        <f t="shared" si="3"/>
        <v>29.1</v>
      </c>
      <c r="C33" s="5">
        <v>291</v>
      </c>
      <c r="D33" s="5">
        <f>+B33+C33+8.34</f>
        <v>328.44</v>
      </c>
      <c r="E33" s="5">
        <f t="shared" si="0"/>
        <v>201.90526859286797</v>
      </c>
      <c r="F33" s="5">
        <v>75.734731407132003</v>
      </c>
      <c r="G33" s="5">
        <f t="shared" si="1"/>
        <v>277.64</v>
      </c>
      <c r="H33" s="5">
        <v>50.8</v>
      </c>
      <c r="I33" s="8">
        <v>44.37</v>
      </c>
    </row>
    <row r="34" spans="1:18" x14ac:dyDescent="0.2">
      <c r="A34" s="4" t="s">
        <v>56</v>
      </c>
      <c r="B34" s="5">
        <f t="shared" si="3"/>
        <v>50.8</v>
      </c>
      <c r="C34" s="5">
        <v>228</v>
      </c>
      <c r="D34" s="5">
        <f>+B34+C34+12.23</f>
        <v>291.03000000000003</v>
      </c>
      <c r="E34" s="5">
        <f t="shared" si="0"/>
        <v>190.85580158484802</v>
      </c>
      <c r="F34" s="5">
        <v>73.953198415152002</v>
      </c>
      <c r="G34" s="5">
        <f t="shared" si="1"/>
        <v>264.80900000000003</v>
      </c>
      <c r="H34" s="5">
        <v>26.221</v>
      </c>
      <c r="I34" s="8">
        <v>70.31</v>
      </c>
    </row>
    <row r="35" spans="1:18" x14ac:dyDescent="0.2">
      <c r="A35" s="4" t="s">
        <v>57</v>
      </c>
      <c r="B35" s="5">
        <f t="shared" si="3"/>
        <v>26.221</v>
      </c>
      <c r="C35" s="5">
        <v>159</v>
      </c>
      <c r="D35" s="5">
        <f>+B35+C35+5.683</f>
        <v>190.904</v>
      </c>
      <c r="E35" s="5">
        <f t="shared" si="0"/>
        <v>52.345764610559996</v>
      </c>
      <c r="F35" s="5">
        <v>66.05823538944</v>
      </c>
      <c r="G35" s="5">
        <f t="shared" si="1"/>
        <v>118.404</v>
      </c>
      <c r="H35" s="5">
        <v>72.5</v>
      </c>
      <c r="I35" s="8">
        <v>86.52</v>
      </c>
    </row>
    <row r="36" spans="1:18" x14ac:dyDescent="0.2">
      <c r="A36" s="15" t="s">
        <v>58</v>
      </c>
      <c r="B36" s="5">
        <f t="shared" si="3"/>
        <v>72.5</v>
      </c>
      <c r="C36" s="5">
        <v>234</v>
      </c>
      <c r="D36" s="5">
        <f>+B36+C36+5.418</f>
        <v>311.91800000000001</v>
      </c>
      <c r="E36" s="5">
        <f t="shared" si="0"/>
        <v>171.74327184133602</v>
      </c>
      <c r="F36" s="5">
        <v>103.210728158664</v>
      </c>
      <c r="G36" s="5">
        <f t="shared" si="1"/>
        <v>274.95400000000001</v>
      </c>
      <c r="H36" s="5">
        <v>36.963999999999999</v>
      </c>
      <c r="I36" s="8">
        <v>67.489999999999995</v>
      </c>
    </row>
    <row r="37" spans="1:18" x14ac:dyDescent="0.2">
      <c r="A37" s="15" t="s">
        <v>59</v>
      </c>
      <c r="B37" s="5">
        <f t="shared" si="3"/>
        <v>36.963999999999999</v>
      </c>
      <c r="C37" s="5">
        <v>227</v>
      </c>
      <c r="D37" s="5">
        <f>+B37+C37+6.067</f>
        <v>270.03100000000001</v>
      </c>
      <c r="E37" s="5">
        <f t="shared" si="0"/>
        <v>130.66277720502001</v>
      </c>
      <c r="F37" s="5">
        <v>101.18022279498001</v>
      </c>
      <c r="G37" s="5">
        <f t="shared" si="1"/>
        <v>231.84300000000002</v>
      </c>
      <c r="H37" s="5">
        <v>38.188000000000002</v>
      </c>
      <c r="I37" s="38" t="s">
        <v>55</v>
      </c>
    </row>
    <row r="38" spans="1:18" x14ac:dyDescent="0.2">
      <c r="A38" s="15" t="s">
        <v>62</v>
      </c>
      <c r="B38" s="5">
        <f t="shared" si="3"/>
        <v>38.188000000000002</v>
      </c>
      <c r="C38" s="5">
        <v>205</v>
      </c>
      <c r="D38" s="5">
        <f>+B38+C38+5.033</f>
        <v>248.22099999999998</v>
      </c>
      <c r="E38" s="5">
        <f t="shared" si="0"/>
        <v>124.04899388563398</v>
      </c>
      <c r="F38" s="5">
        <v>89.172006114365999</v>
      </c>
      <c r="G38" s="5">
        <f t="shared" si="1"/>
        <v>213.22099999999998</v>
      </c>
      <c r="H38" s="5">
        <v>35</v>
      </c>
      <c r="I38" s="38" t="s">
        <v>55</v>
      </c>
    </row>
    <row r="39" spans="1:18" x14ac:dyDescent="0.2">
      <c r="A39" s="15" t="s">
        <v>63</v>
      </c>
      <c r="B39" s="5">
        <f t="shared" si="3"/>
        <v>35</v>
      </c>
      <c r="C39" s="5">
        <v>215</v>
      </c>
      <c r="D39" s="5">
        <f>+B39+C39+5.319</f>
        <v>255.31899999999999</v>
      </c>
      <c r="E39" s="5">
        <f t="shared" si="0"/>
        <v>126.21261333447798</v>
      </c>
      <c r="F39" s="5">
        <v>94.10638666552201</v>
      </c>
      <c r="G39" s="5">
        <f t="shared" si="1"/>
        <v>220.31899999999999</v>
      </c>
      <c r="H39" s="5">
        <v>35</v>
      </c>
      <c r="I39" s="38" t="s">
        <v>55</v>
      </c>
    </row>
    <row r="40" spans="1:18" x14ac:dyDescent="0.2">
      <c r="A40" s="15" t="s">
        <v>67</v>
      </c>
      <c r="B40" s="5">
        <f t="shared" si="3"/>
        <v>35</v>
      </c>
      <c r="C40" s="5">
        <v>170</v>
      </c>
      <c r="D40" s="5">
        <f>+B40+C40+4.785</f>
        <v>209.785</v>
      </c>
      <c r="E40" s="5">
        <f t="shared" si="0"/>
        <v>116.51501511298399</v>
      </c>
      <c r="F40" s="5">
        <v>58.269984887016008</v>
      </c>
      <c r="G40" s="5">
        <f t="shared" si="1"/>
        <v>174.785</v>
      </c>
      <c r="H40" s="5">
        <v>35</v>
      </c>
      <c r="I40" s="38" t="s">
        <v>55</v>
      </c>
    </row>
    <row r="41" spans="1:18" x14ac:dyDescent="0.2">
      <c r="A41" s="15" t="s">
        <v>69</v>
      </c>
      <c r="B41" s="5">
        <f t="shared" si="3"/>
        <v>35</v>
      </c>
      <c r="C41" s="5">
        <v>231</v>
      </c>
      <c r="D41" s="5">
        <f>+B41+C41+4.298</f>
        <v>270.298</v>
      </c>
      <c r="E41" s="5">
        <f t="shared" si="0"/>
        <v>183.34553141450002</v>
      </c>
      <c r="F41" s="5">
        <v>51.952468585499993</v>
      </c>
      <c r="G41" s="5">
        <f t="shared" si="1"/>
        <v>235.298</v>
      </c>
      <c r="H41" s="5">
        <v>35</v>
      </c>
      <c r="I41" s="38" t="s">
        <v>55</v>
      </c>
    </row>
    <row r="42" spans="1:18" x14ac:dyDescent="0.2">
      <c r="A42" s="15" t="s">
        <v>73</v>
      </c>
      <c r="B42" s="5">
        <f t="shared" si="3"/>
        <v>35</v>
      </c>
      <c r="C42" s="5">
        <v>209</v>
      </c>
      <c r="D42" s="5">
        <f>+B42+C42+4.087</f>
        <v>248.08699999999999</v>
      </c>
      <c r="E42" s="5">
        <f t="shared" si="0"/>
        <v>195.895514172162</v>
      </c>
      <c r="F42" s="5">
        <v>17.191485827837997</v>
      </c>
      <c r="G42" s="5">
        <f t="shared" si="1"/>
        <v>213.08699999999999</v>
      </c>
      <c r="H42" s="5">
        <v>35</v>
      </c>
      <c r="I42" s="38" t="s">
        <v>55</v>
      </c>
    </row>
    <row r="43" spans="1:18" x14ac:dyDescent="0.2">
      <c r="A43" s="15" t="s">
        <v>75</v>
      </c>
      <c r="B43" s="5">
        <f t="shared" si="3"/>
        <v>35</v>
      </c>
      <c r="C43" s="5">
        <v>205</v>
      </c>
      <c r="D43" s="5">
        <f>+B43+C43+3.863</f>
        <v>243.863</v>
      </c>
      <c r="E43" s="5">
        <f t="shared" si="0"/>
        <v>193.5884969352</v>
      </c>
      <c r="F43" s="5">
        <v>15.274503064800001</v>
      </c>
      <c r="G43" s="5">
        <f t="shared" si="1"/>
        <v>208.863</v>
      </c>
      <c r="H43" s="5">
        <v>35</v>
      </c>
      <c r="I43" s="38" t="s">
        <v>55</v>
      </c>
    </row>
    <row r="44" spans="1:18" x14ac:dyDescent="0.2">
      <c r="A44" s="60" t="s">
        <v>77</v>
      </c>
      <c r="B44" s="68">
        <f t="shared" si="3"/>
        <v>35</v>
      </c>
      <c r="C44" s="68">
        <v>175.5</v>
      </c>
      <c r="D44" s="68">
        <f>+B44+C44+4.3729</f>
        <v>214.87289999999999</v>
      </c>
      <c r="E44" s="68">
        <f t="shared" si="0"/>
        <v>166.12685750203798</v>
      </c>
      <c r="F44" s="68">
        <v>13.746042497962</v>
      </c>
      <c r="G44" s="68">
        <f t="shared" si="1"/>
        <v>179.87289999999999</v>
      </c>
      <c r="H44" s="68">
        <v>35</v>
      </c>
      <c r="I44" s="75" t="s">
        <v>55</v>
      </c>
      <c r="K44" s="5"/>
      <c r="O44" s="5"/>
      <c r="P44" s="5"/>
      <c r="Q44" s="5"/>
      <c r="R44" s="5"/>
    </row>
    <row r="45" spans="1:18" x14ac:dyDescent="0.2">
      <c r="A45" s="60" t="s">
        <v>76</v>
      </c>
      <c r="B45" s="68">
        <f t="shared" si="3"/>
        <v>35</v>
      </c>
      <c r="C45" s="68">
        <v>178.42500000000001</v>
      </c>
      <c r="D45" s="68">
        <f>+B45+C45+5.9247</f>
        <v>219.34970000000001</v>
      </c>
      <c r="E45" s="68">
        <f t="shared" si="0"/>
        <v>172.90307889469801</v>
      </c>
      <c r="F45" s="68">
        <v>11.446621105301999</v>
      </c>
      <c r="G45" s="68">
        <f t="shared" si="1"/>
        <v>184.34970000000001</v>
      </c>
      <c r="H45" s="68">
        <v>35</v>
      </c>
      <c r="I45" s="75" t="s">
        <v>55</v>
      </c>
      <c r="K45" s="5"/>
      <c r="O45" s="5"/>
      <c r="P45" s="5"/>
      <c r="Q45" s="5"/>
      <c r="R45" s="5"/>
    </row>
    <row r="46" spans="1:18" x14ac:dyDescent="0.2">
      <c r="A46" s="60" t="s">
        <v>78</v>
      </c>
      <c r="B46" s="68">
        <f t="shared" si="3"/>
        <v>35</v>
      </c>
      <c r="C46" s="68">
        <v>174.52500000000001</v>
      </c>
      <c r="D46" s="68">
        <f>+B46+C46+3.5012</f>
        <v>213.02620000000002</v>
      </c>
      <c r="E46" s="68">
        <f t="shared" si="0"/>
        <v>172.662573627802</v>
      </c>
      <c r="F46" s="68">
        <v>5.3636263721979995</v>
      </c>
      <c r="G46" s="68">
        <f>+D46-H46</f>
        <v>178.02620000000002</v>
      </c>
      <c r="H46" s="68">
        <v>35</v>
      </c>
      <c r="I46" s="75" t="s">
        <v>55</v>
      </c>
      <c r="K46" s="5"/>
      <c r="O46" s="5"/>
      <c r="P46" s="5"/>
      <c r="Q46" s="5"/>
      <c r="R46" s="5"/>
    </row>
    <row r="47" spans="1:18" x14ac:dyDescent="0.2">
      <c r="A47" s="60" t="s">
        <v>109</v>
      </c>
      <c r="B47" s="68">
        <f t="shared" si="3"/>
        <v>35</v>
      </c>
      <c r="C47" s="68">
        <v>156</v>
      </c>
      <c r="D47" s="68">
        <f>+B47+C47+4.1859</f>
        <v>195.1859</v>
      </c>
      <c r="E47" s="68">
        <f t="shared" si="0"/>
        <v>141.87430451828001</v>
      </c>
      <c r="F47" s="68">
        <v>18.311595481719998</v>
      </c>
      <c r="G47" s="68">
        <f>+D47-H47</f>
        <v>160.1859</v>
      </c>
      <c r="H47" s="68">
        <v>35</v>
      </c>
      <c r="I47" s="75" t="s">
        <v>55</v>
      </c>
      <c r="K47" s="5"/>
      <c r="O47" s="5"/>
      <c r="P47" s="5"/>
      <c r="Q47" s="5"/>
      <c r="R47" s="5"/>
    </row>
    <row r="48" spans="1:18" x14ac:dyDescent="0.2">
      <c r="A48" s="60" t="s">
        <v>92</v>
      </c>
      <c r="B48" s="68">
        <f t="shared" si="3"/>
        <v>35</v>
      </c>
      <c r="C48" s="68">
        <v>181.35</v>
      </c>
      <c r="D48" s="68">
        <f>+B48+C48+8.0328</f>
        <v>224.3828</v>
      </c>
      <c r="E48" s="68">
        <f t="shared" si="0"/>
        <v>178.01267929961199</v>
      </c>
      <c r="F48" s="68">
        <v>11.370120700388</v>
      </c>
      <c r="G48" s="68">
        <f>+D48-H48</f>
        <v>189.3828</v>
      </c>
      <c r="H48" s="68">
        <v>35</v>
      </c>
      <c r="I48" s="75" t="s">
        <v>55</v>
      </c>
      <c r="K48" s="5"/>
      <c r="O48" s="5"/>
      <c r="P48" s="5"/>
      <c r="Q48" s="5"/>
      <c r="R48" s="5"/>
    </row>
    <row r="49" spans="1:18" x14ac:dyDescent="0.2">
      <c r="A49" s="64" t="s">
        <v>114</v>
      </c>
      <c r="B49" s="72">
        <f t="shared" si="3"/>
        <v>35</v>
      </c>
      <c r="C49" s="72">
        <v>192.07499999999999</v>
      </c>
      <c r="D49" s="72">
        <f>+B49+C49+8.0328</f>
        <v>235.1078</v>
      </c>
      <c r="E49" s="72">
        <f t="shared" si="0"/>
        <v>186.73767929961201</v>
      </c>
      <c r="F49" s="72">
        <v>13.370120700388</v>
      </c>
      <c r="G49" s="72">
        <f>+D49-H49</f>
        <v>200.1078</v>
      </c>
      <c r="H49" s="72">
        <v>35</v>
      </c>
      <c r="I49" s="76" t="s">
        <v>55</v>
      </c>
      <c r="K49" s="5"/>
      <c r="O49" s="5"/>
      <c r="P49" s="5"/>
      <c r="Q49" s="5"/>
      <c r="R49" s="5"/>
    </row>
    <row r="50" spans="1:18" x14ac:dyDescent="0.2">
      <c r="A50" s="16" t="s">
        <v>96</v>
      </c>
      <c r="B50" s="5"/>
      <c r="C50" s="5"/>
      <c r="D50" s="5"/>
      <c r="E50" s="5"/>
      <c r="F50" s="5"/>
      <c r="G50" s="5"/>
      <c r="H50" s="5"/>
      <c r="I50" s="38"/>
    </row>
    <row r="51" spans="1:18" x14ac:dyDescent="0.2">
      <c r="A51" s="14" t="s">
        <v>101</v>
      </c>
    </row>
    <row r="52" spans="1:18" ht="13.2" customHeight="1" x14ac:dyDescent="0.2">
      <c r="A52" s="14" t="s">
        <v>115</v>
      </c>
    </row>
    <row r="53" spans="1:18" ht="10.199999999999999" customHeight="1" x14ac:dyDescent="0.2">
      <c r="I53" s="58" t="s">
        <v>108</v>
      </c>
      <c r="J53" s="15"/>
    </row>
  </sheetData>
  <pageMargins left="0.7" right="0.7" top="0.75" bottom="0.75" header="0.3" footer="0.3"/>
  <pageSetup scale="98" firstPageNumber="31" orientation="portrait" useFirstPageNumber="1" r:id="rId1"/>
  <headerFooter alignWithMargins="0">
    <oddFooter>&amp;C&amp;P
Oil Crops Yearbook/OCS-2020
March 2020
Economic Research Service, USDA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BA319C043DC4A8381C9E195FB1B27" ma:contentTypeVersion="4" ma:contentTypeDescription="Create a new document." ma:contentTypeScope="" ma:versionID="6b1a0caf0774e32845426cb3810d65d2">
  <xsd:schema xmlns:xsd="http://www.w3.org/2001/XMLSchema" xmlns:xs="http://www.w3.org/2001/XMLSchema" xmlns:p="http://schemas.microsoft.com/office/2006/metadata/properties" xmlns:ns2="c49de858-f9fd-4eb6-bcba-50396646711f" xmlns:ns3="7818c5c2-d41f-4dce-801c-4e3595afcb3f" targetNamespace="http://schemas.microsoft.com/office/2006/metadata/properties" ma:root="true" ma:fieldsID="7ed9e12bf1f8304dab8bd3f843b3f685" ns2:_="" ns3:_="">
    <xsd:import namespace="c49de858-f9fd-4eb6-bcba-50396646711f"/>
    <xsd:import namespace="7818c5c2-d41f-4dce-801c-4e3595afcb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de858-f9fd-4eb6-bcba-5039664671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8c5c2-d41f-4dce-801c-4e3595afcb3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07B1ED-5D3A-4952-84FC-23ECBD02EB28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elements/1.1/"/>
    <ds:schemaRef ds:uri="7818c5c2-d41f-4dce-801c-4e3595afcb3f"/>
    <ds:schemaRef ds:uri="c49de858-f9fd-4eb6-bcba-50396646711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97D0137-D79D-4934-9802-094B6CE61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de858-f9fd-4eb6-bcba-50396646711f"/>
    <ds:schemaRef ds:uri="7818c5c2-d41f-4dce-801c-4e3595afc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D3A4BC-10CD-421A-9A34-8AE710E38C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Contents</vt:lpstr>
      <vt:lpstr>tab28</vt:lpstr>
      <vt:lpstr>tab29</vt:lpstr>
      <vt:lpstr>tab30</vt:lpstr>
      <vt:lpstr>tab31</vt:lpstr>
      <vt:lpstr>'tab28'!Print_Area</vt:lpstr>
      <vt:lpstr>'tab29'!Print_Area</vt:lpstr>
      <vt:lpstr>'tab30'!Print_Area</vt:lpstr>
      <vt:lpstr>'tab31'!Print_Area</vt:lpstr>
      <vt:lpstr>'tab28'!Print_Titles</vt:lpstr>
      <vt:lpstr>'tab29'!Print_Titles</vt:lpstr>
      <vt:lpstr>'tab30'!Print_Titles</vt:lpstr>
      <vt:lpstr>'tab31'!Print_Titles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Oil Crops Yearbook: Flaxseed</dc:title>
  <dc:subject>Agricultural economics</dc:subject>
  <dc:creator>Aaron Ates; Maria Bukowski</dc:creator>
  <cp:keywords>oil crops, flaxseed, linseed meal, linseed oil</cp:keywords>
  <dc:description/>
  <cp:lastModifiedBy>Bukowski, Maria - REE-ERS</cp:lastModifiedBy>
  <cp:lastPrinted>2021-05-10T14:46:56Z</cp:lastPrinted>
  <dcterms:created xsi:type="dcterms:W3CDTF">2020-03-23T18:32:41Z</dcterms:created>
  <dcterms:modified xsi:type="dcterms:W3CDTF">2023-03-24T21:33:30Z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0x0101003EDBA319C043DC4A8381C9E195FB1B27</vt:lpwstr>
  </property>
</Properties>
</file>