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7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8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9.xml" ContentType="application/vnd.openxmlformats-officedocument.spreadsheetml.comments+xml"/>
  <Override PartName="/xl/drawings/drawing20.xml" ContentType="application/vnd.openxmlformats-officedocument.drawing+xml"/>
  <Override PartName="/xl/comments10.xml" ContentType="application/vnd.openxmlformats-officedocument.spreadsheetml.comments+xml"/>
  <Override PartName="/xl/drawings/drawing21.xml" ContentType="application/vnd.openxmlformats-officedocument.drawing+xml"/>
  <Override PartName="/xl/comments11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omments12.xml" ContentType="application/vnd.openxmlformats-officedocument.spreadsheetml.comments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omments13.xml" ContentType="application/vnd.openxmlformats-officedocument.spreadsheetml.comments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omments14.xml" ContentType="application/vnd.openxmlformats-officedocument.spreadsheetml.comments+xml"/>
  <Override PartName="/xl/drawings/drawing34.xml" ContentType="application/vnd.openxmlformats-officedocument.drawing+xml"/>
  <Override PartName="/xl/comments15.xml" ContentType="application/vnd.openxmlformats-officedocument.spreadsheetml.comments+xml"/>
  <Override PartName="/xl/drawings/drawing35.xml" ContentType="application/vnd.openxmlformats-officedocument.drawing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drawings/drawing36.xml" ContentType="application/vnd.openxmlformats-officedocument.drawing+xml"/>
  <Override PartName="/xl/comments25.xml" ContentType="application/vnd.openxmlformats-officedocument.spreadsheetml.comments+xml"/>
  <Override PartName="/xl/drawings/drawing37.xml" ContentType="application/vnd.openxmlformats-officedocument.drawing+xml"/>
  <Override PartName="/xl/comments26.xml" ContentType="application/vnd.openxmlformats-officedocument.spreadsheetml.comments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showInkAnnotation="0"/>
  <mc:AlternateContent xmlns:mc="http://schemas.openxmlformats.org/markup-compatibility/2006">
    <mc:Choice Requires="x15">
      <x15ac:absPath xmlns:x15ac="http://schemas.microsoft.com/office/spreadsheetml/2010/11/ac" url="https://usdagcc.sharepoint.com/sites/REE-ERS-OilCropsOutlook/Shared Documents/General/Yearbooks/Oilyrbook_2023/"/>
    </mc:Choice>
  </mc:AlternateContent>
  <xr:revisionPtr revIDLastSave="1962" documentId="8_{A6715266-5614-42B4-B9D0-E225AD24B2DD}" xr6:coauthVersionLast="47" xr6:coauthVersionMax="47" xr10:uidLastSave="{AAA70158-EF9E-4FB5-8ECD-C45DEC359579}"/>
  <bookViews>
    <workbookView xWindow="28680" yWindow="-120" windowWidth="29040" windowHeight="15840" tabRatio="598" xr2:uid="{00000000-000D-0000-FFFF-FFFF00000000}"/>
  </bookViews>
  <sheets>
    <sheet name="Contents" sheetId="100" r:id="rId1"/>
    <sheet name="tab01" sheetId="1" r:id="rId2"/>
    <sheet name="tab02" sheetId="2" r:id="rId3"/>
    <sheet name="tab3" sheetId="23" r:id="rId4"/>
    <sheet name="tab4" sheetId="22" r:id="rId5"/>
    <sheet name="tab5" sheetId="21" r:id="rId6"/>
    <sheet name="tab6" sheetId="28" r:id="rId7"/>
    <sheet name="tab7" sheetId="27" r:id="rId8"/>
    <sheet name="tab8" sheetId="26" r:id="rId9"/>
    <sheet name="tab 9" sheetId="20" r:id="rId10"/>
    <sheet name="tab 10" sheetId="70" r:id="rId11"/>
    <sheet name="tab 11" sheetId="5" r:id="rId12"/>
    <sheet name="tab 12" sheetId="108" r:id="rId13"/>
    <sheet name="tab 13" sheetId="6" r:id="rId14"/>
    <sheet name="tab 14" sheetId="15" r:id="rId15"/>
    <sheet name="tab 15" sheetId="14" r:id="rId16"/>
    <sheet name="tab 16" sheetId="13" r:id="rId17"/>
    <sheet name="tab 17" sheetId="18" r:id="rId18"/>
    <sheet name="tab 18" sheetId="17" r:id="rId19"/>
    <sheet name="tab 19" sheetId="39" r:id="rId20"/>
    <sheet name="tab 20" sheetId="38" r:id="rId21"/>
    <sheet name="tab21" sheetId="33" r:id="rId22"/>
    <sheet name="tab22" sheetId="32" r:id="rId23"/>
    <sheet name="tab23" sheetId="31" r:id="rId24"/>
    <sheet name="tab24" sheetId="16" r:id="rId25"/>
    <sheet name="tab25" sheetId="47" r:id="rId26"/>
    <sheet name="tab26" sheetId="46" r:id="rId27"/>
    <sheet name="tab27" sheetId="45" r:id="rId28"/>
    <sheet name="tab28" sheetId="10" r:id="rId29"/>
    <sheet name="tab29" sheetId="9" r:id="rId30"/>
    <sheet name="tab30" sheetId="8" r:id="rId31"/>
    <sheet name="tab31" sheetId="24" r:id="rId32"/>
    <sheet name="tab32" sheetId="3" r:id="rId33"/>
    <sheet name="tab33" sheetId="12" r:id="rId34"/>
    <sheet name="tab34(1)" sheetId="40" r:id="rId35"/>
    <sheet name="tab34(2)" sheetId="83" r:id="rId36"/>
    <sheet name="tab34(3)" sheetId="99" r:id="rId37"/>
    <sheet name="tab34(4)" sheetId="101" r:id="rId38"/>
    <sheet name="tab34(5)" sheetId="102" r:id="rId39"/>
    <sheet name="tab34(6)" sheetId="97" r:id="rId40"/>
    <sheet name="tab34(7)" sheetId="110" r:id="rId41"/>
    <sheet name="tab34(8)" sheetId="111" r:id="rId42"/>
    <sheet name="tab34(9)" sheetId="112" r:id="rId43"/>
    <sheet name="tab35" sheetId="62" r:id="rId44"/>
    <sheet name="tab36" sheetId="61" r:id="rId45"/>
    <sheet name="tab37" sheetId="103" r:id="rId46"/>
    <sheet name="tab38" sheetId="104" r:id="rId47"/>
    <sheet name="tab39" sheetId="105" r:id="rId48"/>
    <sheet name="tab40" sheetId="106" r:id="rId49"/>
    <sheet name="tab41" sheetId="60" r:id="rId50"/>
    <sheet name="tab42" sheetId="59" r:id="rId51"/>
    <sheet name="tab43" sheetId="58" r:id="rId52"/>
  </sheets>
  <definedNames>
    <definedName name="_xlnm.Print_Area" localSheetId="10">'tab 10'!$B$6:$I$54</definedName>
    <definedName name="_xlnm.Print_Area" localSheetId="11">'tab 11'!$B$9:$L$55</definedName>
    <definedName name="_xlnm.Print_Area" localSheetId="12">'tab 12'!$B$7:$G$51</definedName>
    <definedName name="_xlnm.Print_Area" localSheetId="13">'tab 13'!$B$6:$N$52</definedName>
    <definedName name="_xlnm.Print_Area" localSheetId="14">'tab 14'!$B$6:$N$52</definedName>
    <definedName name="_xlnm.Print_Area" localSheetId="15">'tab 15'!$B$6:$N$52</definedName>
    <definedName name="_xlnm.Print_Area" localSheetId="16">'tab 16'!$B$6:$N$52</definedName>
    <definedName name="_xlnm.Print_Area" localSheetId="17">'tab 17'!$B$5:$F$50</definedName>
    <definedName name="_xlnm.Print_Area" localSheetId="18">'tab 18'!$B$8:$K$54</definedName>
    <definedName name="_xlnm.Print_Area" localSheetId="19">'tab 19'!$B$8:$L$55</definedName>
    <definedName name="_xlnm.Print_Area" localSheetId="20">'tab 20'!$B$8:$J$54</definedName>
    <definedName name="_xlnm.Print_Area" localSheetId="9">'tab 9'!$B$84:$O$143</definedName>
    <definedName name="_xlnm.Print_Area" localSheetId="1">'tab01'!$A$1:$D$145</definedName>
    <definedName name="_xlnm.Print_Area" localSheetId="2">'tab02'!$B$5:$G$54</definedName>
    <definedName name="_xlnm.Print_Area" localSheetId="21">'tab21'!$B$6:$N$50</definedName>
    <definedName name="_xlnm.Print_Area" localSheetId="22">'tab22'!$B$8:$L$55</definedName>
    <definedName name="_xlnm.Print_Area" localSheetId="23">'tab23'!$B$8:$J$53</definedName>
    <definedName name="_xlnm.Print_Area" localSheetId="24">'tab24'!$B$8:$K$54</definedName>
    <definedName name="_xlnm.Print_Area" localSheetId="25">'tab25'!$B$8:$O$42</definedName>
    <definedName name="_xlnm.Print_Area" localSheetId="26">'tab26'!$B$7:$M$45</definedName>
    <definedName name="_xlnm.Print_Area" localSheetId="27">'tab27'!$B$7:$K$42</definedName>
    <definedName name="_xlnm.Print_Area" localSheetId="28">'tab28'!$B$5:$F$49</definedName>
    <definedName name="_xlnm.Print_Area" localSheetId="29">'tab29'!$B$8:$M$55</definedName>
    <definedName name="_xlnm.Print_Area" localSheetId="3">'tab3'!$B$8:$K$54</definedName>
    <definedName name="_xlnm.Print_Area" localSheetId="30">'tab30'!$B$7:$J$52</definedName>
    <definedName name="_xlnm.Print_Area" localSheetId="31">'tab31'!$B$7:$I$53</definedName>
    <definedName name="_xlnm.Print_Area" localSheetId="32">'tab32'!$B$5:$O$80</definedName>
    <definedName name="_xlnm.Print_Area" localSheetId="33">'tab33'!$B$7:$M$59</definedName>
    <definedName name="_xlnm.Print_Area" localSheetId="34">'tab34(1)'!$C$4:$N$53</definedName>
    <definedName name="_xlnm.Print_Area" localSheetId="35">'tab34(2)'!$C$4:$N$53</definedName>
    <definedName name="_xlnm.Print_Area" localSheetId="36">'tab34(3)'!$C$4:$N$53</definedName>
    <definedName name="_xlnm.Print_Area" localSheetId="37">'tab34(4)'!$C$4:$N$53</definedName>
    <definedName name="_xlnm.Print_Area" localSheetId="38">'tab34(5)'!$C$4:$N$53</definedName>
    <definedName name="_xlnm.Print_Area" localSheetId="39">'tab34(6)'!$C$4:$N$53</definedName>
    <definedName name="_xlnm.Print_Area" localSheetId="40">'tab34(7)'!$C$4:$N$53</definedName>
    <definedName name="_xlnm.Print_Area" localSheetId="41">'tab34(8)'!$C$4:$N$53</definedName>
    <definedName name="_xlnm.Print_Area" localSheetId="42">'tab34(9)'!$C$4:$N$54</definedName>
    <definedName name="_xlnm.Print_Area" localSheetId="43">'tab35'!$A$1:$L$56</definedName>
    <definedName name="_xlnm.Print_Area" localSheetId="44">'tab36'!$B$7:$K$53</definedName>
    <definedName name="_xlnm.Print_Area" localSheetId="45">'tab37'!$A$7:$M$72</definedName>
    <definedName name="_xlnm.Print_Area" localSheetId="46">'tab38'!$B$4:$G$33</definedName>
    <definedName name="_xlnm.Print_Area" localSheetId="47">'tab39'!$B$4:$G$33</definedName>
    <definedName name="_xlnm.Print_Area" localSheetId="4">'tab4'!$B$8:$J$55</definedName>
    <definedName name="_xlnm.Print_Area" localSheetId="48">'tab40'!$B$4:$G$33</definedName>
    <definedName name="_xlnm.Print_Area" localSheetId="49">'tab41'!$B$6:$G$52</definedName>
    <definedName name="_xlnm.Print_Area" localSheetId="50">'tab42'!$B$5:$G$62</definedName>
    <definedName name="_xlnm.Print_Area" localSheetId="51">'tab43'!$B$5:$G$57</definedName>
    <definedName name="_xlnm.Print_Area" localSheetId="5">'tab5'!$B$7:$K$59</definedName>
    <definedName name="_xlnm.Print_Area" localSheetId="6">'tab6'!$A$1:$J$252</definedName>
    <definedName name="_xlnm.Print_Area" localSheetId="7">'tab7'!$B$63:$I$122</definedName>
    <definedName name="_xlnm.Print_Area" localSheetId="8">'tab8'!$B$63:$J$122</definedName>
    <definedName name="_xlnm.Print_Titles" localSheetId="10">'tab 10'!$A:$A,'tab 10'!$1:$4</definedName>
    <definedName name="_xlnm.Print_Titles" localSheetId="11">'tab 11'!$A:$A,'tab 11'!$1:$7</definedName>
    <definedName name="_xlnm.Print_Titles" localSheetId="12">'tab 12'!$A:$A,'tab 12'!$1:$5</definedName>
    <definedName name="_xlnm.Print_Titles" localSheetId="13">'tab 13'!$A:$A,'tab 13'!$1:$4</definedName>
    <definedName name="_xlnm.Print_Titles" localSheetId="14">'tab 14'!$A:$A,'tab 14'!$1:$4</definedName>
    <definedName name="_xlnm.Print_Titles" localSheetId="15">'tab 15'!$A:$A,'tab 15'!$1:$4</definedName>
    <definedName name="_xlnm.Print_Titles" localSheetId="16">'tab 16'!$A:$A,'tab 16'!$1:$4</definedName>
    <definedName name="_xlnm.Print_Titles" localSheetId="17">'tab 17'!$A:$A,'tab 17'!$1:$3</definedName>
    <definedName name="_xlnm.Print_Titles" localSheetId="18">'tab 18'!$A:$A,'tab 18'!$1:$5</definedName>
    <definedName name="_xlnm.Print_Titles" localSheetId="19">'tab 19'!$A:$A,'tab 19'!$1:$6</definedName>
    <definedName name="_xlnm.Print_Titles" localSheetId="20">'tab 20'!$A:$A,'tab 20'!$1:$6</definedName>
    <definedName name="_xlnm.Print_Titles" localSheetId="9">'tab 9'!$A:$A,'tab 9'!$1:$7</definedName>
    <definedName name="_xlnm.Print_Titles" localSheetId="1">'tab01'!$A:$A,'tab01'!$1:$3</definedName>
    <definedName name="_xlnm.Print_Titles" localSheetId="2">'tab02'!$A:$A,'tab02'!$1:$4</definedName>
    <definedName name="_xlnm.Print_Titles" localSheetId="21">'tab21'!$A:$A,'tab21'!$1:$4</definedName>
    <definedName name="_xlnm.Print_Titles" localSheetId="22">'tab22'!$A:$A,'tab22'!$1:$6</definedName>
    <definedName name="_xlnm.Print_Titles" localSheetId="23">'tab23'!$A:$A,'tab23'!$1:$6</definedName>
    <definedName name="_xlnm.Print_Titles" localSheetId="24">'tab24'!$A:$A,'tab24'!$1:$6</definedName>
    <definedName name="_xlnm.Print_Titles" localSheetId="25">'tab25'!$A:$A,'tab25'!$1:$6</definedName>
    <definedName name="_xlnm.Print_Titles" localSheetId="26">'tab26'!$A:$A,'tab26'!$1:$5</definedName>
    <definedName name="_xlnm.Print_Titles" localSheetId="27">'tab27'!$A:$A,'tab27'!$1:$5</definedName>
    <definedName name="_xlnm.Print_Titles" localSheetId="28">'tab28'!$A:$A,'tab28'!$1:$3</definedName>
    <definedName name="_xlnm.Print_Titles" localSheetId="29">'tab29'!$A:$A,'tab29'!$1:$6</definedName>
    <definedName name="_xlnm.Print_Titles" localSheetId="3">'tab3'!$A:$A,'tab3'!$1:$6</definedName>
    <definedName name="_xlnm.Print_Titles" localSheetId="30">'tab30'!$A:$A,'tab30'!$1:$5</definedName>
    <definedName name="_xlnm.Print_Titles" localSheetId="31">'tab31'!$A:$A,'tab31'!$1:$5</definedName>
    <definedName name="_xlnm.Print_Titles" localSheetId="32">'tab32'!$A:$A,'tab32'!$1:$3</definedName>
    <definedName name="_xlnm.Print_Titles" localSheetId="33">'tab33'!$A:$A,'tab33'!$1:$5</definedName>
    <definedName name="_xlnm.Print_Titles" localSheetId="34">'tab34(1)'!$A:$B,'tab34(1)'!$1:$3</definedName>
    <definedName name="_xlnm.Print_Titles" localSheetId="35">'tab34(2)'!$A:$B,'tab34(2)'!$1:$3</definedName>
    <definedName name="_xlnm.Print_Titles" localSheetId="36">'tab34(3)'!$A:$B,'tab34(3)'!$1:$3</definedName>
    <definedName name="_xlnm.Print_Titles" localSheetId="37">'tab34(4)'!$A:$B,'tab34(4)'!$1:$3</definedName>
    <definedName name="_xlnm.Print_Titles" localSheetId="38">'tab34(5)'!$A:$B,'tab34(5)'!$1:$3</definedName>
    <definedName name="_xlnm.Print_Titles" localSheetId="39">'tab34(6)'!$A:$B,'tab34(6)'!$1:$3</definedName>
    <definedName name="_xlnm.Print_Titles" localSheetId="40">'tab34(7)'!$A:$B,'tab34(7)'!$1:$3</definedName>
    <definedName name="_xlnm.Print_Titles" localSheetId="41">'tab34(8)'!$A:$B,'tab34(8)'!$1:$3</definedName>
    <definedName name="_xlnm.Print_Titles" localSheetId="42">'tab34(9)'!$A:$B,'tab34(9)'!$1:$3</definedName>
    <definedName name="_xlnm.Print_Titles" localSheetId="43">'tab35'!$A:$A,'tab35'!$1:$5</definedName>
    <definedName name="_xlnm.Print_Titles" localSheetId="44">'tab36'!$A:$A,'tab36'!$1:$5</definedName>
    <definedName name="_xlnm.Print_Titles" localSheetId="45">'tab37'!$1:$6</definedName>
    <definedName name="_xlnm.Print_Titles" localSheetId="46">'tab38'!$A:$G,'tab38'!$1:$2</definedName>
    <definedName name="_xlnm.Print_Titles" localSheetId="47">'tab39'!$A:$A,'tab39'!$1:$2</definedName>
    <definedName name="_xlnm.Print_Titles" localSheetId="4">'tab4'!$A:$A,'tab4'!$1:$6</definedName>
    <definedName name="_xlnm.Print_Titles" localSheetId="48">'tab40'!$A:$A,'tab40'!$1:$2</definedName>
    <definedName name="_xlnm.Print_Titles" localSheetId="49">'tab41'!$A:$A,'tab41'!$1:$4</definedName>
    <definedName name="_xlnm.Print_Titles" localSheetId="50">'tab42'!$A:$A,'tab42'!$1:$4</definedName>
    <definedName name="_xlnm.Print_Titles" localSheetId="51">'tab43'!$A:$A,'tab43'!$1:$4</definedName>
    <definedName name="_xlnm.Print_Titles" localSheetId="5">'tab5'!$A:$A,'tab5'!$1:$5</definedName>
    <definedName name="_xlnm.Print_Titles" localSheetId="6">'tab6'!$A:$A,'tab6'!$1:$6</definedName>
    <definedName name="_xlnm.Print_Titles" localSheetId="7">'tab7'!$A:$A,'tab7'!$1:$6</definedName>
    <definedName name="_xlnm.Print_Titles" localSheetId="8">'tab8'!$A:$A,'tab8'!$1:$6</definedName>
    <definedName name="WASDE_Updated" localSheetId="0">Contents!#REF!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7" i="3" l="1"/>
  <c r="K20" i="103" l="1"/>
  <c r="K49" i="103"/>
  <c r="B49" i="103" l="1"/>
  <c r="C49" i="103"/>
  <c r="D49" i="103"/>
  <c r="E51" i="103"/>
  <c r="I14" i="58" l="1"/>
  <c r="J49" i="60"/>
  <c r="J22" i="60"/>
  <c r="B22" i="60"/>
  <c r="B13" i="60"/>
  <c r="E34" i="103"/>
  <c r="E33" i="103"/>
  <c r="E31" i="103"/>
  <c r="E30" i="103"/>
  <c r="E29" i="103"/>
  <c r="E10" i="103"/>
  <c r="K39" i="103"/>
  <c r="J39" i="103"/>
  <c r="B29" i="104"/>
  <c r="G146" i="26" l="1"/>
  <c r="G104" i="26"/>
  <c r="R33" i="3" l="1"/>
  <c r="R61" i="3"/>
  <c r="R17" i="3"/>
  <c r="R45" i="3"/>
  <c r="E49" i="61" l="1"/>
  <c r="H49" i="61" s="1"/>
  <c r="F49" i="61" s="1"/>
  <c r="Q77" i="3" l="1"/>
  <c r="P77" i="3"/>
  <c r="O77" i="3"/>
  <c r="N77" i="3"/>
  <c r="M77" i="3"/>
  <c r="L77" i="3"/>
  <c r="Q61" i="3"/>
  <c r="P61" i="3"/>
  <c r="O61" i="3"/>
  <c r="N61" i="3"/>
  <c r="M61" i="3"/>
  <c r="L61" i="3"/>
  <c r="Q45" i="3"/>
  <c r="P45" i="3"/>
  <c r="O45" i="3"/>
  <c r="N45" i="3"/>
  <c r="M45" i="3"/>
  <c r="L45" i="3"/>
  <c r="Q33" i="3"/>
  <c r="P33" i="3"/>
  <c r="O33" i="3"/>
  <c r="N33" i="3"/>
  <c r="M33" i="3"/>
  <c r="L33" i="3"/>
  <c r="Q17" i="3"/>
  <c r="P17" i="3"/>
  <c r="O17" i="3"/>
  <c r="N17" i="3"/>
  <c r="M17" i="3"/>
  <c r="L17" i="3"/>
  <c r="K34" i="47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H180" i="20"/>
  <c r="B180" i="20"/>
  <c r="B178" i="20"/>
  <c r="I50" i="16"/>
  <c r="H50" i="16"/>
  <c r="L51" i="5" l="1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I50" i="39" l="1"/>
  <c r="H50" i="39"/>
  <c r="D45" i="5"/>
  <c r="D44" i="5"/>
  <c r="D43" i="5"/>
  <c r="G50" i="5"/>
  <c r="D50" i="5"/>
  <c r="D49" i="5"/>
  <c r="D48" i="5"/>
  <c r="E45" i="62" l="1"/>
  <c r="E46" i="62"/>
  <c r="H46" i="62" s="1"/>
  <c r="E47" i="62"/>
  <c r="H47" i="62" s="1"/>
  <c r="F47" i="62" s="1"/>
  <c r="E48" i="62"/>
  <c r="H48" i="62" s="1"/>
  <c r="F48" i="62" s="1"/>
  <c r="E49" i="62"/>
  <c r="H49" i="62" s="1"/>
  <c r="I50" i="17" l="1"/>
  <c r="F49" i="12" l="1"/>
  <c r="J49" i="12" s="1"/>
  <c r="B49" i="12"/>
  <c r="E49" i="12" s="1"/>
  <c r="K49" i="12" l="1"/>
  <c r="J159" i="26"/>
  <c r="J158" i="26"/>
  <c r="J157" i="26"/>
  <c r="J156" i="26"/>
  <c r="J155" i="26"/>
  <c r="J154" i="26"/>
  <c r="J153" i="26"/>
  <c r="J152" i="26"/>
  <c r="J151" i="26"/>
  <c r="J150" i="26"/>
  <c r="J149" i="26"/>
  <c r="J148" i="26"/>
  <c r="J145" i="26"/>
  <c r="J144" i="26"/>
  <c r="J143" i="26"/>
  <c r="J142" i="26"/>
  <c r="J141" i="26"/>
  <c r="J140" i="26"/>
  <c r="J139" i="26"/>
  <c r="J138" i="26"/>
  <c r="J137" i="26"/>
  <c r="J136" i="26"/>
  <c r="J135" i="26"/>
  <c r="J134" i="26"/>
  <c r="J129" i="26"/>
  <c r="J131" i="26"/>
  <c r="J130" i="26"/>
  <c r="J128" i="26"/>
  <c r="J127" i="26"/>
  <c r="J126" i="26"/>
  <c r="J125" i="26"/>
  <c r="J124" i="26"/>
  <c r="J123" i="26"/>
  <c r="C157" i="27"/>
  <c r="B94" i="27"/>
  <c r="B95" i="27"/>
  <c r="B96" i="27"/>
  <c r="B97" i="27"/>
  <c r="B98" i="27"/>
  <c r="B99" i="27"/>
  <c r="B100" i="27"/>
  <c r="B101" i="27"/>
  <c r="B102" i="27"/>
  <c r="B103" i="27"/>
  <c r="B93" i="27"/>
  <c r="I157" i="27"/>
  <c r="I131" i="27"/>
  <c r="D42" i="10" l="1"/>
  <c r="B33" i="45"/>
  <c r="B34" i="45"/>
  <c r="B35" i="45"/>
  <c r="B36" i="45"/>
  <c r="B37" i="45"/>
  <c r="B38" i="45"/>
  <c r="B45" i="16" l="1"/>
  <c r="B46" i="16"/>
  <c r="B47" i="16"/>
  <c r="B48" i="16"/>
  <c r="B49" i="16"/>
  <c r="B50" i="16"/>
  <c r="H43" i="33"/>
  <c r="J43" i="33"/>
  <c r="N180" i="20" l="1"/>
  <c r="J178" i="20"/>
  <c r="J177" i="20"/>
  <c r="J176" i="20"/>
  <c r="J168" i="20"/>
  <c r="I180" i="20"/>
  <c r="J180" i="20" s="1"/>
  <c r="H166" i="20"/>
  <c r="H179" i="20"/>
  <c r="J179" i="20" s="1"/>
  <c r="H178" i="20"/>
  <c r="H177" i="20"/>
  <c r="H176" i="20"/>
  <c r="H175" i="20"/>
  <c r="J175" i="20" s="1"/>
  <c r="H174" i="20"/>
  <c r="J174" i="20" s="1"/>
  <c r="H173" i="20"/>
  <c r="J173" i="20" s="1"/>
  <c r="H172" i="20"/>
  <c r="J172" i="20" s="1"/>
  <c r="H171" i="20"/>
  <c r="J171" i="20" s="1"/>
  <c r="H170" i="20"/>
  <c r="J170" i="20" s="1"/>
  <c r="H169" i="20"/>
  <c r="J169" i="20" s="1"/>
  <c r="H152" i="20"/>
  <c r="H138" i="20"/>
  <c r="G179" i="20"/>
  <c r="G178" i="20"/>
  <c r="G177" i="20"/>
  <c r="G176" i="20"/>
  <c r="G175" i="20"/>
  <c r="G174" i="20"/>
  <c r="G173" i="20"/>
  <c r="G172" i="20"/>
  <c r="G171" i="20"/>
  <c r="G170" i="20"/>
  <c r="G169" i="20"/>
  <c r="G168" i="20"/>
  <c r="F180" i="20"/>
  <c r="F166" i="20"/>
  <c r="F152" i="20"/>
  <c r="E166" i="20"/>
  <c r="E152" i="20"/>
  <c r="E138" i="20"/>
  <c r="E141" i="20"/>
  <c r="G141" i="20"/>
  <c r="H141" i="20"/>
  <c r="J141" i="20"/>
  <c r="E142" i="20"/>
  <c r="E143" i="20"/>
  <c r="E144" i="20"/>
  <c r="E145" i="20"/>
  <c r="E146" i="20"/>
  <c r="E147" i="20"/>
  <c r="E148" i="20"/>
  <c r="E149" i="20"/>
  <c r="E150" i="20"/>
  <c r="E151" i="20"/>
  <c r="G180" i="20" l="1"/>
  <c r="C180" i="20"/>
  <c r="D180" i="20" l="1"/>
  <c r="B179" i="20"/>
  <c r="D179" i="20" s="1"/>
  <c r="D178" i="20"/>
  <c r="K178" i="20" s="1"/>
  <c r="B177" i="20"/>
  <c r="D177" i="20" s="1"/>
  <c r="K177" i="20" s="1"/>
  <c r="B176" i="20"/>
  <c r="D176" i="20" s="1"/>
  <c r="B175" i="20"/>
  <c r="D175" i="20" s="1"/>
  <c r="K175" i="20" s="1"/>
  <c r="B174" i="20"/>
  <c r="D174" i="20" s="1"/>
  <c r="K174" i="20" s="1"/>
  <c r="B173" i="20"/>
  <c r="D173" i="20" s="1"/>
  <c r="B172" i="20"/>
  <c r="D172" i="20" s="1"/>
  <c r="K172" i="20" s="1"/>
  <c r="B171" i="20"/>
  <c r="D171" i="20" s="1"/>
  <c r="B170" i="20"/>
  <c r="D170" i="20" s="1"/>
  <c r="B169" i="20"/>
  <c r="D169" i="20" s="1"/>
  <c r="K169" i="20" s="1"/>
  <c r="B168" i="20"/>
  <c r="D168" i="20" s="1"/>
  <c r="K168" i="20" s="1"/>
  <c r="B166" i="20"/>
  <c r="B165" i="20"/>
  <c r="B164" i="20"/>
  <c r="B163" i="20"/>
  <c r="B162" i="20"/>
  <c r="B161" i="20"/>
  <c r="B160" i="20"/>
  <c r="B159" i="20"/>
  <c r="B158" i="20"/>
  <c r="B157" i="20"/>
  <c r="B156" i="20"/>
  <c r="B155" i="20"/>
  <c r="B154" i="20"/>
  <c r="B152" i="20"/>
  <c r="B138" i="20"/>
  <c r="K170" i="20" l="1"/>
  <c r="L170" i="20"/>
  <c r="L174" i="20"/>
  <c r="O174" i="20"/>
  <c r="M174" i="20"/>
  <c r="L172" i="20"/>
  <c r="O172" i="20"/>
  <c r="M172" i="20"/>
  <c r="L178" i="20"/>
  <c r="O178" i="20"/>
  <c r="M178" i="20"/>
  <c r="K171" i="20"/>
  <c r="K173" i="20"/>
  <c r="L173" i="20"/>
  <c r="L177" i="20"/>
  <c r="O177" i="20"/>
  <c r="M177" i="20"/>
  <c r="K179" i="20"/>
  <c r="L169" i="20"/>
  <c r="O169" i="20"/>
  <c r="M169" i="20"/>
  <c r="L175" i="20"/>
  <c r="O175" i="20"/>
  <c r="M175" i="20"/>
  <c r="K176" i="20"/>
  <c r="L176" i="20"/>
  <c r="L168" i="20"/>
  <c r="O168" i="20"/>
  <c r="M168" i="20"/>
  <c r="K180" i="20"/>
  <c r="B29" i="106"/>
  <c r="B29" i="105"/>
  <c r="M171" i="20" l="1"/>
  <c r="O171" i="20"/>
  <c r="M180" i="20"/>
  <c r="O180" i="20"/>
  <c r="L180" i="20"/>
  <c r="O179" i="20"/>
  <c r="M179" i="20"/>
  <c r="L179" i="20"/>
  <c r="O176" i="20"/>
  <c r="M176" i="20"/>
  <c r="O173" i="20"/>
  <c r="M173" i="20"/>
  <c r="L171" i="20"/>
  <c r="O170" i="20"/>
  <c r="M170" i="20"/>
  <c r="J29" i="104"/>
  <c r="J29" i="106" l="1"/>
  <c r="J29" i="105"/>
  <c r="J54" i="58" l="1"/>
  <c r="J44" i="58"/>
  <c r="J34" i="58"/>
  <c r="J24" i="58"/>
  <c r="J14" i="58"/>
  <c r="J59" i="59"/>
  <c r="J48" i="59"/>
  <c r="J37" i="59"/>
  <c r="J26" i="59"/>
  <c r="J15" i="59"/>
  <c r="J40" i="60"/>
  <c r="J31" i="60"/>
  <c r="J13" i="60"/>
  <c r="J58" i="103"/>
  <c r="K58" i="103"/>
  <c r="M58" i="103"/>
  <c r="I58" i="103"/>
  <c r="J29" i="103"/>
  <c r="K29" i="103"/>
  <c r="M29" i="103"/>
  <c r="C58" i="103"/>
  <c r="D58" i="103"/>
  <c r="F58" i="103"/>
  <c r="L54" i="103"/>
  <c r="L55" i="103"/>
  <c r="L53" i="103"/>
  <c r="L25" i="103"/>
  <c r="L26" i="103"/>
  <c r="L24" i="103"/>
  <c r="J49" i="103"/>
  <c r="M49" i="103"/>
  <c r="I49" i="103"/>
  <c r="F49" i="103"/>
  <c r="M39" i="103"/>
  <c r="I39" i="103"/>
  <c r="B45" i="24"/>
  <c r="B46" i="24"/>
  <c r="B47" i="24"/>
  <c r="B48" i="24"/>
  <c r="D48" i="24" s="1"/>
  <c r="B49" i="24"/>
  <c r="D49" i="24" s="1"/>
  <c r="G49" i="24" s="1"/>
  <c r="E49" i="24" s="1"/>
  <c r="E49" i="8"/>
  <c r="H49" i="8" s="1"/>
  <c r="E44" i="8"/>
  <c r="H44" i="8" s="1"/>
  <c r="F44" i="8" s="1"/>
  <c r="J43" i="9"/>
  <c r="I43" i="9" s="1"/>
  <c r="C50" i="9"/>
  <c r="E50" i="9" s="1"/>
  <c r="J50" i="9" s="1"/>
  <c r="I50" i="9" s="1"/>
  <c r="D47" i="10"/>
  <c r="L49" i="103" l="1"/>
  <c r="E38" i="45"/>
  <c r="H38" i="45" s="1"/>
  <c r="F38" i="45" s="1"/>
  <c r="B38" i="46"/>
  <c r="E38" i="46" s="1"/>
  <c r="J38" i="46" s="1"/>
  <c r="F38" i="46" s="1"/>
  <c r="H38" i="46" s="1"/>
  <c r="E39" i="47"/>
  <c r="H39" i="47" s="1"/>
  <c r="K39" i="47" s="1"/>
  <c r="D39" i="47"/>
  <c r="E50" i="16"/>
  <c r="E50" i="31"/>
  <c r="H50" i="31" s="1"/>
  <c r="F50" i="31" s="1"/>
  <c r="B45" i="32"/>
  <c r="B46" i="32"/>
  <c r="B47" i="32"/>
  <c r="B48" i="32"/>
  <c r="B49" i="32"/>
  <c r="B50" i="32"/>
  <c r="M48" i="33"/>
  <c r="C50" i="32" s="1"/>
  <c r="K48" i="33"/>
  <c r="J48" i="33"/>
  <c r="H48" i="33"/>
  <c r="D48" i="33"/>
  <c r="E50" i="32" l="1"/>
  <c r="I50" i="32" s="1"/>
  <c r="G50" i="32" s="1"/>
  <c r="L48" i="33"/>
  <c r="J48" i="21"/>
  <c r="B49" i="21" s="1"/>
  <c r="E49" i="21" s="1"/>
  <c r="G160" i="26" l="1"/>
  <c r="G48" i="21" l="1"/>
  <c r="D160" i="26"/>
  <c r="D48" i="21" s="1"/>
  <c r="H160" i="26"/>
  <c r="H48" i="21" s="1"/>
  <c r="H92" i="26" l="1"/>
  <c r="H93" i="26"/>
  <c r="H94" i="26"/>
  <c r="H95" i="26"/>
  <c r="H96" i="26"/>
  <c r="H97" i="26"/>
  <c r="H98" i="26"/>
  <c r="H99" i="26"/>
  <c r="H100" i="26"/>
  <c r="H101" i="26"/>
  <c r="H102" i="26"/>
  <c r="H103" i="26"/>
  <c r="B150" i="26"/>
  <c r="E150" i="26" s="1"/>
  <c r="I150" i="26" s="1"/>
  <c r="F150" i="26" s="1"/>
  <c r="B151" i="26"/>
  <c r="E151" i="26" s="1"/>
  <c r="I151" i="26" s="1"/>
  <c r="F151" i="26" s="1"/>
  <c r="B152" i="26"/>
  <c r="E152" i="26" s="1"/>
  <c r="I152" i="26" s="1"/>
  <c r="F152" i="26" s="1"/>
  <c r="B153" i="26"/>
  <c r="E153" i="26" s="1"/>
  <c r="I153" i="26" s="1"/>
  <c r="F153" i="26" s="1"/>
  <c r="B154" i="26"/>
  <c r="E154" i="26" s="1"/>
  <c r="I154" i="26" s="1"/>
  <c r="F154" i="26" s="1"/>
  <c r="B155" i="26"/>
  <c r="E155" i="26" s="1"/>
  <c r="I155" i="26" s="1"/>
  <c r="F155" i="26" s="1"/>
  <c r="B156" i="26"/>
  <c r="E156" i="26" s="1"/>
  <c r="I156" i="26" s="1"/>
  <c r="F156" i="26" s="1"/>
  <c r="B157" i="26"/>
  <c r="E157" i="26" s="1"/>
  <c r="I157" i="26" s="1"/>
  <c r="F157" i="26" s="1"/>
  <c r="B158" i="26"/>
  <c r="E158" i="26" s="1"/>
  <c r="I158" i="26" s="1"/>
  <c r="F158" i="26" s="1"/>
  <c r="B159" i="26"/>
  <c r="E159" i="26" s="1"/>
  <c r="I159" i="26" s="1"/>
  <c r="F159" i="26" s="1"/>
  <c r="B149" i="26"/>
  <c r="E149" i="26" s="1"/>
  <c r="I149" i="26" s="1"/>
  <c r="F149" i="26" s="1"/>
  <c r="B148" i="26"/>
  <c r="C160" i="26"/>
  <c r="C48" i="21" s="1"/>
  <c r="H50" i="22"/>
  <c r="C141" i="27"/>
  <c r="G160" i="27"/>
  <c r="G49" i="22" s="1"/>
  <c r="I106" i="27"/>
  <c r="G48" i="108"/>
  <c r="G44" i="108"/>
  <c r="D46" i="5"/>
  <c r="G46" i="5"/>
  <c r="G49" i="5"/>
  <c r="F50" i="5"/>
  <c r="E160" i="26" l="1"/>
  <c r="E148" i="26"/>
  <c r="I148" i="26" s="1"/>
  <c r="D160" i="27"/>
  <c r="D49" i="22" s="1"/>
  <c r="I160" i="26" l="1"/>
  <c r="F148" i="26"/>
  <c r="F160" i="26" s="1"/>
  <c r="I159" i="27"/>
  <c r="I49" i="22" s="1"/>
  <c r="B50" i="22" s="1"/>
  <c r="E50" i="22" s="1"/>
  <c r="I50" i="22" s="1"/>
  <c r="I154" i="27"/>
  <c r="B155" i="27" s="1"/>
  <c r="I153" i="27"/>
  <c r="I158" i="27"/>
  <c r="B159" i="27" s="1"/>
  <c r="B158" i="27"/>
  <c r="I156" i="27"/>
  <c r="B157" i="27" s="1"/>
  <c r="I155" i="27"/>
  <c r="B156" i="27" s="1"/>
  <c r="I152" i="27"/>
  <c r="B153" i="27" s="1"/>
  <c r="I151" i="27"/>
  <c r="B152" i="27" s="1"/>
  <c r="I150" i="27"/>
  <c r="B151" i="27" s="1"/>
  <c r="I149" i="27"/>
  <c r="B150" i="27" s="1"/>
  <c r="I148" i="27"/>
  <c r="B149" i="27" s="1"/>
  <c r="B154" i="27"/>
  <c r="I145" i="27"/>
  <c r="B148" i="27" s="1"/>
  <c r="I144" i="27"/>
  <c r="I143" i="27"/>
  <c r="I142" i="27"/>
  <c r="I141" i="27"/>
  <c r="I140" i="27"/>
  <c r="I139" i="27"/>
  <c r="I138" i="27"/>
  <c r="I137" i="27"/>
  <c r="I136" i="27"/>
  <c r="I135" i="27"/>
  <c r="I134" i="27"/>
  <c r="I130" i="27"/>
  <c r="I116" i="27"/>
  <c r="C159" i="27" l="1"/>
  <c r="E159" i="27" s="1"/>
  <c r="H159" i="27" s="1"/>
  <c r="F159" i="27" s="1"/>
  <c r="C158" i="27"/>
  <c r="E158" i="27" s="1"/>
  <c r="H158" i="27" s="1"/>
  <c r="F158" i="27" s="1"/>
  <c r="E157" i="27"/>
  <c r="H157" i="27" s="1"/>
  <c r="F157" i="27" s="1"/>
  <c r="C156" i="27"/>
  <c r="E156" i="27" s="1"/>
  <c r="H156" i="27" s="1"/>
  <c r="F156" i="27" s="1"/>
  <c r="C155" i="27"/>
  <c r="E155" i="27" s="1"/>
  <c r="H155" i="27" s="1"/>
  <c r="F155" i="27" s="1"/>
  <c r="C154" i="27"/>
  <c r="E154" i="27" s="1"/>
  <c r="H154" i="27" s="1"/>
  <c r="F154" i="27" s="1"/>
  <c r="C153" i="27"/>
  <c r="E153" i="27" s="1"/>
  <c r="H153" i="27" s="1"/>
  <c r="F153" i="27" s="1"/>
  <c r="C152" i="27"/>
  <c r="E152" i="27" s="1"/>
  <c r="H152" i="27" s="1"/>
  <c r="F152" i="27" s="1"/>
  <c r="C151" i="27"/>
  <c r="E151" i="27" s="1"/>
  <c r="H151" i="27" s="1"/>
  <c r="F151" i="27" s="1"/>
  <c r="C150" i="27"/>
  <c r="E150" i="27" s="1"/>
  <c r="H150" i="27" s="1"/>
  <c r="F150" i="27" s="1"/>
  <c r="C149" i="27"/>
  <c r="E149" i="27" s="1"/>
  <c r="H149" i="27" s="1"/>
  <c r="F149" i="27" s="1"/>
  <c r="C148" i="27"/>
  <c r="E148" i="27" s="1"/>
  <c r="H148" i="27" s="1"/>
  <c r="C145" i="27"/>
  <c r="C144" i="27"/>
  <c r="C143" i="27"/>
  <c r="C142" i="27"/>
  <c r="C140" i="27"/>
  <c r="C139" i="27"/>
  <c r="C138" i="27"/>
  <c r="C137" i="27"/>
  <c r="C136" i="27"/>
  <c r="C135" i="27"/>
  <c r="C134" i="27"/>
  <c r="C126" i="27"/>
  <c r="B48" i="13"/>
  <c r="C48" i="13"/>
  <c r="D48" i="13"/>
  <c r="E48" i="13"/>
  <c r="G48" i="13"/>
  <c r="H48" i="13"/>
  <c r="I48" i="13"/>
  <c r="K48" i="13"/>
  <c r="L48" i="13"/>
  <c r="M48" i="13"/>
  <c r="F48" i="14"/>
  <c r="F47" i="14"/>
  <c r="J48" i="14"/>
  <c r="H160" i="27" l="1"/>
  <c r="F148" i="27"/>
  <c r="F160" i="27" s="1"/>
  <c r="N48" i="14"/>
  <c r="C160" i="27"/>
  <c r="J48" i="15"/>
  <c r="J48" i="13" s="1"/>
  <c r="F48" i="15"/>
  <c r="F48" i="13" s="1"/>
  <c r="J48" i="6"/>
  <c r="F48" i="6"/>
  <c r="N48" i="6" s="1"/>
  <c r="B48" i="70" s="1"/>
  <c r="E48" i="70" l="1"/>
  <c r="N48" i="15"/>
  <c r="C48" i="70" s="1"/>
  <c r="C49" i="22"/>
  <c r="E160" i="27"/>
  <c r="H48" i="70"/>
  <c r="I50" i="23"/>
  <c r="N48" i="13" l="1"/>
  <c r="D48" i="70"/>
  <c r="C51" i="5"/>
  <c r="E51" i="5" s="1"/>
  <c r="J51" i="5" s="1"/>
  <c r="I51" i="5" s="1"/>
  <c r="F249" i="28"/>
  <c r="F242" i="28"/>
  <c r="F238" i="28"/>
  <c r="F234" i="28"/>
  <c r="F223" i="28"/>
  <c r="F204" i="28"/>
  <c r="F200" i="28"/>
  <c r="F196" i="28"/>
  <c r="F192" i="28"/>
  <c r="F166" i="28"/>
  <c r="F158" i="28"/>
  <c r="G249" i="28"/>
  <c r="G242" i="28"/>
  <c r="G238" i="28"/>
  <c r="G234" i="28"/>
  <c r="G223" i="28"/>
  <c r="G219" i="28"/>
  <c r="G215" i="28"/>
  <c r="G211" i="28"/>
  <c r="G166" i="28"/>
  <c r="G162" i="28"/>
  <c r="G158" i="28"/>
  <c r="G154" i="28"/>
  <c r="D249" i="28"/>
  <c r="C249" i="28"/>
  <c r="D242" i="28"/>
  <c r="D238" i="28"/>
  <c r="D234" i="28"/>
  <c r="D223" i="28"/>
  <c r="D204" i="28"/>
  <c r="D200" i="28"/>
  <c r="D196" i="28"/>
  <c r="D192" i="28"/>
  <c r="D185" i="28"/>
  <c r="D181" i="28"/>
  <c r="F205" i="28" l="1"/>
  <c r="D205" i="28"/>
  <c r="G224" i="28"/>
  <c r="G48" i="23" s="1"/>
  <c r="G167" i="28"/>
  <c r="C50" i="23"/>
  <c r="D48" i="2"/>
  <c r="D46" i="2"/>
  <c r="D47" i="2"/>
  <c r="D128" i="1" l="1"/>
  <c r="D127" i="1"/>
  <c r="D126" i="1"/>
  <c r="D125" i="1"/>
  <c r="D140" i="1"/>
  <c r="D138" i="1"/>
  <c r="J234" i="28" s="1"/>
  <c r="B238" i="28" s="1"/>
  <c r="E238" i="28" s="1"/>
  <c r="I238" i="28" s="1"/>
  <c r="H238" i="28" s="1"/>
  <c r="D139" i="1"/>
  <c r="J238" i="28" s="1"/>
  <c r="B242" i="28" s="1"/>
  <c r="E242" i="28" s="1"/>
  <c r="D137" i="1"/>
  <c r="D143" i="1"/>
  <c r="J249" i="28" s="1"/>
  <c r="D132" i="1"/>
  <c r="D133" i="1"/>
  <c r="D134" i="1"/>
  <c r="J49" i="23" l="1"/>
  <c r="J242" i="28"/>
  <c r="B249" i="28" s="1"/>
  <c r="E249" i="28" s="1"/>
  <c r="I249" i="28" s="1"/>
  <c r="H249" i="28" s="1"/>
  <c r="I242" i="28" l="1"/>
  <c r="H242" i="28" s="1"/>
  <c r="B46" i="38"/>
  <c r="B47" i="38"/>
  <c r="B48" i="38"/>
  <c r="B49" i="38"/>
  <c r="B50" i="38"/>
  <c r="E50" i="38" s="1"/>
  <c r="H50" i="38" s="1"/>
  <c r="F50" i="38" s="1"/>
  <c r="B46" i="39"/>
  <c r="E46" i="39" s="1"/>
  <c r="H46" i="39" s="1"/>
  <c r="F46" i="39" s="1"/>
  <c r="B47" i="39"/>
  <c r="E47" i="39" s="1"/>
  <c r="H47" i="39" s="1"/>
  <c r="F47" i="39" s="1"/>
  <c r="B48" i="39"/>
  <c r="E48" i="39" s="1"/>
  <c r="H48" i="39" s="1"/>
  <c r="F48" i="39" s="1"/>
  <c r="B49" i="39"/>
  <c r="E49" i="39" s="1"/>
  <c r="H49" i="39" s="1"/>
  <c r="F49" i="39" s="1"/>
  <c r="B50" i="39"/>
  <c r="E50" i="39" s="1"/>
  <c r="B47" i="17"/>
  <c r="B48" i="17"/>
  <c r="B49" i="17"/>
  <c r="B50" i="17"/>
  <c r="C50" i="17"/>
  <c r="E50" i="17" s="1"/>
  <c r="D47" i="18"/>
  <c r="L64" i="103" l="1"/>
  <c r="L63" i="103"/>
  <c r="L62" i="103"/>
  <c r="L60" i="103"/>
  <c r="L59" i="103"/>
  <c r="L51" i="103"/>
  <c r="L50" i="103"/>
  <c r="L46" i="103"/>
  <c r="L45" i="103"/>
  <c r="L44" i="103"/>
  <c r="L43" i="103"/>
  <c r="L41" i="103"/>
  <c r="L40" i="103"/>
  <c r="M10" i="103"/>
  <c r="M20" i="103"/>
  <c r="D47" i="5"/>
  <c r="L35" i="103"/>
  <c r="B58" i="103"/>
  <c r="E59" i="103"/>
  <c r="E60" i="103"/>
  <c r="E62" i="103"/>
  <c r="E63" i="103"/>
  <c r="E64" i="103"/>
  <c r="I20" i="103"/>
  <c r="L29" i="103" l="1"/>
  <c r="L58" i="103"/>
  <c r="B34" i="58"/>
  <c r="C34" i="58"/>
  <c r="D34" i="58"/>
  <c r="E34" i="58"/>
  <c r="F34" i="58"/>
  <c r="G34" i="58"/>
  <c r="H34" i="58"/>
  <c r="I34" i="58"/>
  <c r="G146" i="27" l="1"/>
  <c r="B136" i="27" l="1"/>
  <c r="B137" i="27"/>
  <c r="B138" i="27"/>
  <c r="B139" i="27"/>
  <c r="B140" i="27"/>
  <c r="B141" i="27"/>
  <c r="B142" i="27"/>
  <c r="B143" i="27"/>
  <c r="B144" i="27"/>
  <c r="B145" i="27"/>
  <c r="G230" i="28"/>
  <c r="G243" i="28" s="1"/>
  <c r="G49" i="23" s="1"/>
  <c r="E42" i="62"/>
  <c r="H42" i="62" s="1"/>
  <c r="E48" i="61"/>
  <c r="H48" i="61" l="1"/>
  <c r="F48" i="61" s="1"/>
  <c r="H77" i="3"/>
  <c r="I77" i="3"/>
  <c r="J77" i="3"/>
  <c r="K77" i="3"/>
  <c r="J17" i="3"/>
  <c r="K17" i="3"/>
  <c r="B41" i="12" l="1"/>
  <c r="B42" i="12"/>
  <c r="B43" i="12"/>
  <c r="B44" i="12"/>
  <c r="B45" i="12"/>
  <c r="E45" i="12" s="1"/>
  <c r="B46" i="12"/>
  <c r="E46" i="12" s="1"/>
  <c r="B47" i="12"/>
  <c r="E47" i="12" s="1"/>
  <c r="K47" i="12"/>
  <c r="B48" i="12" s="1"/>
  <c r="E48" i="12" s="1"/>
  <c r="I54" i="58"/>
  <c r="I44" i="58"/>
  <c r="I24" i="58"/>
  <c r="I15" i="59"/>
  <c r="I26" i="59"/>
  <c r="I37" i="59"/>
  <c r="I48" i="59"/>
  <c r="I59" i="59"/>
  <c r="I13" i="60"/>
  <c r="I22" i="60"/>
  <c r="I31" i="60"/>
  <c r="I40" i="60"/>
  <c r="I49" i="60"/>
  <c r="I29" i="106"/>
  <c r="I29" i="105"/>
  <c r="I29" i="104"/>
  <c r="J48" i="12" l="1"/>
  <c r="F48" i="12" s="1"/>
  <c r="H48" i="12" s="1"/>
  <c r="G48" i="24" l="1"/>
  <c r="E48" i="24" s="1"/>
  <c r="D47" i="24"/>
  <c r="E47" i="8"/>
  <c r="H47" i="8" s="1"/>
  <c r="E48" i="8"/>
  <c r="H48" i="8" s="1"/>
  <c r="C49" i="9"/>
  <c r="E49" i="9" s="1"/>
  <c r="J49" i="9" s="1"/>
  <c r="I49" i="9" s="1"/>
  <c r="D46" i="10"/>
  <c r="E37" i="45" l="1"/>
  <c r="H37" i="45" s="1"/>
  <c r="F37" i="45" s="1"/>
  <c r="B32" i="46"/>
  <c r="B33" i="46"/>
  <c r="B34" i="46"/>
  <c r="B35" i="46"/>
  <c r="B36" i="46"/>
  <c r="B37" i="46"/>
  <c r="E37" i="46" s="1"/>
  <c r="J37" i="46" s="1"/>
  <c r="E38" i="47"/>
  <c r="H38" i="47" s="1"/>
  <c r="K38" i="47" s="1"/>
  <c r="E31" i="47"/>
  <c r="E32" i="47"/>
  <c r="E33" i="47"/>
  <c r="E34" i="47"/>
  <c r="E35" i="47"/>
  <c r="E36" i="47"/>
  <c r="E37" i="47"/>
  <c r="D34" i="47"/>
  <c r="D35" i="47"/>
  <c r="D36" i="47"/>
  <c r="D37" i="47"/>
  <c r="D38" i="47"/>
  <c r="E49" i="16"/>
  <c r="H49" i="16" s="1"/>
  <c r="F49" i="16" s="1"/>
  <c r="E49" i="31"/>
  <c r="H49" i="31" s="1"/>
  <c r="F49" i="31" s="1"/>
  <c r="F49" i="5"/>
  <c r="F48" i="5"/>
  <c r="G48" i="5"/>
  <c r="G47" i="5"/>
  <c r="J122" i="26"/>
  <c r="F137" i="28"/>
  <c r="F37" i="46" l="1"/>
  <c r="H37" i="46" s="1"/>
  <c r="E49" i="38"/>
  <c r="H49" i="38" s="1"/>
  <c r="F49" i="38" s="1"/>
  <c r="C49" i="17" l="1"/>
  <c r="E49" i="17" s="1"/>
  <c r="D46" i="18"/>
  <c r="C230" i="28"/>
  <c r="C243" i="28" s="1"/>
  <c r="H47" i="70"/>
  <c r="G47" i="108"/>
  <c r="B47" i="13"/>
  <c r="C47" i="13"/>
  <c r="D47" i="13"/>
  <c r="E47" i="13"/>
  <c r="G47" i="13"/>
  <c r="H47" i="13"/>
  <c r="I47" i="13"/>
  <c r="K47" i="13"/>
  <c r="L47" i="13"/>
  <c r="J47" i="14"/>
  <c r="F47" i="15"/>
  <c r="J47" i="15"/>
  <c r="J43" i="6"/>
  <c r="J44" i="6"/>
  <c r="J45" i="6"/>
  <c r="J47" i="6"/>
  <c r="F47" i="6"/>
  <c r="N47" i="14" l="1"/>
  <c r="E47" i="70" s="1"/>
  <c r="C50" i="5" s="1"/>
  <c r="E50" i="5" s="1"/>
  <c r="N47" i="15"/>
  <c r="N47" i="6"/>
  <c r="B47" i="70" s="1"/>
  <c r="J47" i="13"/>
  <c r="M47" i="13"/>
  <c r="F47" i="13"/>
  <c r="B135" i="27"/>
  <c r="G104" i="27"/>
  <c r="N166" i="20"/>
  <c r="I166" i="20"/>
  <c r="H165" i="20"/>
  <c r="J165" i="20" s="1"/>
  <c r="H164" i="20"/>
  <c r="J164" i="20" s="1"/>
  <c r="H163" i="20"/>
  <c r="J163" i="20" s="1"/>
  <c r="H162" i="20"/>
  <c r="J162" i="20" s="1"/>
  <c r="H161" i="20"/>
  <c r="J161" i="20" s="1"/>
  <c r="H160" i="20"/>
  <c r="J160" i="20" s="1"/>
  <c r="H159" i="20"/>
  <c r="J159" i="20" s="1"/>
  <c r="H158" i="20"/>
  <c r="J158" i="20" s="1"/>
  <c r="H157" i="20"/>
  <c r="J157" i="20" s="1"/>
  <c r="H156" i="20"/>
  <c r="J156" i="20" s="1"/>
  <c r="H155" i="20"/>
  <c r="J155" i="20" s="1"/>
  <c r="H154" i="20"/>
  <c r="J154" i="20" s="1"/>
  <c r="E165" i="20"/>
  <c r="G165" i="20" s="1"/>
  <c r="E164" i="20"/>
  <c r="G164" i="20" s="1"/>
  <c r="E163" i="20"/>
  <c r="G163" i="20" s="1"/>
  <c r="E162" i="20"/>
  <c r="G162" i="20" s="1"/>
  <c r="E161" i="20"/>
  <c r="G161" i="20" s="1"/>
  <c r="E160" i="20"/>
  <c r="G160" i="20" s="1"/>
  <c r="E159" i="20"/>
  <c r="G159" i="20" s="1"/>
  <c r="E158" i="20"/>
  <c r="G158" i="20" s="1"/>
  <c r="E157" i="20"/>
  <c r="G157" i="20" s="1"/>
  <c r="E156" i="20"/>
  <c r="G156" i="20" s="1"/>
  <c r="E155" i="20"/>
  <c r="G155" i="20" s="1"/>
  <c r="E154" i="20"/>
  <c r="G154" i="20" s="1"/>
  <c r="E140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C166" i="20"/>
  <c r="D166" i="20" s="1"/>
  <c r="C152" i="20"/>
  <c r="B151" i="20"/>
  <c r="B150" i="20"/>
  <c r="B149" i="20"/>
  <c r="B148" i="20"/>
  <c r="B147" i="20"/>
  <c r="B146" i="20"/>
  <c r="B145" i="20"/>
  <c r="B144" i="20"/>
  <c r="B143" i="20"/>
  <c r="B142" i="20"/>
  <c r="B141" i="20"/>
  <c r="B140" i="20"/>
  <c r="J50" i="5" l="1"/>
  <c r="I50" i="5" s="1"/>
  <c r="J166" i="20"/>
  <c r="N47" i="13"/>
  <c r="C47" i="70"/>
  <c r="D47" i="70" s="1"/>
  <c r="K159" i="20"/>
  <c r="L159" i="20" s="1"/>
  <c r="K158" i="20"/>
  <c r="L158" i="20" s="1"/>
  <c r="K164" i="20"/>
  <c r="M164" i="20" s="1"/>
  <c r="K156" i="20"/>
  <c r="G166" i="20"/>
  <c r="K166" i="20" s="1"/>
  <c r="K155" i="20"/>
  <c r="M155" i="20" s="1"/>
  <c r="M162" i="20"/>
  <c r="K161" i="20"/>
  <c r="K165" i="20"/>
  <c r="K162" i="20"/>
  <c r="K154" i="20"/>
  <c r="K157" i="20"/>
  <c r="M157" i="20" s="1"/>
  <c r="K160" i="20"/>
  <c r="K163" i="20"/>
  <c r="O158" i="20" l="1"/>
  <c r="M158" i="20"/>
  <c r="M159" i="20"/>
  <c r="O159" i="20"/>
  <c r="L161" i="20"/>
  <c r="O161" i="20"/>
  <c r="L156" i="20"/>
  <c r="O156" i="20"/>
  <c r="L157" i="20"/>
  <c r="O157" i="20"/>
  <c r="L154" i="20"/>
  <c r="O154" i="20"/>
  <c r="L163" i="20"/>
  <c r="O163" i="20"/>
  <c r="M156" i="20"/>
  <c r="L162" i="20"/>
  <c r="O162" i="20"/>
  <c r="L164" i="20"/>
  <c r="O164" i="20"/>
  <c r="L165" i="20"/>
  <c r="O165" i="20"/>
  <c r="L160" i="20"/>
  <c r="O160" i="20"/>
  <c r="L166" i="20"/>
  <c r="O166" i="20"/>
  <c r="L155" i="20"/>
  <c r="O155" i="20"/>
  <c r="M165" i="20"/>
  <c r="M154" i="20"/>
  <c r="M163" i="20"/>
  <c r="M166" i="20"/>
  <c r="M161" i="20"/>
  <c r="M160" i="20"/>
  <c r="K44" i="33" l="1"/>
  <c r="K45" i="33"/>
  <c r="K46" i="33"/>
  <c r="K47" i="33"/>
  <c r="J47" i="33"/>
  <c r="D47" i="33"/>
  <c r="M47" i="33"/>
  <c r="C49" i="32" s="1"/>
  <c r="E49" i="32" s="1"/>
  <c r="I49" i="32" s="1"/>
  <c r="G49" i="32" s="1"/>
  <c r="H47" i="33"/>
  <c r="J47" i="21"/>
  <c r="L47" i="33" l="1"/>
  <c r="H146" i="26"/>
  <c r="D146" i="26"/>
  <c r="D47" i="21" s="1"/>
  <c r="C146" i="26"/>
  <c r="C47" i="21" s="1"/>
  <c r="B145" i="26"/>
  <c r="E145" i="26" s="1"/>
  <c r="I145" i="26" s="1"/>
  <c r="F145" i="26" s="1"/>
  <c r="B144" i="26"/>
  <c r="E144" i="26" s="1"/>
  <c r="I144" i="26" s="1"/>
  <c r="F144" i="26" s="1"/>
  <c r="B143" i="26"/>
  <c r="E143" i="26" s="1"/>
  <c r="I143" i="26" s="1"/>
  <c r="F143" i="26" s="1"/>
  <c r="B142" i="26"/>
  <c r="E142" i="26" s="1"/>
  <c r="I142" i="26" s="1"/>
  <c r="F142" i="26" s="1"/>
  <c r="B141" i="26"/>
  <c r="E141" i="26" s="1"/>
  <c r="I141" i="26" s="1"/>
  <c r="F141" i="26" s="1"/>
  <c r="B140" i="26"/>
  <c r="E140" i="26" s="1"/>
  <c r="I140" i="26" s="1"/>
  <c r="F140" i="26" s="1"/>
  <c r="B139" i="26"/>
  <c r="E139" i="26" s="1"/>
  <c r="I139" i="26" s="1"/>
  <c r="F139" i="26" s="1"/>
  <c r="B138" i="26"/>
  <c r="E138" i="26" s="1"/>
  <c r="I138" i="26" s="1"/>
  <c r="F138" i="26" s="1"/>
  <c r="B137" i="26"/>
  <c r="E137" i="26" s="1"/>
  <c r="I137" i="26" s="1"/>
  <c r="F137" i="26" s="1"/>
  <c r="B136" i="26"/>
  <c r="E136" i="26" s="1"/>
  <c r="I136" i="26" s="1"/>
  <c r="F136" i="26" s="1"/>
  <c r="B135" i="26"/>
  <c r="E135" i="26" s="1"/>
  <c r="I135" i="26" s="1"/>
  <c r="F135" i="26" s="1"/>
  <c r="B134" i="26"/>
  <c r="B48" i="21"/>
  <c r="E48" i="21" s="1"/>
  <c r="I48" i="21" s="1"/>
  <c r="F48" i="21" s="1"/>
  <c r="G47" i="21" l="1"/>
  <c r="H47" i="21"/>
  <c r="E134" i="26"/>
  <c r="I134" i="26" s="1"/>
  <c r="I146" i="26" s="1"/>
  <c r="E146" i="26"/>
  <c r="D230" i="28"/>
  <c r="D243" i="28" s="1"/>
  <c r="D49" i="23" s="1"/>
  <c r="F230" i="28"/>
  <c r="F243" i="28" s="1"/>
  <c r="F49" i="23" s="1"/>
  <c r="F219" i="28"/>
  <c r="F215" i="28"/>
  <c r="J230" i="28"/>
  <c r="B234" i="28" s="1"/>
  <c r="E234" i="28" s="1"/>
  <c r="I234" i="28" s="1"/>
  <c r="J223" i="28"/>
  <c r="B230" i="28" s="1"/>
  <c r="J219" i="28"/>
  <c r="B223" i="28" s="1"/>
  <c r="E223" i="28" s="1"/>
  <c r="J215" i="28"/>
  <c r="B219" i="28" s="1"/>
  <c r="G204" i="28"/>
  <c r="G200" i="28"/>
  <c r="G196" i="28"/>
  <c r="G192" i="28"/>
  <c r="D219" i="28"/>
  <c r="D215" i="28"/>
  <c r="F134" i="26" l="1"/>
  <c r="F146" i="26" s="1"/>
  <c r="H234" i="28"/>
  <c r="E243" i="28"/>
  <c r="E230" i="28"/>
  <c r="I230" i="28" s="1"/>
  <c r="I243" i="28" s="1"/>
  <c r="I223" i="28"/>
  <c r="H223" i="28" s="1"/>
  <c r="G205" i="28"/>
  <c r="G47" i="23" s="1"/>
  <c r="E219" i="28"/>
  <c r="I219" i="28" s="1"/>
  <c r="H219" i="28" s="1"/>
  <c r="H230" i="28" l="1"/>
  <c r="H243" i="28" s="1"/>
  <c r="I48" i="22"/>
  <c r="B49" i="22" s="1"/>
  <c r="E49" i="22" s="1"/>
  <c r="H49" i="22" s="1"/>
  <c r="G48" i="22"/>
  <c r="E135" i="27"/>
  <c r="H135" i="27" s="1"/>
  <c r="F135" i="27" s="1"/>
  <c r="E136" i="27"/>
  <c r="H136" i="27" s="1"/>
  <c r="E137" i="27"/>
  <c r="H137" i="27" s="1"/>
  <c r="F137" i="27" s="1"/>
  <c r="E138" i="27"/>
  <c r="H138" i="27" s="1"/>
  <c r="F138" i="27" s="1"/>
  <c r="E139" i="27"/>
  <c r="H139" i="27" s="1"/>
  <c r="F139" i="27" s="1"/>
  <c r="E140" i="27"/>
  <c r="H140" i="27" s="1"/>
  <c r="F140" i="27" s="1"/>
  <c r="E141" i="27"/>
  <c r="H141" i="27" s="1"/>
  <c r="F141" i="27" s="1"/>
  <c r="E142" i="27"/>
  <c r="H142" i="27" s="1"/>
  <c r="F142" i="27" s="1"/>
  <c r="E143" i="27"/>
  <c r="H143" i="27" s="1"/>
  <c r="F143" i="27" s="1"/>
  <c r="E144" i="27"/>
  <c r="H144" i="27" s="1"/>
  <c r="F144" i="27" s="1"/>
  <c r="E145" i="27"/>
  <c r="H145" i="27" s="1"/>
  <c r="F145" i="27" s="1"/>
  <c r="D146" i="27"/>
  <c r="D48" i="22" l="1"/>
  <c r="F136" i="27"/>
  <c r="B134" i="27" l="1"/>
  <c r="C146" i="27"/>
  <c r="C48" i="22" s="1"/>
  <c r="C130" i="27"/>
  <c r="J48" i="23"/>
  <c r="E146" i="27" l="1"/>
  <c r="E134" i="27"/>
  <c r="H134" i="27" s="1"/>
  <c r="F134" i="27" l="1"/>
  <c r="F146" i="27" s="1"/>
  <c r="H146" i="27"/>
  <c r="C49" i="23"/>
  <c r="B49" i="23"/>
  <c r="E49" i="23" l="1"/>
  <c r="I29" i="103"/>
  <c r="J20" i="103"/>
  <c r="J10" i="103"/>
  <c r="K10" i="103"/>
  <c r="I10" i="103"/>
  <c r="L34" i="103"/>
  <c r="L33" i="103"/>
  <c r="L31" i="103"/>
  <c r="L30" i="103"/>
  <c r="L22" i="103"/>
  <c r="L21" i="103"/>
  <c r="L17" i="103"/>
  <c r="L16" i="103"/>
  <c r="L15" i="103"/>
  <c r="L14" i="103"/>
  <c r="L12" i="103"/>
  <c r="L11" i="103"/>
  <c r="E55" i="103"/>
  <c r="E54" i="103"/>
  <c r="E53" i="103"/>
  <c r="E50" i="103"/>
  <c r="E46" i="103"/>
  <c r="E45" i="103"/>
  <c r="E44" i="103"/>
  <c r="E43" i="103"/>
  <c r="E41" i="103"/>
  <c r="E40" i="103"/>
  <c r="E20" i="103"/>
  <c r="C39" i="103"/>
  <c r="D39" i="103"/>
  <c r="F39" i="103"/>
  <c r="B39" i="103"/>
  <c r="E26" i="103"/>
  <c r="C48" i="9"/>
  <c r="C48" i="17"/>
  <c r="E48" i="17" s="1"/>
  <c r="C47" i="17"/>
  <c r="E47" i="17" s="1"/>
  <c r="B45" i="70"/>
  <c r="L20" i="103" l="1"/>
  <c r="L10" i="103"/>
  <c r="E49" i="103"/>
  <c r="L39" i="103"/>
  <c r="B50" i="23"/>
  <c r="E50" i="23" s="1"/>
  <c r="J50" i="23" s="1"/>
  <c r="I49" i="23"/>
  <c r="L46" i="13"/>
  <c r="K46" i="13"/>
  <c r="I46" i="13"/>
  <c r="H46" i="13"/>
  <c r="G46" i="13"/>
  <c r="E46" i="13"/>
  <c r="D46" i="13"/>
  <c r="C46" i="13"/>
  <c r="B46" i="13"/>
  <c r="E47" i="61" l="1"/>
  <c r="H47" i="61" l="1"/>
  <c r="F47" i="61" s="1"/>
  <c r="J204" i="28"/>
  <c r="D47" i="23"/>
  <c r="J192" i="28" l="1"/>
  <c r="B196" i="28" s="1"/>
  <c r="E196" i="28" s="1"/>
  <c r="N152" i="20" l="1"/>
  <c r="D44" i="33" l="1"/>
  <c r="D45" i="33"/>
  <c r="D46" i="33"/>
  <c r="J47" i="12" l="1"/>
  <c r="F47" i="12" s="1"/>
  <c r="H47" i="12" s="1"/>
  <c r="G47" i="24" l="1"/>
  <c r="E47" i="24" s="1"/>
  <c r="E36" i="46"/>
  <c r="J36" i="46" s="1"/>
  <c r="H37" i="47"/>
  <c r="K37" i="47" s="1"/>
  <c r="E48" i="16"/>
  <c r="H48" i="16" s="1"/>
  <c r="F48" i="16" s="1"/>
  <c r="E48" i="31"/>
  <c r="H48" i="31" s="1"/>
  <c r="F48" i="31" s="1"/>
  <c r="F36" i="46" l="1"/>
  <c r="H36" i="46" s="1"/>
  <c r="H151" i="20"/>
  <c r="J151" i="20" s="1"/>
  <c r="H150" i="20"/>
  <c r="J150" i="20" s="1"/>
  <c r="H149" i="20"/>
  <c r="J149" i="20" s="1"/>
  <c r="H148" i="20"/>
  <c r="J148" i="20" s="1"/>
  <c r="H147" i="20"/>
  <c r="J147" i="20" s="1"/>
  <c r="H146" i="20"/>
  <c r="J146" i="20" s="1"/>
  <c r="H145" i="20"/>
  <c r="J145" i="20" s="1"/>
  <c r="H144" i="20"/>
  <c r="J144" i="20" s="1"/>
  <c r="H143" i="20"/>
  <c r="J143" i="20" s="1"/>
  <c r="H142" i="20"/>
  <c r="J142" i="20" s="1"/>
  <c r="H140" i="20"/>
  <c r="I152" i="20"/>
  <c r="J152" i="20" l="1"/>
  <c r="J140" i="20"/>
  <c r="E36" i="45"/>
  <c r="H36" i="45" s="1"/>
  <c r="F36" i="45" s="1"/>
  <c r="E35" i="45"/>
  <c r="H35" i="45" s="1"/>
  <c r="F35" i="45" s="1"/>
  <c r="E48" i="9"/>
  <c r="J48" i="9" s="1"/>
  <c r="I48" i="9" s="1"/>
  <c r="I48" i="17"/>
  <c r="H48" i="17" s="1"/>
  <c r="L37" i="5"/>
  <c r="G152" i="20" l="1"/>
  <c r="G151" i="20"/>
  <c r="G150" i="20"/>
  <c r="G149" i="20"/>
  <c r="G148" i="20"/>
  <c r="G147" i="20"/>
  <c r="G146" i="20"/>
  <c r="G145" i="20"/>
  <c r="G144" i="20"/>
  <c r="G143" i="20"/>
  <c r="G142" i="20"/>
  <c r="G140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52" i="20"/>
  <c r="C138" i="20"/>
  <c r="B137" i="20"/>
  <c r="B126" i="20"/>
  <c r="F211" i="28"/>
  <c r="F224" i="28" s="1"/>
  <c r="F48" i="23" s="1"/>
  <c r="D211" i="28"/>
  <c r="D224" i="28" s="1"/>
  <c r="D48" i="23" s="1"/>
  <c r="K141" i="20" l="1"/>
  <c r="L141" i="20"/>
  <c r="K146" i="20"/>
  <c r="O146" i="20" s="1"/>
  <c r="K143" i="20"/>
  <c r="O143" i="20" s="1"/>
  <c r="K147" i="20"/>
  <c r="O147" i="20" s="1"/>
  <c r="K150" i="20"/>
  <c r="O150" i="20" s="1"/>
  <c r="K144" i="20"/>
  <c r="O144" i="20" s="1"/>
  <c r="K148" i="20"/>
  <c r="O148" i="20" s="1"/>
  <c r="K142" i="20"/>
  <c r="O142" i="20" s="1"/>
  <c r="K145" i="20"/>
  <c r="O145" i="20" s="1"/>
  <c r="K149" i="20"/>
  <c r="O149" i="20" s="1"/>
  <c r="K151" i="20"/>
  <c r="O151" i="20" s="1"/>
  <c r="K152" i="20"/>
  <c r="O152" i="20" s="1"/>
  <c r="K140" i="20"/>
  <c r="O140" i="20" s="1"/>
  <c r="F47" i="23"/>
  <c r="B211" i="28"/>
  <c r="C211" i="28"/>
  <c r="C224" i="28" s="1"/>
  <c r="E224" i="28" s="1"/>
  <c r="C192" i="28"/>
  <c r="C205" i="28" s="1"/>
  <c r="E211" i="28" l="1"/>
  <c r="O141" i="20"/>
  <c r="M141" i="20"/>
  <c r="M152" i="20"/>
  <c r="L146" i="20"/>
  <c r="L149" i="20"/>
  <c r="M148" i="20"/>
  <c r="M151" i="20"/>
  <c r="L144" i="20"/>
  <c r="M145" i="20"/>
  <c r="L145" i="20"/>
  <c r="M142" i="20"/>
  <c r="M147" i="20"/>
  <c r="M140" i="20"/>
  <c r="M146" i="20"/>
  <c r="L147" i="20"/>
  <c r="M144" i="20"/>
  <c r="M150" i="20"/>
  <c r="M149" i="20"/>
  <c r="L143" i="20"/>
  <c r="L148" i="20"/>
  <c r="L142" i="20"/>
  <c r="M143" i="20"/>
  <c r="L150" i="20"/>
  <c r="L140" i="20"/>
  <c r="L151" i="20"/>
  <c r="L152" i="20"/>
  <c r="E48" i="38"/>
  <c r="H48" i="38" s="1"/>
  <c r="F48" i="38" s="1"/>
  <c r="D131" i="1" l="1"/>
  <c r="J211" i="28" s="1"/>
  <c r="B215" i="28" s="1"/>
  <c r="E215" i="28" s="1"/>
  <c r="I215" i="28" s="1"/>
  <c r="H215" i="28" s="1"/>
  <c r="I211" i="28" l="1"/>
  <c r="J47" i="23"/>
  <c r="I224" i="28" l="1"/>
  <c r="H211" i="28"/>
  <c r="H224" i="28" s="1"/>
  <c r="I47" i="17"/>
  <c r="H47" i="17" s="1"/>
  <c r="E47" i="38"/>
  <c r="H47" i="38" s="1"/>
  <c r="F47" i="38" s="1"/>
  <c r="H54" i="58"/>
  <c r="H44" i="58"/>
  <c r="H24" i="58"/>
  <c r="H14" i="58"/>
  <c r="H59" i="59"/>
  <c r="G48" i="59"/>
  <c r="H48" i="59"/>
  <c r="H37" i="59"/>
  <c r="H26" i="59"/>
  <c r="H15" i="59"/>
  <c r="H40" i="60"/>
  <c r="H49" i="60"/>
  <c r="H31" i="60"/>
  <c r="H22" i="60"/>
  <c r="H13" i="60"/>
  <c r="H29" i="106"/>
  <c r="G29" i="106"/>
  <c r="H29" i="105"/>
  <c r="H29" i="104"/>
  <c r="D45" i="10"/>
  <c r="M46" i="33"/>
  <c r="H46" i="33"/>
  <c r="D45" i="18"/>
  <c r="F46" i="6"/>
  <c r="J46" i="6"/>
  <c r="J46" i="15"/>
  <c r="F46" i="15"/>
  <c r="C46" i="108"/>
  <c r="G46" i="108" s="1"/>
  <c r="H46" i="70"/>
  <c r="J46" i="14"/>
  <c r="F46" i="14"/>
  <c r="H137" i="20"/>
  <c r="B135" i="20"/>
  <c r="F46" i="13" l="1"/>
  <c r="N46" i="15"/>
  <c r="C46" i="70" s="1"/>
  <c r="J46" i="13"/>
  <c r="N46" i="14"/>
  <c r="M46" i="13"/>
  <c r="L46" i="33"/>
  <c r="C48" i="32"/>
  <c r="E48" i="32" s="1"/>
  <c r="I48" i="32" s="1"/>
  <c r="G48" i="32" s="1"/>
  <c r="J46" i="21"/>
  <c r="B131" i="26"/>
  <c r="B129" i="26"/>
  <c r="B128" i="26"/>
  <c r="B127" i="26"/>
  <c r="B126" i="26"/>
  <c r="B125" i="26"/>
  <c r="B124" i="26"/>
  <c r="C123" i="26"/>
  <c r="C132" i="26" s="1"/>
  <c r="C46" i="21" s="1"/>
  <c r="B123" i="26"/>
  <c r="J121" i="26"/>
  <c r="J120" i="26"/>
  <c r="J117" i="26"/>
  <c r="B130" i="26"/>
  <c r="B121" i="26"/>
  <c r="B120" i="26"/>
  <c r="G132" i="26"/>
  <c r="I47" i="22"/>
  <c r="C131" i="27"/>
  <c r="B131" i="27"/>
  <c r="I129" i="27"/>
  <c r="B130" i="27" s="1"/>
  <c r="C129" i="27"/>
  <c r="I128" i="27"/>
  <c r="B129" i="27" s="1"/>
  <c r="C128" i="27"/>
  <c r="I127" i="27"/>
  <c r="B128" i="27" s="1"/>
  <c r="C127" i="27"/>
  <c r="I126" i="27"/>
  <c r="B127" i="27" s="1"/>
  <c r="I125" i="27"/>
  <c r="B126" i="27" s="1"/>
  <c r="C125" i="27"/>
  <c r="I124" i="27"/>
  <c r="B125" i="27" s="1"/>
  <c r="C124" i="27"/>
  <c r="I123" i="27"/>
  <c r="B124" i="27" s="1"/>
  <c r="C123" i="27"/>
  <c r="I122" i="27"/>
  <c r="B123" i="27" s="1"/>
  <c r="C122" i="27"/>
  <c r="I121" i="27"/>
  <c r="B122" i="27" s="1"/>
  <c r="C121" i="27"/>
  <c r="I120" i="27"/>
  <c r="B121" i="27" s="1"/>
  <c r="C120" i="27"/>
  <c r="B122" i="26" l="1"/>
  <c r="C132" i="27"/>
  <c r="C47" i="22" s="1"/>
  <c r="G46" i="21"/>
  <c r="E46" i="70"/>
  <c r="N46" i="13"/>
  <c r="G132" i="27"/>
  <c r="G47" i="22" s="1"/>
  <c r="E130" i="26"/>
  <c r="I130" i="26" s="1"/>
  <c r="F130" i="26" s="1"/>
  <c r="E127" i="26"/>
  <c r="I127" i="26" s="1"/>
  <c r="F127" i="26" s="1"/>
  <c r="E126" i="26"/>
  <c r="I126" i="26" s="1"/>
  <c r="F126" i="26" s="1"/>
  <c r="E125" i="26"/>
  <c r="I125" i="26" s="1"/>
  <c r="F125" i="26" s="1"/>
  <c r="E121" i="26"/>
  <c r="I121" i="26" s="1"/>
  <c r="F121" i="26" s="1"/>
  <c r="D132" i="26"/>
  <c r="E120" i="26"/>
  <c r="I120" i="26" s="1"/>
  <c r="F120" i="26" s="1"/>
  <c r="E124" i="26"/>
  <c r="I124" i="26" s="1"/>
  <c r="F124" i="26" s="1"/>
  <c r="E123" i="26"/>
  <c r="I123" i="26" s="1"/>
  <c r="F123" i="26" s="1"/>
  <c r="E128" i="26"/>
  <c r="I128" i="26" s="1"/>
  <c r="F128" i="26" s="1"/>
  <c r="E129" i="26"/>
  <c r="I129" i="26" s="1"/>
  <c r="F129" i="26" s="1"/>
  <c r="E131" i="26"/>
  <c r="I131" i="26" s="1"/>
  <c r="F131" i="26" s="1"/>
  <c r="E122" i="26"/>
  <c r="I122" i="26" s="1"/>
  <c r="F122" i="26" s="1"/>
  <c r="H132" i="26"/>
  <c r="E130" i="27"/>
  <c r="H130" i="27" s="1"/>
  <c r="F130" i="27" s="1"/>
  <c r="E122" i="27"/>
  <c r="H122" i="27" s="1"/>
  <c r="E121" i="27"/>
  <c r="H121" i="27" s="1"/>
  <c r="F121" i="27" s="1"/>
  <c r="D46" i="21" l="1"/>
  <c r="H46" i="21"/>
  <c r="E132" i="26"/>
  <c r="F122" i="27"/>
  <c r="D47" i="22"/>
  <c r="D46" i="70"/>
  <c r="C49" i="5"/>
  <c r="E49" i="5" s="1"/>
  <c r="J49" i="5" s="1"/>
  <c r="I49" i="5" s="1"/>
  <c r="F132" i="26"/>
  <c r="I132" i="26"/>
  <c r="E127" i="27"/>
  <c r="H127" i="27" s="1"/>
  <c r="F127" i="27" s="1"/>
  <c r="E129" i="27"/>
  <c r="H129" i="27" s="1"/>
  <c r="F129" i="27" s="1"/>
  <c r="E126" i="27"/>
  <c r="E124" i="27"/>
  <c r="H124" i="27" s="1"/>
  <c r="F124" i="27" s="1"/>
  <c r="E125" i="27"/>
  <c r="H125" i="27" s="1"/>
  <c r="F125" i="27" s="1"/>
  <c r="E131" i="27"/>
  <c r="H131" i="27" s="1"/>
  <c r="F131" i="27" s="1"/>
  <c r="E128" i="27"/>
  <c r="H128" i="27" s="1"/>
  <c r="F128" i="27" s="1"/>
  <c r="E123" i="27"/>
  <c r="H123" i="27" s="1"/>
  <c r="F123" i="27" s="1"/>
  <c r="N46" i="6"/>
  <c r="B46" i="70" s="1"/>
  <c r="H126" i="27" l="1"/>
  <c r="F126" i="27" s="1"/>
  <c r="B47" i="21"/>
  <c r="E47" i="21" s="1"/>
  <c r="I47" i="21" s="1"/>
  <c r="F47" i="21" s="1"/>
  <c r="B48" i="22"/>
  <c r="E48" i="22" s="1"/>
  <c r="H48" i="22" s="1"/>
  <c r="F48" i="22" s="1"/>
  <c r="C48" i="23"/>
  <c r="B48" i="23"/>
  <c r="J200" i="28"/>
  <c r="B204" i="28" s="1"/>
  <c r="J196" i="28"/>
  <c r="I196" i="28" s="1"/>
  <c r="H196" i="28" s="1"/>
  <c r="E204" i="28" l="1"/>
  <c r="I204" i="28" s="1"/>
  <c r="H204" i="28" s="1"/>
  <c r="E48" i="23"/>
  <c r="I48" i="23" s="1"/>
  <c r="H48" i="23" s="1"/>
  <c r="B200" i="28"/>
  <c r="H6" i="33"/>
  <c r="E200" i="28" l="1"/>
  <c r="I200" i="28" s="1"/>
  <c r="H200" i="28" s="1"/>
  <c r="J137" i="20"/>
  <c r="E137" i="20"/>
  <c r="G137" i="20" s="1"/>
  <c r="D137" i="20"/>
  <c r="H136" i="20"/>
  <c r="J136" i="20" s="1"/>
  <c r="E136" i="20"/>
  <c r="G136" i="20" s="1"/>
  <c r="B136" i="20"/>
  <c r="D136" i="20" s="1"/>
  <c r="H135" i="20"/>
  <c r="J135" i="20" s="1"/>
  <c r="E135" i="20"/>
  <c r="G135" i="20" s="1"/>
  <c r="D135" i="20"/>
  <c r="H134" i="20"/>
  <c r="J134" i="20" s="1"/>
  <c r="E134" i="20"/>
  <c r="G134" i="20" s="1"/>
  <c r="B134" i="20"/>
  <c r="D134" i="20" s="1"/>
  <c r="H133" i="20"/>
  <c r="J133" i="20" s="1"/>
  <c r="E133" i="20"/>
  <c r="G133" i="20" s="1"/>
  <c r="B133" i="20"/>
  <c r="D133" i="20" s="1"/>
  <c r="H132" i="20"/>
  <c r="J132" i="20" s="1"/>
  <c r="E132" i="20"/>
  <c r="G132" i="20" s="1"/>
  <c r="B132" i="20"/>
  <c r="D132" i="20" s="1"/>
  <c r="H131" i="20"/>
  <c r="J131" i="20" s="1"/>
  <c r="E131" i="20"/>
  <c r="G131" i="20" s="1"/>
  <c r="B131" i="20"/>
  <c r="D131" i="20" s="1"/>
  <c r="H130" i="20"/>
  <c r="J130" i="20" s="1"/>
  <c r="E130" i="20"/>
  <c r="G130" i="20" s="1"/>
  <c r="B130" i="20"/>
  <c r="D130" i="20" s="1"/>
  <c r="H129" i="20"/>
  <c r="J129" i="20" s="1"/>
  <c r="E129" i="20"/>
  <c r="G129" i="20" s="1"/>
  <c r="B129" i="20"/>
  <c r="D129" i="20" s="1"/>
  <c r="H128" i="20"/>
  <c r="J128" i="20" s="1"/>
  <c r="E128" i="20"/>
  <c r="G128" i="20" s="1"/>
  <c r="B128" i="20"/>
  <c r="D128" i="20" s="1"/>
  <c r="H127" i="20"/>
  <c r="J127" i="20" s="1"/>
  <c r="E127" i="20"/>
  <c r="G127" i="20" s="1"/>
  <c r="B127" i="20"/>
  <c r="D127" i="20" s="1"/>
  <c r="H126" i="20"/>
  <c r="J126" i="20" s="1"/>
  <c r="E126" i="20"/>
  <c r="G126" i="20" s="1"/>
  <c r="D126" i="20"/>
  <c r="J116" i="26"/>
  <c r="J115" i="26"/>
  <c r="J114" i="26"/>
  <c r="J113" i="26"/>
  <c r="J112" i="26"/>
  <c r="J111" i="26"/>
  <c r="J110" i="26"/>
  <c r="J109" i="26"/>
  <c r="J108" i="26"/>
  <c r="J107" i="26"/>
  <c r="J106" i="26"/>
  <c r="I117" i="27"/>
  <c r="B120" i="27" s="1"/>
  <c r="I115" i="27"/>
  <c r="I114" i="27"/>
  <c r="I113" i="27"/>
  <c r="I112" i="27"/>
  <c r="I111" i="27"/>
  <c r="I110" i="27"/>
  <c r="I109" i="27"/>
  <c r="I108" i="27"/>
  <c r="I107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E120" i="27" l="1"/>
  <c r="E132" i="27"/>
  <c r="H120" i="27"/>
  <c r="K130" i="20"/>
  <c r="O130" i="20" s="1"/>
  <c r="K133" i="20"/>
  <c r="O133" i="20" s="1"/>
  <c r="K128" i="20"/>
  <c r="O128" i="20" s="1"/>
  <c r="K136" i="20"/>
  <c r="O136" i="20" s="1"/>
  <c r="K131" i="20"/>
  <c r="O131" i="20" s="1"/>
  <c r="K126" i="20"/>
  <c r="O126" i="20" s="1"/>
  <c r="K134" i="20"/>
  <c r="O134" i="20" s="1"/>
  <c r="M126" i="20"/>
  <c r="K129" i="20"/>
  <c r="O129" i="20" s="1"/>
  <c r="K137" i="20"/>
  <c r="O137" i="20" s="1"/>
  <c r="K132" i="20"/>
  <c r="O132" i="20" s="1"/>
  <c r="K127" i="20"/>
  <c r="O127" i="20" s="1"/>
  <c r="K135" i="20"/>
  <c r="O135" i="20" s="1"/>
  <c r="F120" i="27" l="1"/>
  <c r="F132" i="27" s="1"/>
  <c r="H132" i="27"/>
  <c r="L126" i="20"/>
  <c r="L135" i="20"/>
  <c r="L127" i="20"/>
  <c r="M134" i="20"/>
  <c r="M130" i="20"/>
  <c r="L131" i="20"/>
  <c r="M137" i="20"/>
  <c r="L132" i="20"/>
  <c r="M136" i="20"/>
  <c r="M127" i="20"/>
  <c r="L133" i="20"/>
  <c r="L134" i="20"/>
  <c r="M135" i="20"/>
  <c r="M128" i="20"/>
  <c r="M131" i="20"/>
  <c r="L136" i="20"/>
  <c r="L128" i="20"/>
  <c r="L129" i="20"/>
  <c r="M129" i="20"/>
  <c r="M132" i="20"/>
  <c r="L137" i="20"/>
  <c r="M133" i="20"/>
  <c r="L130" i="20"/>
  <c r="B112" i="20"/>
  <c r="D112" i="20" s="1"/>
  <c r="E112" i="20"/>
  <c r="G112" i="20" s="1"/>
  <c r="H112" i="20"/>
  <c r="B113" i="20"/>
  <c r="D113" i="20" s="1"/>
  <c r="E113" i="20"/>
  <c r="G113" i="20" s="1"/>
  <c r="H113" i="20"/>
  <c r="B114" i="20"/>
  <c r="D114" i="20" s="1"/>
  <c r="E114" i="20"/>
  <c r="G114" i="20" s="1"/>
  <c r="H114" i="20"/>
  <c r="B115" i="20"/>
  <c r="D115" i="20" s="1"/>
  <c r="E115" i="20"/>
  <c r="G115" i="20" s="1"/>
  <c r="H115" i="20"/>
  <c r="B116" i="20"/>
  <c r="D116" i="20" s="1"/>
  <c r="E116" i="20"/>
  <c r="G116" i="20" s="1"/>
  <c r="H116" i="20"/>
  <c r="B117" i="20"/>
  <c r="D117" i="20" s="1"/>
  <c r="E117" i="20"/>
  <c r="G117" i="20" s="1"/>
  <c r="H117" i="20"/>
  <c r="B118" i="20"/>
  <c r="D118" i="20" s="1"/>
  <c r="E118" i="20"/>
  <c r="G118" i="20" s="1"/>
  <c r="H118" i="20"/>
  <c r="B119" i="20"/>
  <c r="D119" i="20" s="1"/>
  <c r="E119" i="20"/>
  <c r="G119" i="20" s="1"/>
  <c r="H119" i="20"/>
  <c r="B120" i="20"/>
  <c r="D120" i="20" s="1"/>
  <c r="E120" i="20"/>
  <c r="G120" i="20" s="1"/>
  <c r="H120" i="20"/>
  <c r="B121" i="20"/>
  <c r="D121" i="20" s="1"/>
  <c r="E121" i="20"/>
  <c r="G121" i="20" s="1"/>
  <c r="H121" i="20"/>
  <c r="B122" i="20"/>
  <c r="D122" i="20" s="1"/>
  <c r="E122" i="20"/>
  <c r="G122" i="20" s="1"/>
  <c r="H122" i="20"/>
  <c r="B123" i="20"/>
  <c r="D123" i="20" s="1"/>
  <c r="E123" i="20"/>
  <c r="G123" i="20" s="1"/>
  <c r="H123" i="20"/>
  <c r="B124" i="20"/>
  <c r="C124" i="20"/>
  <c r="E124" i="20"/>
  <c r="F124" i="20"/>
  <c r="H124" i="20"/>
  <c r="D124" i="20" l="1"/>
  <c r="G124" i="20"/>
  <c r="J45" i="21" l="1"/>
  <c r="I46" i="22"/>
  <c r="G45" i="108" l="1"/>
  <c r="G40" i="108"/>
  <c r="G41" i="108"/>
  <c r="G42" i="108"/>
  <c r="G43" i="108"/>
  <c r="F39" i="108"/>
  <c r="G39" i="108" s="1"/>
  <c r="F38" i="108"/>
  <c r="G38" i="108" s="1"/>
  <c r="F37" i="108"/>
  <c r="G37" i="108" s="1"/>
  <c r="F36" i="108"/>
  <c r="G36" i="108" s="1"/>
  <c r="F35" i="108"/>
  <c r="G35" i="108" s="1"/>
  <c r="F34" i="108"/>
  <c r="G34" i="108" s="1"/>
  <c r="F33" i="108"/>
  <c r="G33" i="108" s="1"/>
  <c r="F32" i="108"/>
  <c r="G32" i="108" s="1"/>
  <c r="F31" i="108"/>
  <c r="G31" i="108" s="1"/>
  <c r="F30" i="108"/>
  <c r="G30" i="108" s="1"/>
  <c r="F29" i="108"/>
  <c r="G29" i="108" s="1"/>
  <c r="F28" i="108"/>
  <c r="G28" i="108" s="1"/>
  <c r="F27" i="108"/>
  <c r="G27" i="108" s="1"/>
  <c r="F26" i="108"/>
  <c r="G26" i="108" s="1"/>
  <c r="F25" i="108"/>
  <c r="G25" i="108" s="1"/>
  <c r="F24" i="108"/>
  <c r="G24" i="108" s="1"/>
  <c r="F23" i="108"/>
  <c r="G23" i="108" s="1"/>
  <c r="F22" i="108"/>
  <c r="G22" i="108" s="1"/>
  <c r="F21" i="108"/>
  <c r="G21" i="108" s="1"/>
  <c r="F20" i="108"/>
  <c r="G20" i="108" s="1"/>
  <c r="F19" i="108"/>
  <c r="G19" i="108" s="1"/>
  <c r="F18" i="108"/>
  <c r="G18" i="108" s="1"/>
  <c r="F17" i="108"/>
  <c r="G17" i="108" s="1"/>
  <c r="F16" i="108"/>
  <c r="G16" i="108" s="1"/>
  <c r="F15" i="108"/>
  <c r="G15" i="108" s="1"/>
  <c r="F14" i="108"/>
  <c r="G14" i="108" s="1"/>
  <c r="F13" i="108"/>
  <c r="G13" i="108" s="1"/>
  <c r="F12" i="108"/>
  <c r="G12" i="108" s="1"/>
  <c r="F11" i="108"/>
  <c r="G11" i="108" s="1"/>
  <c r="F10" i="108"/>
  <c r="G10" i="108" s="1"/>
  <c r="F9" i="108"/>
  <c r="G9" i="108" s="1"/>
  <c r="F8" i="108"/>
  <c r="G8" i="108" s="1"/>
  <c r="F7" i="108"/>
  <c r="G7" i="108" s="1"/>
  <c r="G29" i="105" l="1"/>
  <c r="G29" i="104"/>
  <c r="F54" i="58"/>
  <c r="E54" i="58"/>
  <c r="D54" i="58"/>
  <c r="C54" i="58"/>
  <c r="B54" i="58"/>
  <c r="F44" i="58"/>
  <c r="E44" i="58"/>
  <c r="D44" i="58"/>
  <c r="C44" i="58"/>
  <c r="B44" i="58"/>
  <c r="F24" i="58"/>
  <c r="E24" i="58"/>
  <c r="D24" i="58"/>
  <c r="C24" i="58"/>
  <c r="B24" i="58"/>
  <c r="F14" i="58"/>
  <c r="E14" i="58"/>
  <c r="D14" i="58"/>
  <c r="C14" i="58"/>
  <c r="B14" i="58"/>
  <c r="F59" i="59"/>
  <c r="E59" i="59"/>
  <c r="D59" i="59"/>
  <c r="C59" i="59"/>
  <c r="B59" i="59"/>
  <c r="F48" i="59"/>
  <c r="E48" i="59"/>
  <c r="D48" i="59"/>
  <c r="C48" i="59"/>
  <c r="B48" i="59"/>
  <c r="F37" i="59"/>
  <c r="E37" i="59"/>
  <c r="D37" i="59"/>
  <c r="C37" i="59"/>
  <c r="B37" i="59"/>
  <c r="F26" i="59"/>
  <c r="E26" i="59"/>
  <c r="D26" i="59"/>
  <c r="C26" i="59"/>
  <c r="B26" i="59"/>
  <c r="F15" i="59"/>
  <c r="E15" i="59"/>
  <c r="D15" i="59"/>
  <c r="C15" i="59"/>
  <c r="B15" i="59"/>
  <c r="F49" i="60"/>
  <c r="E49" i="60"/>
  <c r="D49" i="60"/>
  <c r="C49" i="60"/>
  <c r="B49" i="60"/>
  <c r="F40" i="60"/>
  <c r="E40" i="60"/>
  <c r="D40" i="60"/>
  <c r="C40" i="60"/>
  <c r="B40" i="60"/>
  <c r="F31" i="60"/>
  <c r="E31" i="60"/>
  <c r="D31" i="60"/>
  <c r="C31" i="60"/>
  <c r="B31" i="60"/>
  <c r="F22" i="60"/>
  <c r="E22" i="60"/>
  <c r="D22" i="60"/>
  <c r="C22" i="60"/>
  <c r="F13" i="60"/>
  <c r="E13" i="60"/>
  <c r="D13" i="60"/>
  <c r="C13" i="60"/>
  <c r="E46" i="61" l="1"/>
  <c r="H46" i="61" s="1"/>
  <c r="F46" i="62"/>
  <c r="E47" i="16"/>
  <c r="H47" i="16" s="1"/>
  <c r="F47" i="16" s="1"/>
  <c r="D46" i="24"/>
  <c r="B46" i="8"/>
  <c r="E46" i="8" s="1"/>
  <c r="H46" i="8" s="1"/>
  <c r="G46" i="24" l="1"/>
  <c r="E46" i="24" s="1"/>
  <c r="F46" i="61"/>
  <c r="C47" i="9"/>
  <c r="E47" i="9" s="1"/>
  <c r="J47" i="9" s="1"/>
  <c r="I47" i="9" s="1"/>
  <c r="D44" i="10" l="1"/>
  <c r="J46" i="12" l="1"/>
  <c r="F46" i="12" s="1"/>
  <c r="H46" i="12" s="1"/>
  <c r="E35" i="46" l="1"/>
  <c r="J35" i="46" s="1"/>
  <c r="H36" i="47"/>
  <c r="K36" i="47" s="1"/>
  <c r="F35" i="46" l="1"/>
  <c r="H35" i="46" s="1"/>
  <c r="M45" i="33"/>
  <c r="C47" i="32" s="1"/>
  <c r="J45" i="33"/>
  <c r="H45" i="33"/>
  <c r="E47" i="31"/>
  <c r="H47" i="31" s="1"/>
  <c r="F47" i="31" s="1"/>
  <c r="D44" i="18"/>
  <c r="F47" i="5"/>
  <c r="F46" i="5"/>
  <c r="G45" i="5"/>
  <c r="F45" i="5"/>
  <c r="L45" i="13"/>
  <c r="K45" i="13"/>
  <c r="I45" i="13"/>
  <c r="H45" i="13"/>
  <c r="G45" i="13"/>
  <c r="E45" i="13"/>
  <c r="D45" i="13"/>
  <c r="C45" i="13"/>
  <c r="B45" i="13"/>
  <c r="J45" i="14"/>
  <c r="J44" i="14"/>
  <c r="F45" i="14"/>
  <c r="F44" i="14"/>
  <c r="F45" i="15"/>
  <c r="F44" i="15"/>
  <c r="J45" i="15"/>
  <c r="J44" i="15"/>
  <c r="F45" i="6"/>
  <c r="N124" i="20"/>
  <c r="I124" i="20"/>
  <c r="J123" i="20"/>
  <c r="J122" i="20"/>
  <c r="J121" i="20"/>
  <c r="J120" i="20"/>
  <c r="J119" i="20"/>
  <c r="J118" i="20"/>
  <c r="J117" i="20"/>
  <c r="J116" i="20"/>
  <c r="J115" i="20"/>
  <c r="J114" i="20"/>
  <c r="J113" i="20"/>
  <c r="J112" i="20"/>
  <c r="N138" i="20"/>
  <c r="I138" i="20"/>
  <c r="F138" i="20"/>
  <c r="G138" i="20" s="1"/>
  <c r="D138" i="20"/>
  <c r="B46" i="21"/>
  <c r="E46" i="21" s="1"/>
  <c r="I46" i="21" s="1"/>
  <c r="F46" i="21" s="1"/>
  <c r="G118" i="26"/>
  <c r="B111" i="26"/>
  <c r="J103" i="26"/>
  <c r="J102" i="26"/>
  <c r="J101" i="26"/>
  <c r="J100" i="26"/>
  <c r="J99" i="26"/>
  <c r="J98" i="26"/>
  <c r="J97" i="26"/>
  <c r="J96" i="26"/>
  <c r="J95" i="26"/>
  <c r="J94" i="26"/>
  <c r="J93" i="26"/>
  <c r="J92" i="26"/>
  <c r="J89" i="26"/>
  <c r="J43" i="21" s="1"/>
  <c r="J88" i="26"/>
  <c r="J87" i="26"/>
  <c r="J86" i="26"/>
  <c r="J85" i="26"/>
  <c r="J84" i="26"/>
  <c r="J83" i="26"/>
  <c r="J82" i="26"/>
  <c r="J81" i="26"/>
  <c r="J80" i="26"/>
  <c r="J79" i="26"/>
  <c r="J78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B117" i="26"/>
  <c r="E117" i="26" s="1"/>
  <c r="I117" i="26" s="1"/>
  <c r="B116" i="26"/>
  <c r="E116" i="26" s="1"/>
  <c r="I116" i="26" s="1"/>
  <c r="F116" i="26" s="1"/>
  <c r="B115" i="26"/>
  <c r="E115" i="26" s="1"/>
  <c r="I115" i="26" s="1"/>
  <c r="B114" i="26"/>
  <c r="E114" i="26" s="1"/>
  <c r="I114" i="26" s="1"/>
  <c r="B113" i="26"/>
  <c r="E113" i="26" s="1"/>
  <c r="I113" i="26" s="1"/>
  <c r="B112" i="26"/>
  <c r="E112" i="26" s="1"/>
  <c r="I112" i="26" s="1"/>
  <c r="B110" i="26"/>
  <c r="B109" i="26"/>
  <c r="B108" i="26"/>
  <c r="B107" i="26"/>
  <c r="C118" i="26"/>
  <c r="C45" i="21" s="1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I89" i="27"/>
  <c r="I88" i="27"/>
  <c r="I87" i="27"/>
  <c r="I86" i="27"/>
  <c r="I85" i="27"/>
  <c r="I84" i="27"/>
  <c r="I83" i="27"/>
  <c r="I82" i="27"/>
  <c r="I81" i="27"/>
  <c r="I80" i="27"/>
  <c r="I79" i="27"/>
  <c r="I78" i="27"/>
  <c r="I75" i="27"/>
  <c r="I74" i="27"/>
  <c r="I73" i="27"/>
  <c r="I72" i="27"/>
  <c r="I71" i="27"/>
  <c r="I70" i="27"/>
  <c r="I69" i="27"/>
  <c r="I68" i="27"/>
  <c r="I67" i="27"/>
  <c r="I66" i="27"/>
  <c r="I65" i="27"/>
  <c r="I64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B47" i="22"/>
  <c r="E47" i="22" s="1"/>
  <c r="H47" i="22" s="1"/>
  <c r="F47" i="22" s="1"/>
  <c r="B111" i="27"/>
  <c r="I103" i="27"/>
  <c r="I45" i="22" s="1"/>
  <c r="I102" i="27"/>
  <c r="I101" i="27"/>
  <c r="I100" i="27"/>
  <c r="I99" i="27"/>
  <c r="I98" i="27"/>
  <c r="I97" i="27"/>
  <c r="I96" i="27"/>
  <c r="I95" i="27"/>
  <c r="I94" i="27"/>
  <c r="I93" i="27"/>
  <c r="I92" i="27"/>
  <c r="B108" i="27"/>
  <c r="B109" i="27"/>
  <c r="B110" i="27"/>
  <c r="B112" i="27"/>
  <c r="B113" i="27"/>
  <c r="E113" i="27" s="1"/>
  <c r="H113" i="27" s="1"/>
  <c r="B114" i="27"/>
  <c r="B115" i="27"/>
  <c r="B116" i="27"/>
  <c r="E116" i="27" s="1"/>
  <c r="H116" i="27" s="1"/>
  <c r="B117" i="27"/>
  <c r="B107" i="27"/>
  <c r="B92" i="27"/>
  <c r="B78" i="27"/>
  <c r="F181" i="28"/>
  <c r="F177" i="28"/>
  <c r="G185" i="28"/>
  <c r="F185" i="28"/>
  <c r="G181" i="28"/>
  <c r="G177" i="28"/>
  <c r="D177" i="28"/>
  <c r="D122" i="1"/>
  <c r="J185" i="28" s="1"/>
  <c r="B192" i="28" s="1"/>
  <c r="E205" i="28" s="1"/>
  <c r="D121" i="1"/>
  <c r="J181" i="28" s="1"/>
  <c r="B185" i="28" s="1"/>
  <c r="E185" i="28" s="1"/>
  <c r="D120" i="1"/>
  <c r="J177" i="28" s="1"/>
  <c r="B181" i="28" s="1"/>
  <c r="E181" i="28" s="1"/>
  <c r="D119" i="1"/>
  <c r="J173" i="28" s="1"/>
  <c r="B177" i="28" s="1"/>
  <c r="D116" i="1"/>
  <c r="J45" i="23" s="1"/>
  <c r="D115" i="1"/>
  <c r="D114" i="1"/>
  <c r="D113" i="1"/>
  <c r="D110" i="1"/>
  <c r="J44" i="23" s="1"/>
  <c r="D109" i="1"/>
  <c r="D108" i="1"/>
  <c r="C47" i="23"/>
  <c r="D45" i="2"/>
  <c r="D39" i="2"/>
  <c r="B96" i="26" l="1"/>
  <c r="B95" i="26"/>
  <c r="E95" i="26" s="1"/>
  <c r="I95" i="26" s="1"/>
  <c r="B99" i="26"/>
  <c r="B98" i="26"/>
  <c r="B94" i="26"/>
  <c r="E94" i="26" s="1"/>
  <c r="I94" i="26" s="1"/>
  <c r="B101" i="26"/>
  <c r="E101" i="26" s="1"/>
  <c r="I101" i="26" s="1"/>
  <c r="B97" i="26"/>
  <c r="E97" i="26" s="1"/>
  <c r="I97" i="26" s="1"/>
  <c r="B102" i="26"/>
  <c r="E102" i="26" s="1"/>
  <c r="I102" i="26" s="1"/>
  <c r="B103" i="26"/>
  <c r="J44" i="21"/>
  <c r="B93" i="26"/>
  <c r="E93" i="26" s="1"/>
  <c r="I93" i="26" s="1"/>
  <c r="E92" i="27"/>
  <c r="H92" i="27"/>
  <c r="B106" i="26"/>
  <c r="E106" i="26" s="1"/>
  <c r="I106" i="26" s="1"/>
  <c r="F106" i="26" s="1"/>
  <c r="G45" i="21"/>
  <c r="M45" i="13"/>
  <c r="E96" i="26"/>
  <c r="I96" i="26" s="1"/>
  <c r="E192" i="28"/>
  <c r="I192" i="28" s="1"/>
  <c r="I185" i="28"/>
  <c r="H185" i="28" s="1"/>
  <c r="E108" i="27"/>
  <c r="H108" i="27" s="1"/>
  <c r="F108" i="27" s="1"/>
  <c r="F45" i="13"/>
  <c r="E109" i="26"/>
  <c r="I109" i="26" s="1"/>
  <c r="F109" i="26" s="1"/>
  <c r="E103" i="26"/>
  <c r="I103" i="26" s="1"/>
  <c r="F114" i="26"/>
  <c r="I181" i="28"/>
  <c r="H181" i="28" s="1"/>
  <c r="E177" i="28"/>
  <c r="I177" i="28" s="1"/>
  <c r="H177" i="28" s="1"/>
  <c r="C104" i="27"/>
  <c r="F113" i="26"/>
  <c r="J46" i="23"/>
  <c r="B47" i="23" s="1"/>
  <c r="E47" i="23" s="1"/>
  <c r="I47" i="23" s="1"/>
  <c r="H47" i="23" s="1"/>
  <c r="F113" i="27"/>
  <c r="E99" i="26"/>
  <c r="I99" i="26" s="1"/>
  <c r="F115" i="26"/>
  <c r="E112" i="27"/>
  <c r="H112" i="27" s="1"/>
  <c r="F112" i="27" s="1"/>
  <c r="F117" i="26"/>
  <c r="J45" i="13"/>
  <c r="E111" i="26"/>
  <c r="I111" i="26" s="1"/>
  <c r="F111" i="26" s="1"/>
  <c r="E107" i="26"/>
  <c r="I107" i="26" s="1"/>
  <c r="F107" i="26" s="1"/>
  <c r="B106" i="27"/>
  <c r="E106" i="27" s="1"/>
  <c r="H106" i="27" s="1"/>
  <c r="D118" i="27"/>
  <c r="E108" i="26"/>
  <c r="I108" i="26" s="1"/>
  <c r="F108" i="26" s="1"/>
  <c r="E110" i="26"/>
  <c r="I110" i="26" s="1"/>
  <c r="E98" i="26"/>
  <c r="I98" i="26" s="1"/>
  <c r="L45" i="33"/>
  <c r="B100" i="26"/>
  <c r="E100" i="26" s="1"/>
  <c r="I100" i="26" s="1"/>
  <c r="D118" i="26"/>
  <c r="D45" i="21" s="1"/>
  <c r="H118" i="26"/>
  <c r="E109" i="27"/>
  <c r="H109" i="27" s="1"/>
  <c r="F109" i="27" s="1"/>
  <c r="G118" i="27"/>
  <c r="G46" i="22" s="1"/>
  <c r="B92" i="26"/>
  <c r="E92" i="26" s="1"/>
  <c r="I92" i="26" s="1"/>
  <c r="E117" i="27"/>
  <c r="H117" i="27" s="1"/>
  <c r="F117" i="27" s="1"/>
  <c r="F116" i="27"/>
  <c r="F112" i="26"/>
  <c r="E107" i="27"/>
  <c r="H107" i="27" s="1"/>
  <c r="F107" i="27" s="1"/>
  <c r="E115" i="27"/>
  <c r="H115" i="27" s="1"/>
  <c r="F115" i="27" s="1"/>
  <c r="E111" i="27"/>
  <c r="H111" i="27" s="1"/>
  <c r="F111" i="27" s="1"/>
  <c r="E47" i="32"/>
  <c r="I47" i="32" s="1"/>
  <c r="G47" i="32" s="1"/>
  <c r="N45" i="14"/>
  <c r="E45" i="70" s="1"/>
  <c r="N45" i="15"/>
  <c r="C45" i="70" s="1"/>
  <c r="J124" i="20"/>
  <c r="K115" i="20"/>
  <c r="O115" i="20" s="1"/>
  <c r="K112" i="20"/>
  <c r="O112" i="20" s="1"/>
  <c r="K119" i="20"/>
  <c r="O119" i="20" s="1"/>
  <c r="K116" i="20"/>
  <c r="O116" i="20" s="1"/>
  <c r="K123" i="20"/>
  <c r="O123" i="20" s="1"/>
  <c r="K120" i="20"/>
  <c r="O120" i="20" s="1"/>
  <c r="K113" i="20"/>
  <c r="O113" i="20" s="1"/>
  <c r="K117" i="20"/>
  <c r="O117" i="20" s="1"/>
  <c r="K121" i="20"/>
  <c r="M121" i="20" s="1"/>
  <c r="K114" i="20"/>
  <c r="O114" i="20" s="1"/>
  <c r="K118" i="20"/>
  <c r="O118" i="20" s="1"/>
  <c r="K122" i="20"/>
  <c r="O122" i="20" s="1"/>
  <c r="J138" i="20"/>
  <c r="E110" i="27"/>
  <c r="H110" i="27" s="1"/>
  <c r="F110" i="27" s="1"/>
  <c r="E114" i="27"/>
  <c r="H114" i="27" s="1"/>
  <c r="F114" i="27" s="1"/>
  <c r="C118" i="27"/>
  <c r="H118" i="27" l="1"/>
  <c r="H45" i="21"/>
  <c r="E118" i="26"/>
  <c r="D46" i="22"/>
  <c r="E118" i="27"/>
  <c r="D45" i="70"/>
  <c r="C48" i="5"/>
  <c r="E48" i="5" s="1"/>
  <c r="J48" i="5" s="1"/>
  <c r="I48" i="5" s="1"/>
  <c r="I205" i="28"/>
  <c r="H192" i="28"/>
  <c r="H205" i="28" s="1"/>
  <c r="I104" i="26"/>
  <c r="I118" i="26"/>
  <c r="L118" i="20"/>
  <c r="N45" i="13"/>
  <c r="F106" i="27"/>
  <c r="F118" i="27" s="1"/>
  <c r="K138" i="20"/>
  <c r="M138" i="20" s="1"/>
  <c r="M122" i="20"/>
  <c r="K124" i="20"/>
  <c r="O124" i="20" s="1"/>
  <c r="L117" i="20"/>
  <c r="M112" i="20"/>
  <c r="C46" i="22"/>
  <c r="L114" i="20"/>
  <c r="L122" i="20"/>
  <c r="M120" i="20"/>
  <c r="M117" i="20"/>
  <c r="M115" i="20"/>
  <c r="L113" i="20"/>
  <c r="L123" i="20"/>
  <c r="L119" i="20"/>
  <c r="M118" i="20"/>
  <c r="M114" i="20"/>
  <c r="M113" i="20"/>
  <c r="M116" i="20"/>
  <c r="L120" i="20"/>
  <c r="O121" i="20"/>
  <c r="L121" i="20"/>
  <c r="L116" i="20"/>
  <c r="M123" i="20"/>
  <c r="M119" i="20"/>
  <c r="L112" i="20"/>
  <c r="L115" i="20"/>
  <c r="F110" i="26"/>
  <c r="F118" i="26" s="1"/>
  <c r="L124" i="20" l="1"/>
  <c r="O138" i="20"/>
  <c r="L138" i="20"/>
  <c r="M124" i="20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C6" i="13"/>
  <c r="D6" i="13"/>
  <c r="E6" i="13"/>
  <c r="G6" i="13"/>
  <c r="H6" i="13"/>
  <c r="I6" i="13"/>
  <c r="K6" i="13"/>
  <c r="L6" i="13"/>
  <c r="C7" i="13"/>
  <c r="D7" i="13"/>
  <c r="E7" i="13"/>
  <c r="G7" i="13"/>
  <c r="H7" i="13"/>
  <c r="I7" i="13"/>
  <c r="K7" i="13"/>
  <c r="L7" i="13"/>
  <c r="C8" i="13"/>
  <c r="D8" i="13"/>
  <c r="E8" i="13"/>
  <c r="G8" i="13"/>
  <c r="H8" i="13"/>
  <c r="I8" i="13"/>
  <c r="K8" i="13"/>
  <c r="L8" i="13"/>
  <c r="C9" i="13"/>
  <c r="D9" i="13"/>
  <c r="E9" i="13"/>
  <c r="G9" i="13"/>
  <c r="H9" i="13"/>
  <c r="I9" i="13"/>
  <c r="K9" i="13"/>
  <c r="L9" i="13"/>
  <c r="C10" i="13"/>
  <c r="D10" i="13"/>
  <c r="E10" i="13"/>
  <c r="G10" i="13"/>
  <c r="H10" i="13"/>
  <c r="I10" i="13"/>
  <c r="K10" i="13"/>
  <c r="L10" i="13"/>
  <c r="C11" i="13"/>
  <c r="D11" i="13"/>
  <c r="E11" i="13"/>
  <c r="G11" i="13"/>
  <c r="H11" i="13"/>
  <c r="I11" i="13"/>
  <c r="K11" i="13"/>
  <c r="L11" i="13"/>
  <c r="C12" i="13"/>
  <c r="D12" i="13"/>
  <c r="E12" i="13"/>
  <c r="G12" i="13"/>
  <c r="H12" i="13"/>
  <c r="I12" i="13"/>
  <c r="K12" i="13"/>
  <c r="L12" i="13"/>
  <c r="C13" i="13"/>
  <c r="D13" i="13"/>
  <c r="E13" i="13"/>
  <c r="G13" i="13"/>
  <c r="H13" i="13"/>
  <c r="I13" i="13"/>
  <c r="K13" i="13"/>
  <c r="L13" i="13"/>
  <c r="C14" i="13"/>
  <c r="D14" i="13"/>
  <c r="E14" i="13"/>
  <c r="G14" i="13"/>
  <c r="H14" i="13"/>
  <c r="I14" i="13"/>
  <c r="K14" i="13"/>
  <c r="L14" i="13"/>
  <c r="C15" i="13"/>
  <c r="D15" i="13"/>
  <c r="E15" i="13"/>
  <c r="G15" i="13"/>
  <c r="H15" i="13"/>
  <c r="I15" i="13"/>
  <c r="K15" i="13"/>
  <c r="L15" i="13"/>
  <c r="C16" i="13"/>
  <c r="D16" i="13"/>
  <c r="E16" i="13"/>
  <c r="G16" i="13"/>
  <c r="H16" i="13"/>
  <c r="I16" i="13"/>
  <c r="K16" i="13"/>
  <c r="L16" i="13"/>
  <c r="C17" i="13"/>
  <c r="D17" i="13"/>
  <c r="E17" i="13"/>
  <c r="G17" i="13"/>
  <c r="H17" i="13"/>
  <c r="I17" i="13"/>
  <c r="K17" i="13"/>
  <c r="L17" i="13"/>
  <c r="C18" i="13"/>
  <c r="D18" i="13"/>
  <c r="E18" i="13"/>
  <c r="G18" i="13"/>
  <c r="H18" i="13"/>
  <c r="I18" i="13"/>
  <c r="K18" i="13"/>
  <c r="L18" i="13"/>
  <c r="C19" i="13"/>
  <c r="D19" i="13"/>
  <c r="E19" i="13"/>
  <c r="G19" i="13"/>
  <c r="H19" i="13"/>
  <c r="I19" i="13"/>
  <c r="K19" i="13"/>
  <c r="L19" i="13"/>
  <c r="C20" i="13"/>
  <c r="D20" i="13"/>
  <c r="E20" i="13"/>
  <c r="G20" i="13"/>
  <c r="H20" i="13"/>
  <c r="I20" i="13"/>
  <c r="K20" i="13"/>
  <c r="L20" i="13"/>
  <c r="C21" i="13"/>
  <c r="D21" i="13"/>
  <c r="E21" i="13"/>
  <c r="G21" i="13"/>
  <c r="H21" i="13"/>
  <c r="I21" i="13"/>
  <c r="K21" i="13"/>
  <c r="L21" i="13"/>
  <c r="C22" i="13"/>
  <c r="D22" i="13"/>
  <c r="E22" i="13"/>
  <c r="G22" i="13"/>
  <c r="H22" i="13"/>
  <c r="I22" i="13"/>
  <c r="K22" i="13"/>
  <c r="L22" i="13"/>
  <c r="C23" i="13"/>
  <c r="D23" i="13"/>
  <c r="E23" i="13"/>
  <c r="G23" i="13"/>
  <c r="H23" i="13"/>
  <c r="I23" i="13"/>
  <c r="K23" i="13"/>
  <c r="L23" i="13"/>
  <c r="C24" i="13"/>
  <c r="D24" i="13"/>
  <c r="E24" i="13"/>
  <c r="G24" i="13"/>
  <c r="H24" i="13"/>
  <c r="I24" i="13"/>
  <c r="K24" i="13"/>
  <c r="L24" i="13"/>
  <c r="C25" i="13"/>
  <c r="D25" i="13"/>
  <c r="E25" i="13"/>
  <c r="G25" i="13"/>
  <c r="H25" i="13"/>
  <c r="I25" i="13"/>
  <c r="K25" i="13"/>
  <c r="L25" i="13"/>
  <c r="C26" i="13"/>
  <c r="D26" i="13"/>
  <c r="E26" i="13"/>
  <c r="G26" i="13"/>
  <c r="H26" i="13"/>
  <c r="I26" i="13"/>
  <c r="K26" i="13"/>
  <c r="L26" i="13"/>
  <c r="C27" i="13"/>
  <c r="D27" i="13"/>
  <c r="E27" i="13"/>
  <c r="G27" i="13"/>
  <c r="H27" i="13"/>
  <c r="I27" i="13"/>
  <c r="K27" i="13"/>
  <c r="L27" i="13"/>
  <c r="C28" i="13"/>
  <c r="D28" i="13"/>
  <c r="E28" i="13"/>
  <c r="G28" i="13"/>
  <c r="H28" i="13"/>
  <c r="I28" i="13"/>
  <c r="K28" i="13"/>
  <c r="L28" i="13"/>
  <c r="C29" i="13"/>
  <c r="D29" i="13"/>
  <c r="E29" i="13"/>
  <c r="G29" i="13"/>
  <c r="H29" i="13"/>
  <c r="I29" i="13"/>
  <c r="K29" i="13"/>
  <c r="L29" i="13"/>
  <c r="C30" i="13"/>
  <c r="D30" i="13"/>
  <c r="E30" i="13"/>
  <c r="G30" i="13"/>
  <c r="H30" i="13"/>
  <c r="I30" i="13"/>
  <c r="K30" i="13"/>
  <c r="L30" i="13"/>
  <c r="C31" i="13"/>
  <c r="D31" i="13"/>
  <c r="E31" i="13"/>
  <c r="G31" i="13"/>
  <c r="H31" i="13"/>
  <c r="I31" i="13"/>
  <c r="K31" i="13"/>
  <c r="L31" i="13"/>
  <c r="C32" i="13"/>
  <c r="D32" i="13"/>
  <c r="E32" i="13"/>
  <c r="G32" i="13"/>
  <c r="H32" i="13"/>
  <c r="I32" i="13"/>
  <c r="K32" i="13"/>
  <c r="L32" i="13"/>
  <c r="C33" i="13"/>
  <c r="D33" i="13"/>
  <c r="E33" i="13"/>
  <c r="G33" i="13"/>
  <c r="H33" i="13"/>
  <c r="I33" i="13"/>
  <c r="K33" i="13"/>
  <c r="L33" i="13"/>
  <c r="C34" i="13"/>
  <c r="D34" i="13"/>
  <c r="E34" i="13"/>
  <c r="G34" i="13"/>
  <c r="H34" i="13"/>
  <c r="I34" i="13"/>
  <c r="K34" i="13"/>
  <c r="L34" i="13"/>
  <c r="C35" i="13"/>
  <c r="D35" i="13"/>
  <c r="E35" i="13"/>
  <c r="G35" i="13"/>
  <c r="H35" i="13"/>
  <c r="I35" i="13"/>
  <c r="K35" i="13"/>
  <c r="L35" i="13"/>
  <c r="C36" i="13"/>
  <c r="D36" i="13"/>
  <c r="E36" i="13"/>
  <c r="G36" i="13"/>
  <c r="H36" i="13"/>
  <c r="I36" i="13"/>
  <c r="K36" i="13"/>
  <c r="L36" i="13"/>
  <c r="C37" i="13"/>
  <c r="D37" i="13"/>
  <c r="E37" i="13"/>
  <c r="G37" i="13"/>
  <c r="H37" i="13"/>
  <c r="I37" i="13"/>
  <c r="K37" i="13"/>
  <c r="L37" i="13"/>
  <c r="C38" i="13"/>
  <c r="D38" i="13"/>
  <c r="E38" i="13"/>
  <c r="G38" i="13"/>
  <c r="H38" i="13"/>
  <c r="I38" i="13"/>
  <c r="K38" i="13"/>
  <c r="L38" i="13"/>
  <c r="C39" i="13"/>
  <c r="D39" i="13"/>
  <c r="E39" i="13"/>
  <c r="G39" i="13"/>
  <c r="H39" i="13"/>
  <c r="I39" i="13"/>
  <c r="K39" i="13"/>
  <c r="L39" i="13"/>
  <c r="C40" i="13"/>
  <c r="D40" i="13"/>
  <c r="E40" i="13"/>
  <c r="G40" i="13"/>
  <c r="H40" i="13"/>
  <c r="I40" i="13"/>
  <c r="K40" i="13"/>
  <c r="L40" i="13"/>
  <c r="C41" i="13"/>
  <c r="D41" i="13"/>
  <c r="E41" i="13"/>
  <c r="G41" i="13"/>
  <c r="H41" i="13"/>
  <c r="I41" i="13"/>
  <c r="K41" i="13"/>
  <c r="L41" i="13"/>
  <c r="C42" i="13"/>
  <c r="D42" i="13"/>
  <c r="E42" i="13"/>
  <c r="G42" i="13"/>
  <c r="H42" i="13"/>
  <c r="I42" i="13"/>
  <c r="K42" i="13"/>
  <c r="L42" i="13"/>
  <c r="C43" i="13"/>
  <c r="D43" i="13"/>
  <c r="E43" i="13"/>
  <c r="G43" i="13"/>
  <c r="H43" i="13"/>
  <c r="I43" i="13"/>
  <c r="K43" i="13"/>
  <c r="L43" i="13"/>
  <c r="C44" i="13"/>
  <c r="D44" i="13"/>
  <c r="E44" i="13"/>
  <c r="G44" i="13"/>
  <c r="H44" i="13"/>
  <c r="I44" i="13"/>
  <c r="J44" i="13"/>
  <c r="K44" i="13"/>
  <c r="L44" i="13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J43" i="15"/>
  <c r="J42" i="15"/>
  <c r="J42" i="13" s="1"/>
  <c r="J41" i="15"/>
  <c r="J40" i="15"/>
  <c r="J39" i="15"/>
  <c r="J38" i="15"/>
  <c r="J37" i="15"/>
  <c r="J36" i="15"/>
  <c r="J35" i="15"/>
  <c r="J34" i="15"/>
  <c r="J33" i="15"/>
  <c r="J33" i="13" s="1"/>
  <c r="J32" i="15"/>
  <c r="J32" i="13" s="1"/>
  <c r="J31" i="15"/>
  <c r="J30" i="15"/>
  <c r="J30" i="13" s="1"/>
  <c r="J29" i="15"/>
  <c r="J28" i="15"/>
  <c r="J27" i="15"/>
  <c r="J26" i="15"/>
  <c r="J25" i="15"/>
  <c r="J24" i="15"/>
  <c r="J23" i="15"/>
  <c r="J22" i="15"/>
  <c r="J21" i="15"/>
  <c r="J21" i="13" s="1"/>
  <c r="J20" i="15"/>
  <c r="J20" i="13" s="1"/>
  <c r="J19" i="15"/>
  <c r="J18" i="15"/>
  <c r="J17" i="15"/>
  <c r="J16" i="15"/>
  <c r="J15" i="15"/>
  <c r="J14" i="15"/>
  <c r="J13" i="15"/>
  <c r="J12" i="15"/>
  <c r="J11" i="15"/>
  <c r="J10" i="15"/>
  <c r="J9" i="15"/>
  <c r="J9" i="13" s="1"/>
  <c r="J8" i="15"/>
  <c r="J8" i="13" s="1"/>
  <c r="J7" i="15"/>
  <c r="J6" i="15"/>
  <c r="M6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32" i="13" l="1"/>
  <c r="J38" i="13"/>
  <c r="J14" i="13"/>
  <c r="J17" i="13"/>
  <c r="J29" i="13"/>
  <c r="J41" i="13"/>
  <c r="J36" i="13"/>
  <c r="J12" i="13"/>
  <c r="J24" i="13"/>
  <c r="M43" i="13"/>
  <c r="M9" i="13"/>
  <c r="M21" i="13"/>
  <c r="M33" i="13"/>
  <c r="F6" i="13"/>
  <c r="F30" i="13"/>
  <c r="F42" i="13"/>
  <c r="M15" i="13"/>
  <c r="M27" i="13"/>
  <c r="M39" i="13"/>
  <c r="J10" i="13"/>
  <c r="J25" i="13"/>
  <c r="J37" i="13"/>
  <c r="J13" i="13"/>
  <c r="M13" i="13"/>
  <c r="M25" i="13"/>
  <c r="M37" i="13"/>
  <c r="F22" i="13"/>
  <c r="F34" i="13"/>
  <c r="J26" i="13"/>
  <c r="J16" i="13"/>
  <c r="J28" i="13"/>
  <c r="J40" i="13"/>
  <c r="M14" i="13"/>
  <c r="M26" i="13"/>
  <c r="M38" i="13"/>
  <c r="F11" i="13"/>
  <c r="M16" i="13"/>
  <c r="M28" i="13"/>
  <c r="M40" i="13"/>
  <c r="F13" i="13"/>
  <c r="F37" i="13"/>
  <c r="M17" i="13"/>
  <c r="M29" i="13"/>
  <c r="M41" i="13"/>
  <c r="F14" i="13"/>
  <c r="F26" i="13"/>
  <c r="F38" i="13"/>
  <c r="J18" i="13"/>
  <c r="M6" i="13"/>
  <c r="M18" i="13"/>
  <c r="M30" i="13"/>
  <c r="M42" i="13"/>
  <c r="M7" i="13"/>
  <c r="M19" i="13"/>
  <c r="M31" i="13"/>
  <c r="F40" i="13"/>
  <c r="J22" i="13"/>
  <c r="J34" i="13"/>
  <c r="M8" i="13"/>
  <c r="M20" i="13"/>
  <c r="F17" i="13"/>
  <c r="F29" i="13"/>
  <c r="M10" i="13"/>
  <c r="M22" i="13"/>
  <c r="M34" i="13"/>
  <c r="F43" i="13"/>
  <c r="M11" i="13"/>
  <c r="M23" i="13"/>
  <c r="M35" i="13"/>
  <c r="F8" i="13"/>
  <c r="F20" i="13"/>
  <c r="F32" i="13"/>
  <c r="M12" i="13"/>
  <c r="M24" i="13"/>
  <c r="M36" i="13"/>
  <c r="F21" i="13"/>
  <c r="J11" i="13"/>
  <c r="J19" i="13"/>
  <c r="J27" i="13"/>
  <c r="J35" i="13"/>
  <c r="J43" i="13"/>
  <c r="F7" i="13"/>
  <c r="F15" i="13"/>
  <c r="F23" i="13"/>
  <c r="F31" i="13"/>
  <c r="F39" i="13"/>
  <c r="N6" i="14"/>
  <c r="F16" i="13"/>
  <c r="F24" i="13"/>
  <c r="F9" i="13"/>
  <c r="F25" i="13"/>
  <c r="F33" i="13"/>
  <c r="F41" i="13"/>
  <c r="J6" i="13"/>
  <c r="M44" i="13"/>
  <c r="F10" i="13"/>
  <c r="F18" i="13"/>
  <c r="J7" i="13"/>
  <c r="J15" i="13"/>
  <c r="J23" i="13"/>
  <c r="J31" i="13"/>
  <c r="J39" i="13"/>
  <c r="F19" i="13"/>
  <c r="F27" i="13"/>
  <c r="F35" i="13"/>
  <c r="F12" i="13"/>
  <c r="F28" i="13"/>
  <c r="F36" i="13"/>
  <c r="F44" i="13"/>
  <c r="C29" i="106"/>
  <c r="D29" i="106"/>
  <c r="E29" i="106"/>
  <c r="F29" i="106"/>
  <c r="C29" i="105"/>
  <c r="D29" i="105"/>
  <c r="E29" i="105"/>
  <c r="F29" i="105"/>
  <c r="C29" i="104"/>
  <c r="D29" i="104"/>
  <c r="E29" i="104"/>
  <c r="F29" i="104"/>
  <c r="G116" i="28" l="1"/>
  <c r="E21" i="103"/>
  <c r="G54" i="58" l="1"/>
  <c r="G44" i="58"/>
  <c r="G24" i="58"/>
  <c r="G14" i="58"/>
  <c r="G59" i="59"/>
  <c r="G37" i="59"/>
  <c r="G26" i="59"/>
  <c r="G15" i="59"/>
  <c r="G49" i="60"/>
  <c r="G40" i="60"/>
  <c r="G31" i="60"/>
  <c r="G22" i="60"/>
  <c r="G13" i="60"/>
  <c r="B77" i="3"/>
  <c r="C77" i="3"/>
  <c r="D77" i="3"/>
  <c r="E77" i="3"/>
  <c r="F77" i="3"/>
  <c r="G77" i="3"/>
  <c r="D45" i="24"/>
  <c r="B45" i="8"/>
  <c r="D43" i="10"/>
  <c r="D43" i="33"/>
  <c r="N43" i="14"/>
  <c r="N44" i="14"/>
  <c r="N44" i="15"/>
  <c r="N44" i="13" l="1"/>
  <c r="E43" i="70"/>
  <c r="C46" i="5" s="1"/>
  <c r="E46" i="5" s="1"/>
  <c r="F110" i="20"/>
  <c r="B109" i="20"/>
  <c r="B108" i="20"/>
  <c r="B107" i="20"/>
  <c r="B106" i="20"/>
  <c r="B105" i="20"/>
  <c r="B104" i="20"/>
  <c r="B103" i="20"/>
  <c r="B102" i="20"/>
  <c r="B101" i="20"/>
  <c r="B100" i="20"/>
  <c r="B99" i="20"/>
  <c r="B98" i="20"/>
  <c r="C110" i="20"/>
  <c r="B110" i="20"/>
  <c r="D104" i="26"/>
  <c r="D44" i="21" s="1"/>
  <c r="C104" i="26"/>
  <c r="C44" i="21" s="1"/>
  <c r="F93" i="26"/>
  <c r="F94" i="26"/>
  <c r="F96" i="26"/>
  <c r="F98" i="26"/>
  <c r="F99" i="26"/>
  <c r="F100" i="26"/>
  <c r="F101" i="26"/>
  <c r="F102" i="26"/>
  <c r="F92" i="26"/>
  <c r="F95" i="26"/>
  <c r="F103" i="26"/>
  <c r="J46" i="5" l="1"/>
  <c r="I46" i="5" s="1"/>
  <c r="G44" i="21"/>
  <c r="E104" i="26"/>
  <c r="E93" i="27"/>
  <c r="H93" i="27" s="1"/>
  <c r="F93" i="27" s="1"/>
  <c r="E94" i="27"/>
  <c r="H94" i="27" s="1"/>
  <c r="F94" i="27" s="1"/>
  <c r="E95" i="27"/>
  <c r="H95" i="27" s="1"/>
  <c r="F95" i="27" s="1"/>
  <c r="E101" i="27"/>
  <c r="H101" i="27" s="1"/>
  <c r="F101" i="27" s="1"/>
  <c r="E102" i="27"/>
  <c r="H102" i="27" s="1"/>
  <c r="F102" i="27" s="1"/>
  <c r="E103" i="27"/>
  <c r="H103" i="27" s="1"/>
  <c r="F103" i="27" s="1"/>
  <c r="E100" i="27"/>
  <c r="H100" i="27" s="1"/>
  <c r="F100" i="27" s="1"/>
  <c r="E99" i="27"/>
  <c r="E98" i="27"/>
  <c r="E97" i="27"/>
  <c r="E96" i="27"/>
  <c r="H96" i="27" s="1"/>
  <c r="F96" i="27" s="1"/>
  <c r="B46" i="23"/>
  <c r="E35" i="103"/>
  <c r="E25" i="103"/>
  <c r="E24" i="103"/>
  <c r="E22" i="103"/>
  <c r="E17" i="103"/>
  <c r="E16" i="103"/>
  <c r="E15" i="103"/>
  <c r="E14" i="103"/>
  <c r="E12" i="103"/>
  <c r="E11" i="103"/>
  <c r="E45" i="61"/>
  <c r="H45" i="62"/>
  <c r="F45" i="62" s="1"/>
  <c r="J45" i="12"/>
  <c r="F45" i="12" s="1"/>
  <c r="H45" i="12" s="1"/>
  <c r="G45" i="24"/>
  <c r="E45" i="24" s="1"/>
  <c r="E45" i="8"/>
  <c r="H45" i="8" s="1"/>
  <c r="C46" i="9"/>
  <c r="E46" i="9" s="1"/>
  <c r="J46" i="9" s="1"/>
  <c r="I46" i="9" s="1"/>
  <c r="E34" i="45"/>
  <c r="H34" i="45" s="1"/>
  <c r="F34" i="45" s="1"/>
  <c r="E34" i="46"/>
  <c r="J34" i="46" s="1"/>
  <c r="H35" i="47"/>
  <c r="K35" i="47" s="1"/>
  <c r="E46" i="16"/>
  <c r="H46" i="16" s="1"/>
  <c r="F46" i="16" s="1"/>
  <c r="E46" i="31"/>
  <c r="H46" i="31" s="1"/>
  <c r="F46" i="31" s="1"/>
  <c r="H44" i="33"/>
  <c r="M44" i="33"/>
  <c r="J44" i="33"/>
  <c r="E46" i="38"/>
  <c r="H46" i="38" s="1"/>
  <c r="F46" i="38" s="1"/>
  <c r="C46" i="17"/>
  <c r="B46" i="17"/>
  <c r="E46" i="17" s="1"/>
  <c r="D43" i="18"/>
  <c r="B44" i="13"/>
  <c r="C44" i="70"/>
  <c r="C45" i="22"/>
  <c r="F92" i="27"/>
  <c r="E58" i="103" l="1"/>
  <c r="E39" i="103"/>
  <c r="F34" i="46"/>
  <c r="H34" i="46" s="1"/>
  <c r="L44" i="33"/>
  <c r="H45" i="61"/>
  <c r="F45" i="61" s="1"/>
  <c r="C46" i="32"/>
  <c r="E46" i="32" s="1"/>
  <c r="I46" i="32" s="1"/>
  <c r="G46" i="32" s="1"/>
  <c r="I46" i="17"/>
  <c r="H46" i="17" s="1"/>
  <c r="H97" i="27"/>
  <c r="F97" i="27" s="1"/>
  <c r="H98" i="27"/>
  <c r="F98" i="27" s="1"/>
  <c r="H99" i="27"/>
  <c r="D104" i="27"/>
  <c r="G45" i="22"/>
  <c r="N44" i="6"/>
  <c r="B44" i="70" s="1"/>
  <c r="G173" i="28"/>
  <c r="G186" i="28" s="1"/>
  <c r="G46" i="23" s="1"/>
  <c r="F173" i="28"/>
  <c r="F162" i="28"/>
  <c r="D173" i="28"/>
  <c r="C173" i="28"/>
  <c r="C186" i="28" s="1"/>
  <c r="J166" i="28"/>
  <c r="B173" i="28" s="1"/>
  <c r="J162" i="28"/>
  <c r="B166" i="28" s="1"/>
  <c r="J158" i="28"/>
  <c r="B162" i="28" s="1"/>
  <c r="D166" i="28"/>
  <c r="D162" i="28"/>
  <c r="D158" i="28"/>
  <c r="B45" i="21"/>
  <c r="E45" i="21" s="1"/>
  <c r="I45" i="21" s="1"/>
  <c r="F45" i="21" s="1"/>
  <c r="B46" i="22"/>
  <c r="E46" i="22" s="1"/>
  <c r="H46" i="22" s="1"/>
  <c r="F46" i="22" s="1"/>
  <c r="C46" i="23"/>
  <c r="D44" i="2"/>
  <c r="E162" i="28" l="1"/>
  <c r="I162" i="28" s="1"/>
  <c r="H162" i="28" s="1"/>
  <c r="E166" i="28"/>
  <c r="D186" i="28"/>
  <c r="E186" i="28" s="1"/>
  <c r="D45" i="22"/>
  <c r="E104" i="27"/>
  <c r="E173" i="28"/>
  <c r="I173" i="28" s="1"/>
  <c r="F186" i="28"/>
  <c r="F46" i="23" s="1"/>
  <c r="H104" i="27"/>
  <c r="F99" i="27"/>
  <c r="F104" i="27" s="1"/>
  <c r="I166" i="28"/>
  <c r="H166" i="28" s="1"/>
  <c r="E44" i="70"/>
  <c r="D44" i="70" s="1"/>
  <c r="F43" i="5"/>
  <c r="F44" i="5"/>
  <c r="D46" i="23" l="1"/>
  <c r="E46" i="23" s="1"/>
  <c r="I46" i="23" s="1"/>
  <c r="H46" i="23" s="1"/>
  <c r="I186" i="28"/>
  <c r="H173" i="28"/>
  <c r="H186" i="28" s="1"/>
  <c r="C47" i="5"/>
  <c r="E47" i="5" s="1"/>
  <c r="J47" i="5" s="1"/>
  <c r="E44" i="61"/>
  <c r="H44" i="61" s="1"/>
  <c r="E8" i="61"/>
  <c r="E9" i="61"/>
  <c r="E10" i="61"/>
  <c r="E11" i="61"/>
  <c r="E12" i="61"/>
  <c r="E13" i="61"/>
  <c r="E14" i="61"/>
  <c r="E15" i="61"/>
  <c r="E16" i="61"/>
  <c r="E17" i="61"/>
  <c r="E18" i="61"/>
  <c r="E19" i="61"/>
  <c r="E20" i="61"/>
  <c r="E21" i="61"/>
  <c r="E22" i="61"/>
  <c r="E23" i="61"/>
  <c r="E24" i="61"/>
  <c r="E25" i="61"/>
  <c r="E26" i="61"/>
  <c r="E27" i="61"/>
  <c r="E28" i="61"/>
  <c r="E29" i="61"/>
  <c r="E30" i="61"/>
  <c r="E31" i="61"/>
  <c r="E32" i="61"/>
  <c r="E33" i="61"/>
  <c r="E34" i="61"/>
  <c r="E35" i="61"/>
  <c r="E36" i="61"/>
  <c r="E37" i="61"/>
  <c r="E38" i="61"/>
  <c r="E39" i="61"/>
  <c r="E40" i="61"/>
  <c r="E41" i="61"/>
  <c r="E42" i="61"/>
  <c r="E43" i="61"/>
  <c r="E7" i="61"/>
  <c r="E44" i="62"/>
  <c r="E8" i="62"/>
  <c r="E9" i="62"/>
  <c r="E10" i="62"/>
  <c r="E11" i="62"/>
  <c r="E12" i="62"/>
  <c r="E13" i="62"/>
  <c r="E14" i="62"/>
  <c r="E15" i="62"/>
  <c r="E16" i="62"/>
  <c r="E17" i="62"/>
  <c r="E18" i="62"/>
  <c r="E19" i="62"/>
  <c r="E20" i="62"/>
  <c r="E21" i="62"/>
  <c r="E22" i="62"/>
  <c r="E23" i="62"/>
  <c r="E24" i="62"/>
  <c r="E25" i="62"/>
  <c r="E26" i="62"/>
  <c r="E27" i="62"/>
  <c r="E28" i="62"/>
  <c r="E29" i="62"/>
  <c r="E30" i="62"/>
  <c r="E31" i="62"/>
  <c r="E32" i="62"/>
  <c r="E33" i="62"/>
  <c r="E34" i="62"/>
  <c r="E35" i="62"/>
  <c r="E36" i="62"/>
  <c r="E37" i="62"/>
  <c r="E38" i="62"/>
  <c r="E39" i="62"/>
  <c r="E40" i="62"/>
  <c r="E41" i="62"/>
  <c r="E43" i="62"/>
  <c r="H43" i="62" s="1"/>
  <c r="F43" i="62" s="1"/>
  <c r="E7" i="62"/>
  <c r="B17" i="3"/>
  <c r="C17" i="3"/>
  <c r="D17" i="3"/>
  <c r="E17" i="3"/>
  <c r="F17" i="3"/>
  <c r="G17" i="3"/>
  <c r="H17" i="3"/>
  <c r="I17" i="3"/>
  <c r="N43" i="15"/>
  <c r="N43" i="13" s="1"/>
  <c r="J75" i="26"/>
  <c r="J74" i="26"/>
  <c r="J73" i="26"/>
  <c r="J72" i="26"/>
  <c r="J71" i="26"/>
  <c r="J70" i="26"/>
  <c r="J69" i="26"/>
  <c r="J68" i="26"/>
  <c r="J67" i="26"/>
  <c r="J66" i="26"/>
  <c r="J65" i="26"/>
  <c r="J64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F146" i="28"/>
  <c r="F145" i="28"/>
  <c r="F144" i="28"/>
  <c r="F142" i="28"/>
  <c r="F141" i="28"/>
  <c r="F140" i="28"/>
  <c r="F138" i="28"/>
  <c r="F136" i="28"/>
  <c r="F134" i="28"/>
  <c r="F133" i="28"/>
  <c r="F132" i="28"/>
  <c r="I44" i="22"/>
  <c r="C89" i="27"/>
  <c r="C88" i="27"/>
  <c r="C87" i="27"/>
  <c r="C86" i="27"/>
  <c r="C85" i="27"/>
  <c r="C84" i="27"/>
  <c r="C83" i="27"/>
  <c r="C82" i="27"/>
  <c r="C81" i="27"/>
  <c r="C80" i="27"/>
  <c r="C79" i="27"/>
  <c r="C78" i="27"/>
  <c r="H44" i="62" l="1"/>
  <c r="F44" i="62" s="1"/>
  <c r="I47" i="5"/>
  <c r="D25" i="2"/>
  <c r="H7" i="61" l="1"/>
  <c r="F7" i="61" s="1"/>
  <c r="J7" i="61"/>
  <c r="H8" i="61"/>
  <c r="F8" i="61" s="1"/>
  <c r="J8" i="61"/>
  <c r="H9" i="61"/>
  <c r="F9" i="61" s="1"/>
  <c r="J9" i="61"/>
  <c r="H10" i="61"/>
  <c r="F10" i="61" s="1"/>
  <c r="J10" i="61"/>
  <c r="H11" i="61"/>
  <c r="F11" i="61" s="1"/>
  <c r="J11" i="61"/>
  <c r="H12" i="61"/>
  <c r="F12" i="61" s="1"/>
  <c r="J12" i="61"/>
  <c r="H13" i="61"/>
  <c r="F13" i="61" s="1"/>
  <c r="J13" i="61"/>
  <c r="H14" i="61"/>
  <c r="F14" i="61" s="1"/>
  <c r="J14" i="61"/>
  <c r="H15" i="61"/>
  <c r="F15" i="61" s="1"/>
  <c r="J15" i="61"/>
  <c r="H16" i="61"/>
  <c r="F16" i="61" s="1"/>
  <c r="J16" i="61"/>
  <c r="H17" i="61"/>
  <c r="F17" i="61" s="1"/>
  <c r="J17" i="61"/>
  <c r="H18" i="61"/>
  <c r="F18" i="61" s="1"/>
  <c r="J18" i="61"/>
  <c r="H19" i="61"/>
  <c r="F19" i="61" s="1"/>
  <c r="J19" i="61"/>
  <c r="H20" i="61"/>
  <c r="F20" i="61" s="1"/>
  <c r="J20" i="61"/>
  <c r="H21" i="61"/>
  <c r="F21" i="61" s="1"/>
  <c r="J21" i="61"/>
  <c r="H22" i="61"/>
  <c r="F22" i="61" s="1"/>
  <c r="J22" i="61"/>
  <c r="H23" i="61"/>
  <c r="F23" i="61" s="1"/>
  <c r="J23" i="61"/>
  <c r="H24" i="61"/>
  <c r="F24" i="61" s="1"/>
  <c r="J24" i="61"/>
  <c r="H25" i="61"/>
  <c r="F25" i="61" s="1"/>
  <c r="J25" i="61"/>
  <c r="H26" i="61"/>
  <c r="F26" i="61" s="1"/>
  <c r="J26" i="61"/>
  <c r="H27" i="61"/>
  <c r="F27" i="61" s="1"/>
  <c r="J27" i="61"/>
  <c r="H28" i="61"/>
  <c r="F28" i="61" s="1"/>
  <c r="J28" i="61"/>
  <c r="H29" i="61"/>
  <c r="F29" i="61" s="1"/>
  <c r="J29" i="61"/>
  <c r="H30" i="61"/>
  <c r="F30" i="61" s="1"/>
  <c r="J30" i="61"/>
  <c r="H31" i="61"/>
  <c r="F31" i="61" s="1"/>
  <c r="J31" i="61"/>
  <c r="H32" i="61"/>
  <c r="F32" i="61" s="1"/>
  <c r="J32" i="61"/>
  <c r="H33" i="61"/>
  <c r="F33" i="61" s="1"/>
  <c r="J33" i="61"/>
  <c r="H34" i="61"/>
  <c r="F34" i="61" s="1"/>
  <c r="J34" i="61"/>
  <c r="H35" i="61"/>
  <c r="F35" i="61" s="1"/>
  <c r="J35" i="61"/>
  <c r="H36" i="61"/>
  <c r="F36" i="61" s="1"/>
  <c r="J36" i="61"/>
  <c r="H37" i="61"/>
  <c r="F37" i="61" s="1"/>
  <c r="J37" i="61"/>
  <c r="H38" i="61"/>
  <c r="F38" i="61" s="1"/>
  <c r="H39" i="61"/>
  <c r="F39" i="61" s="1"/>
  <c r="H40" i="61"/>
  <c r="F40" i="61" s="1"/>
  <c r="H41" i="61"/>
  <c r="F41" i="61" s="1"/>
  <c r="H42" i="61"/>
  <c r="F42" i="61" s="1"/>
  <c r="H43" i="61"/>
  <c r="F43" i="61" s="1"/>
  <c r="F44" i="61"/>
  <c r="H7" i="62"/>
  <c r="F7" i="62" s="1"/>
  <c r="J7" i="62"/>
  <c r="H8" i="62"/>
  <c r="F8" i="62" s="1"/>
  <c r="J8" i="62"/>
  <c r="H9" i="62"/>
  <c r="F9" i="62" s="1"/>
  <c r="J9" i="62"/>
  <c r="H10" i="62"/>
  <c r="F10" i="62" s="1"/>
  <c r="J10" i="62"/>
  <c r="H11" i="62"/>
  <c r="F11" i="62" s="1"/>
  <c r="J11" i="62"/>
  <c r="H12" i="62"/>
  <c r="F12" i="62" s="1"/>
  <c r="J12" i="62"/>
  <c r="H13" i="62"/>
  <c r="F13" i="62" s="1"/>
  <c r="J13" i="62"/>
  <c r="H14" i="62"/>
  <c r="F14" i="62" s="1"/>
  <c r="J14" i="62"/>
  <c r="H15" i="62"/>
  <c r="F15" i="62" s="1"/>
  <c r="J15" i="62"/>
  <c r="H16" i="62"/>
  <c r="F16" i="62" s="1"/>
  <c r="J16" i="62"/>
  <c r="H17" i="62"/>
  <c r="F17" i="62" s="1"/>
  <c r="J17" i="62"/>
  <c r="H18" i="62"/>
  <c r="F18" i="62" s="1"/>
  <c r="J18" i="62"/>
  <c r="H19" i="62"/>
  <c r="F19" i="62" s="1"/>
  <c r="J19" i="62"/>
  <c r="H20" i="62"/>
  <c r="F20" i="62" s="1"/>
  <c r="J20" i="62"/>
  <c r="H21" i="62"/>
  <c r="F21" i="62" s="1"/>
  <c r="J21" i="62"/>
  <c r="H22" i="62"/>
  <c r="F22" i="62" s="1"/>
  <c r="J22" i="62"/>
  <c r="H23" i="62"/>
  <c r="F23" i="62" s="1"/>
  <c r="J23" i="62"/>
  <c r="H24" i="62"/>
  <c r="F24" i="62" s="1"/>
  <c r="J24" i="62"/>
  <c r="H25" i="62"/>
  <c r="F25" i="62" s="1"/>
  <c r="J25" i="62"/>
  <c r="H26" i="62"/>
  <c r="F26" i="62" s="1"/>
  <c r="J26" i="62"/>
  <c r="H27" i="62"/>
  <c r="F27" i="62" s="1"/>
  <c r="J27" i="62"/>
  <c r="H28" i="62"/>
  <c r="F28" i="62" s="1"/>
  <c r="J28" i="62"/>
  <c r="H29" i="62"/>
  <c r="F29" i="62" s="1"/>
  <c r="J29" i="62"/>
  <c r="H30" i="62"/>
  <c r="F30" i="62" s="1"/>
  <c r="J30" i="62"/>
  <c r="H31" i="62"/>
  <c r="F31" i="62" s="1"/>
  <c r="J31" i="62"/>
  <c r="H32" i="62"/>
  <c r="F32" i="62" s="1"/>
  <c r="J32" i="62"/>
  <c r="H33" i="62"/>
  <c r="F33" i="62" s="1"/>
  <c r="J33" i="62"/>
  <c r="H34" i="62"/>
  <c r="F34" i="62" s="1"/>
  <c r="J34" i="62"/>
  <c r="H35" i="62"/>
  <c r="F35" i="62" s="1"/>
  <c r="J35" i="62"/>
  <c r="H36" i="62"/>
  <c r="F36" i="62" s="1"/>
  <c r="J36" i="62"/>
  <c r="H37" i="62"/>
  <c r="F37" i="62" s="1"/>
  <c r="J37" i="62"/>
  <c r="H38" i="62"/>
  <c r="F38" i="62" s="1"/>
  <c r="H39" i="62"/>
  <c r="F39" i="62" s="1"/>
  <c r="H40" i="62"/>
  <c r="F40" i="62" s="1"/>
  <c r="H41" i="62"/>
  <c r="F41" i="62" s="1"/>
  <c r="F42" i="62"/>
  <c r="E7" i="12"/>
  <c r="J7" i="12" s="1"/>
  <c r="F7" i="12" s="1"/>
  <c r="H7" i="12" s="1"/>
  <c r="B8" i="12"/>
  <c r="E8" i="12" s="1"/>
  <c r="J8" i="12" s="1"/>
  <c r="F8" i="12" s="1"/>
  <c r="H8" i="12" s="1"/>
  <c r="B9" i="12"/>
  <c r="E9" i="12" s="1"/>
  <c r="J9" i="12" s="1"/>
  <c r="F9" i="12" s="1"/>
  <c r="H9" i="12" s="1"/>
  <c r="B10" i="12"/>
  <c r="E10" i="12" s="1"/>
  <c r="J10" i="12" s="1"/>
  <c r="F10" i="12" s="1"/>
  <c r="H10" i="12" s="1"/>
  <c r="B11" i="12"/>
  <c r="E11" i="12" s="1"/>
  <c r="J11" i="12" s="1"/>
  <c r="F11" i="12" s="1"/>
  <c r="H11" i="12" s="1"/>
  <c r="B12" i="12"/>
  <c r="E12" i="12" s="1"/>
  <c r="J12" i="12" s="1"/>
  <c r="F12" i="12" s="1"/>
  <c r="H12" i="12" s="1"/>
  <c r="B13" i="12"/>
  <c r="E13" i="12" s="1"/>
  <c r="J13" i="12" s="1"/>
  <c r="F13" i="12" s="1"/>
  <c r="H13" i="12" s="1"/>
  <c r="B14" i="12"/>
  <c r="E14" i="12" s="1"/>
  <c r="J14" i="12" s="1"/>
  <c r="F14" i="12" s="1"/>
  <c r="H14" i="12" s="1"/>
  <c r="B15" i="12"/>
  <c r="E15" i="12" s="1"/>
  <c r="J15" i="12" s="1"/>
  <c r="F15" i="12" s="1"/>
  <c r="H15" i="12" s="1"/>
  <c r="B16" i="12"/>
  <c r="E16" i="12" s="1"/>
  <c r="J16" i="12" s="1"/>
  <c r="F16" i="12" s="1"/>
  <c r="H16" i="12" s="1"/>
  <c r="B17" i="12"/>
  <c r="E17" i="12" s="1"/>
  <c r="J17" i="12" s="1"/>
  <c r="F17" i="12" s="1"/>
  <c r="H17" i="12" s="1"/>
  <c r="B18" i="12"/>
  <c r="E18" i="12" s="1"/>
  <c r="J18" i="12" s="1"/>
  <c r="F18" i="12" s="1"/>
  <c r="H18" i="12" s="1"/>
  <c r="B19" i="12"/>
  <c r="E19" i="12" s="1"/>
  <c r="J19" i="12" s="1"/>
  <c r="F19" i="12" s="1"/>
  <c r="H19" i="12" s="1"/>
  <c r="B20" i="12"/>
  <c r="E20" i="12" s="1"/>
  <c r="J20" i="12" s="1"/>
  <c r="F20" i="12" s="1"/>
  <c r="H20" i="12" s="1"/>
  <c r="B21" i="12"/>
  <c r="E21" i="12" s="1"/>
  <c r="J21" i="12" s="1"/>
  <c r="F21" i="12" s="1"/>
  <c r="H21" i="12" s="1"/>
  <c r="B22" i="12"/>
  <c r="E22" i="12" s="1"/>
  <c r="J22" i="12" s="1"/>
  <c r="F22" i="12" s="1"/>
  <c r="H22" i="12" s="1"/>
  <c r="B23" i="12"/>
  <c r="E23" i="12" s="1"/>
  <c r="J23" i="12" s="1"/>
  <c r="F23" i="12" s="1"/>
  <c r="H23" i="12" s="1"/>
  <c r="B24" i="12"/>
  <c r="E24" i="12" s="1"/>
  <c r="J24" i="12" s="1"/>
  <c r="F24" i="12" s="1"/>
  <c r="H24" i="12" s="1"/>
  <c r="B25" i="12"/>
  <c r="E25" i="12" s="1"/>
  <c r="J25" i="12" s="1"/>
  <c r="F25" i="12" s="1"/>
  <c r="H25" i="12" s="1"/>
  <c r="B26" i="12"/>
  <c r="E26" i="12" s="1"/>
  <c r="J26" i="12" s="1"/>
  <c r="F26" i="12" s="1"/>
  <c r="H26" i="12" s="1"/>
  <c r="B27" i="12"/>
  <c r="E27" i="12" s="1"/>
  <c r="J27" i="12" s="1"/>
  <c r="F27" i="12" s="1"/>
  <c r="H27" i="12" s="1"/>
  <c r="B28" i="12"/>
  <c r="E28" i="12" s="1"/>
  <c r="J28" i="12" s="1"/>
  <c r="F28" i="12" s="1"/>
  <c r="H28" i="12" s="1"/>
  <c r="B29" i="12"/>
  <c r="E29" i="12" s="1"/>
  <c r="J29" i="12" s="1"/>
  <c r="F29" i="12" s="1"/>
  <c r="H29" i="12" s="1"/>
  <c r="B30" i="12"/>
  <c r="E30" i="12" s="1"/>
  <c r="J30" i="12" s="1"/>
  <c r="F30" i="12" s="1"/>
  <c r="H30" i="12" s="1"/>
  <c r="B31" i="12"/>
  <c r="E31" i="12" s="1"/>
  <c r="J31" i="12" s="1"/>
  <c r="F31" i="12" s="1"/>
  <c r="H31" i="12" s="1"/>
  <c r="B32" i="12"/>
  <c r="E32" i="12" s="1"/>
  <c r="J32" i="12" s="1"/>
  <c r="F32" i="12" s="1"/>
  <c r="H32" i="12" s="1"/>
  <c r="B33" i="12"/>
  <c r="E33" i="12" s="1"/>
  <c r="J33" i="12" s="1"/>
  <c r="F33" i="12" s="1"/>
  <c r="H33" i="12" s="1"/>
  <c r="B34" i="12"/>
  <c r="E34" i="12" s="1"/>
  <c r="J34" i="12" s="1"/>
  <c r="F34" i="12" s="1"/>
  <c r="H34" i="12" s="1"/>
  <c r="B35" i="12"/>
  <c r="E35" i="12" s="1"/>
  <c r="J35" i="12" s="1"/>
  <c r="F35" i="12" s="1"/>
  <c r="H35" i="12" s="1"/>
  <c r="B36" i="12"/>
  <c r="E36" i="12" s="1"/>
  <c r="J36" i="12" s="1"/>
  <c r="F36" i="12" s="1"/>
  <c r="H36" i="12" s="1"/>
  <c r="B37" i="12"/>
  <c r="E37" i="12" s="1"/>
  <c r="J37" i="12" s="1"/>
  <c r="F37" i="12" s="1"/>
  <c r="H37" i="12" s="1"/>
  <c r="B38" i="12"/>
  <c r="E38" i="12" s="1"/>
  <c r="J38" i="12" s="1"/>
  <c r="F38" i="12" s="1"/>
  <c r="H38" i="12" s="1"/>
  <c r="B39" i="12"/>
  <c r="E39" i="12" s="1"/>
  <c r="J39" i="12" s="1"/>
  <c r="F39" i="12" s="1"/>
  <c r="H39" i="12" s="1"/>
  <c r="B40" i="12"/>
  <c r="E40" i="12" s="1"/>
  <c r="J40" i="12" s="1"/>
  <c r="F40" i="12" s="1"/>
  <c r="H40" i="12" s="1"/>
  <c r="E41" i="12"/>
  <c r="J41" i="12" s="1"/>
  <c r="F41" i="12" s="1"/>
  <c r="H41" i="12" s="1"/>
  <c r="E42" i="12"/>
  <c r="J42" i="12" s="1"/>
  <c r="F42" i="12" s="1"/>
  <c r="H42" i="12" s="1"/>
  <c r="E43" i="12"/>
  <c r="J43" i="12" s="1"/>
  <c r="F43" i="12" s="1"/>
  <c r="H43" i="12" s="1"/>
  <c r="E44" i="12"/>
  <c r="J44" i="12" s="1"/>
  <c r="F44" i="12" s="1"/>
  <c r="H44" i="12" s="1"/>
  <c r="B33" i="3"/>
  <c r="C33" i="3"/>
  <c r="D33" i="3"/>
  <c r="E33" i="3"/>
  <c r="F33" i="3"/>
  <c r="G33" i="3"/>
  <c r="H33" i="3"/>
  <c r="I33" i="3"/>
  <c r="J33" i="3"/>
  <c r="K33" i="3"/>
  <c r="B45" i="3"/>
  <c r="C45" i="3"/>
  <c r="D45" i="3"/>
  <c r="E45" i="3"/>
  <c r="F45" i="3"/>
  <c r="G45" i="3"/>
  <c r="H45" i="3"/>
  <c r="I45" i="3"/>
  <c r="J45" i="3"/>
  <c r="K45" i="3"/>
  <c r="B61" i="3"/>
  <c r="C61" i="3"/>
  <c r="D61" i="3"/>
  <c r="E61" i="3"/>
  <c r="F61" i="3"/>
  <c r="G61" i="3"/>
  <c r="H61" i="3"/>
  <c r="I61" i="3"/>
  <c r="J61" i="3"/>
  <c r="K61" i="3"/>
  <c r="D7" i="24"/>
  <c r="G7" i="24" s="1"/>
  <c r="E7" i="24" s="1"/>
  <c r="B8" i="24"/>
  <c r="D8" i="24" s="1"/>
  <c r="G8" i="24"/>
  <c r="E8" i="24" s="1"/>
  <c r="B9" i="24"/>
  <c r="D9" i="24" s="1"/>
  <c r="G9" i="24" s="1"/>
  <c r="E9" i="24" s="1"/>
  <c r="B10" i="24"/>
  <c r="D10" i="24" s="1"/>
  <c r="G10" i="24" s="1"/>
  <c r="E10" i="24" s="1"/>
  <c r="B11" i="24"/>
  <c r="D11" i="24" s="1"/>
  <c r="G11" i="24" s="1"/>
  <c r="E11" i="24" s="1"/>
  <c r="B12" i="24"/>
  <c r="D12" i="24" s="1"/>
  <c r="G12" i="24" s="1"/>
  <c r="E12" i="24" s="1"/>
  <c r="B13" i="24"/>
  <c r="D13" i="24" s="1"/>
  <c r="G13" i="24" s="1"/>
  <c r="E13" i="24" s="1"/>
  <c r="B14" i="24"/>
  <c r="D14" i="24" s="1"/>
  <c r="G14" i="24" s="1"/>
  <c r="E14" i="24" s="1"/>
  <c r="B15" i="24"/>
  <c r="D15" i="24" s="1"/>
  <c r="G15" i="24" s="1"/>
  <c r="E15" i="24" s="1"/>
  <c r="B16" i="24"/>
  <c r="D16" i="24" s="1"/>
  <c r="G16" i="24" s="1"/>
  <c r="E16" i="24" s="1"/>
  <c r="B17" i="24"/>
  <c r="D17" i="24" s="1"/>
  <c r="G17" i="24" s="1"/>
  <c r="E17" i="24" s="1"/>
  <c r="B18" i="24"/>
  <c r="D18" i="24" s="1"/>
  <c r="G18" i="24" s="1"/>
  <c r="E18" i="24" s="1"/>
  <c r="B19" i="24"/>
  <c r="D19" i="24" s="1"/>
  <c r="G19" i="24" s="1"/>
  <c r="E19" i="24" s="1"/>
  <c r="B20" i="24"/>
  <c r="D20" i="24" s="1"/>
  <c r="G20" i="24" s="1"/>
  <c r="E20" i="24" s="1"/>
  <c r="B21" i="24"/>
  <c r="D21" i="24" s="1"/>
  <c r="G21" i="24" s="1"/>
  <c r="E21" i="24" s="1"/>
  <c r="B22" i="24"/>
  <c r="D22" i="24" s="1"/>
  <c r="G22" i="24" s="1"/>
  <c r="E22" i="24" s="1"/>
  <c r="B23" i="24"/>
  <c r="D23" i="24" s="1"/>
  <c r="G23" i="24" s="1"/>
  <c r="E23" i="24" s="1"/>
  <c r="B24" i="24"/>
  <c r="D24" i="24" s="1"/>
  <c r="G24" i="24" s="1"/>
  <c r="E24" i="24" s="1"/>
  <c r="B25" i="24"/>
  <c r="D25" i="24" s="1"/>
  <c r="G25" i="24" s="1"/>
  <c r="E25" i="24" s="1"/>
  <c r="B26" i="24"/>
  <c r="D26" i="24" s="1"/>
  <c r="G26" i="24" s="1"/>
  <c r="E26" i="24" s="1"/>
  <c r="D27" i="24"/>
  <c r="G27" i="24" s="1"/>
  <c r="E27" i="24" s="1"/>
  <c r="B28" i="24"/>
  <c r="D28" i="24" s="1"/>
  <c r="G28" i="24" s="1"/>
  <c r="E28" i="24" s="1"/>
  <c r="B29" i="24"/>
  <c r="D29" i="24" s="1"/>
  <c r="G29" i="24" s="1"/>
  <c r="E29" i="24" s="1"/>
  <c r="B30" i="24"/>
  <c r="D30" i="24" s="1"/>
  <c r="G30" i="24" s="1"/>
  <c r="E30" i="24" s="1"/>
  <c r="B31" i="24"/>
  <c r="D31" i="24" s="1"/>
  <c r="G31" i="24" s="1"/>
  <c r="E31" i="24" s="1"/>
  <c r="B32" i="24"/>
  <c r="D32" i="24" s="1"/>
  <c r="G32" i="24" s="1"/>
  <c r="E32" i="24" s="1"/>
  <c r="B33" i="24"/>
  <c r="D33" i="24" s="1"/>
  <c r="G33" i="24" s="1"/>
  <c r="E33" i="24" s="1"/>
  <c r="B34" i="24"/>
  <c r="D34" i="24" s="1"/>
  <c r="G34" i="24" s="1"/>
  <c r="E34" i="24" s="1"/>
  <c r="B35" i="24"/>
  <c r="D35" i="24" s="1"/>
  <c r="G35" i="24" s="1"/>
  <c r="E35" i="24" s="1"/>
  <c r="B36" i="24"/>
  <c r="D36" i="24" s="1"/>
  <c r="G36" i="24" s="1"/>
  <c r="E36" i="24" s="1"/>
  <c r="B37" i="24"/>
  <c r="D37" i="24" s="1"/>
  <c r="G37" i="24" s="1"/>
  <c r="E37" i="24" s="1"/>
  <c r="B38" i="24"/>
  <c r="D38" i="24" s="1"/>
  <c r="G38" i="24" s="1"/>
  <c r="E38" i="24" s="1"/>
  <c r="B39" i="24"/>
  <c r="D39" i="24" s="1"/>
  <c r="G39" i="24" s="1"/>
  <c r="E39" i="24" s="1"/>
  <c r="B40" i="24"/>
  <c r="D40" i="24" s="1"/>
  <c r="G40" i="24" s="1"/>
  <c r="E40" i="24" s="1"/>
  <c r="B41" i="24"/>
  <c r="D41" i="24" s="1"/>
  <c r="G41" i="24" s="1"/>
  <c r="E41" i="24" s="1"/>
  <c r="B42" i="24"/>
  <c r="D42" i="24" s="1"/>
  <c r="G42" i="24" s="1"/>
  <c r="E42" i="24" s="1"/>
  <c r="B43" i="24"/>
  <c r="D43" i="24" s="1"/>
  <c r="G43" i="24" s="1"/>
  <c r="E43" i="24" s="1"/>
  <c r="B44" i="24"/>
  <c r="D44" i="24" s="1"/>
  <c r="E7" i="8"/>
  <c r="H7" i="8" s="1"/>
  <c r="F7" i="8" s="1"/>
  <c r="B8" i="8"/>
  <c r="E8" i="8" s="1"/>
  <c r="H8" i="8" s="1"/>
  <c r="F8" i="8" s="1"/>
  <c r="B9" i="8"/>
  <c r="E9" i="8" s="1"/>
  <c r="H9" i="8" s="1"/>
  <c r="F9" i="8" s="1"/>
  <c r="B10" i="8"/>
  <c r="E10" i="8" s="1"/>
  <c r="H10" i="8" s="1"/>
  <c r="F10" i="8" s="1"/>
  <c r="B11" i="8"/>
  <c r="E11" i="8" s="1"/>
  <c r="H11" i="8" s="1"/>
  <c r="F11" i="8" s="1"/>
  <c r="B12" i="8"/>
  <c r="E12" i="8" s="1"/>
  <c r="H12" i="8" s="1"/>
  <c r="F12" i="8" s="1"/>
  <c r="B13" i="8"/>
  <c r="E13" i="8" s="1"/>
  <c r="H13" i="8" s="1"/>
  <c r="F13" i="8" s="1"/>
  <c r="B14" i="8"/>
  <c r="E14" i="8" s="1"/>
  <c r="H14" i="8" s="1"/>
  <c r="F14" i="8" s="1"/>
  <c r="B15" i="8"/>
  <c r="E15" i="8" s="1"/>
  <c r="H15" i="8" s="1"/>
  <c r="F15" i="8" s="1"/>
  <c r="B16" i="8"/>
  <c r="E16" i="8" s="1"/>
  <c r="H16" i="8" s="1"/>
  <c r="F16" i="8" s="1"/>
  <c r="B17" i="8"/>
  <c r="E17" i="8" s="1"/>
  <c r="H17" i="8" s="1"/>
  <c r="F17" i="8" s="1"/>
  <c r="B18" i="8"/>
  <c r="E18" i="8" s="1"/>
  <c r="H18" i="8" s="1"/>
  <c r="F18" i="8" s="1"/>
  <c r="B19" i="8"/>
  <c r="E19" i="8" s="1"/>
  <c r="H19" i="8" s="1"/>
  <c r="F19" i="8" s="1"/>
  <c r="B20" i="8"/>
  <c r="E20" i="8" s="1"/>
  <c r="H20" i="8" s="1"/>
  <c r="F20" i="8" s="1"/>
  <c r="B21" i="8"/>
  <c r="E21" i="8" s="1"/>
  <c r="H21" i="8" s="1"/>
  <c r="F21" i="8" s="1"/>
  <c r="B22" i="8"/>
  <c r="E22" i="8" s="1"/>
  <c r="H22" i="8" s="1"/>
  <c r="F22" i="8" s="1"/>
  <c r="B23" i="8"/>
  <c r="E23" i="8" s="1"/>
  <c r="H23" i="8" s="1"/>
  <c r="F23" i="8" s="1"/>
  <c r="B24" i="8"/>
  <c r="E24" i="8" s="1"/>
  <c r="H24" i="8" s="1"/>
  <c r="F24" i="8" s="1"/>
  <c r="B25" i="8"/>
  <c r="E25" i="8" s="1"/>
  <c r="H25" i="8" s="1"/>
  <c r="F25" i="8" s="1"/>
  <c r="B26" i="8"/>
  <c r="E26" i="8" s="1"/>
  <c r="H26" i="8" s="1"/>
  <c r="F26" i="8" s="1"/>
  <c r="B27" i="8"/>
  <c r="E27" i="8" s="1"/>
  <c r="H27" i="8" s="1"/>
  <c r="F27" i="8" s="1"/>
  <c r="B28" i="8"/>
  <c r="E28" i="8" s="1"/>
  <c r="H28" i="8" s="1"/>
  <c r="F28" i="8" s="1"/>
  <c r="B29" i="8"/>
  <c r="E29" i="8" s="1"/>
  <c r="H29" i="8" s="1"/>
  <c r="F29" i="8" s="1"/>
  <c r="B30" i="8"/>
  <c r="E30" i="8" s="1"/>
  <c r="H30" i="8" s="1"/>
  <c r="F30" i="8" s="1"/>
  <c r="B31" i="8"/>
  <c r="E31" i="8" s="1"/>
  <c r="H31" i="8" s="1"/>
  <c r="F31" i="8" s="1"/>
  <c r="B32" i="8"/>
  <c r="E32" i="8" s="1"/>
  <c r="H32" i="8" s="1"/>
  <c r="F32" i="8" s="1"/>
  <c r="B33" i="8"/>
  <c r="E33" i="8" s="1"/>
  <c r="H33" i="8" s="1"/>
  <c r="F33" i="8" s="1"/>
  <c r="B34" i="8"/>
  <c r="E34" i="8" s="1"/>
  <c r="H34" i="8" s="1"/>
  <c r="F34" i="8" s="1"/>
  <c r="B35" i="8"/>
  <c r="E35" i="8" s="1"/>
  <c r="H35" i="8" s="1"/>
  <c r="F35" i="8" s="1"/>
  <c r="B36" i="8"/>
  <c r="E36" i="8" s="1"/>
  <c r="H36" i="8" s="1"/>
  <c r="F36" i="8" s="1"/>
  <c r="B37" i="8"/>
  <c r="E37" i="8" s="1"/>
  <c r="H37" i="8" s="1"/>
  <c r="F37" i="8" s="1"/>
  <c r="B38" i="8"/>
  <c r="E38" i="8" s="1"/>
  <c r="H38" i="8" s="1"/>
  <c r="F38" i="8"/>
  <c r="B39" i="8"/>
  <c r="E39" i="8" s="1"/>
  <c r="H39" i="8" s="1"/>
  <c r="F39" i="8" s="1"/>
  <c r="B40" i="8"/>
  <c r="E40" i="8" s="1"/>
  <c r="H40" i="8" s="1"/>
  <c r="F40" i="8" s="1"/>
  <c r="B41" i="8"/>
  <c r="E41" i="8" s="1"/>
  <c r="H41" i="8" s="1"/>
  <c r="F41" i="8" s="1"/>
  <c r="B42" i="8"/>
  <c r="E42" i="8" s="1"/>
  <c r="H42" i="8" s="1"/>
  <c r="F42" i="8" s="1"/>
  <c r="B43" i="8"/>
  <c r="E43" i="8" s="1"/>
  <c r="H43" i="8" s="1"/>
  <c r="F43" i="8" s="1"/>
  <c r="B44" i="8"/>
  <c r="C8" i="9"/>
  <c r="E8" i="9" s="1"/>
  <c r="J8" i="9" s="1"/>
  <c r="I8" i="9" s="1"/>
  <c r="C9" i="9"/>
  <c r="E9" i="9" s="1"/>
  <c r="J9" i="9" s="1"/>
  <c r="I9" i="9" s="1"/>
  <c r="C10" i="9"/>
  <c r="E10" i="9" s="1"/>
  <c r="J10" i="9" s="1"/>
  <c r="I10" i="9" s="1"/>
  <c r="C11" i="9"/>
  <c r="E11" i="9" s="1"/>
  <c r="J11" i="9" s="1"/>
  <c r="I11" i="9" s="1"/>
  <c r="C12" i="9"/>
  <c r="E12" i="9" s="1"/>
  <c r="J12" i="9" s="1"/>
  <c r="I12" i="9" s="1"/>
  <c r="C13" i="9"/>
  <c r="E13" i="9" s="1"/>
  <c r="J13" i="9" s="1"/>
  <c r="I13" i="9" s="1"/>
  <c r="C14" i="9"/>
  <c r="E14" i="9" s="1"/>
  <c r="J14" i="9" s="1"/>
  <c r="I14" i="9" s="1"/>
  <c r="C15" i="9"/>
  <c r="E15" i="9" s="1"/>
  <c r="J15" i="9" s="1"/>
  <c r="I15" i="9" s="1"/>
  <c r="C16" i="9"/>
  <c r="E16" i="9" s="1"/>
  <c r="J16" i="9" s="1"/>
  <c r="I16" i="9" s="1"/>
  <c r="C17" i="9"/>
  <c r="E17" i="9" s="1"/>
  <c r="J17" i="9" s="1"/>
  <c r="I17" i="9" s="1"/>
  <c r="C18" i="9"/>
  <c r="E18" i="9" s="1"/>
  <c r="J18" i="9" s="1"/>
  <c r="I18" i="9" s="1"/>
  <c r="C19" i="9"/>
  <c r="E19" i="9" s="1"/>
  <c r="J19" i="9" s="1"/>
  <c r="I19" i="9" s="1"/>
  <c r="C20" i="9"/>
  <c r="E20" i="9" s="1"/>
  <c r="J20" i="9" s="1"/>
  <c r="I20" i="9" s="1"/>
  <c r="C21" i="9"/>
  <c r="E21" i="9" s="1"/>
  <c r="J21" i="9" s="1"/>
  <c r="I21" i="9" s="1"/>
  <c r="C22" i="9"/>
  <c r="E22" i="9" s="1"/>
  <c r="J22" i="9" s="1"/>
  <c r="I22" i="9" s="1"/>
  <c r="C23" i="9"/>
  <c r="E23" i="9" s="1"/>
  <c r="J23" i="9" s="1"/>
  <c r="I23" i="9" s="1"/>
  <c r="C24" i="9"/>
  <c r="E24" i="9" s="1"/>
  <c r="J24" i="9" s="1"/>
  <c r="I24" i="9" s="1"/>
  <c r="C25" i="9"/>
  <c r="E25" i="9" s="1"/>
  <c r="J25" i="9" s="1"/>
  <c r="I25" i="9" s="1"/>
  <c r="C26" i="9"/>
  <c r="E26" i="9" s="1"/>
  <c r="J26" i="9" s="1"/>
  <c r="I26" i="9" s="1"/>
  <c r="C27" i="9"/>
  <c r="E27" i="9" s="1"/>
  <c r="J27" i="9" s="1"/>
  <c r="I27" i="9" s="1"/>
  <c r="C28" i="9"/>
  <c r="E28" i="9" s="1"/>
  <c r="J28" i="9" s="1"/>
  <c r="I28" i="9" s="1"/>
  <c r="C29" i="9"/>
  <c r="E29" i="9" s="1"/>
  <c r="J29" i="9" s="1"/>
  <c r="I29" i="9" s="1"/>
  <c r="C30" i="9"/>
  <c r="E30" i="9" s="1"/>
  <c r="J30" i="9" s="1"/>
  <c r="I30" i="9" s="1"/>
  <c r="C31" i="9"/>
  <c r="E31" i="9" s="1"/>
  <c r="J31" i="9" s="1"/>
  <c r="I31" i="9" s="1"/>
  <c r="C32" i="9"/>
  <c r="E32" i="9" s="1"/>
  <c r="J32" i="9" s="1"/>
  <c r="I32" i="9" s="1"/>
  <c r="C33" i="9"/>
  <c r="E33" i="9" s="1"/>
  <c r="J33" i="9" s="1"/>
  <c r="I33" i="9" s="1"/>
  <c r="C34" i="9"/>
  <c r="E34" i="9" s="1"/>
  <c r="J34" i="9" s="1"/>
  <c r="I34" i="9" s="1"/>
  <c r="C35" i="9"/>
  <c r="E35" i="9" s="1"/>
  <c r="J35" i="9" s="1"/>
  <c r="I35" i="9" s="1"/>
  <c r="C36" i="9"/>
  <c r="E36" i="9" s="1"/>
  <c r="J36" i="9" s="1"/>
  <c r="I36" i="9" s="1"/>
  <c r="C37" i="9"/>
  <c r="E37" i="9" s="1"/>
  <c r="J37" i="9" s="1"/>
  <c r="I37" i="9" s="1"/>
  <c r="C38" i="9"/>
  <c r="E38" i="9" s="1"/>
  <c r="J38" i="9" s="1"/>
  <c r="I38" i="9" s="1"/>
  <c r="C39" i="9"/>
  <c r="E39" i="9" s="1"/>
  <c r="J39" i="9" s="1"/>
  <c r="I39" i="9" s="1"/>
  <c r="C40" i="9"/>
  <c r="E40" i="9" s="1"/>
  <c r="J40" i="9" s="1"/>
  <c r="I40" i="9" s="1"/>
  <c r="C41" i="9"/>
  <c r="E41" i="9" s="1"/>
  <c r="J41" i="9" s="1"/>
  <c r="I41" i="9" s="1"/>
  <c r="C42" i="9"/>
  <c r="E42" i="9" s="1"/>
  <c r="J42" i="9" s="1"/>
  <c r="I42" i="9" s="1"/>
  <c r="C43" i="9"/>
  <c r="C44" i="9"/>
  <c r="E44" i="9" s="1"/>
  <c r="J44" i="9" s="1"/>
  <c r="I44" i="9" s="1"/>
  <c r="C45" i="9"/>
  <c r="E45" i="9" s="1"/>
  <c r="J45" i="9" s="1"/>
  <c r="I45" i="9" s="1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E7" i="45"/>
  <c r="H7" i="45" s="1"/>
  <c r="F7" i="45" s="1"/>
  <c r="B8" i="45"/>
  <c r="E8" i="45" s="1"/>
  <c r="H8" i="45" s="1"/>
  <c r="F8" i="45" s="1"/>
  <c r="B9" i="45"/>
  <c r="E9" i="45" s="1"/>
  <c r="H9" i="45" s="1"/>
  <c r="F9" i="45" s="1"/>
  <c r="B10" i="45"/>
  <c r="E10" i="45" s="1"/>
  <c r="H10" i="45" s="1"/>
  <c r="F10" i="45" s="1"/>
  <c r="B11" i="45"/>
  <c r="E11" i="45" s="1"/>
  <c r="H11" i="45" s="1"/>
  <c r="F11" i="45" s="1"/>
  <c r="B12" i="45"/>
  <c r="E12" i="45" s="1"/>
  <c r="H12" i="45" s="1"/>
  <c r="F12" i="45" s="1"/>
  <c r="B13" i="45"/>
  <c r="E13" i="45" s="1"/>
  <c r="H13" i="45" s="1"/>
  <c r="F13" i="45" s="1"/>
  <c r="B14" i="45"/>
  <c r="E14" i="45" s="1"/>
  <c r="H14" i="45" s="1"/>
  <c r="F14" i="45" s="1"/>
  <c r="B15" i="45"/>
  <c r="E15" i="45" s="1"/>
  <c r="H15" i="45" s="1"/>
  <c r="F15" i="45" s="1"/>
  <c r="B16" i="45"/>
  <c r="E16" i="45" s="1"/>
  <c r="H16" i="45" s="1"/>
  <c r="F16" i="45" s="1"/>
  <c r="B17" i="45"/>
  <c r="E17" i="45" s="1"/>
  <c r="H17" i="45" s="1"/>
  <c r="F17" i="45" s="1"/>
  <c r="B18" i="45"/>
  <c r="E18" i="45" s="1"/>
  <c r="H18" i="45" s="1"/>
  <c r="F18" i="45" s="1"/>
  <c r="B19" i="45"/>
  <c r="E19" i="45" s="1"/>
  <c r="H19" i="45" s="1"/>
  <c r="F19" i="45" s="1"/>
  <c r="B20" i="45"/>
  <c r="E20" i="45" s="1"/>
  <c r="H20" i="45" s="1"/>
  <c r="F20" i="45" s="1"/>
  <c r="B21" i="45"/>
  <c r="E21" i="45" s="1"/>
  <c r="H21" i="45" s="1"/>
  <c r="F21" i="45" s="1"/>
  <c r="B22" i="45"/>
  <c r="E22" i="45" s="1"/>
  <c r="H22" i="45" s="1"/>
  <c r="F22" i="45" s="1"/>
  <c r="B23" i="45"/>
  <c r="E23" i="45" s="1"/>
  <c r="H23" i="45" s="1"/>
  <c r="F23" i="45" s="1"/>
  <c r="B24" i="45"/>
  <c r="E24" i="45" s="1"/>
  <c r="H24" i="45" s="1"/>
  <c r="F24" i="45" s="1"/>
  <c r="B25" i="45"/>
  <c r="E25" i="45" s="1"/>
  <c r="H25" i="45" s="1"/>
  <c r="F25" i="45" s="1"/>
  <c r="B26" i="45"/>
  <c r="E26" i="45" s="1"/>
  <c r="H26" i="45" s="1"/>
  <c r="F26" i="45" s="1"/>
  <c r="B27" i="45"/>
  <c r="E27" i="45" s="1"/>
  <c r="H27" i="45" s="1"/>
  <c r="F27" i="45" s="1"/>
  <c r="B28" i="45"/>
  <c r="E28" i="45" s="1"/>
  <c r="H28" i="45" s="1"/>
  <c r="F28" i="45" s="1"/>
  <c r="B29" i="45"/>
  <c r="E29" i="45" s="1"/>
  <c r="H29" i="45" s="1"/>
  <c r="F29" i="45" s="1"/>
  <c r="B30" i="45"/>
  <c r="E30" i="45" s="1"/>
  <c r="H30" i="45" s="1"/>
  <c r="F30" i="45" s="1"/>
  <c r="B31" i="45"/>
  <c r="E31" i="45" s="1"/>
  <c r="H31" i="45" s="1"/>
  <c r="F31" i="45" s="1"/>
  <c r="B32" i="45"/>
  <c r="E32" i="45" s="1"/>
  <c r="H32" i="45" s="1"/>
  <c r="F32" i="45" s="1"/>
  <c r="E33" i="45"/>
  <c r="H33" i="45" s="1"/>
  <c r="F33" i="45" s="1"/>
  <c r="E7" i="46"/>
  <c r="J7" i="46" s="1"/>
  <c r="F7" i="46" s="1"/>
  <c r="H7" i="46" s="1"/>
  <c r="B8" i="46"/>
  <c r="E8" i="46" s="1"/>
  <c r="J8" i="46" s="1"/>
  <c r="F8" i="46" s="1"/>
  <c r="H8" i="46" s="1"/>
  <c r="B9" i="46"/>
  <c r="E9" i="46" s="1"/>
  <c r="J9" i="46" s="1"/>
  <c r="F9" i="46" s="1"/>
  <c r="H9" i="46" s="1"/>
  <c r="B10" i="46"/>
  <c r="E10" i="46" s="1"/>
  <c r="J10" i="46" s="1"/>
  <c r="F10" i="46" s="1"/>
  <c r="H10" i="46" s="1"/>
  <c r="B11" i="46"/>
  <c r="E11" i="46" s="1"/>
  <c r="J11" i="46" s="1"/>
  <c r="F11" i="46" s="1"/>
  <c r="H11" i="46" s="1"/>
  <c r="B12" i="46"/>
  <c r="E12" i="46" s="1"/>
  <c r="J12" i="46" s="1"/>
  <c r="F12" i="46" s="1"/>
  <c r="H12" i="46" s="1"/>
  <c r="B13" i="46"/>
  <c r="E13" i="46" s="1"/>
  <c r="J13" i="46" s="1"/>
  <c r="F13" i="46" s="1"/>
  <c r="H13" i="46" s="1"/>
  <c r="B14" i="46"/>
  <c r="E14" i="46" s="1"/>
  <c r="J14" i="46" s="1"/>
  <c r="F14" i="46" s="1"/>
  <c r="H14" i="46" s="1"/>
  <c r="B15" i="46"/>
  <c r="E15" i="46" s="1"/>
  <c r="J15" i="46" s="1"/>
  <c r="F15" i="46" s="1"/>
  <c r="H15" i="46" s="1"/>
  <c r="B16" i="46"/>
  <c r="E16" i="46" s="1"/>
  <c r="J16" i="46" s="1"/>
  <c r="F16" i="46" s="1"/>
  <c r="H16" i="46" s="1"/>
  <c r="B17" i="46"/>
  <c r="E17" i="46" s="1"/>
  <c r="J17" i="46" s="1"/>
  <c r="F17" i="46" s="1"/>
  <c r="H17" i="46" s="1"/>
  <c r="B18" i="46"/>
  <c r="E18" i="46" s="1"/>
  <c r="J18" i="46" s="1"/>
  <c r="F18" i="46" s="1"/>
  <c r="H18" i="46" s="1"/>
  <c r="B19" i="46"/>
  <c r="E19" i="46" s="1"/>
  <c r="J19" i="46" s="1"/>
  <c r="F19" i="46" s="1"/>
  <c r="H19" i="46" s="1"/>
  <c r="B20" i="46"/>
  <c r="E20" i="46" s="1"/>
  <c r="J20" i="46" s="1"/>
  <c r="F20" i="46" s="1"/>
  <c r="H20" i="46" s="1"/>
  <c r="B21" i="46"/>
  <c r="E21" i="46" s="1"/>
  <c r="J21" i="46" s="1"/>
  <c r="F21" i="46" s="1"/>
  <c r="H21" i="46" s="1"/>
  <c r="B22" i="46"/>
  <c r="E22" i="46" s="1"/>
  <c r="J22" i="46" s="1"/>
  <c r="F22" i="46" s="1"/>
  <c r="H22" i="46" s="1"/>
  <c r="B23" i="46"/>
  <c r="E23" i="46" s="1"/>
  <c r="J23" i="46" s="1"/>
  <c r="F23" i="46" s="1"/>
  <c r="H23" i="46" s="1"/>
  <c r="B24" i="46"/>
  <c r="E24" i="46" s="1"/>
  <c r="J24" i="46" s="1"/>
  <c r="F24" i="46" s="1"/>
  <c r="H24" i="46" s="1"/>
  <c r="B25" i="46"/>
  <c r="E25" i="46" s="1"/>
  <c r="J25" i="46" s="1"/>
  <c r="F25" i="46" s="1"/>
  <c r="H25" i="46" s="1"/>
  <c r="B26" i="46"/>
  <c r="E26" i="46" s="1"/>
  <c r="J26" i="46" s="1"/>
  <c r="F26" i="46" s="1"/>
  <c r="H26" i="46" s="1"/>
  <c r="B27" i="46"/>
  <c r="E27" i="46" s="1"/>
  <c r="J27" i="46" s="1"/>
  <c r="F27" i="46" s="1"/>
  <c r="H27" i="46" s="1"/>
  <c r="B28" i="46"/>
  <c r="E28" i="46" s="1"/>
  <c r="J28" i="46" s="1"/>
  <c r="F28" i="46" s="1"/>
  <c r="H28" i="46" s="1"/>
  <c r="B29" i="46"/>
  <c r="E29" i="46" s="1"/>
  <c r="J29" i="46" s="1"/>
  <c r="F29" i="46" s="1"/>
  <c r="H29" i="46" s="1"/>
  <c r="B30" i="46"/>
  <c r="E30" i="46" s="1"/>
  <c r="J30" i="46" s="1"/>
  <c r="F30" i="46" s="1"/>
  <c r="H30" i="46" s="1"/>
  <c r="B31" i="46"/>
  <c r="E31" i="46" s="1"/>
  <c r="J31" i="46" s="1"/>
  <c r="F31" i="46" s="1"/>
  <c r="H31" i="46" s="1"/>
  <c r="E32" i="46"/>
  <c r="J32" i="46" s="1"/>
  <c r="F32" i="46" s="1"/>
  <c r="H32" i="46" s="1"/>
  <c r="E33" i="46"/>
  <c r="J33" i="46" s="1"/>
  <c r="D8" i="47"/>
  <c r="H8" i="47"/>
  <c r="K8" i="47" s="1"/>
  <c r="D9" i="47"/>
  <c r="E9" i="47"/>
  <c r="H9" i="47" s="1"/>
  <c r="K9" i="47" s="1"/>
  <c r="D10" i="47"/>
  <c r="E10" i="47"/>
  <c r="H10" i="47" s="1"/>
  <c r="K10" i="47" s="1"/>
  <c r="D11" i="47"/>
  <c r="E11" i="47"/>
  <c r="H11" i="47" s="1"/>
  <c r="K11" i="47" s="1"/>
  <c r="D12" i="47"/>
  <c r="E12" i="47"/>
  <c r="H12" i="47" s="1"/>
  <c r="K12" i="47" s="1"/>
  <c r="D13" i="47"/>
  <c r="E13" i="47"/>
  <c r="H13" i="47" s="1"/>
  <c r="K13" i="47" s="1"/>
  <c r="D14" i="47"/>
  <c r="E14" i="47"/>
  <c r="H14" i="47" s="1"/>
  <c r="K14" i="47" s="1"/>
  <c r="D15" i="47"/>
  <c r="E15" i="47"/>
  <c r="H15" i="47" s="1"/>
  <c r="K15" i="47" s="1"/>
  <c r="D16" i="47"/>
  <c r="E16" i="47"/>
  <c r="H16" i="47" s="1"/>
  <c r="K16" i="47" s="1"/>
  <c r="D17" i="47"/>
  <c r="E17" i="47"/>
  <c r="H17" i="47" s="1"/>
  <c r="K17" i="47" s="1"/>
  <c r="D18" i="47"/>
  <c r="E18" i="47"/>
  <c r="H18" i="47" s="1"/>
  <c r="K18" i="47" s="1"/>
  <c r="D19" i="47"/>
  <c r="E19" i="47"/>
  <c r="H19" i="47" s="1"/>
  <c r="K19" i="47" s="1"/>
  <c r="D20" i="47"/>
  <c r="E20" i="47"/>
  <c r="H20" i="47" s="1"/>
  <c r="K20" i="47" s="1"/>
  <c r="D21" i="47"/>
  <c r="E21" i="47"/>
  <c r="H21" i="47" s="1"/>
  <c r="K21" i="47" s="1"/>
  <c r="D22" i="47"/>
  <c r="E22" i="47"/>
  <c r="H22" i="47" s="1"/>
  <c r="K22" i="47" s="1"/>
  <c r="D23" i="47"/>
  <c r="E23" i="47"/>
  <c r="H23" i="47" s="1"/>
  <c r="K23" i="47" s="1"/>
  <c r="D24" i="47"/>
  <c r="E24" i="47"/>
  <c r="H24" i="47" s="1"/>
  <c r="K24" i="47" s="1"/>
  <c r="D25" i="47"/>
  <c r="E25" i="47"/>
  <c r="H25" i="47" s="1"/>
  <c r="K25" i="47" s="1"/>
  <c r="D26" i="47"/>
  <c r="E26" i="47"/>
  <c r="H26" i="47" s="1"/>
  <c r="K26" i="47" s="1"/>
  <c r="D27" i="47"/>
  <c r="E27" i="47"/>
  <c r="H27" i="47" s="1"/>
  <c r="K27" i="47" s="1"/>
  <c r="D28" i="47"/>
  <c r="E28" i="47"/>
  <c r="H28" i="47" s="1"/>
  <c r="K28" i="47" s="1"/>
  <c r="D29" i="47"/>
  <c r="E29" i="47"/>
  <c r="H29" i="47" s="1"/>
  <c r="K29" i="47" s="1"/>
  <c r="D30" i="47"/>
  <c r="E30" i="47"/>
  <c r="H30" i="47" s="1"/>
  <c r="K30" i="47" s="1"/>
  <c r="D31" i="47"/>
  <c r="H31" i="47"/>
  <c r="K31" i="47" s="1"/>
  <c r="D32" i="47"/>
  <c r="H32" i="47"/>
  <c r="K32" i="47" s="1"/>
  <c r="D33" i="47"/>
  <c r="H33" i="47"/>
  <c r="K33" i="47" s="1"/>
  <c r="H34" i="47"/>
  <c r="E8" i="16"/>
  <c r="H8" i="16" s="1"/>
  <c r="F8" i="16" s="1"/>
  <c r="B9" i="16"/>
  <c r="E9" i="16" s="1"/>
  <c r="H9" i="16" s="1"/>
  <c r="F9" i="16" s="1"/>
  <c r="B10" i="16"/>
  <c r="E10" i="16" s="1"/>
  <c r="H10" i="16" s="1"/>
  <c r="F10" i="16" s="1"/>
  <c r="B11" i="16"/>
  <c r="E11" i="16" s="1"/>
  <c r="H11" i="16" s="1"/>
  <c r="F11" i="16" s="1"/>
  <c r="B12" i="16"/>
  <c r="E12" i="16" s="1"/>
  <c r="H12" i="16" s="1"/>
  <c r="F12" i="16" s="1"/>
  <c r="B13" i="16"/>
  <c r="E13" i="16" s="1"/>
  <c r="H13" i="16" s="1"/>
  <c r="F13" i="16" s="1"/>
  <c r="B14" i="16"/>
  <c r="E14" i="16" s="1"/>
  <c r="H14" i="16" s="1"/>
  <c r="F14" i="16" s="1"/>
  <c r="B15" i="16"/>
  <c r="E15" i="16" s="1"/>
  <c r="H15" i="16" s="1"/>
  <c r="F15" i="16" s="1"/>
  <c r="B16" i="16"/>
  <c r="E16" i="16" s="1"/>
  <c r="H16" i="16" s="1"/>
  <c r="F16" i="16" s="1"/>
  <c r="B17" i="16"/>
  <c r="E17" i="16" s="1"/>
  <c r="H17" i="16" s="1"/>
  <c r="F17" i="16" s="1"/>
  <c r="B18" i="16"/>
  <c r="E18" i="16" s="1"/>
  <c r="H18" i="16" s="1"/>
  <c r="F18" i="16" s="1"/>
  <c r="B19" i="16"/>
  <c r="E19" i="16" s="1"/>
  <c r="H19" i="16" s="1"/>
  <c r="F19" i="16" s="1"/>
  <c r="B20" i="16"/>
  <c r="E20" i="16" s="1"/>
  <c r="H20" i="16" s="1"/>
  <c r="F20" i="16" s="1"/>
  <c r="B21" i="16"/>
  <c r="E21" i="16" s="1"/>
  <c r="H21" i="16" s="1"/>
  <c r="F21" i="16" s="1"/>
  <c r="B22" i="16"/>
  <c r="E22" i="16" s="1"/>
  <c r="H22" i="16" s="1"/>
  <c r="F22" i="16" s="1"/>
  <c r="B23" i="16"/>
  <c r="E23" i="16" s="1"/>
  <c r="H23" i="16" s="1"/>
  <c r="F23" i="16" s="1"/>
  <c r="B24" i="16"/>
  <c r="E24" i="16" s="1"/>
  <c r="H24" i="16" s="1"/>
  <c r="F24" i="16" s="1"/>
  <c r="B25" i="16"/>
  <c r="E25" i="16" s="1"/>
  <c r="H25" i="16" s="1"/>
  <c r="F25" i="16" s="1"/>
  <c r="B26" i="16"/>
  <c r="E26" i="16" s="1"/>
  <c r="H26" i="16" s="1"/>
  <c r="F26" i="16" s="1"/>
  <c r="B27" i="16"/>
  <c r="E27" i="16" s="1"/>
  <c r="H27" i="16" s="1"/>
  <c r="F27" i="16" s="1"/>
  <c r="B28" i="16"/>
  <c r="E28" i="16" s="1"/>
  <c r="H28" i="16" s="1"/>
  <c r="F28" i="16" s="1"/>
  <c r="B29" i="16"/>
  <c r="E29" i="16" s="1"/>
  <c r="H29" i="16" s="1"/>
  <c r="F29" i="16" s="1"/>
  <c r="B30" i="16"/>
  <c r="E30" i="16" s="1"/>
  <c r="H30" i="16" s="1"/>
  <c r="F30" i="16" s="1"/>
  <c r="B31" i="16"/>
  <c r="E31" i="16" s="1"/>
  <c r="H31" i="16" s="1"/>
  <c r="F31" i="16" s="1"/>
  <c r="B32" i="16"/>
  <c r="E32" i="16" s="1"/>
  <c r="H32" i="16" s="1"/>
  <c r="F32" i="16" s="1"/>
  <c r="B33" i="16"/>
  <c r="E33" i="16" s="1"/>
  <c r="H33" i="16" s="1"/>
  <c r="F33" i="16" s="1"/>
  <c r="B34" i="16"/>
  <c r="E34" i="16" s="1"/>
  <c r="H34" i="16" s="1"/>
  <c r="F34" i="16" s="1"/>
  <c r="B35" i="16"/>
  <c r="E35" i="16" s="1"/>
  <c r="H35" i="16" s="1"/>
  <c r="F35" i="16" s="1"/>
  <c r="B36" i="16"/>
  <c r="E36" i="16" s="1"/>
  <c r="H36" i="16" s="1"/>
  <c r="F36" i="16" s="1"/>
  <c r="B37" i="16"/>
  <c r="E37" i="16" s="1"/>
  <c r="H37" i="16" s="1"/>
  <c r="F37" i="16" s="1"/>
  <c r="B38" i="16"/>
  <c r="E38" i="16" s="1"/>
  <c r="H38" i="16" s="1"/>
  <c r="F38" i="16" s="1"/>
  <c r="B39" i="16"/>
  <c r="E39" i="16" s="1"/>
  <c r="H39" i="16" s="1"/>
  <c r="F39" i="16" s="1"/>
  <c r="B40" i="16"/>
  <c r="E40" i="16" s="1"/>
  <c r="H40" i="16" s="1"/>
  <c r="F40" i="16" s="1"/>
  <c r="B41" i="16"/>
  <c r="E41" i="16" s="1"/>
  <c r="H41" i="16" s="1"/>
  <c r="F41" i="16" s="1"/>
  <c r="B42" i="16"/>
  <c r="E42" i="16" s="1"/>
  <c r="H42" i="16" s="1"/>
  <c r="F42" i="16" s="1"/>
  <c r="B43" i="16"/>
  <c r="E43" i="16" s="1"/>
  <c r="H43" i="16" s="1"/>
  <c r="F43" i="16" s="1"/>
  <c r="B44" i="16"/>
  <c r="E44" i="16" s="1"/>
  <c r="H44" i="16" s="1"/>
  <c r="F44" i="16" s="1"/>
  <c r="E45" i="16"/>
  <c r="H45" i="16" s="1"/>
  <c r="F45" i="16" s="1"/>
  <c r="E8" i="31"/>
  <c r="H8" i="31" s="1"/>
  <c r="F8" i="31" s="1"/>
  <c r="B9" i="31"/>
  <c r="E9" i="31" s="1"/>
  <c r="H9" i="31" s="1"/>
  <c r="F9" i="31" s="1"/>
  <c r="B10" i="31"/>
  <c r="E10" i="31" s="1"/>
  <c r="H10" i="31" s="1"/>
  <c r="F10" i="31" s="1"/>
  <c r="B11" i="31"/>
  <c r="E11" i="31" s="1"/>
  <c r="H11" i="31" s="1"/>
  <c r="F11" i="31" s="1"/>
  <c r="B12" i="31"/>
  <c r="E12" i="31" s="1"/>
  <c r="H12" i="31" s="1"/>
  <c r="F12" i="31" s="1"/>
  <c r="B13" i="31"/>
  <c r="E13" i="31" s="1"/>
  <c r="H13" i="31" s="1"/>
  <c r="F13" i="31" s="1"/>
  <c r="B14" i="31"/>
  <c r="E14" i="31" s="1"/>
  <c r="H14" i="31" s="1"/>
  <c r="F14" i="31" s="1"/>
  <c r="B15" i="31"/>
  <c r="E15" i="31" s="1"/>
  <c r="H15" i="31" s="1"/>
  <c r="F15" i="31" s="1"/>
  <c r="B16" i="31"/>
  <c r="E16" i="31" s="1"/>
  <c r="H16" i="31" s="1"/>
  <c r="F16" i="31" s="1"/>
  <c r="B17" i="31"/>
  <c r="E17" i="31" s="1"/>
  <c r="H17" i="31" s="1"/>
  <c r="F17" i="31" s="1"/>
  <c r="B18" i="31"/>
  <c r="E18" i="31" s="1"/>
  <c r="H18" i="31" s="1"/>
  <c r="F18" i="31" s="1"/>
  <c r="B19" i="31"/>
  <c r="E19" i="31" s="1"/>
  <c r="H19" i="31" s="1"/>
  <c r="F19" i="31" s="1"/>
  <c r="B20" i="31"/>
  <c r="E20" i="31" s="1"/>
  <c r="H20" i="31" s="1"/>
  <c r="F20" i="31" s="1"/>
  <c r="B21" i="31"/>
  <c r="E21" i="31" s="1"/>
  <c r="H21" i="31" s="1"/>
  <c r="F21" i="31" s="1"/>
  <c r="B22" i="31"/>
  <c r="E22" i="31" s="1"/>
  <c r="H22" i="31" s="1"/>
  <c r="F22" i="31" s="1"/>
  <c r="B23" i="31"/>
  <c r="E23" i="31" s="1"/>
  <c r="H23" i="31" s="1"/>
  <c r="F23" i="31" s="1"/>
  <c r="B24" i="31"/>
  <c r="E24" i="31" s="1"/>
  <c r="H24" i="31" s="1"/>
  <c r="F24" i="31" s="1"/>
  <c r="B25" i="31"/>
  <c r="E25" i="31" s="1"/>
  <c r="H25" i="31" s="1"/>
  <c r="F25" i="31" s="1"/>
  <c r="B26" i="31"/>
  <c r="E26" i="31" s="1"/>
  <c r="H26" i="31" s="1"/>
  <c r="F26" i="31" s="1"/>
  <c r="B27" i="31"/>
  <c r="E27" i="31" s="1"/>
  <c r="H27" i="31" s="1"/>
  <c r="F27" i="31" s="1"/>
  <c r="B28" i="31"/>
  <c r="E28" i="31" s="1"/>
  <c r="H28" i="31" s="1"/>
  <c r="F28" i="31" s="1"/>
  <c r="B29" i="31"/>
  <c r="E29" i="31" s="1"/>
  <c r="H29" i="31" s="1"/>
  <c r="F29" i="31" s="1"/>
  <c r="B30" i="31"/>
  <c r="E30" i="31" s="1"/>
  <c r="H30" i="31" s="1"/>
  <c r="F30" i="31" s="1"/>
  <c r="B31" i="31"/>
  <c r="E31" i="31" s="1"/>
  <c r="H31" i="31" s="1"/>
  <c r="F31" i="31" s="1"/>
  <c r="B32" i="31"/>
  <c r="E32" i="31" s="1"/>
  <c r="H32" i="31" s="1"/>
  <c r="F32" i="31" s="1"/>
  <c r="B33" i="31"/>
  <c r="E33" i="31" s="1"/>
  <c r="H33" i="31" s="1"/>
  <c r="F33" i="31" s="1"/>
  <c r="B34" i="31"/>
  <c r="E34" i="31" s="1"/>
  <c r="H34" i="31" s="1"/>
  <c r="F34" i="31" s="1"/>
  <c r="B35" i="31"/>
  <c r="E35" i="31" s="1"/>
  <c r="H35" i="31" s="1"/>
  <c r="F35" i="31" s="1"/>
  <c r="B36" i="31"/>
  <c r="E36" i="31" s="1"/>
  <c r="H36" i="31" s="1"/>
  <c r="F36" i="31" s="1"/>
  <c r="B37" i="31"/>
  <c r="E37" i="31" s="1"/>
  <c r="H37" i="31" s="1"/>
  <c r="F37" i="31" s="1"/>
  <c r="B38" i="31"/>
  <c r="E38" i="31" s="1"/>
  <c r="H38" i="31" s="1"/>
  <c r="F38" i="31" s="1"/>
  <c r="B39" i="31"/>
  <c r="E39" i="31" s="1"/>
  <c r="H39" i="31" s="1"/>
  <c r="F39" i="31" s="1"/>
  <c r="B40" i="31"/>
  <c r="E40" i="31" s="1"/>
  <c r="H40" i="31" s="1"/>
  <c r="F40" i="31" s="1"/>
  <c r="B41" i="31"/>
  <c r="E41" i="31" s="1"/>
  <c r="H41" i="31" s="1"/>
  <c r="F41" i="31" s="1"/>
  <c r="B42" i="31"/>
  <c r="E42" i="31" s="1"/>
  <c r="H42" i="31" s="1"/>
  <c r="B43" i="31"/>
  <c r="E43" i="31" s="1"/>
  <c r="H43" i="31" s="1"/>
  <c r="F43" i="31" s="1"/>
  <c r="B44" i="31"/>
  <c r="E44" i="31" s="1"/>
  <c r="B45" i="31"/>
  <c r="E45" i="31" s="1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D6" i="33"/>
  <c r="J6" i="33"/>
  <c r="K6" i="33"/>
  <c r="M6" i="33"/>
  <c r="D7" i="33"/>
  <c r="H7" i="33"/>
  <c r="J7" i="33"/>
  <c r="K7" i="33"/>
  <c r="M7" i="33"/>
  <c r="D8" i="33"/>
  <c r="H8" i="33"/>
  <c r="J8" i="33"/>
  <c r="K8" i="33"/>
  <c r="M8" i="33"/>
  <c r="L8" i="33" s="1"/>
  <c r="D9" i="33"/>
  <c r="H9" i="33"/>
  <c r="J9" i="33"/>
  <c r="K9" i="33"/>
  <c r="M9" i="33"/>
  <c r="D10" i="33"/>
  <c r="H10" i="33"/>
  <c r="J10" i="33"/>
  <c r="K10" i="33"/>
  <c r="M10" i="33"/>
  <c r="D11" i="33"/>
  <c r="H11" i="33"/>
  <c r="J11" i="33"/>
  <c r="K11" i="33"/>
  <c r="M11" i="33"/>
  <c r="D12" i="33"/>
  <c r="H12" i="33"/>
  <c r="J12" i="33"/>
  <c r="K12" i="33"/>
  <c r="M12" i="33"/>
  <c r="D13" i="33"/>
  <c r="H13" i="33"/>
  <c r="J13" i="33"/>
  <c r="K13" i="33"/>
  <c r="M13" i="33"/>
  <c r="D14" i="33"/>
  <c r="H14" i="33"/>
  <c r="J14" i="33"/>
  <c r="K14" i="33"/>
  <c r="M14" i="33"/>
  <c r="L14" i="33" s="1"/>
  <c r="D15" i="33"/>
  <c r="H15" i="33"/>
  <c r="J15" i="33"/>
  <c r="K15" i="33"/>
  <c r="M15" i="33"/>
  <c r="D16" i="33"/>
  <c r="H16" i="33"/>
  <c r="J16" i="33"/>
  <c r="K16" i="33"/>
  <c r="M16" i="33"/>
  <c r="D17" i="33"/>
  <c r="H17" i="33"/>
  <c r="J17" i="33"/>
  <c r="K17" i="33"/>
  <c r="M17" i="33"/>
  <c r="D18" i="33"/>
  <c r="H18" i="33"/>
  <c r="J18" i="33"/>
  <c r="K18" i="33"/>
  <c r="M18" i="33"/>
  <c r="D19" i="33"/>
  <c r="H19" i="33"/>
  <c r="J19" i="33"/>
  <c r="K19" i="33"/>
  <c r="M19" i="33"/>
  <c r="C21" i="32" s="1"/>
  <c r="D20" i="33"/>
  <c r="H20" i="33"/>
  <c r="J20" i="33"/>
  <c r="K20" i="33"/>
  <c r="M20" i="33"/>
  <c r="D21" i="33"/>
  <c r="H21" i="33"/>
  <c r="J21" i="33"/>
  <c r="K21" i="33"/>
  <c r="M21" i="33"/>
  <c r="D22" i="33"/>
  <c r="H22" i="33"/>
  <c r="J22" i="33"/>
  <c r="K22" i="33"/>
  <c r="M22" i="33"/>
  <c r="D23" i="33"/>
  <c r="H23" i="33"/>
  <c r="J23" i="33"/>
  <c r="K23" i="33"/>
  <c r="M23" i="33"/>
  <c r="D24" i="33"/>
  <c r="H24" i="33"/>
  <c r="J24" i="33"/>
  <c r="K24" i="33"/>
  <c r="M24" i="33"/>
  <c r="D25" i="33"/>
  <c r="H25" i="33"/>
  <c r="J25" i="33"/>
  <c r="K25" i="33"/>
  <c r="M25" i="33"/>
  <c r="D26" i="33"/>
  <c r="H26" i="33"/>
  <c r="J26" i="33"/>
  <c r="K26" i="33"/>
  <c r="M26" i="33"/>
  <c r="D27" i="33"/>
  <c r="H27" i="33"/>
  <c r="J27" i="33"/>
  <c r="K27" i="33"/>
  <c r="M27" i="33"/>
  <c r="D28" i="33"/>
  <c r="H28" i="33"/>
  <c r="J28" i="33"/>
  <c r="K28" i="33"/>
  <c r="M28" i="33"/>
  <c r="D29" i="33"/>
  <c r="H29" i="33"/>
  <c r="J29" i="33"/>
  <c r="K29" i="33"/>
  <c r="M29" i="33"/>
  <c r="D30" i="33"/>
  <c r="H30" i="33"/>
  <c r="J30" i="33"/>
  <c r="K30" i="33"/>
  <c r="M30" i="33"/>
  <c r="D31" i="33"/>
  <c r="H31" i="33"/>
  <c r="J31" i="33"/>
  <c r="K31" i="33"/>
  <c r="M31" i="33"/>
  <c r="D32" i="33"/>
  <c r="H32" i="33"/>
  <c r="J32" i="33"/>
  <c r="K32" i="33"/>
  <c r="M32" i="33"/>
  <c r="D33" i="33"/>
  <c r="H33" i="33"/>
  <c r="J33" i="33"/>
  <c r="K33" i="33"/>
  <c r="M33" i="33"/>
  <c r="D34" i="33"/>
  <c r="H34" i="33"/>
  <c r="J34" i="33"/>
  <c r="K34" i="33"/>
  <c r="M34" i="33"/>
  <c r="C36" i="32" s="1"/>
  <c r="D35" i="33"/>
  <c r="H35" i="33"/>
  <c r="J35" i="33"/>
  <c r="K35" i="33"/>
  <c r="M35" i="33"/>
  <c r="D36" i="33"/>
  <c r="H36" i="33"/>
  <c r="J36" i="33"/>
  <c r="K36" i="33"/>
  <c r="M36" i="33"/>
  <c r="D37" i="33"/>
  <c r="H37" i="33"/>
  <c r="J37" i="33"/>
  <c r="K37" i="33"/>
  <c r="M37" i="33"/>
  <c r="D38" i="33"/>
  <c r="H38" i="33"/>
  <c r="J38" i="33"/>
  <c r="K38" i="33"/>
  <c r="M38" i="33"/>
  <c r="D39" i="33"/>
  <c r="H39" i="33"/>
  <c r="J39" i="33"/>
  <c r="K39" i="33"/>
  <c r="M39" i="33"/>
  <c r="D40" i="33"/>
  <c r="H40" i="33"/>
  <c r="J40" i="33"/>
  <c r="K40" i="33"/>
  <c r="M40" i="33"/>
  <c r="D41" i="33"/>
  <c r="H41" i="33"/>
  <c r="J41" i="33"/>
  <c r="K41" i="33"/>
  <c r="M41" i="33"/>
  <c r="B42" i="33"/>
  <c r="J42" i="33" s="1"/>
  <c r="D42" i="33"/>
  <c r="H42" i="33"/>
  <c r="M42" i="33"/>
  <c r="M43" i="33"/>
  <c r="E8" i="38"/>
  <c r="H8" i="38" s="1"/>
  <c r="F8" i="38" s="1"/>
  <c r="B9" i="38"/>
  <c r="E9" i="38" s="1"/>
  <c r="H9" i="38" s="1"/>
  <c r="F9" i="38" s="1"/>
  <c r="B10" i="38"/>
  <c r="E10" i="38" s="1"/>
  <c r="H10" i="38" s="1"/>
  <c r="F10" i="38" s="1"/>
  <c r="B11" i="38"/>
  <c r="E11" i="38" s="1"/>
  <c r="H11" i="38" s="1"/>
  <c r="F11" i="38" s="1"/>
  <c r="B12" i="38"/>
  <c r="E12" i="38" s="1"/>
  <c r="H12" i="38" s="1"/>
  <c r="F12" i="38" s="1"/>
  <c r="B13" i="38"/>
  <c r="E13" i="38" s="1"/>
  <c r="H13" i="38" s="1"/>
  <c r="F13" i="38" s="1"/>
  <c r="B14" i="38"/>
  <c r="E14" i="38" s="1"/>
  <c r="H14" i="38" s="1"/>
  <c r="F14" i="38" s="1"/>
  <c r="B15" i="38"/>
  <c r="E15" i="38" s="1"/>
  <c r="H15" i="38" s="1"/>
  <c r="F15" i="38" s="1"/>
  <c r="B16" i="38"/>
  <c r="E16" i="38" s="1"/>
  <c r="H16" i="38" s="1"/>
  <c r="F16" i="38" s="1"/>
  <c r="B17" i="38"/>
  <c r="E17" i="38" s="1"/>
  <c r="H17" i="38" s="1"/>
  <c r="F17" i="38" s="1"/>
  <c r="B18" i="38"/>
  <c r="E18" i="38" s="1"/>
  <c r="H18" i="38" s="1"/>
  <c r="F18" i="38" s="1"/>
  <c r="B19" i="38"/>
  <c r="E19" i="38" s="1"/>
  <c r="H19" i="38" s="1"/>
  <c r="F19" i="38" s="1"/>
  <c r="B20" i="38"/>
  <c r="E20" i="38" s="1"/>
  <c r="H20" i="38" s="1"/>
  <c r="F20" i="38" s="1"/>
  <c r="B21" i="38"/>
  <c r="E21" i="38" s="1"/>
  <c r="H21" i="38" s="1"/>
  <c r="F21" i="38" s="1"/>
  <c r="B22" i="38"/>
  <c r="E22" i="38" s="1"/>
  <c r="H22" i="38" s="1"/>
  <c r="F22" i="38" s="1"/>
  <c r="B23" i="38"/>
  <c r="E23" i="38" s="1"/>
  <c r="H23" i="38" s="1"/>
  <c r="F23" i="38" s="1"/>
  <c r="B24" i="38"/>
  <c r="E24" i="38" s="1"/>
  <c r="H24" i="38" s="1"/>
  <c r="F24" i="38" s="1"/>
  <c r="B25" i="38"/>
  <c r="E25" i="38" s="1"/>
  <c r="H25" i="38" s="1"/>
  <c r="F25" i="38" s="1"/>
  <c r="B26" i="38"/>
  <c r="E26" i="38" s="1"/>
  <c r="H26" i="38" s="1"/>
  <c r="F26" i="38" s="1"/>
  <c r="B27" i="38"/>
  <c r="E27" i="38" s="1"/>
  <c r="H27" i="38" s="1"/>
  <c r="F27" i="38" s="1"/>
  <c r="B28" i="38"/>
  <c r="E28" i="38" s="1"/>
  <c r="H28" i="38" s="1"/>
  <c r="F28" i="38" s="1"/>
  <c r="B29" i="38"/>
  <c r="E29" i="38" s="1"/>
  <c r="H29" i="38" s="1"/>
  <c r="F29" i="38" s="1"/>
  <c r="B30" i="38"/>
  <c r="E30" i="38" s="1"/>
  <c r="H30" i="38" s="1"/>
  <c r="F30" i="38" s="1"/>
  <c r="B31" i="38"/>
  <c r="E31" i="38" s="1"/>
  <c r="H31" i="38" s="1"/>
  <c r="F31" i="38" s="1"/>
  <c r="B32" i="38"/>
  <c r="E32" i="38" s="1"/>
  <c r="H32" i="38" s="1"/>
  <c r="F32" i="38" s="1"/>
  <c r="B33" i="38"/>
  <c r="E33" i="38" s="1"/>
  <c r="H33" i="38" s="1"/>
  <c r="F33" i="38" s="1"/>
  <c r="B34" i="38"/>
  <c r="E34" i="38" s="1"/>
  <c r="H34" i="38" s="1"/>
  <c r="F34" i="38" s="1"/>
  <c r="B35" i="38"/>
  <c r="E35" i="38" s="1"/>
  <c r="H35" i="38" s="1"/>
  <c r="F35" i="38" s="1"/>
  <c r="B36" i="38"/>
  <c r="E36" i="38" s="1"/>
  <c r="H36" i="38" s="1"/>
  <c r="F36" i="38" s="1"/>
  <c r="B37" i="38"/>
  <c r="E37" i="38" s="1"/>
  <c r="H37" i="38" s="1"/>
  <c r="F37" i="38" s="1"/>
  <c r="B38" i="38"/>
  <c r="E38" i="38" s="1"/>
  <c r="H38" i="38" s="1"/>
  <c r="F38" i="38" s="1"/>
  <c r="B39" i="38"/>
  <c r="E39" i="38" s="1"/>
  <c r="H39" i="38" s="1"/>
  <c r="F39" i="38" s="1"/>
  <c r="B40" i="38"/>
  <c r="E40" i="38" s="1"/>
  <c r="H40" i="38" s="1"/>
  <c r="F40" i="38" s="1"/>
  <c r="B41" i="38"/>
  <c r="E41" i="38" s="1"/>
  <c r="H41" i="38" s="1"/>
  <c r="F41" i="38" s="1"/>
  <c r="B42" i="38"/>
  <c r="E42" i="38" s="1"/>
  <c r="H42" i="38" s="1"/>
  <c r="F42" i="38" s="1"/>
  <c r="B43" i="38"/>
  <c r="E43" i="38" s="1"/>
  <c r="H43" i="38" s="1"/>
  <c r="F43" i="38" s="1"/>
  <c r="B44" i="38"/>
  <c r="E44" i="38" s="1"/>
  <c r="H44" i="38" s="1"/>
  <c r="F44" i="38" s="1"/>
  <c r="B45" i="38"/>
  <c r="E8" i="39"/>
  <c r="H8" i="39" s="1"/>
  <c r="F8" i="39" s="1"/>
  <c r="B9" i="39"/>
  <c r="E9" i="39" s="1"/>
  <c r="H9" i="39" s="1"/>
  <c r="F9" i="39" s="1"/>
  <c r="B10" i="39"/>
  <c r="E10" i="39" s="1"/>
  <c r="H10" i="39" s="1"/>
  <c r="F10" i="39" s="1"/>
  <c r="B11" i="39"/>
  <c r="E11" i="39" s="1"/>
  <c r="H11" i="39" s="1"/>
  <c r="F11" i="39" s="1"/>
  <c r="B12" i="39"/>
  <c r="E12" i="39" s="1"/>
  <c r="H12" i="39" s="1"/>
  <c r="F12" i="39" s="1"/>
  <c r="B13" i="39"/>
  <c r="E13" i="39" s="1"/>
  <c r="H13" i="39" s="1"/>
  <c r="F13" i="39" s="1"/>
  <c r="B14" i="39"/>
  <c r="E14" i="39" s="1"/>
  <c r="H14" i="39" s="1"/>
  <c r="F14" i="39" s="1"/>
  <c r="B15" i="39"/>
  <c r="E15" i="39" s="1"/>
  <c r="H15" i="39" s="1"/>
  <c r="F15" i="39" s="1"/>
  <c r="B16" i="39"/>
  <c r="E16" i="39" s="1"/>
  <c r="H16" i="39" s="1"/>
  <c r="F16" i="39" s="1"/>
  <c r="B17" i="39"/>
  <c r="E17" i="39" s="1"/>
  <c r="H17" i="39" s="1"/>
  <c r="F17" i="39" s="1"/>
  <c r="B18" i="39"/>
  <c r="E18" i="39" s="1"/>
  <c r="H18" i="39" s="1"/>
  <c r="F18" i="39" s="1"/>
  <c r="B19" i="39"/>
  <c r="E19" i="39" s="1"/>
  <c r="H19" i="39" s="1"/>
  <c r="F19" i="39" s="1"/>
  <c r="B20" i="39"/>
  <c r="E20" i="39" s="1"/>
  <c r="H20" i="39" s="1"/>
  <c r="F20" i="39" s="1"/>
  <c r="B21" i="39"/>
  <c r="E21" i="39" s="1"/>
  <c r="H21" i="39" s="1"/>
  <c r="F21" i="39" s="1"/>
  <c r="B22" i="39"/>
  <c r="E22" i="39" s="1"/>
  <c r="H22" i="39" s="1"/>
  <c r="F22" i="39" s="1"/>
  <c r="B23" i="39"/>
  <c r="E23" i="39" s="1"/>
  <c r="H23" i="39" s="1"/>
  <c r="F23" i="39" s="1"/>
  <c r="B24" i="39"/>
  <c r="E24" i="39" s="1"/>
  <c r="H24" i="39" s="1"/>
  <c r="F24" i="39" s="1"/>
  <c r="B25" i="39"/>
  <c r="E25" i="39" s="1"/>
  <c r="H25" i="39" s="1"/>
  <c r="F25" i="39" s="1"/>
  <c r="B26" i="39"/>
  <c r="E26" i="39" s="1"/>
  <c r="H26" i="39" s="1"/>
  <c r="F26" i="39" s="1"/>
  <c r="B27" i="39"/>
  <c r="E27" i="39" s="1"/>
  <c r="H27" i="39" s="1"/>
  <c r="F27" i="39" s="1"/>
  <c r="B28" i="39"/>
  <c r="E28" i="39" s="1"/>
  <c r="H28" i="39" s="1"/>
  <c r="F28" i="39" s="1"/>
  <c r="B29" i="39"/>
  <c r="E29" i="39" s="1"/>
  <c r="H29" i="39" s="1"/>
  <c r="F29" i="39" s="1"/>
  <c r="B30" i="39"/>
  <c r="E30" i="39" s="1"/>
  <c r="H30" i="39" s="1"/>
  <c r="F30" i="39" s="1"/>
  <c r="B31" i="39"/>
  <c r="E31" i="39" s="1"/>
  <c r="H31" i="39" s="1"/>
  <c r="F31" i="39" s="1"/>
  <c r="B32" i="39"/>
  <c r="E32" i="39" s="1"/>
  <c r="H32" i="39" s="1"/>
  <c r="F32" i="39" s="1"/>
  <c r="B33" i="39"/>
  <c r="E33" i="39" s="1"/>
  <c r="H33" i="39" s="1"/>
  <c r="F33" i="39" s="1"/>
  <c r="B34" i="39"/>
  <c r="E34" i="39" s="1"/>
  <c r="H34" i="39" s="1"/>
  <c r="F34" i="39" s="1"/>
  <c r="B35" i="39"/>
  <c r="E35" i="39" s="1"/>
  <c r="H35" i="39" s="1"/>
  <c r="F35" i="39" s="1"/>
  <c r="B36" i="39"/>
  <c r="E36" i="39" s="1"/>
  <c r="H36" i="39" s="1"/>
  <c r="F36" i="39" s="1"/>
  <c r="B37" i="39"/>
  <c r="E37" i="39" s="1"/>
  <c r="H37" i="39" s="1"/>
  <c r="F37" i="39" s="1"/>
  <c r="B38" i="39"/>
  <c r="E38" i="39" s="1"/>
  <c r="H38" i="39" s="1"/>
  <c r="F38" i="39" s="1"/>
  <c r="B39" i="39"/>
  <c r="E39" i="39" s="1"/>
  <c r="H39" i="39" s="1"/>
  <c r="F39" i="39" s="1"/>
  <c r="B40" i="39"/>
  <c r="E40" i="39" s="1"/>
  <c r="H40" i="39" s="1"/>
  <c r="F40" i="39" s="1"/>
  <c r="B41" i="39"/>
  <c r="E41" i="39" s="1"/>
  <c r="H41" i="39" s="1"/>
  <c r="F41" i="39" s="1"/>
  <c r="B42" i="39"/>
  <c r="E42" i="39" s="1"/>
  <c r="H42" i="39" s="1"/>
  <c r="F42" i="39" s="1"/>
  <c r="B43" i="39"/>
  <c r="E43" i="39" s="1"/>
  <c r="H43" i="39" s="1"/>
  <c r="F43" i="39" s="1"/>
  <c r="B44" i="39"/>
  <c r="E44" i="39" s="1"/>
  <c r="H44" i="39" s="1"/>
  <c r="F44" i="39" s="1"/>
  <c r="B45" i="39"/>
  <c r="E45" i="39" s="1"/>
  <c r="H45" i="39" s="1"/>
  <c r="F45" i="39" s="1"/>
  <c r="C8" i="17"/>
  <c r="E8" i="17" s="1"/>
  <c r="I8" i="17" s="1"/>
  <c r="H8" i="17" s="1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E28" i="17" s="1"/>
  <c r="I28" i="17" s="1"/>
  <c r="H28" i="17" s="1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B44" i="17"/>
  <c r="C44" i="17"/>
  <c r="B45" i="17"/>
  <c r="C45" i="17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E19" i="70" s="1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40" i="14"/>
  <c r="N41" i="14"/>
  <c r="N42" i="14"/>
  <c r="N6" i="15"/>
  <c r="N7" i="15"/>
  <c r="N8" i="15"/>
  <c r="C8" i="70" s="1"/>
  <c r="N9" i="15"/>
  <c r="N10" i="15"/>
  <c r="C10" i="70" s="1"/>
  <c r="N12" i="15"/>
  <c r="C12" i="70" s="1"/>
  <c r="N13" i="15"/>
  <c r="C13" i="70" s="1"/>
  <c r="N14" i="15"/>
  <c r="C14" i="70" s="1"/>
  <c r="N16" i="15"/>
  <c r="C16" i="70" s="1"/>
  <c r="N18" i="15"/>
  <c r="C18" i="70" s="1"/>
  <c r="N20" i="15"/>
  <c r="C20" i="70" s="1"/>
  <c r="N21" i="15"/>
  <c r="C21" i="70" s="1"/>
  <c r="N24" i="15"/>
  <c r="C24" i="70" s="1"/>
  <c r="N25" i="15"/>
  <c r="N26" i="15"/>
  <c r="N28" i="15"/>
  <c r="N29" i="15"/>
  <c r="N32" i="15"/>
  <c r="N33" i="15"/>
  <c r="N34" i="15"/>
  <c r="N35" i="15"/>
  <c r="N36" i="15"/>
  <c r="N37" i="15"/>
  <c r="N40" i="15"/>
  <c r="N41" i="15"/>
  <c r="N42" i="15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N28" i="6" s="1"/>
  <c r="B28" i="70" s="1"/>
  <c r="M29" i="6"/>
  <c r="M30" i="6"/>
  <c r="N30" i="6" s="1"/>
  <c r="B30" i="70" s="1"/>
  <c r="N31" i="6"/>
  <c r="B31" i="70" s="1"/>
  <c r="M31" i="6"/>
  <c r="M32" i="6"/>
  <c r="N32" i="6" s="1"/>
  <c r="B32" i="70" s="1"/>
  <c r="M33" i="6"/>
  <c r="N33" i="6" s="1"/>
  <c r="B33" i="70" s="1"/>
  <c r="M34" i="6"/>
  <c r="N34" i="6" s="1"/>
  <c r="B34" i="70" s="1"/>
  <c r="M35" i="6"/>
  <c r="M36" i="6"/>
  <c r="N36" i="6" s="1"/>
  <c r="B36" i="70" s="1"/>
  <c r="M37" i="6"/>
  <c r="M38" i="6"/>
  <c r="N38" i="6" s="1"/>
  <c r="B38" i="70" s="1"/>
  <c r="M39" i="6"/>
  <c r="M40" i="6"/>
  <c r="N40" i="6" s="1"/>
  <c r="B40" i="70" s="1"/>
  <c r="M41" i="6"/>
  <c r="M42" i="6"/>
  <c r="N42" i="6" s="1"/>
  <c r="B42" i="70" s="1"/>
  <c r="F9" i="5"/>
  <c r="L9" i="5"/>
  <c r="F10" i="5"/>
  <c r="L10" i="5"/>
  <c r="F11" i="5"/>
  <c r="L11" i="5"/>
  <c r="F12" i="5"/>
  <c r="L12" i="5"/>
  <c r="F13" i="5"/>
  <c r="L13" i="5"/>
  <c r="F14" i="5"/>
  <c r="L14" i="5"/>
  <c r="F15" i="5"/>
  <c r="L15" i="5"/>
  <c r="D16" i="5"/>
  <c r="F16" i="5"/>
  <c r="L16" i="5"/>
  <c r="D17" i="5"/>
  <c r="F17" i="5"/>
  <c r="L17" i="5"/>
  <c r="D18" i="5"/>
  <c r="F18" i="5"/>
  <c r="L18" i="5"/>
  <c r="D19" i="5"/>
  <c r="F19" i="5"/>
  <c r="L19" i="5"/>
  <c r="D20" i="5"/>
  <c r="F20" i="5"/>
  <c r="L20" i="5"/>
  <c r="D21" i="5"/>
  <c r="F21" i="5"/>
  <c r="L21" i="5"/>
  <c r="D22" i="5"/>
  <c r="F22" i="5"/>
  <c r="L22" i="5"/>
  <c r="D23" i="5"/>
  <c r="F23" i="5"/>
  <c r="L23" i="5"/>
  <c r="D24" i="5"/>
  <c r="F24" i="5"/>
  <c r="L24" i="5"/>
  <c r="F25" i="5"/>
  <c r="L25" i="5"/>
  <c r="F26" i="5"/>
  <c r="L26" i="5"/>
  <c r="D27" i="5"/>
  <c r="F27" i="5"/>
  <c r="L27" i="5"/>
  <c r="D28" i="5"/>
  <c r="F28" i="5"/>
  <c r="L28" i="5"/>
  <c r="D29" i="5"/>
  <c r="F29" i="5"/>
  <c r="L29" i="5"/>
  <c r="D30" i="5"/>
  <c r="F30" i="5"/>
  <c r="L30" i="5"/>
  <c r="D31" i="5"/>
  <c r="F31" i="5"/>
  <c r="L31" i="5"/>
  <c r="D32" i="5"/>
  <c r="F32" i="5"/>
  <c r="L32" i="5"/>
  <c r="D33" i="5"/>
  <c r="F33" i="5"/>
  <c r="L33" i="5"/>
  <c r="D34" i="5"/>
  <c r="F34" i="5"/>
  <c r="L34" i="5"/>
  <c r="D35" i="5"/>
  <c r="F35" i="5"/>
  <c r="G35" i="5"/>
  <c r="L35" i="5"/>
  <c r="D36" i="5"/>
  <c r="F36" i="5"/>
  <c r="G36" i="5"/>
  <c r="L36" i="5"/>
  <c r="D37" i="5"/>
  <c r="F37" i="5"/>
  <c r="G37" i="5"/>
  <c r="D38" i="5"/>
  <c r="F38" i="5"/>
  <c r="G38" i="5"/>
  <c r="D39" i="5"/>
  <c r="F39" i="5"/>
  <c r="G39" i="5"/>
  <c r="D40" i="5"/>
  <c r="F40" i="5"/>
  <c r="G40" i="5"/>
  <c r="D41" i="5"/>
  <c r="F41" i="5"/>
  <c r="G41" i="5"/>
  <c r="D42" i="5"/>
  <c r="F42" i="5"/>
  <c r="G42" i="5"/>
  <c r="G43" i="5"/>
  <c r="B6" i="70"/>
  <c r="B7" i="70"/>
  <c r="B8" i="70"/>
  <c r="B9" i="70"/>
  <c r="C9" i="70"/>
  <c r="B10" i="70"/>
  <c r="B11" i="70"/>
  <c r="E11" i="70"/>
  <c r="B12" i="70"/>
  <c r="B13" i="70"/>
  <c r="B14" i="70"/>
  <c r="B15" i="70"/>
  <c r="B16" i="70"/>
  <c r="B17" i="70"/>
  <c r="B18" i="70"/>
  <c r="B19" i="70"/>
  <c r="B20" i="70"/>
  <c r="B21" i="70"/>
  <c r="B22" i="70"/>
  <c r="B23" i="70"/>
  <c r="B24" i="70"/>
  <c r="B25" i="70"/>
  <c r="C25" i="70"/>
  <c r="B26" i="70"/>
  <c r="C26" i="70"/>
  <c r="B27" i="70"/>
  <c r="D9" i="20"/>
  <c r="G9" i="20"/>
  <c r="D10" i="20"/>
  <c r="G10" i="20"/>
  <c r="D11" i="20"/>
  <c r="G11" i="20"/>
  <c r="B12" i="20"/>
  <c r="D12" i="20" s="1"/>
  <c r="E12" i="20"/>
  <c r="G12" i="20" s="1"/>
  <c r="B13" i="20"/>
  <c r="D13" i="20" s="1"/>
  <c r="E13" i="20"/>
  <c r="G13" i="20" s="1"/>
  <c r="B14" i="20"/>
  <c r="D14" i="20" s="1"/>
  <c r="E14" i="20"/>
  <c r="G14" i="20" s="1"/>
  <c r="B15" i="20"/>
  <c r="D15" i="20" s="1"/>
  <c r="E15" i="20"/>
  <c r="G15" i="20" s="1"/>
  <c r="B16" i="20"/>
  <c r="D16" i="20" s="1"/>
  <c r="E16" i="20"/>
  <c r="G16" i="20" s="1"/>
  <c r="B17" i="20"/>
  <c r="D17" i="20" s="1"/>
  <c r="E17" i="20"/>
  <c r="G17" i="20" s="1"/>
  <c r="B18" i="20"/>
  <c r="D18" i="20" s="1"/>
  <c r="E18" i="20"/>
  <c r="G18" i="20" s="1"/>
  <c r="B19" i="20"/>
  <c r="D19" i="20" s="1"/>
  <c r="E19" i="20"/>
  <c r="G19" i="20" s="1"/>
  <c r="B20" i="20"/>
  <c r="D20" i="20" s="1"/>
  <c r="E20" i="20"/>
  <c r="G20" i="20" s="1"/>
  <c r="H20" i="20"/>
  <c r="J20" i="20" s="1"/>
  <c r="B21" i="20"/>
  <c r="D21" i="20" s="1"/>
  <c r="E21" i="20"/>
  <c r="G21" i="20" s="1"/>
  <c r="H21" i="20"/>
  <c r="J21" i="20" s="1"/>
  <c r="B22" i="20"/>
  <c r="D22" i="20" s="1"/>
  <c r="E22" i="20"/>
  <c r="G22" i="20" s="1"/>
  <c r="H22" i="20"/>
  <c r="J22" i="20" s="1"/>
  <c r="B23" i="20"/>
  <c r="D23" i="20" s="1"/>
  <c r="E23" i="20"/>
  <c r="G23" i="20" s="1"/>
  <c r="H23" i="20"/>
  <c r="J23" i="20" s="1"/>
  <c r="B24" i="20"/>
  <c r="D24" i="20" s="1"/>
  <c r="E24" i="20"/>
  <c r="G24" i="20" s="1"/>
  <c r="H24" i="20"/>
  <c r="J24" i="20" s="1"/>
  <c r="B25" i="20"/>
  <c r="E25" i="20"/>
  <c r="H25" i="20"/>
  <c r="B28" i="20"/>
  <c r="D28" i="20" s="1"/>
  <c r="E28" i="20"/>
  <c r="G28" i="20" s="1"/>
  <c r="H28" i="20"/>
  <c r="J28" i="20" s="1"/>
  <c r="B29" i="20"/>
  <c r="D29" i="20" s="1"/>
  <c r="E29" i="20"/>
  <c r="G29" i="20" s="1"/>
  <c r="H29" i="20"/>
  <c r="J29" i="20" s="1"/>
  <c r="B30" i="20"/>
  <c r="D30" i="20" s="1"/>
  <c r="E30" i="20"/>
  <c r="G30" i="20" s="1"/>
  <c r="H30" i="20"/>
  <c r="J30" i="20" s="1"/>
  <c r="B31" i="20"/>
  <c r="D31" i="20" s="1"/>
  <c r="E31" i="20"/>
  <c r="G31" i="20" s="1"/>
  <c r="H31" i="20"/>
  <c r="J31" i="20" s="1"/>
  <c r="B32" i="20"/>
  <c r="D32" i="20" s="1"/>
  <c r="E32" i="20"/>
  <c r="G32" i="20" s="1"/>
  <c r="H32" i="20"/>
  <c r="J32" i="20" s="1"/>
  <c r="B33" i="20"/>
  <c r="D33" i="20" s="1"/>
  <c r="E33" i="20"/>
  <c r="G33" i="20" s="1"/>
  <c r="H33" i="20"/>
  <c r="J33" i="20" s="1"/>
  <c r="B34" i="20"/>
  <c r="D34" i="20" s="1"/>
  <c r="E34" i="20"/>
  <c r="G34" i="20" s="1"/>
  <c r="H34" i="20"/>
  <c r="J34" i="20" s="1"/>
  <c r="B35" i="20"/>
  <c r="D35" i="20" s="1"/>
  <c r="E35" i="20"/>
  <c r="G35" i="20" s="1"/>
  <c r="H35" i="20"/>
  <c r="J35" i="20" s="1"/>
  <c r="B36" i="20"/>
  <c r="D36" i="20" s="1"/>
  <c r="E36" i="20"/>
  <c r="G36" i="20" s="1"/>
  <c r="H36" i="20"/>
  <c r="J36" i="20" s="1"/>
  <c r="B37" i="20"/>
  <c r="D37" i="20" s="1"/>
  <c r="E37" i="20"/>
  <c r="G37" i="20" s="1"/>
  <c r="H37" i="20"/>
  <c r="J37" i="20" s="1"/>
  <c r="B38" i="20"/>
  <c r="D38" i="20" s="1"/>
  <c r="E38" i="20"/>
  <c r="G38" i="20" s="1"/>
  <c r="H38" i="20"/>
  <c r="J38" i="20" s="1"/>
  <c r="B39" i="20"/>
  <c r="D39" i="20" s="1"/>
  <c r="E39" i="20"/>
  <c r="G39" i="20" s="1"/>
  <c r="H39" i="20"/>
  <c r="J39" i="20" s="1"/>
  <c r="B40" i="20"/>
  <c r="C40" i="20"/>
  <c r="E40" i="20"/>
  <c r="F40" i="20"/>
  <c r="H40" i="20"/>
  <c r="I40" i="20"/>
  <c r="N40" i="20"/>
  <c r="B42" i="20"/>
  <c r="D42" i="20" s="1"/>
  <c r="E42" i="20"/>
  <c r="G42" i="20" s="1"/>
  <c r="H42" i="20"/>
  <c r="J42" i="20" s="1"/>
  <c r="B43" i="20"/>
  <c r="D43" i="20" s="1"/>
  <c r="E43" i="20"/>
  <c r="G43" i="20" s="1"/>
  <c r="H43" i="20"/>
  <c r="J43" i="20" s="1"/>
  <c r="B44" i="20"/>
  <c r="D44" i="20" s="1"/>
  <c r="E44" i="20"/>
  <c r="G44" i="20" s="1"/>
  <c r="H44" i="20"/>
  <c r="J44" i="20" s="1"/>
  <c r="B45" i="20"/>
  <c r="D45" i="20" s="1"/>
  <c r="E45" i="20"/>
  <c r="G45" i="20" s="1"/>
  <c r="H45" i="20"/>
  <c r="J45" i="20" s="1"/>
  <c r="B46" i="20"/>
  <c r="D46" i="20" s="1"/>
  <c r="E46" i="20"/>
  <c r="G46" i="20" s="1"/>
  <c r="H46" i="20"/>
  <c r="J46" i="20" s="1"/>
  <c r="B47" i="20"/>
  <c r="D47" i="20" s="1"/>
  <c r="E47" i="20"/>
  <c r="G47" i="20" s="1"/>
  <c r="H47" i="20"/>
  <c r="J47" i="20" s="1"/>
  <c r="B48" i="20"/>
  <c r="D48" i="20" s="1"/>
  <c r="E48" i="20"/>
  <c r="G48" i="20" s="1"/>
  <c r="H48" i="20"/>
  <c r="J48" i="20" s="1"/>
  <c r="B49" i="20"/>
  <c r="D49" i="20" s="1"/>
  <c r="E49" i="20"/>
  <c r="G49" i="20" s="1"/>
  <c r="H49" i="20"/>
  <c r="J49" i="20" s="1"/>
  <c r="B50" i="20"/>
  <c r="D50" i="20" s="1"/>
  <c r="E50" i="20"/>
  <c r="G50" i="20" s="1"/>
  <c r="H50" i="20"/>
  <c r="J50" i="20" s="1"/>
  <c r="B51" i="20"/>
  <c r="D51" i="20" s="1"/>
  <c r="E51" i="20"/>
  <c r="G51" i="20" s="1"/>
  <c r="H51" i="20"/>
  <c r="J51" i="20" s="1"/>
  <c r="B52" i="20"/>
  <c r="D52" i="20" s="1"/>
  <c r="E52" i="20"/>
  <c r="G52" i="20" s="1"/>
  <c r="H52" i="20"/>
  <c r="J52" i="20" s="1"/>
  <c r="B53" i="20"/>
  <c r="D53" i="20" s="1"/>
  <c r="E53" i="20"/>
  <c r="G53" i="20" s="1"/>
  <c r="H53" i="20"/>
  <c r="J53" i="20" s="1"/>
  <c r="B54" i="20"/>
  <c r="C54" i="20"/>
  <c r="E54" i="20"/>
  <c r="F54" i="20"/>
  <c r="H54" i="20"/>
  <c r="I54" i="20"/>
  <c r="N54" i="20"/>
  <c r="B56" i="20"/>
  <c r="D56" i="20" s="1"/>
  <c r="E56" i="20"/>
  <c r="G56" i="20" s="1"/>
  <c r="H56" i="20"/>
  <c r="J56" i="20" s="1"/>
  <c r="B57" i="20"/>
  <c r="D57" i="20" s="1"/>
  <c r="E57" i="20"/>
  <c r="G57" i="20" s="1"/>
  <c r="H57" i="20"/>
  <c r="J57" i="20" s="1"/>
  <c r="B58" i="20"/>
  <c r="D58" i="20" s="1"/>
  <c r="E58" i="20"/>
  <c r="G58" i="20" s="1"/>
  <c r="H58" i="20"/>
  <c r="J58" i="20" s="1"/>
  <c r="B59" i="20"/>
  <c r="D59" i="20" s="1"/>
  <c r="E59" i="20"/>
  <c r="G59" i="20" s="1"/>
  <c r="H59" i="20"/>
  <c r="J59" i="20" s="1"/>
  <c r="B60" i="20"/>
  <c r="D60" i="20" s="1"/>
  <c r="E60" i="20"/>
  <c r="G60" i="20" s="1"/>
  <c r="H60" i="20"/>
  <c r="J60" i="20" s="1"/>
  <c r="B61" i="20"/>
  <c r="D61" i="20" s="1"/>
  <c r="E61" i="20"/>
  <c r="G61" i="20" s="1"/>
  <c r="H61" i="20"/>
  <c r="J61" i="20" s="1"/>
  <c r="B62" i="20"/>
  <c r="D62" i="20" s="1"/>
  <c r="E62" i="20"/>
  <c r="G62" i="20" s="1"/>
  <c r="H62" i="20"/>
  <c r="J62" i="20" s="1"/>
  <c r="B63" i="20"/>
  <c r="D63" i="20" s="1"/>
  <c r="E63" i="20"/>
  <c r="G63" i="20" s="1"/>
  <c r="H63" i="20"/>
  <c r="J63" i="20" s="1"/>
  <c r="B64" i="20"/>
  <c r="D64" i="20" s="1"/>
  <c r="E64" i="20"/>
  <c r="G64" i="20" s="1"/>
  <c r="H64" i="20"/>
  <c r="J64" i="20" s="1"/>
  <c r="B65" i="20"/>
  <c r="D65" i="20" s="1"/>
  <c r="E65" i="20"/>
  <c r="G65" i="20" s="1"/>
  <c r="H65" i="20"/>
  <c r="J65" i="20" s="1"/>
  <c r="B66" i="20"/>
  <c r="D66" i="20" s="1"/>
  <c r="E66" i="20"/>
  <c r="G66" i="20" s="1"/>
  <c r="H66" i="20"/>
  <c r="J66" i="20" s="1"/>
  <c r="B67" i="20"/>
  <c r="D67" i="20" s="1"/>
  <c r="E67" i="20"/>
  <c r="G67" i="20" s="1"/>
  <c r="H67" i="20"/>
  <c r="J67" i="20" s="1"/>
  <c r="B68" i="20"/>
  <c r="C68" i="20"/>
  <c r="E68" i="20"/>
  <c r="F68" i="20"/>
  <c r="H68" i="20"/>
  <c r="I68" i="20"/>
  <c r="N68" i="20"/>
  <c r="B70" i="20"/>
  <c r="D70" i="20" s="1"/>
  <c r="E70" i="20"/>
  <c r="G70" i="20" s="1"/>
  <c r="H70" i="20"/>
  <c r="J70" i="20" s="1"/>
  <c r="B71" i="20"/>
  <c r="D71" i="20" s="1"/>
  <c r="E71" i="20"/>
  <c r="G71" i="20" s="1"/>
  <c r="H71" i="20"/>
  <c r="J71" i="20" s="1"/>
  <c r="B72" i="20"/>
  <c r="D72" i="20" s="1"/>
  <c r="E72" i="20"/>
  <c r="G72" i="20" s="1"/>
  <c r="H72" i="20"/>
  <c r="J72" i="20" s="1"/>
  <c r="B73" i="20"/>
  <c r="D73" i="20" s="1"/>
  <c r="E73" i="20"/>
  <c r="G73" i="20" s="1"/>
  <c r="H73" i="20"/>
  <c r="J73" i="20" s="1"/>
  <c r="B74" i="20"/>
  <c r="D74" i="20" s="1"/>
  <c r="E74" i="20"/>
  <c r="G74" i="20" s="1"/>
  <c r="H74" i="20"/>
  <c r="J74" i="20" s="1"/>
  <c r="B75" i="20"/>
  <c r="D75" i="20" s="1"/>
  <c r="E75" i="20"/>
  <c r="G75" i="20" s="1"/>
  <c r="H75" i="20"/>
  <c r="J75" i="20" s="1"/>
  <c r="B76" i="20"/>
  <c r="D76" i="20" s="1"/>
  <c r="E76" i="20"/>
  <c r="G76" i="20" s="1"/>
  <c r="H76" i="20"/>
  <c r="J76" i="20" s="1"/>
  <c r="B77" i="20"/>
  <c r="D77" i="20" s="1"/>
  <c r="E77" i="20"/>
  <c r="G77" i="20" s="1"/>
  <c r="H77" i="20"/>
  <c r="J77" i="20" s="1"/>
  <c r="B78" i="20"/>
  <c r="D78" i="20" s="1"/>
  <c r="E78" i="20"/>
  <c r="G78" i="20" s="1"/>
  <c r="H78" i="20"/>
  <c r="J78" i="20" s="1"/>
  <c r="B79" i="20"/>
  <c r="D79" i="20" s="1"/>
  <c r="E79" i="20"/>
  <c r="G79" i="20" s="1"/>
  <c r="H79" i="20"/>
  <c r="J79" i="20" s="1"/>
  <c r="B80" i="20"/>
  <c r="D80" i="20" s="1"/>
  <c r="E80" i="20"/>
  <c r="G80" i="20" s="1"/>
  <c r="H80" i="20"/>
  <c r="J80" i="20" s="1"/>
  <c r="B81" i="20"/>
  <c r="D81" i="20" s="1"/>
  <c r="E81" i="20"/>
  <c r="G81" i="20" s="1"/>
  <c r="H81" i="20"/>
  <c r="J81" i="20" s="1"/>
  <c r="B82" i="20"/>
  <c r="C82" i="20"/>
  <c r="E82" i="20"/>
  <c r="F82" i="20"/>
  <c r="H82" i="20"/>
  <c r="I82" i="20"/>
  <c r="N82" i="20"/>
  <c r="B84" i="20"/>
  <c r="D84" i="20" s="1"/>
  <c r="E84" i="20"/>
  <c r="G84" i="20" s="1"/>
  <c r="H84" i="20"/>
  <c r="J84" i="20" s="1"/>
  <c r="B85" i="20"/>
  <c r="D85" i="20" s="1"/>
  <c r="E85" i="20"/>
  <c r="G85" i="20" s="1"/>
  <c r="H85" i="20"/>
  <c r="J85" i="20" s="1"/>
  <c r="B86" i="20"/>
  <c r="D86" i="20" s="1"/>
  <c r="E86" i="20"/>
  <c r="G86" i="20" s="1"/>
  <c r="H86" i="20"/>
  <c r="J86" i="20" s="1"/>
  <c r="B87" i="20"/>
  <c r="D87" i="20" s="1"/>
  <c r="E87" i="20"/>
  <c r="G87" i="20" s="1"/>
  <c r="H87" i="20"/>
  <c r="J87" i="20" s="1"/>
  <c r="B88" i="20"/>
  <c r="D88" i="20" s="1"/>
  <c r="E88" i="20"/>
  <c r="G88" i="20" s="1"/>
  <c r="H88" i="20"/>
  <c r="J88" i="20" s="1"/>
  <c r="B89" i="20"/>
  <c r="D89" i="20" s="1"/>
  <c r="E89" i="20"/>
  <c r="G89" i="20" s="1"/>
  <c r="H89" i="20"/>
  <c r="J89" i="20" s="1"/>
  <c r="B90" i="20"/>
  <c r="D90" i="20" s="1"/>
  <c r="E90" i="20"/>
  <c r="G90" i="20" s="1"/>
  <c r="H90" i="20"/>
  <c r="J90" i="20" s="1"/>
  <c r="B91" i="20"/>
  <c r="D91" i="20" s="1"/>
  <c r="E91" i="20"/>
  <c r="G91" i="20" s="1"/>
  <c r="H91" i="20"/>
  <c r="J91" i="20" s="1"/>
  <c r="B92" i="20"/>
  <c r="D92" i="20" s="1"/>
  <c r="E92" i="20"/>
  <c r="G92" i="20" s="1"/>
  <c r="H92" i="20"/>
  <c r="J92" i="20" s="1"/>
  <c r="B93" i="20"/>
  <c r="D93" i="20" s="1"/>
  <c r="E93" i="20"/>
  <c r="G93" i="20" s="1"/>
  <c r="H93" i="20"/>
  <c r="J93" i="20" s="1"/>
  <c r="B94" i="20"/>
  <c r="D94" i="20" s="1"/>
  <c r="E94" i="20"/>
  <c r="G94" i="20" s="1"/>
  <c r="H94" i="20"/>
  <c r="J94" i="20" s="1"/>
  <c r="B95" i="20"/>
  <c r="D95" i="20" s="1"/>
  <c r="E95" i="20"/>
  <c r="G95" i="20" s="1"/>
  <c r="H95" i="20"/>
  <c r="J95" i="20" s="1"/>
  <c r="B96" i="20"/>
  <c r="C96" i="20"/>
  <c r="E96" i="20"/>
  <c r="F96" i="20"/>
  <c r="H96" i="20"/>
  <c r="I96" i="20"/>
  <c r="N96" i="20"/>
  <c r="D98" i="20"/>
  <c r="G98" i="20"/>
  <c r="J98" i="20"/>
  <c r="D99" i="20"/>
  <c r="G99" i="20"/>
  <c r="J99" i="20"/>
  <c r="D100" i="20"/>
  <c r="G100" i="20"/>
  <c r="J100" i="20"/>
  <c r="D101" i="20"/>
  <c r="G101" i="20"/>
  <c r="J101" i="20"/>
  <c r="D102" i="20"/>
  <c r="G102" i="20"/>
  <c r="J102" i="20"/>
  <c r="D103" i="20"/>
  <c r="G103" i="20"/>
  <c r="J103" i="20"/>
  <c r="D104" i="20"/>
  <c r="G104" i="20"/>
  <c r="J104" i="20"/>
  <c r="D105" i="20"/>
  <c r="G105" i="20"/>
  <c r="J105" i="20"/>
  <c r="D106" i="20"/>
  <c r="G106" i="20"/>
  <c r="J106" i="20"/>
  <c r="D107" i="20"/>
  <c r="G107" i="20"/>
  <c r="J107" i="20"/>
  <c r="D108" i="20"/>
  <c r="G108" i="20"/>
  <c r="J108" i="20"/>
  <c r="D109" i="20"/>
  <c r="G109" i="20"/>
  <c r="J109" i="20"/>
  <c r="D110" i="20"/>
  <c r="G110" i="20"/>
  <c r="J110" i="20"/>
  <c r="B8" i="26"/>
  <c r="D8" i="26"/>
  <c r="H8" i="26"/>
  <c r="J8" i="26"/>
  <c r="B9" i="26" s="1"/>
  <c r="D9" i="26"/>
  <c r="H9" i="26"/>
  <c r="J9" i="26"/>
  <c r="B10" i="26" s="1"/>
  <c r="D10" i="26"/>
  <c r="H10" i="26"/>
  <c r="J10" i="26"/>
  <c r="B11" i="26" s="1"/>
  <c r="D11" i="26"/>
  <c r="H11" i="26"/>
  <c r="J11" i="26"/>
  <c r="B12" i="26" s="1"/>
  <c r="D12" i="26"/>
  <c r="H12" i="26"/>
  <c r="J12" i="26"/>
  <c r="B13" i="26" s="1"/>
  <c r="D13" i="26"/>
  <c r="H13" i="26"/>
  <c r="J13" i="26"/>
  <c r="B14" i="26" s="1"/>
  <c r="D14" i="26"/>
  <c r="H14" i="26"/>
  <c r="J14" i="26"/>
  <c r="B15" i="26" s="1"/>
  <c r="D15" i="26"/>
  <c r="H15" i="26"/>
  <c r="J15" i="26"/>
  <c r="B16" i="26" s="1"/>
  <c r="D16" i="26"/>
  <c r="H16" i="26"/>
  <c r="J16" i="26"/>
  <c r="B17" i="26" s="1"/>
  <c r="D17" i="26"/>
  <c r="H17" i="26"/>
  <c r="J17" i="26"/>
  <c r="B18" i="26" s="1"/>
  <c r="D18" i="26"/>
  <c r="H18" i="26"/>
  <c r="J18" i="26"/>
  <c r="B19" i="26" s="1"/>
  <c r="D19" i="26"/>
  <c r="H19" i="26"/>
  <c r="J19" i="26"/>
  <c r="B22" i="26" s="1"/>
  <c r="C20" i="26"/>
  <c r="G20" i="26"/>
  <c r="G34" i="21" s="1"/>
  <c r="D22" i="26"/>
  <c r="H22" i="26"/>
  <c r="J22" i="26"/>
  <c r="B23" i="26" s="1"/>
  <c r="D23" i="26"/>
  <c r="H23" i="26"/>
  <c r="J23" i="26"/>
  <c r="B24" i="26" s="1"/>
  <c r="D24" i="26"/>
  <c r="H24" i="26"/>
  <c r="J24" i="26"/>
  <c r="B25" i="26" s="1"/>
  <c r="D25" i="26"/>
  <c r="H25" i="26"/>
  <c r="J25" i="26"/>
  <c r="B26" i="26" s="1"/>
  <c r="D26" i="26"/>
  <c r="H26" i="26"/>
  <c r="J26" i="26"/>
  <c r="B27" i="26" s="1"/>
  <c r="D27" i="26"/>
  <c r="H27" i="26"/>
  <c r="J27" i="26"/>
  <c r="B28" i="26" s="1"/>
  <c r="D28" i="26"/>
  <c r="H28" i="26"/>
  <c r="J28" i="26"/>
  <c r="B29" i="26" s="1"/>
  <c r="D29" i="26"/>
  <c r="H29" i="26"/>
  <c r="J29" i="26"/>
  <c r="B30" i="26" s="1"/>
  <c r="D30" i="26"/>
  <c r="H30" i="26"/>
  <c r="J30" i="26"/>
  <c r="B31" i="26" s="1"/>
  <c r="D31" i="26"/>
  <c r="H31" i="26"/>
  <c r="J31" i="26"/>
  <c r="B32" i="26" s="1"/>
  <c r="D32" i="26"/>
  <c r="H32" i="26"/>
  <c r="J32" i="26"/>
  <c r="B33" i="26" s="1"/>
  <c r="D33" i="26"/>
  <c r="H33" i="26"/>
  <c r="J33" i="26"/>
  <c r="B36" i="26" s="1"/>
  <c r="C34" i="26"/>
  <c r="C35" i="21" s="1"/>
  <c r="G34" i="26"/>
  <c r="G35" i="21" s="1"/>
  <c r="D36" i="26"/>
  <c r="H36" i="26"/>
  <c r="J36" i="26"/>
  <c r="B37" i="26" s="1"/>
  <c r="D37" i="26"/>
  <c r="H37" i="26"/>
  <c r="J37" i="26"/>
  <c r="B38" i="26" s="1"/>
  <c r="D38" i="26"/>
  <c r="H38" i="26"/>
  <c r="J38" i="26"/>
  <c r="B39" i="26" s="1"/>
  <c r="D39" i="26"/>
  <c r="H39" i="26"/>
  <c r="J39" i="26"/>
  <c r="B40" i="26" s="1"/>
  <c r="D40" i="26"/>
  <c r="H40" i="26"/>
  <c r="J40" i="26"/>
  <c r="B41" i="26" s="1"/>
  <c r="D41" i="26"/>
  <c r="H41" i="26"/>
  <c r="J41" i="26"/>
  <c r="B42" i="26" s="1"/>
  <c r="D42" i="26"/>
  <c r="H42" i="26"/>
  <c r="J42" i="26"/>
  <c r="B43" i="26" s="1"/>
  <c r="D43" i="26"/>
  <c r="H43" i="26"/>
  <c r="J43" i="26"/>
  <c r="B44" i="26" s="1"/>
  <c r="D44" i="26"/>
  <c r="H44" i="26"/>
  <c r="J44" i="26"/>
  <c r="B45" i="26" s="1"/>
  <c r="D45" i="26"/>
  <c r="H45" i="26"/>
  <c r="J45" i="26"/>
  <c r="B46" i="26" s="1"/>
  <c r="D46" i="26"/>
  <c r="H46" i="26"/>
  <c r="J46" i="26"/>
  <c r="B47" i="26" s="1"/>
  <c r="D47" i="26"/>
  <c r="H47" i="26"/>
  <c r="J47" i="26"/>
  <c r="B50" i="26" s="1"/>
  <c r="C48" i="26"/>
  <c r="C36" i="21" s="1"/>
  <c r="G48" i="26"/>
  <c r="G36" i="21" s="1"/>
  <c r="D50" i="26"/>
  <c r="H50" i="26"/>
  <c r="J50" i="26"/>
  <c r="B51" i="26" s="1"/>
  <c r="D51" i="26"/>
  <c r="H51" i="26"/>
  <c r="J51" i="26"/>
  <c r="B52" i="26" s="1"/>
  <c r="D52" i="26"/>
  <c r="H52" i="26"/>
  <c r="J52" i="26"/>
  <c r="B53" i="26" s="1"/>
  <c r="D53" i="26"/>
  <c r="H53" i="26"/>
  <c r="J53" i="26"/>
  <c r="B54" i="26" s="1"/>
  <c r="D54" i="26"/>
  <c r="H54" i="26"/>
  <c r="J54" i="26"/>
  <c r="B55" i="26" s="1"/>
  <c r="D55" i="26"/>
  <c r="H55" i="26"/>
  <c r="J55" i="26"/>
  <c r="B56" i="26" s="1"/>
  <c r="D56" i="26"/>
  <c r="H56" i="26"/>
  <c r="J56" i="26"/>
  <c r="B57" i="26" s="1"/>
  <c r="D57" i="26"/>
  <c r="H57" i="26"/>
  <c r="J57" i="26"/>
  <c r="B58" i="26" s="1"/>
  <c r="D58" i="26"/>
  <c r="H58" i="26"/>
  <c r="J58" i="26"/>
  <c r="B59" i="26" s="1"/>
  <c r="D59" i="26"/>
  <c r="H59" i="26"/>
  <c r="J59" i="26"/>
  <c r="B60" i="26" s="1"/>
  <c r="D60" i="26"/>
  <c r="H60" i="26"/>
  <c r="B61" i="26"/>
  <c r="D61" i="26"/>
  <c r="H61" i="26"/>
  <c r="C62" i="26"/>
  <c r="C37" i="21" s="1"/>
  <c r="G62" i="26"/>
  <c r="G37" i="21" s="1"/>
  <c r="E64" i="26"/>
  <c r="I64" i="26" s="1"/>
  <c r="F64" i="26" s="1"/>
  <c r="B65" i="26"/>
  <c r="E65" i="26" s="1"/>
  <c r="I65" i="26" s="1"/>
  <c r="F65" i="26" s="1"/>
  <c r="B66" i="26"/>
  <c r="E66" i="26" s="1"/>
  <c r="I66" i="26" s="1"/>
  <c r="F66" i="26" s="1"/>
  <c r="B67" i="26"/>
  <c r="E67" i="26" s="1"/>
  <c r="I67" i="26" s="1"/>
  <c r="F67" i="26" s="1"/>
  <c r="B68" i="26"/>
  <c r="B69" i="26"/>
  <c r="E69" i="26" s="1"/>
  <c r="I69" i="26" s="1"/>
  <c r="F69" i="26" s="1"/>
  <c r="B70" i="26"/>
  <c r="E70" i="26" s="1"/>
  <c r="I70" i="26" s="1"/>
  <c r="F70" i="26" s="1"/>
  <c r="B71" i="26"/>
  <c r="E71" i="26" s="1"/>
  <c r="I71" i="26" s="1"/>
  <c r="F71" i="26" s="1"/>
  <c r="B72" i="26"/>
  <c r="E72" i="26" s="1"/>
  <c r="I72" i="26" s="1"/>
  <c r="F72" i="26" s="1"/>
  <c r="B73" i="26"/>
  <c r="E73" i="26" s="1"/>
  <c r="I73" i="26" s="1"/>
  <c r="F73" i="26" s="1"/>
  <c r="B74" i="26"/>
  <c r="E74" i="26" s="1"/>
  <c r="I74" i="26" s="1"/>
  <c r="B75" i="26"/>
  <c r="E75" i="26" s="1"/>
  <c r="I75" i="26" s="1"/>
  <c r="F75" i="26" s="1"/>
  <c r="C76" i="26"/>
  <c r="G76" i="26"/>
  <c r="G42" i="21" s="1"/>
  <c r="H76" i="26"/>
  <c r="H42" i="21" s="1"/>
  <c r="E78" i="26"/>
  <c r="I78" i="26" s="1"/>
  <c r="F78" i="26" s="1"/>
  <c r="E79" i="26"/>
  <c r="I79" i="26" s="1"/>
  <c r="F79" i="26" s="1"/>
  <c r="E80" i="26"/>
  <c r="I80" i="26" s="1"/>
  <c r="F80" i="26" s="1"/>
  <c r="E81" i="26"/>
  <c r="I81" i="26" s="1"/>
  <c r="F81" i="26" s="1"/>
  <c r="E82" i="26"/>
  <c r="I82" i="26" s="1"/>
  <c r="F82" i="26" s="1"/>
  <c r="E83" i="26"/>
  <c r="I83" i="26" s="1"/>
  <c r="F83" i="26" s="1"/>
  <c r="E84" i="26"/>
  <c r="I84" i="26" s="1"/>
  <c r="F84" i="26" s="1"/>
  <c r="E85" i="26"/>
  <c r="I85" i="26" s="1"/>
  <c r="F85" i="26" s="1"/>
  <c r="E86" i="26"/>
  <c r="I86" i="26" s="1"/>
  <c r="F86" i="26" s="1"/>
  <c r="E87" i="26"/>
  <c r="I87" i="26" s="1"/>
  <c r="F87" i="26" s="1"/>
  <c r="E88" i="26"/>
  <c r="I88" i="26" s="1"/>
  <c r="F88" i="26" s="1"/>
  <c r="E89" i="26"/>
  <c r="I89" i="26" s="1"/>
  <c r="F89" i="26" s="1"/>
  <c r="C90" i="26"/>
  <c r="D90" i="26"/>
  <c r="D43" i="21" s="1"/>
  <c r="G90" i="26"/>
  <c r="G43" i="21" s="1"/>
  <c r="H90" i="26"/>
  <c r="H43" i="21" s="1"/>
  <c r="B8" i="27"/>
  <c r="C8" i="27"/>
  <c r="D8" i="27"/>
  <c r="G8" i="27"/>
  <c r="I8" i="27"/>
  <c r="B9" i="27" s="1"/>
  <c r="C9" i="27"/>
  <c r="D9" i="27"/>
  <c r="G9" i="27"/>
  <c r="I9" i="27"/>
  <c r="B10" i="27" s="1"/>
  <c r="C10" i="27"/>
  <c r="D10" i="27"/>
  <c r="G10" i="27"/>
  <c r="I10" i="27"/>
  <c r="B11" i="27" s="1"/>
  <c r="C11" i="27"/>
  <c r="D11" i="27"/>
  <c r="G11" i="27"/>
  <c r="I11" i="27"/>
  <c r="B12" i="27" s="1"/>
  <c r="C12" i="27"/>
  <c r="D12" i="27"/>
  <c r="G12" i="27"/>
  <c r="I12" i="27"/>
  <c r="B13" i="27" s="1"/>
  <c r="C13" i="27"/>
  <c r="D13" i="27"/>
  <c r="G13" i="27"/>
  <c r="I13" i="27"/>
  <c r="B14" i="27" s="1"/>
  <c r="C14" i="27"/>
  <c r="D14" i="27"/>
  <c r="G14" i="27"/>
  <c r="I14" i="27"/>
  <c r="B15" i="27" s="1"/>
  <c r="C15" i="27"/>
  <c r="D15" i="27"/>
  <c r="G15" i="27"/>
  <c r="I15" i="27"/>
  <c r="B16" i="27" s="1"/>
  <c r="C16" i="27"/>
  <c r="D16" i="27"/>
  <c r="G16" i="27"/>
  <c r="I16" i="27"/>
  <c r="B17" i="27" s="1"/>
  <c r="C17" i="27"/>
  <c r="D17" i="27"/>
  <c r="G17" i="27"/>
  <c r="I17" i="27"/>
  <c r="B18" i="27" s="1"/>
  <c r="C18" i="27"/>
  <c r="D18" i="27"/>
  <c r="G18" i="27"/>
  <c r="I18" i="27"/>
  <c r="B19" i="27" s="1"/>
  <c r="C19" i="27"/>
  <c r="D19" i="27"/>
  <c r="G19" i="27"/>
  <c r="I19" i="27"/>
  <c r="B22" i="27" s="1"/>
  <c r="C22" i="27"/>
  <c r="D22" i="27"/>
  <c r="G22" i="27"/>
  <c r="I22" i="27"/>
  <c r="B23" i="27" s="1"/>
  <c r="C23" i="27"/>
  <c r="D23" i="27"/>
  <c r="G23" i="27"/>
  <c r="I23" i="27"/>
  <c r="B24" i="27" s="1"/>
  <c r="C24" i="27"/>
  <c r="D24" i="27"/>
  <c r="G24" i="27"/>
  <c r="I24" i="27"/>
  <c r="B25" i="27" s="1"/>
  <c r="C25" i="27"/>
  <c r="D25" i="27"/>
  <c r="G25" i="27"/>
  <c r="I25" i="27"/>
  <c r="B26" i="27" s="1"/>
  <c r="C26" i="27"/>
  <c r="D26" i="27"/>
  <c r="G26" i="27"/>
  <c r="I26" i="27"/>
  <c r="B27" i="27" s="1"/>
  <c r="C27" i="27"/>
  <c r="D27" i="27"/>
  <c r="G27" i="27"/>
  <c r="I27" i="27"/>
  <c r="B28" i="27" s="1"/>
  <c r="C28" i="27"/>
  <c r="D28" i="27"/>
  <c r="G28" i="27"/>
  <c r="I28" i="27"/>
  <c r="B29" i="27" s="1"/>
  <c r="C29" i="27"/>
  <c r="D29" i="27"/>
  <c r="G29" i="27"/>
  <c r="I29" i="27"/>
  <c r="B30" i="27" s="1"/>
  <c r="C30" i="27"/>
  <c r="D30" i="27"/>
  <c r="G30" i="27"/>
  <c r="I30" i="27"/>
  <c r="B31" i="27" s="1"/>
  <c r="C31" i="27"/>
  <c r="D31" i="27"/>
  <c r="G31" i="27"/>
  <c r="I31" i="27"/>
  <c r="B32" i="27" s="1"/>
  <c r="C32" i="27"/>
  <c r="D32" i="27"/>
  <c r="G32" i="27"/>
  <c r="I32" i="27"/>
  <c r="B33" i="27" s="1"/>
  <c r="C33" i="27"/>
  <c r="D33" i="27"/>
  <c r="G33" i="27"/>
  <c r="I33" i="27"/>
  <c r="B36" i="27" s="1"/>
  <c r="C36" i="27"/>
  <c r="D36" i="27"/>
  <c r="G36" i="27"/>
  <c r="I36" i="27"/>
  <c r="B37" i="27" s="1"/>
  <c r="C37" i="27"/>
  <c r="D37" i="27"/>
  <c r="G37" i="27"/>
  <c r="I37" i="27"/>
  <c r="B38" i="27" s="1"/>
  <c r="C38" i="27"/>
  <c r="D38" i="27"/>
  <c r="G38" i="27"/>
  <c r="I38" i="27"/>
  <c r="B39" i="27" s="1"/>
  <c r="C39" i="27"/>
  <c r="D39" i="27"/>
  <c r="G39" i="27"/>
  <c r="I39" i="27"/>
  <c r="B40" i="27" s="1"/>
  <c r="C40" i="27"/>
  <c r="D40" i="27"/>
  <c r="G40" i="27"/>
  <c r="I40" i="27"/>
  <c r="B41" i="27" s="1"/>
  <c r="C41" i="27"/>
  <c r="D41" i="27"/>
  <c r="G41" i="27"/>
  <c r="I41" i="27"/>
  <c r="B42" i="27" s="1"/>
  <c r="C42" i="27"/>
  <c r="D42" i="27"/>
  <c r="G42" i="27"/>
  <c r="I42" i="27"/>
  <c r="B43" i="27" s="1"/>
  <c r="C43" i="27"/>
  <c r="D43" i="27"/>
  <c r="G43" i="27"/>
  <c r="I43" i="27"/>
  <c r="B44" i="27" s="1"/>
  <c r="C44" i="27"/>
  <c r="D44" i="27"/>
  <c r="G44" i="27"/>
  <c r="I44" i="27"/>
  <c r="B45" i="27" s="1"/>
  <c r="C45" i="27"/>
  <c r="D45" i="27"/>
  <c r="G45" i="27"/>
  <c r="I45" i="27"/>
  <c r="B46" i="27" s="1"/>
  <c r="C46" i="27"/>
  <c r="D46" i="27"/>
  <c r="G46" i="27"/>
  <c r="I46" i="27"/>
  <c r="B47" i="27" s="1"/>
  <c r="C47" i="27"/>
  <c r="D47" i="27"/>
  <c r="G47" i="27"/>
  <c r="I47" i="27"/>
  <c r="B50" i="27" s="1"/>
  <c r="C50" i="27"/>
  <c r="D50" i="27"/>
  <c r="G50" i="27"/>
  <c r="I50" i="27"/>
  <c r="B51" i="27" s="1"/>
  <c r="C51" i="27"/>
  <c r="D51" i="27"/>
  <c r="G51" i="27"/>
  <c r="I51" i="27"/>
  <c r="B52" i="27" s="1"/>
  <c r="C52" i="27"/>
  <c r="D52" i="27"/>
  <c r="G52" i="27"/>
  <c r="I52" i="27"/>
  <c r="B53" i="27" s="1"/>
  <c r="C53" i="27"/>
  <c r="D53" i="27"/>
  <c r="G53" i="27"/>
  <c r="I53" i="27"/>
  <c r="B54" i="27" s="1"/>
  <c r="C54" i="27"/>
  <c r="D54" i="27"/>
  <c r="G54" i="27"/>
  <c r="I54" i="27"/>
  <c r="B55" i="27" s="1"/>
  <c r="C55" i="27"/>
  <c r="D55" i="27"/>
  <c r="G55" i="27"/>
  <c r="I55" i="27"/>
  <c r="B56" i="27" s="1"/>
  <c r="C56" i="27"/>
  <c r="D56" i="27"/>
  <c r="G56" i="27"/>
  <c r="I56" i="27"/>
  <c r="B57" i="27" s="1"/>
  <c r="C57" i="27"/>
  <c r="D57" i="27"/>
  <c r="G57" i="27"/>
  <c r="I57" i="27"/>
  <c r="B58" i="27" s="1"/>
  <c r="C58" i="27"/>
  <c r="D58" i="27"/>
  <c r="G58" i="27"/>
  <c r="I58" i="27"/>
  <c r="B59" i="27" s="1"/>
  <c r="C59" i="27"/>
  <c r="D59" i="27"/>
  <c r="G59" i="27"/>
  <c r="I59" i="27"/>
  <c r="B60" i="27" s="1"/>
  <c r="D60" i="27"/>
  <c r="G60" i="27"/>
  <c r="B61" i="27"/>
  <c r="D61" i="27"/>
  <c r="G61" i="27"/>
  <c r="B64" i="27"/>
  <c r="C64" i="27"/>
  <c r="B65" i="27"/>
  <c r="C65" i="27"/>
  <c r="B66" i="27"/>
  <c r="C66" i="27"/>
  <c r="B67" i="27"/>
  <c r="C67" i="27"/>
  <c r="B68" i="27"/>
  <c r="C68" i="27"/>
  <c r="B69" i="27"/>
  <c r="C69" i="27"/>
  <c r="B70" i="27"/>
  <c r="C70" i="27"/>
  <c r="B71" i="27"/>
  <c r="C71" i="27"/>
  <c r="B72" i="27"/>
  <c r="C72" i="27"/>
  <c r="B73" i="27"/>
  <c r="C73" i="27"/>
  <c r="B74" i="27"/>
  <c r="C74" i="27"/>
  <c r="B75" i="27"/>
  <c r="C75" i="27"/>
  <c r="I43" i="22"/>
  <c r="B44" i="22" s="1"/>
  <c r="G76" i="27"/>
  <c r="G43" i="22" s="1"/>
  <c r="E78" i="27"/>
  <c r="H78" i="27" s="1"/>
  <c r="F78" i="27" s="1"/>
  <c r="B79" i="27"/>
  <c r="E79" i="27" s="1"/>
  <c r="H79" i="27" s="1"/>
  <c r="F79" i="27" s="1"/>
  <c r="B80" i="27"/>
  <c r="E80" i="27" s="1"/>
  <c r="H80" i="27" s="1"/>
  <c r="F80" i="27" s="1"/>
  <c r="B81" i="27"/>
  <c r="E81" i="27" s="1"/>
  <c r="H81" i="27" s="1"/>
  <c r="F81" i="27" s="1"/>
  <c r="B82" i="27"/>
  <c r="E82" i="27" s="1"/>
  <c r="H82" i="27" s="1"/>
  <c r="F82" i="27" s="1"/>
  <c r="B83" i="27"/>
  <c r="E83" i="27" s="1"/>
  <c r="H83" i="27" s="1"/>
  <c r="F83" i="27" s="1"/>
  <c r="B84" i="27"/>
  <c r="E84" i="27" s="1"/>
  <c r="H84" i="27" s="1"/>
  <c r="F84" i="27" s="1"/>
  <c r="B85" i="27"/>
  <c r="E85" i="27" s="1"/>
  <c r="H85" i="27" s="1"/>
  <c r="F85" i="27" s="1"/>
  <c r="B86" i="27"/>
  <c r="E86" i="27" s="1"/>
  <c r="H86" i="27" s="1"/>
  <c r="F86" i="27" s="1"/>
  <c r="B87" i="27"/>
  <c r="E87" i="27" s="1"/>
  <c r="H87" i="27" s="1"/>
  <c r="F87" i="27" s="1"/>
  <c r="B88" i="27"/>
  <c r="E88" i="27" s="1"/>
  <c r="H88" i="27" s="1"/>
  <c r="F88" i="27" s="1"/>
  <c r="B89" i="27"/>
  <c r="E89" i="27" s="1"/>
  <c r="H89" i="27" s="1"/>
  <c r="F89" i="27" s="1"/>
  <c r="C90" i="27"/>
  <c r="C44" i="22" s="1"/>
  <c r="D90" i="27"/>
  <c r="D44" i="22" s="1"/>
  <c r="G90" i="27"/>
  <c r="G44" i="22" s="1"/>
  <c r="E8" i="28"/>
  <c r="C12" i="28"/>
  <c r="D12" i="28"/>
  <c r="D28" i="23" s="1"/>
  <c r="F12" i="28"/>
  <c r="F28" i="23" s="1"/>
  <c r="G12" i="28"/>
  <c r="G28" i="23" s="1"/>
  <c r="C19" i="28"/>
  <c r="D19" i="28"/>
  <c r="D29" i="23" s="1"/>
  <c r="F19" i="28"/>
  <c r="F29" i="23" s="1"/>
  <c r="G19" i="28"/>
  <c r="G29" i="23" s="1"/>
  <c r="C26" i="28"/>
  <c r="D26" i="28"/>
  <c r="D30" i="23" s="1"/>
  <c r="F26" i="28"/>
  <c r="F30" i="23" s="1"/>
  <c r="G26" i="28"/>
  <c r="G30" i="23" s="1"/>
  <c r="C33" i="28"/>
  <c r="D33" i="28"/>
  <c r="D31" i="23" s="1"/>
  <c r="F33" i="28"/>
  <c r="F31" i="23" s="1"/>
  <c r="G33" i="28"/>
  <c r="G31" i="23" s="1"/>
  <c r="C40" i="28"/>
  <c r="D40" i="28"/>
  <c r="D32" i="23" s="1"/>
  <c r="F40" i="28"/>
  <c r="G40" i="28"/>
  <c r="C47" i="28"/>
  <c r="D47" i="28"/>
  <c r="D33" i="23" s="1"/>
  <c r="F47" i="28"/>
  <c r="F33" i="23" s="1"/>
  <c r="G47" i="28"/>
  <c r="G33" i="23" s="1"/>
  <c r="C54" i="28"/>
  <c r="D54" i="28"/>
  <c r="D34" i="23" s="1"/>
  <c r="F54" i="28"/>
  <c r="F34" i="23" s="1"/>
  <c r="G54" i="28"/>
  <c r="G34" i="23" s="1"/>
  <c r="C57" i="28"/>
  <c r="C61" i="28" s="1"/>
  <c r="D61" i="28"/>
  <c r="D35" i="23" s="1"/>
  <c r="F61" i="28"/>
  <c r="G61" i="28"/>
  <c r="G35" i="23" s="1"/>
  <c r="C64" i="28"/>
  <c r="C68" i="28" s="1"/>
  <c r="D68" i="28"/>
  <c r="D36" i="23" s="1"/>
  <c r="F68" i="28"/>
  <c r="F36" i="23" s="1"/>
  <c r="G68" i="28"/>
  <c r="G36" i="23" s="1"/>
  <c r="C71" i="28"/>
  <c r="D75" i="28"/>
  <c r="D37" i="23" s="1"/>
  <c r="F75" i="28"/>
  <c r="F37" i="23" s="1"/>
  <c r="G75" i="28"/>
  <c r="G37" i="23" s="1"/>
  <c r="C78" i="28"/>
  <c r="C82" i="28" s="1"/>
  <c r="D82" i="28"/>
  <c r="D38" i="23" s="1"/>
  <c r="F82" i="28"/>
  <c r="F38" i="23" s="1"/>
  <c r="G82" i="28"/>
  <c r="G38" i="23" s="1"/>
  <c r="C85" i="28"/>
  <c r="C89" i="28" s="1"/>
  <c r="D89" i="28"/>
  <c r="D39" i="23" s="1"/>
  <c r="G89" i="28"/>
  <c r="G39" i="23" s="1"/>
  <c r="C92" i="28"/>
  <c r="C96" i="28" s="1"/>
  <c r="D96" i="28"/>
  <c r="D40" i="23" s="1"/>
  <c r="G96" i="28"/>
  <c r="G40" i="23" s="1"/>
  <c r="C99" i="28"/>
  <c r="C103" i="28" s="1"/>
  <c r="D103" i="28"/>
  <c r="D41" i="23" s="1"/>
  <c r="G103" i="28"/>
  <c r="G41" i="23" s="1"/>
  <c r="C106" i="28"/>
  <c r="C110" i="28" s="1"/>
  <c r="D110" i="28"/>
  <c r="D42" i="23" s="1"/>
  <c r="G110" i="28"/>
  <c r="G42" i="23" s="1"/>
  <c r="F113" i="28"/>
  <c r="D116" i="28"/>
  <c r="F114" i="28"/>
  <c r="F115" i="28"/>
  <c r="C116" i="28"/>
  <c r="C129" i="28" s="1"/>
  <c r="F117" i="28"/>
  <c r="F118" i="28"/>
  <c r="G120" i="28"/>
  <c r="F119" i="28"/>
  <c r="D124" i="28"/>
  <c r="F121" i="28"/>
  <c r="F122" i="28"/>
  <c r="F123" i="28"/>
  <c r="G124" i="28"/>
  <c r="D128" i="28"/>
  <c r="F125" i="28"/>
  <c r="F126" i="28"/>
  <c r="F127" i="28"/>
  <c r="G128" i="28"/>
  <c r="C135" i="28"/>
  <c r="C148" i="28" s="1"/>
  <c r="D135" i="28"/>
  <c r="F135" i="28"/>
  <c r="G135" i="28"/>
  <c r="D139" i="28"/>
  <c r="F139" i="28"/>
  <c r="G139" i="28"/>
  <c r="J139" i="28"/>
  <c r="B143" i="28" s="1"/>
  <c r="D143" i="28"/>
  <c r="F143" i="28"/>
  <c r="G143" i="28"/>
  <c r="J143" i="28"/>
  <c r="B147" i="28" s="1"/>
  <c r="D147" i="28"/>
  <c r="F147" i="28"/>
  <c r="G147" i="28"/>
  <c r="J147" i="28"/>
  <c r="B154" i="28" s="1"/>
  <c r="C154" i="28"/>
  <c r="C167" i="28" s="1"/>
  <c r="D154" i="28"/>
  <c r="D167" i="28" s="1"/>
  <c r="D45" i="23" s="1"/>
  <c r="F154" i="28"/>
  <c r="G45" i="23"/>
  <c r="E7" i="21"/>
  <c r="I7" i="21" s="1"/>
  <c r="F7" i="21" s="1"/>
  <c r="B8" i="21"/>
  <c r="E8" i="21" s="1"/>
  <c r="I8" i="21" s="1"/>
  <c r="F8" i="21" s="1"/>
  <c r="B9" i="21"/>
  <c r="E9" i="21" s="1"/>
  <c r="I9" i="21" s="1"/>
  <c r="F9" i="21" s="1"/>
  <c r="B10" i="21"/>
  <c r="E10" i="21" s="1"/>
  <c r="I10" i="21" s="1"/>
  <c r="F10" i="21" s="1"/>
  <c r="B11" i="21"/>
  <c r="E11" i="21" s="1"/>
  <c r="I11" i="21" s="1"/>
  <c r="F11" i="21" s="1"/>
  <c r="B12" i="21"/>
  <c r="E12" i="21" s="1"/>
  <c r="I12" i="21" s="1"/>
  <c r="F12" i="21" s="1"/>
  <c r="B13" i="21"/>
  <c r="E13" i="21" s="1"/>
  <c r="I13" i="21" s="1"/>
  <c r="F13" i="21" s="1"/>
  <c r="B14" i="21"/>
  <c r="E14" i="21" s="1"/>
  <c r="I14" i="21" s="1"/>
  <c r="F14" i="21" s="1"/>
  <c r="B15" i="21"/>
  <c r="E15" i="21" s="1"/>
  <c r="I15" i="21" s="1"/>
  <c r="F15" i="21" s="1"/>
  <c r="B16" i="21"/>
  <c r="E16" i="21" s="1"/>
  <c r="I16" i="21" s="1"/>
  <c r="F16" i="21" s="1"/>
  <c r="B17" i="21"/>
  <c r="E17" i="21" s="1"/>
  <c r="I17" i="21" s="1"/>
  <c r="F17" i="21" s="1"/>
  <c r="B18" i="21"/>
  <c r="E18" i="21" s="1"/>
  <c r="I18" i="21" s="1"/>
  <c r="F18" i="21" s="1"/>
  <c r="B19" i="21"/>
  <c r="E19" i="21" s="1"/>
  <c r="I19" i="21" s="1"/>
  <c r="F19" i="21" s="1"/>
  <c r="B20" i="21"/>
  <c r="E20" i="21" s="1"/>
  <c r="I20" i="21" s="1"/>
  <c r="F20" i="21" s="1"/>
  <c r="B21" i="21"/>
  <c r="E21" i="21" s="1"/>
  <c r="I21" i="21" s="1"/>
  <c r="F21" i="21" s="1"/>
  <c r="B22" i="21"/>
  <c r="E22" i="21" s="1"/>
  <c r="I22" i="21" s="1"/>
  <c r="F22" i="21" s="1"/>
  <c r="B23" i="21"/>
  <c r="E23" i="21" s="1"/>
  <c r="I23" i="21" s="1"/>
  <c r="F23" i="21" s="1"/>
  <c r="B24" i="21"/>
  <c r="E24" i="21" s="1"/>
  <c r="I24" i="21" s="1"/>
  <c r="F24" i="21" s="1"/>
  <c r="B25" i="21"/>
  <c r="E25" i="21" s="1"/>
  <c r="I25" i="21" s="1"/>
  <c r="F25" i="21" s="1"/>
  <c r="B26" i="21"/>
  <c r="E26" i="21" s="1"/>
  <c r="B27" i="21"/>
  <c r="E27" i="21" s="1"/>
  <c r="I27" i="21" s="1"/>
  <c r="F27" i="21" s="1"/>
  <c r="B28" i="21"/>
  <c r="E28" i="21" s="1"/>
  <c r="I28" i="21" s="1"/>
  <c r="F28" i="21" s="1"/>
  <c r="B29" i="21"/>
  <c r="E29" i="21" s="1"/>
  <c r="I29" i="21" s="1"/>
  <c r="F29" i="21" s="1"/>
  <c r="B30" i="21"/>
  <c r="E30" i="21" s="1"/>
  <c r="I30" i="21" s="1"/>
  <c r="F30" i="21" s="1"/>
  <c r="B31" i="21"/>
  <c r="E31" i="21" s="1"/>
  <c r="I31" i="21" s="1"/>
  <c r="F31" i="21" s="1"/>
  <c r="B32" i="21"/>
  <c r="E32" i="21" s="1"/>
  <c r="I32" i="21" s="1"/>
  <c r="F32" i="21" s="1"/>
  <c r="B33" i="21"/>
  <c r="E33" i="21" s="1"/>
  <c r="I33" i="21" s="1"/>
  <c r="F33" i="21" s="1"/>
  <c r="B34" i="21"/>
  <c r="J34" i="21"/>
  <c r="B35" i="21" s="1"/>
  <c r="B38" i="21"/>
  <c r="E38" i="21" s="1"/>
  <c r="I38" i="21" s="1"/>
  <c r="F38" i="21" s="1"/>
  <c r="B39" i="21"/>
  <c r="E39" i="21" s="1"/>
  <c r="I39" i="21" s="1"/>
  <c r="F39" i="21" s="1"/>
  <c r="B40" i="21"/>
  <c r="E40" i="21" s="1"/>
  <c r="I40" i="21" s="1"/>
  <c r="F40" i="21" s="1"/>
  <c r="B41" i="21"/>
  <c r="E41" i="21" s="1"/>
  <c r="I41" i="21" s="1"/>
  <c r="F41" i="21" s="1"/>
  <c r="B42" i="21"/>
  <c r="J42" i="21"/>
  <c r="B43" i="21" s="1"/>
  <c r="B44" i="21"/>
  <c r="E44" i="21" s="1"/>
  <c r="I44" i="21" s="1"/>
  <c r="E8" i="22"/>
  <c r="H8" i="22" s="1"/>
  <c r="F8" i="22" s="1"/>
  <c r="B9" i="22"/>
  <c r="E9" i="22" s="1"/>
  <c r="H9" i="22" s="1"/>
  <c r="F9" i="22" s="1"/>
  <c r="B10" i="22"/>
  <c r="E10" i="22" s="1"/>
  <c r="H10" i="22" s="1"/>
  <c r="F10" i="22" s="1"/>
  <c r="B11" i="22"/>
  <c r="E11" i="22" s="1"/>
  <c r="H11" i="22" s="1"/>
  <c r="F11" i="22" s="1"/>
  <c r="B12" i="22"/>
  <c r="E12" i="22" s="1"/>
  <c r="H12" i="22" s="1"/>
  <c r="F12" i="22" s="1"/>
  <c r="B13" i="22"/>
  <c r="E13" i="22" s="1"/>
  <c r="H13" i="22" s="1"/>
  <c r="F13" i="22" s="1"/>
  <c r="B14" i="22"/>
  <c r="E14" i="22" s="1"/>
  <c r="H14" i="22" s="1"/>
  <c r="F14" i="22" s="1"/>
  <c r="B15" i="22"/>
  <c r="E15" i="22" s="1"/>
  <c r="H15" i="22" s="1"/>
  <c r="F15" i="22" s="1"/>
  <c r="B16" i="22"/>
  <c r="E16" i="22" s="1"/>
  <c r="H16" i="22" s="1"/>
  <c r="F16" i="22" s="1"/>
  <c r="B17" i="22"/>
  <c r="E17" i="22" s="1"/>
  <c r="H17" i="22" s="1"/>
  <c r="F17" i="22" s="1"/>
  <c r="B18" i="22"/>
  <c r="E18" i="22" s="1"/>
  <c r="H18" i="22" s="1"/>
  <c r="F18" i="22" s="1"/>
  <c r="B19" i="22"/>
  <c r="E19" i="22" s="1"/>
  <c r="H19" i="22" s="1"/>
  <c r="F19" i="22" s="1"/>
  <c r="B20" i="22"/>
  <c r="E20" i="22" s="1"/>
  <c r="H20" i="22" s="1"/>
  <c r="F20" i="22" s="1"/>
  <c r="B21" i="22"/>
  <c r="E21" i="22" s="1"/>
  <c r="H21" i="22" s="1"/>
  <c r="F21" i="22" s="1"/>
  <c r="B22" i="22"/>
  <c r="E22" i="22" s="1"/>
  <c r="H22" i="22" s="1"/>
  <c r="F22" i="22" s="1"/>
  <c r="B23" i="22"/>
  <c r="E23" i="22" s="1"/>
  <c r="H23" i="22" s="1"/>
  <c r="F23" i="22" s="1"/>
  <c r="B24" i="22"/>
  <c r="E24" i="22" s="1"/>
  <c r="H24" i="22" s="1"/>
  <c r="F24" i="22" s="1"/>
  <c r="B25" i="22"/>
  <c r="E25" i="22" s="1"/>
  <c r="H25" i="22" s="1"/>
  <c r="F25" i="22" s="1"/>
  <c r="B26" i="22"/>
  <c r="E26" i="22" s="1"/>
  <c r="H26" i="22" s="1"/>
  <c r="F26" i="22" s="1"/>
  <c r="B27" i="22"/>
  <c r="E27" i="22" s="1"/>
  <c r="H27" i="22" s="1"/>
  <c r="F27" i="22" s="1"/>
  <c r="B28" i="22"/>
  <c r="E28" i="22" s="1"/>
  <c r="H28" i="22" s="1"/>
  <c r="F28" i="22" s="1"/>
  <c r="B29" i="22"/>
  <c r="E29" i="22" s="1"/>
  <c r="H29" i="22" s="1"/>
  <c r="F29" i="22" s="1"/>
  <c r="B30" i="22"/>
  <c r="E30" i="22" s="1"/>
  <c r="H30" i="22" s="1"/>
  <c r="F30" i="22" s="1"/>
  <c r="B31" i="22"/>
  <c r="E31" i="22" s="1"/>
  <c r="H31" i="22" s="1"/>
  <c r="F31" i="22" s="1"/>
  <c r="B32" i="22"/>
  <c r="E32" i="22" s="1"/>
  <c r="H32" i="22" s="1"/>
  <c r="F32" i="22" s="1"/>
  <c r="B33" i="22"/>
  <c r="E33" i="22" s="1"/>
  <c r="H33" i="22" s="1"/>
  <c r="F33" i="22" s="1"/>
  <c r="B34" i="22"/>
  <c r="E34" i="22" s="1"/>
  <c r="H34" i="22" s="1"/>
  <c r="F34" i="22" s="1"/>
  <c r="B35" i="22"/>
  <c r="I38" i="22"/>
  <c r="B39" i="22" s="1"/>
  <c r="E39" i="22" s="1"/>
  <c r="H39" i="22" s="1"/>
  <c r="F39" i="22" s="1"/>
  <c r="B40" i="22"/>
  <c r="E40" i="22" s="1"/>
  <c r="H40" i="22" s="1"/>
  <c r="F40" i="22" s="1"/>
  <c r="B41" i="22"/>
  <c r="E41" i="22" s="1"/>
  <c r="H41" i="22" s="1"/>
  <c r="F41" i="22" s="1"/>
  <c r="B42" i="22"/>
  <c r="E42" i="22" s="1"/>
  <c r="H42" i="22" s="1"/>
  <c r="F42" i="22" s="1"/>
  <c r="B43" i="22"/>
  <c r="B45" i="22"/>
  <c r="E45" i="22" s="1"/>
  <c r="H45" i="22" s="1"/>
  <c r="F45" i="22" s="1"/>
  <c r="C8" i="23"/>
  <c r="E8" i="23" s="1"/>
  <c r="I8" i="23" s="1"/>
  <c r="H8" i="23" s="1"/>
  <c r="B9" i="23"/>
  <c r="C9" i="23"/>
  <c r="B10" i="23"/>
  <c r="C10" i="23"/>
  <c r="E10" i="23" s="1"/>
  <c r="I10" i="23" s="1"/>
  <c r="H10" i="23" s="1"/>
  <c r="B11" i="23"/>
  <c r="C11" i="23"/>
  <c r="B12" i="23"/>
  <c r="C12" i="23"/>
  <c r="B13" i="23"/>
  <c r="C13" i="23"/>
  <c r="B14" i="23"/>
  <c r="C14" i="23"/>
  <c r="B15" i="23"/>
  <c r="C15" i="23"/>
  <c r="B16" i="23"/>
  <c r="C16" i="23"/>
  <c r="B17" i="23"/>
  <c r="C17" i="23"/>
  <c r="B18" i="23"/>
  <c r="C18" i="23"/>
  <c r="B19" i="23"/>
  <c r="C19" i="23"/>
  <c r="B20" i="23"/>
  <c r="C20" i="23"/>
  <c r="E20" i="23" s="1"/>
  <c r="I20" i="23" s="1"/>
  <c r="H20" i="23" s="1"/>
  <c r="B21" i="23"/>
  <c r="C21" i="23"/>
  <c r="B22" i="23"/>
  <c r="C22" i="23"/>
  <c r="E22" i="23" s="1"/>
  <c r="I22" i="23" s="1"/>
  <c r="H22" i="23" s="1"/>
  <c r="B23" i="23"/>
  <c r="C23" i="23"/>
  <c r="B24" i="23"/>
  <c r="C24" i="23"/>
  <c r="B25" i="23"/>
  <c r="C25" i="23"/>
  <c r="B26" i="23"/>
  <c r="C26" i="23"/>
  <c r="E26" i="23" s="1"/>
  <c r="I26" i="23" s="1"/>
  <c r="H26" i="23" s="1"/>
  <c r="B27" i="23"/>
  <c r="C27" i="23"/>
  <c r="C28" i="23"/>
  <c r="C29" i="23"/>
  <c r="C30" i="23"/>
  <c r="C31" i="23"/>
  <c r="C32" i="23"/>
  <c r="F32" i="23"/>
  <c r="G32" i="23"/>
  <c r="C33" i="23"/>
  <c r="C34" i="23"/>
  <c r="C35" i="23"/>
  <c r="F35" i="23"/>
  <c r="C36" i="23"/>
  <c r="C37" i="23"/>
  <c r="C38" i="23"/>
  <c r="C39" i="23"/>
  <c r="F39" i="23"/>
  <c r="C40" i="23"/>
  <c r="F40" i="23"/>
  <c r="C41" i="23"/>
  <c r="F41" i="23"/>
  <c r="C42" i="23"/>
  <c r="F42" i="23"/>
  <c r="C43" i="23"/>
  <c r="C44" i="23"/>
  <c r="B45" i="23"/>
  <c r="C45" i="2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40" i="2"/>
  <c r="D41" i="2"/>
  <c r="D42" i="2"/>
  <c r="D43" i="2"/>
  <c r="D5" i="1"/>
  <c r="D6" i="1"/>
  <c r="D7" i="1"/>
  <c r="D8" i="1"/>
  <c r="J27" i="23" s="1"/>
  <c r="D11" i="1"/>
  <c r="J8" i="28" s="1"/>
  <c r="B9" i="28" s="1"/>
  <c r="E9" i="28" s="1"/>
  <c r="D12" i="1"/>
  <c r="J9" i="28" s="1"/>
  <c r="B10" i="28" s="1"/>
  <c r="E10" i="28" s="1"/>
  <c r="D13" i="1"/>
  <c r="J10" i="28" s="1"/>
  <c r="B11" i="28" s="1"/>
  <c r="E11" i="28" s="1"/>
  <c r="D14" i="1"/>
  <c r="J11" i="28" s="1"/>
  <c r="B15" i="28" s="1"/>
  <c r="E15" i="28" s="1"/>
  <c r="D17" i="1"/>
  <c r="J15" i="28" s="1"/>
  <c r="B16" i="28" s="1"/>
  <c r="E16" i="28" s="1"/>
  <c r="D18" i="1"/>
  <c r="J16" i="28" s="1"/>
  <c r="B17" i="28" s="1"/>
  <c r="E17" i="28" s="1"/>
  <c r="D19" i="1"/>
  <c r="J17" i="28" s="1"/>
  <c r="B18" i="28" s="1"/>
  <c r="E18" i="28" s="1"/>
  <c r="D20" i="1"/>
  <c r="J18" i="28" s="1"/>
  <c r="B22" i="28" s="1"/>
  <c r="E22" i="28" s="1"/>
  <c r="D23" i="1"/>
  <c r="J22" i="28" s="1"/>
  <c r="B23" i="28" s="1"/>
  <c r="E23" i="28" s="1"/>
  <c r="D24" i="1"/>
  <c r="J23" i="28" s="1"/>
  <c r="B24" i="28" s="1"/>
  <c r="E24" i="28" s="1"/>
  <c r="D25" i="1"/>
  <c r="J24" i="28" s="1"/>
  <c r="B25" i="28" s="1"/>
  <c r="E25" i="28" s="1"/>
  <c r="D26" i="1"/>
  <c r="J30" i="23" s="1"/>
  <c r="B31" i="23" s="1"/>
  <c r="D29" i="1"/>
  <c r="J29" i="28" s="1"/>
  <c r="B30" i="28" s="1"/>
  <c r="E30" i="28" s="1"/>
  <c r="D30" i="1"/>
  <c r="J30" i="28" s="1"/>
  <c r="B31" i="28" s="1"/>
  <c r="E31" i="28" s="1"/>
  <c r="D31" i="1"/>
  <c r="J31" i="28" s="1"/>
  <c r="B32" i="28" s="1"/>
  <c r="E32" i="28" s="1"/>
  <c r="D32" i="1"/>
  <c r="J32" i="28" s="1"/>
  <c r="B36" i="28" s="1"/>
  <c r="D35" i="1"/>
  <c r="J36" i="28" s="1"/>
  <c r="B37" i="28" s="1"/>
  <c r="E37" i="28" s="1"/>
  <c r="D36" i="1"/>
  <c r="J37" i="28" s="1"/>
  <c r="B38" i="28" s="1"/>
  <c r="E38" i="28" s="1"/>
  <c r="D37" i="1"/>
  <c r="J38" i="28" s="1"/>
  <c r="B39" i="28" s="1"/>
  <c r="E39" i="28" s="1"/>
  <c r="D38" i="1"/>
  <c r="J39" i="28" s="1"/>
  <c r="B43" i="28" s="1"/>
  <c r="D41" i="1"/>
  <c r="J43" i="28" s="1"/>
  <c r="B44" i="28" s="1"/>
  <c r="E44" i="28" s="1"/>
  <c r="D42" i="1"/>
  <c r="J44" i="28" s="1"/>
  <c r="B45" i="28" s="1"/>
  <c r="E45" i="28" s="1"/>
  <c r="D43" i="1"/>
  <c r="J45" i="28" s="1"/>
  <c r="B46" i="28" s="1"/>
  <c r="E46" i="28" s="1"/>
  <c r="D44" i="1"/>
  <c r="J46" i="28" s="1"/>
  <c r="B50" i="28" s="1"/>
  <c r="E50" i="28" s="1"/>
  <c r="D47" i="1"/>
  <c r="J50" i="28" s="1"/>
  <c r="B51" i="28" s="1"/>
  <c r="E51" i="28" s="1"/>
  <c r="D48" i="1"/>
  <c r="J51" i="28" s="1"/>
  <c r="B52" i="28" s="1"/>
  <c r="E52" i="28" s="1"/>
  <c r="D49" i="1"/>
  <c r="J52" i="28" s="1"/>
  <c r="B53" i="28" s="1"/>
  <c r="E53" i="28" s="1"/>
  <c r="D50" i="1"/>
  <c r="J53" i="28" s="1"/>
  <c r="B57" i="28" s="1"/>
  <c r="D53" i="1"/>
  <c r="J57" i="28" s="1"/>
  <c r="B58" i="28" s="1"/>
  <c r="E58" i="28" s="1"/>
  <c r="D54" i="1"/>
  <c r="J58" i="28" s="1"/>
  <c r="B59" i="28" s="1"/>
  <c r="E59" i="28" s="1"/>
  <c r="D55" i="1"/>
  <c r="J59" i="28" s="1"/>
  <c r="B60" i="28" s="1"/>
  <c r="E60" i="28" s="1"/>
  <c r="D56" i="1"/>
  <c r="J60" i="28" s="1"/>
  <c r="B64" i="28" s="1"/>
  <c r="D59" i="1"/>
  <c r="J64" i="28" s="1"/>
  <c r="B65" i="28" s="1"/>
  <c r="E65" i="28" s="1"/>
  <c r="D60" i="1"/>
  <c r="J65" i="28" s="1"/>
  <c r="B66" i="28" s="1"/>
  <c r="E66" i="28" s="1"/>
  <c r="D61" i="1"/>
  <c r="J66" i="28" s="1"/>
  <c r="B67" i="28" s="1"/>
  <c r="E67" i="28" s="1"/>
  <c r="D62" i="1"/>
  <c r="J67" i="28" s="1"/>
  <c r="B71" i="28" s="1"/>
  <c r="D65" i="1"/>
  <c r="J71" i="28" s="1"/>
  <c r="B72" i="28" s="1"/>
  <c r="E72" i="28" s="1"/>
  <c r="D66" i="1"/>
  <c r="J72" i="28" s="1"/>
  <c r="B73" i="28" s="1"/>
  <c r="E73" i="28" s="1"/>
  <c r="D67" i="1"/>
  <c r="J73" i="28" s="1"/>
  <c r="B74" i="28" s="1"/>
  <c r="E74" i="28" s="1"/>
  <c r="D68" i="1"/>
  <c r="J37" i="23" s="1"/>
  <c r="B38" i="23" s="1"/>
  <c r="D71" i="1"/>
  <c r="J78" i="28" s="1"/>
  <c r="B79" i="28" s="1"/>
  <c r="E79" i="28" s="1"/>
  <c r="D72" i="1"/>
  <c r="J79" i="28" s="1"/>
  <c r="B80" i="28" s="1"/>
  <c r="E80" i="28" s="1"/>
  <c r="D73" i="1"/>
  <c r="J80" i="28" s="1"/>
  <c r="B81" i="28" s="1"/>
  <c r="E81" i="28" s="1"/>
  <c r="D74" i="1"/>
  <c r="J81" i="28" s="1"/>
  <c r="B85" i="28" s="1"/>
  <c r="D77" i="1"/>
  <c r="J85" i="28" s="1"/>
  <c r="B86" i="28" s="1"/>
  <c r="E86" i="28" s="1"/>
  <c r="D78" i="1"/>
  <c r="J86" i="28" s="1"/>
  <c r="B87" i="28" s="1"/>
  <c r="E87" i="28" s="1"/>
  <c r="D79" i="1"/>
  <c r="J87" i="28" s="1"/>
  <c r="B88" i="28" s="1"/>
  <c r="E88" i="28" s="1"/>
  <c r="D80" i="1"/>
  <c r="J88" i="28" s="1"/>
  <c r="B92" i="28" s="1"/>
  <c r="D83" i="1"/>
  <c r="J92" i="28" s="1"/>
  <c r="B93" i="28" s="1"/>
  <c r="E93" i="28" s="1"/>
  <c r="D84" i="1"/>
  <c r="J93" i="28" s="1"/>
  <c r="B94" i="28" s="1"/>
  <c r="E94" i="28" s="1"/>
  <c r="D85" i="1"/>
  <c r="J94" i="28" s="1"/>
  <c r="B95" i="28" s="1"/>
  <c r="E95" i="28" s="1"/>
  <c r="D86" i="1"/>
  <c r="J95" i="28" s="1"/>
  <c r="D89" i="1"/>
  <c r="J99" i="28" s="1"/>
  <c r="B100" i="28" s="1"/>
  <c r="E100" i="28" s="1"/>
  <c r="D90" i="1"/>
  <c r="J100" i="28" s="1"/>
  <c r="B101" i="28" s="1"/>
  <c r="E101" i="28" s="1"/>
  <c r="D91" i="1"/>
  <c r="J101" i="28" s="1"/>
  <c r="B102" i="28" s="1"/>
  <c r="E102" i="28" s="1"/>
  <c r="D92" i="1"/>
  <c r="J102" i="28" s="1"/>
  <c r="B106" i="28" s="1"/>
  <c r="D95" i="1"/>
  <c r="J106" i="28" s="1"/>
  <c r="B107" i="28" s="1"/>
  <c r="E107" i="28" s="1"/>
  <c r="D96" i="1"/>
  <c r="J107" i="28" s="1"/>
  <c r="B108" i="28" s="1"/>
  <c r="E108" i="28" s="1"/>
  <c r="D97" i="1"/>
  <c r="J108" i="28" s="1"/>
  <c r="B109" i="28" s="1"/>
  <c r="E109" i="28" s="1"/>
  <c r="D98" i="1"/>
  <c r="J109" i="28" s="1"/>
  <c r="B116" i="28" s="1"/>
  <c r="D101" i="1"/>
  <c r="J116" i="28" s="1"/>
  <c r="B120" i="28" s="1"/>
  <c r="D102" i="1"/>
  <c r="J120" i="28" s="1"/>
  <c r="B124" i="28" s="1"/>
  <c r="D103" i="1"/>
  <c r="J124" i="28" s="1"/>
  <c r="B128" i="28" s="1"/>
  <c r="D104" i="1"/>
  <c r="J128" i="28" s="1"/>
  <c r="B135" i="28" s="1"/>
  <c r="D107" i="1"/>
  <c r="J135" i="28" s="1"/>
  <c r="B139" i="28" s="1"/>
  <c r="J154" i="28"/>
  <c r="B158" i="28" s="1"/>
  <c r="E28" i="26" l="1"/>
  <c r="F33" i="46"/>
  <c r="H33" i="46" s="1"/>
  <c r="H45" i="31"/>
  <c r="F45" i="31" s="1"/>
  <c r="I26" i="21"/>
  <c r="F26" i="21" s="1"/>
  <c r="E167" i="28"/>
  <c r="E24" i="23"/>
  <c r="I24" i="23" s="1"/>
  <c r="H24" i="23" s="1"/>
  <c r="E18" i="23"/>
  <c r="I18" i="23" s="1"/>
  <c r="H18" i="23" s="1"/>
  <c r="E158" i="28"/>
  <c r="I158" i="28" s="1"/>
  <c r="H158" i="28" s="1"/>
  <c r="L23" i="33"/>
  <c r="F167" i="28"/>
  <c r="F45" i="23" s="1"/>
  <c r="L21" i="33"/>
  <c r="L11" i="33"/>
  <c r="E12" i="26"/>
  <c r="I12" i="26" s="1"/>
  <c r="F12" i="26" s="1"/>
  <c r="J36" i="21"/>
  <c r="B37" i="21" s="1"/>
  <c r="E58" i="26"/>
  <c r="I35" i="22"/>
  <c r="B36" i="22" s="1"/>
  <c r="E23" i="23"/>
  <c r="I23" i="23" s="1"/>
  <c r="H23" i="23" s="1"/>
  <c r="E27" i="23"/>
  <c r="E68" i="27"/>
  <c r="H68" i="27" s="1"/>
  <c r="F68" i="27" s="1"/>
  <c r="L33" i="33"/>
  <c r="E16" i="17"/>
  <c r="I16" i="17" s="1"/>
  <c r="H16" i="17" s="1"/>
  <c r="E17" i="26"/>
  <c r="I17" i="26" s="1"/>
  <c r="F17" i="26" s="1"/>
  <c r="E26" i="26"/>
  <c r="I26" i="26" s="1"/>
  <c r="F26" i="26" s="1"/>
  <c r="L29" i="33"/>
  <c r="E55" i="26"/>
  <c r="I55" i="26" s="1"/>
  <c r="F55" i="26" s="1"/>
  <c r="E46" i="26"/>
  <c r="I46" i="26" s="1"/>
  <c r="F46" i="26" s="1"/>
  <c r="E42" i="26"/>
  <c r="I42" i="26" s="1"/>
  <c r="F42" i="26" s="1"/>
  <c r="I28" i="26"/>
  <c r="E60" i="26"/>
  <c r="I60" i="26" s="1"/>
  <c r="F60" i="26" s="1"/>
  <c r="E12" i="27"/>
  <c r="E26" i="27"/>
  <c r="E11" i="23"/>
  <c r="I11" i="23" s="1"/>
  <c r="H11" i="23" s="1"/>
  <c r="E19" i="23"/>
  <c r="I19" i="23" s="1"/>
  <c r="H19" i="23" s="1"/>
  <c r="E13" i="23"/>
  <c r="I13" i="23" s="1"/>
  <c r="H13" i="23" s="1"/>
  <c r="E15" i="23"/>
  <c r="I15" i="23" s="1"/>
  <c r="H15" i="23" s="1"/>
  <c r="G54" i="20"/>
  <c r="K86" i="20"/>
  <c r="O86" i="20" s="1"/>
  <c r="L30" i="33"/>
  <c r="L18" i="33"/>
  <c r="L6" i="33"/>
  <c r="L17" i="33"/>
  <c r="E24" i="17"/>
  <c r="I24" i="17" s="1"/>
  <c r="H24" i="17" s="1"/>
  <c r="K58" i="20"/>
  <c r="M58" i="20" s="1"/>
  <c r="J96" i="20"/>
  <c r="E15" i="26"/>
  <c r="I15" i="26" s="1"/>
  <c r="F15" i="26" s="1"/>
  <c r="J35" i="21"/>
  <c r="B36" i="21" s="1"/>
  <c r="F128" i="28"/>
  <c r="L9" i="33"/>
  <c r="E8" i="26"/>
  <c r="I8" i="26" s="1"/>
  <c r="C45" i="32"/>
  <c r="E45" i="32" s="1"/>
  <c r="I45" i="32" s="1"/>
  <c r="G45" i="32" s="1"/>
  <c r="C42" i="32"/>
  <c r="E42" i="32" s="1"/>
  <c r="I42" i="32" s="1"/>
  <c r="G42" i="32" s="1"/>
  <c r="L40" i="33"/>
  <c r="L28" i="33"/>
  <c r="C18" i="32"/>
  <c r="E18" i="32" s="1"/>
  <c r="I18" i="32" s="1"/>
  <c r="G18" i="32" s="1"/>
  <c r="L16" i="33"/>
  <c r="J40" i="23"/>
  <c r="B41" i="23" s="1"/>
  <c r="E41" i="23" s="1"/>
  <c r="C37" i="32"/>
  <c r="E37" i="32" s="1"/>
  <c r="I37" i="32" s="1"/>
  <c r="G37" i="32" s="1"/>
  <c r="L35" i="33"/>
  <c r="E8" i="27"/>
  <c r="H8" i="27" s="1"/>
  <c r="F8" i="27" s="1"/>
  <c r="J82" i="20"/>
  <c r="J34" i="23"/>
  <c r="B35" i="23" s="1"/>
  <c r="E35" i="23" s="1"/>
  <c r="E50" i="26"/>
  <c r="I50" i="26" s="1"/>
  <c r="F50" i="26" s="1"/>
  <c r="L37" i="33"/>
  <c r="L25" i="33"/>
  <c r="C15" i="32"/>
  <c r="E15" i="32" s="1"/>
  <c r="I15" i="32" s="1"/>
  <c r="G15" i="32" s="1"/>
  <c r="L13" i="33"/>
  <c r="E64" i="27"/>
  <c r="H64" i="27" s="1"/>
  <c r="F64" i="27" s="1"/>
  <c r="E23" i="26"/>
  <c r="I23" i="26" s="1"/>
  <c r="F23" i="26" s="1"/>
  <c r="C34" i="32"/>
  <c r="E34" i="32" s="1"/>
  <c r="I34" i="32" s="1"/>
  <c r="G34" i="32" s="1"/>
  <c r="L32" i="33"/>
  <c r="C22" i="32"/>
  <c r="E22" i="32" s="1"/>
  <c r="I22" i="32" s="1"/>
  <c r="G22" i="32" s="1"/>
  <c r="L20" i="33"/>
  <c r="L39" i="33"/>
  <c r="C29" i="32"/>
  <c r="E29" i="32" s="1"/>
  <c r="I29" i="32" s="1"/>
  <c r="G29" i="32" s="1"/>
  <c r="L27" i="33"/>
  <c r="L15" i="33"/>
  <c r="L34" i="33"/>
  <c r="C24" i="32"/>
  <c r="E24" i="32" s="1"/>
  <c r="I24" i="32" s="1"/>
  <c r="G24" i="32" s="1"/>
  <c r="L22" i="33"/>
  <c r="L10" i="33"/>
  <c r="E52" i="26"/>
  <c r="I52" i="26" s="1"/>
  <c r="F52" i="26" s="1"/>
  <c r="C43" i="32"/>
  <c r="E43" i="32" s="1"/>
  <c r="I43" i="32" s="1"/>
  <c r="G43" i="32" s="1"/>
  <c r="L41" i="33"/>
  <c r="C10" i="32"/>
  <c r="L36" i="33"/>
  <c r="C26" i="32"/>
  <c r="E26" i="32" s="1"/>
  <c r="I26" i="32" s="1"/>
  <c r="G26" i="32" s="1"/>
  <c r="L24" i="33"/>
  <c r="L12" i="33"/>
  <c r="J32" i="23"/>
  <c r="B33" i="23" s="1"/>
  <c r="E33" i="23" s="1"/>
  <c r="C33" i="32"/>
  <c r="E33" i="32" s="1"/>
  <c r="I33" i="32" s="1"/>
  <c r="G33" i="32" s="1"/>
  <c r="L31" i="33"/>
  <c r="L19" i="33"/>
  <c r="L7" i="33"/>
  <c r="C40" i="32"/>
  <c r="E40" i="32" s="1"/>
  <c r="I40" i="32" s="1"/>
  <c r="G40" i="32" s="1"/>
  <c r="L38" i="33"/>
  <c r="C28" i="32"/>
  <c r="E28" i="32" s="1"/>
  <c r="I28" i="32" s="1"/>
  <c r="G28" i="32" s="1"/>
  <c r="L26" i="33"/>
  <c r="J43" i="23"/>
  <c r="B44" i="23" s="1"/>
  <c r="E39" i="26"/>
  <c r="I39" i="26" s="1"/>
  <c r="F39" i="26" s="1"/>
  <c r="K13" i="20"/>
  <c r="O13" i="20" s="1"/>
  <c r="C27" i="32"/>
  <c r="E27" i="32" s="1"/>
  <c r="I27" i="32" s="1"/>
  <c r="G27" i="32" s="1"/>
  <c r="J36" i="23"/>
  <c r="B37" i="23" s="1"/>
  <c r="E37" i="23" s="1"/>
  <c r="I37" i="23" s="1"/>
  <c r="H37" i="23" s="1"/>
  <c r="J28" i="23"/>
  <c r="B29" i="23" s="1"/>
  <c r="E29" i="23" s="1"/>
  <c r="K101" i="20"/>
  <c r="O101" i="20" s="1"/>
  <c r="E41" i="17"/>
  <c r="I41" i="17" s="1"/>
  <c r="H41" i="17" s="1"/>
  <c r="E33" i="17"/>
  <c r="I33" i="17" s="1"/>
  <c r="H33" i="17" s="1"/>
  <c r="E29" i="17"/>
  <c r="I29" i="17" s="1"/>
  <c r="H29" i="17" s="1"/>
  <c r="E25" i="17"/>
  <c r="I25" i="17" s="1"/>
  <c r="H25" i="17" s="1"/>
  <c r="E21" i="17"/>
  <c r="I21" i="17" s="1"/>
  <c r="H21" i="17" s="1"/>
  <c r="E17" i="17"/>
  <c r="I17" i="17" s="1"/>
  <c r="H17" i="17" s="1"/>
  <c r="E9" i="17"/>
  <c r="I9" i="17" s="1"/>
  <c r="H9" i="17" s="1"/>
  <c r="E9" i="26"/>
  <c r="I9" i="26" s="1"/>
  <c r="F9" i="26" s="1"/>
  <c r="J74" i="28"/>
  <c r="B78" i="28" s="1"/>
  <c r="E82" i="28" s="1"/>
  <c r="C19" i="32"/>
  <c r="E19" i="32" s="1"/>
  <c r="I19" i="32" s="1"/>
  <c r="G19" i="32" s="1"/>
  <c r="G44" i="24"/>
  <c r="E44" i="24" s="1"/>
  <c r="E75" i="27"/>
  <c r="H75" i="27" s="1"/>
  <c r="F75" i="27" s="1"/>
  <c r="J38" i="23"/>
  <c r="B39" i="23" s="1"/>
  <c r="E39" i="23" s="1"/>
  <c r="E55" i="27"/>
  <c r="H55" i="27" s="1"/>
  <c r="F55" i="27" s="1"/>
  <c r="E10" i="26"/>
  <c r="I10" i="26" s="1"/>
  <c r="F10" i="26" s="1"/>
  <c r="H44" i="31"/>
  <c r="F44" i="31" s="1"/>
  <c r="E25" i="26"/>
  <c r="I25" i="26" s="1"/>
  <c r="F25" i="26" s="1"/>
  <c r="E12" i="28"/>
  <c r="E70" i="27"/>
  <c r="H70" i="27" s="1"/>
  <c r="F70" i="27" s="1"/>
  <c r="E51" i="27"/>
  <c r="E40" i="26"/>
  <c r="I40" i="26" s="1"/>
  <c r="F40" i="26" s="1"/>
  <c r="E31" i="26"/>
  <c r="I31" i="26" s="1"/>
  <c r="F31" i="26" s="1"/>
  <c r="J54" i="20"/>
  <c r="E43" i="17"/>
  <c r="I43" i="17" s="1"/>
  <c r="H43" i="17" s="1"/>
  <c r="E35" i="17"/>
  <c r="I35" i="17" s="1"/>
  <c r="H35" i="17" s="1"/>
  <c r="C35" i="32"/>
  <c r="E35" i="32" s="1"/>
  <c r="I35" i="32" s="1"/>
  <c r="G35" i="32" s="1"/>
  <c r="C11" i="32"/>
  <c r="E11" i="32" s="1"/>
  <c r="I11" i="32" s="1"/>
  <c r="G11" i="32" s="1"/>
  <c r="E36" i="32"/>
  <c r="I36" i="32" s="1"/>
  <c r="G36" i="32" s="1"/>
  <c r="G148" i="28"/>
  <c r="G44" i="23" s="1"/>
  <c r="E139" i="28"/>
  <c r="I139" i="28" s="1"/>
  <c r="H139" i="28" s="1"/>
  <c r="E143" i="28"/>
  <c r="I143" i="28" s="1"/>
  <c r="H143" i="28" s="1"/>
  <c r="E45" i="38"/>
  <c r="H45" i="38" s="1"/>
  <c r="F45" i="38" s="1"/>
  <c r="E26" i="17"/>
  <c r="I26" i="17" s="1"/>
  <c r="H26" i="17" s="1"/>
  <c r="E22" i="17"/>
  <c r="I22" i="17" s="1"/>
  <c r="H22" i="17" s="1"/>
  <c r="E10" i="17"/>
  <c r="I10" i="17" s="1"/>
  <c r="H10" i="17" s="1"/>
  <c r="E36" i="17"/>
  <c r="I36" i="17" s="1"/>
  <c r="H36" i="17" s="1"/>
  <c r="E34" i="17"/>
  <c r="I34" i="17" s="1"/>
  <c r="H34" i="17" s="1"/>
  <c r="E30" i="17"/>
  <c r="I30" i="17" s="1"/>
  <c r="H30" i="17" s="1"/>
  <c r="N14" i="13"/>
  <c r="N37" i="13"/>
  <c r="N29" i="13"/>
  <c r="N21" i="13"/>
  <c r="N13" i="13"/>
  <c r="N20" i="13"/>
  <c r="N35" i="13"/>
  <c r="N34" i="13"/>
  <c r="N26" i="13"/>
  <c r="N18" i="13"/>
  <c r="N10" i="13"/>
  <c r="N28" i="13"/>
  <c r="N42" i="13"/>
  <c r="N33" i="13"/>
  <c r="N25" i="13"/>
  <c r="N9" i="13"/>
  <c r="N40" i="13"/>
  <c r="N36" i="13"/>
  <c r="N12" i="13"/>
  <c r="N41" i="13"/>
  <c r="N32" i="13"/>
  <c r="N24" i="13"/>
  <c r="N16" i="13"/>
  <c r="N8" i="13"/>
  <c r="E7" i="70"/>
  <c r="C10" i="5" s="1"/>
  <c r="E10" i="5" s="1"/>
  <c r="J10" i="5" s="1"/>
  <c r="I10" i="5" s="1"/>
  <c r="N7" i="13"/>
  <c r="E6" i="70"/>
  <c r="N6" i="13"/>
  <c r="E27" i="70"/>
  <c r="C30" i="5" s="1"/>
  <c r="E30" i="5" s="1"/>
  <c r="J30" i="5" s="1"/>
  <c r="I30" i="5" s="1"/>
  <c r="N39" i="14"/>
  <c r="C7" i="70"/>
  <c r="C6" i="70"/>
  <c r="N11" i="15"/>
  <c r="C11" i="70" s="1"/>
  <c r="D11" i="70" s="1"/>
  <c r="N23" i="15"/>
  <c r="C23" i="70" s="1"/>
  <c r="N17" i="15"/>
  <c r="C17" i="70" s="1"/>
  <c r="N38" i="15"/>
  <c r="N38" i="13" s="1"/>
  <c r="N27" i="15"/>
  <c r="C27" i="70" s="1"/>
  <c r="N31" i="15"/>
  <c r="C31" i="70" s="1"/>
  <c r="N22" i="15"/>
  <c r="C22" i="70" s="1"/>
  <c r="N39" i="15"/>
  <c r="N15" i="15"/>
  <c r="C15" i="70" s="1"/>
  <c r="N30" i="15"/>
  <c r="C30" i="70" s="1"/>
  <c r="N19" i="15"/>
  <c r="C19" i="70" s="1"/>
  <c r="D19" i="70" s="1"/>
  <c r="C43" i="70"/>
  <c r="D43" i="70" s="1"/>
  <c r="C35" i="70"/>
  <c r="C36" i="70"/>
  <c r="C28" i="70"/>
  <c r="N37" i="6"/>
  <c r="B37" i="70" s="1"/>
  <c r="N39" i="6"/>
  <c r="B39" i="70" s="1"/>
  <c r="N41" i="6"/>
  <c r="B41" i="70" s="1"/>
  <c r="N43" i="6"/>
  <c r="B43" i="70" s="1"/>
  <c r="N35" i="6"/>
  <c r="B35" i="70" s="1"/>
  <c r="E61" i="26"/>
  <c r="I61" i="26" s="1"/>
  <c r="F61" i="26" s="1"/>
  <c r="E56" i="26"/>
  <c r="I56" i="26" s="1"/>
  <c r="F56" i="26" s="1"/>
  <c r="E51" i="26"/>
  <c r="I51" i="26" s="1"/>
  <c r="F51" i="26" s="1"/>
  <c r="E38" i="26"/>
  <c r="I38" i="26" s="1"/>
  <c r="F38" i="26" s="1"/>
  <c r="E32" i="26"/>
  <c r="I32" i="26" s="1"/>
  <c r="F32" i="26" s="1"/>
  <c r="E29" i="26"/>
  <c r="I29" i="26" s="1"/>
  <c r="F29" i="26" s="1"/>
  <c r="E27" i="26"/>
  <c r="I27" i="26" s="1"/>
  <c r="F27" i="26" s="1"/>
  <c r="E18" i="26"/>
  <c r="I18" i="26" s="1"/>
  <c r="F18" i="26" s="1"/>
  <c r="E11" i="26"/>
  <c r="I11" i="26" s="1"/>
  <c r="F11" i="26" s="1"/>
  <c r="C42" i="21"/>
  <c r="E14" i="26"/>
  <c r="I14" i="26" s="1"/>
  <c r="F14" i="26" s="1"/>
  <c r="E45" i="26"/>
  <c r="I45" i="26" s="1"/>
  <c r="F45" i="26" s="1"/>
  <c r="E90" i="26"/>
  <c r="E41" i="26"/>
  <c r="I41" i="26" s="1"/>
  <c r="F41" i="26" s="1"/>
  <c r="I58" i="26"/>
  <c r="F58" i="26" s="1"/>
  <c r="E54" i="26"/>
  <c r="I54" i="26" s="1"/>
  <c r="F54" i="26" s="1"/>
  <c r="E57" i="26"/>
  <c r="I57" i="26" s="1"/>
  <c r="F57" i="26" s="1"/>
  <c r="E44" i="26"/>
  <c r="I44" i="26" s="1"/>
  <c r="F44" i="26" s="1"/>
  <c r="E43" i="26"/>
  <c r="I43" i="26" s="1"/>
  <c r="F43" i="26" s="1"/>
  <c r="E59" i="26"/>
  <c r="I59" i="26" s="1"/>
  <c r="F59" i="26" s="1"/>
  <c r="F28" i="26"/>
  <c r="E67" i="27"/>
  <c r="H67" i="27" s="1"/>
  <c r="F67" i="27" s="1"/>
  <c r="E17" i="27"/>
  <c r="E13" i="27"/>
  <c r="H13" i="27" s="1"/>
  <c r="F13" i="27" s="1"/>
  <c r="E42" i="27"/>
  <c r="H42" i="27" s="1"/>
  <c r="F42" i="27" s="1"/>
  <c r="E30" i="27"/>
  <c r="H30" i="27" s="1"/>
  <c r="F30" i="27" s="1"/>
  <c r="H51" i="27"/>
  <c r="F51" i="27" s="1"/>
  <c r="E43" i="27"/>
  <c r="H43" i="27" s="1"/>
  <c r="F43" i="27" s="1"/>
  <c r="E37" i="27"/>
  <c r="H37" i="27" s="1"/>
  <c r="F37" i="27" s="1"/>
  <c r="E147" i="28"/>
  <c r="I147" i="28" s="1"/>
  <c r="H147" i="28" s="1"/>
  <c r="D148" i="28"/>
  <c r="E45" i="17"/>
  <c r="I45" i="17" s="1"/>
  <c r="H45" i="17" s="1"/>
  <c r="E44" i="22"/>
  <c r="H44" i="22" s="1"/>
  <c r="F44" i="22" s="1"/>
  <c r="E90" i="27"/>
  <c r="E20" i="17"/>
  <c r="I20" i="17" s="1"/>
  <c r="H20" i="17" s="1"/>
  <c r="E23" i="17"/>
  <c r="I23" i="17" s="1"/>
  <c r="H23" i="17" s="1"/>
  <c r="E12" i="17"/>
  <c r="I12" i="17" s="1"/>
  <c r="H12" i="17" s="1"/>
  <c r="E39" i="17"/>
  <c r="I39" i="17" s="1"/>
  <c r="H39" i="17" s="1"/>
  <c r="E27" i="17"/>
  <c r="I27" i="17" s="1"/>
  <c r="H27" i="17" s="1"/>
  <c r="G96" i="20"/>
  <c r="G82" i="20"/>
  <c r="K10" i="20"/>
  <c r="O10" i="20" s="1"/>
  <c r="K88" i="20"/>
  <c r="O88" i="20" s="1"/>
  <c r="D82" i="20"/>
  <c r="G68" i="20"/>
  <c r="K30" i="20"/>
  <c r="O30" i="20" s="1"/>
  <c r="K110" i="20"/>
  <c r="O110" i="20" s="1"/>
  <c r="K22" i="20"/>
  <c r="O22" i="20" s="1"/>
  <c r="D68" i="20"/>
  <c r="K49" i="20"/>
  <c r="O49" i="20" s="1"/>
  <c r="J25" i="20"/>
  <c r="K98" i="20"/>
  <c r="O98" i="20" s="1"/>
  <c r="K75" i="20"/>
  <c r="O75" i="20" s="1"/>
  <c r="D96" i="20"/>
  <c r="D54" i="20"/>
  <c r="K53" i="20"/>
  <c r="L53" i="20" s="1"/>
  <c r="J40" i="20"/>
  <c r="K104" i="20"/>
  <c r="O104" i="20" s="1"/>
  <c r="K106" i="20"/>
  <c r="O106" i="20" s="1"/>
  <c r="K92" i="20"/>
  <c r="M92" i="20" s="1"/>
  <c r="D40" i="20"/>
  <c r="K85" i="20"/>
  <c r="O85" i="20" s="1"/>
  <c r="E37" i="26"/>
  <c r="I37" i="26" s="1"/>
  <c r="F37" i="26" s="1"/>
  <c r="E16" i="26"/>
  <c r="I16" i="26" s="1"/>
  <c r="F16" i="26" s="1"/>
  <c r="H48" i="26"/>
  <c r="H36" i="21" s="1"/>
  <c r="E53" i="26"/>
  <c r="I53" i="26" s="1"/>
  <c r="F53" i="26" s="1"/>
  <c r="E19" i="26"/>
  <c r="I19" i="26" s="1"/>
  <c r="F19" i="26" s="1"/>
  <c r="C43" i="21"/>
  <c r="E43" i="21" s="1"/>
  <c r="E13" i="26"/>
  <c r="I13" i="26" s="1"/>
  <c r="F13" i="26" s="1"/>
  <c r="E47" i="26"/>
  <c r="I47" i="26" s="1"/>
  <c r="F47" i="26" s="1"/>
  <c r="I36" i="22"/>
  <c r="B37" i="22" s="1"/>
  <c r="E38" i="27"/>
  <c r="H38" i="27" s="1"/>
  <c r="F38" i="27" s="1"/>
  <c r="E15" i="27"/>
  <c r="H15" i="27" s="1"/>
  <c r="F15" i="27" s="1"/>
  <c r="E52" i="27"/>
  <c r="H52" i="27" s="1"/>
  <c r="F52" i="27" s="1"/>
  <c r="E45" i="27"/>
  <c r="H45" i="27" s="1"/>
  <c r="F45" i="27" s="1"/>
  <c r="C76" i="27"/>
  <c r="C43" i="22" s="1"/>
  <c r="E61" i="27"/>
  <c r="H61" i="27" s="1"/>
  <c r="F61" i="27" s="1"/>
  <c r="D34" i="27"/>
  <c r="D36" i="22" s="1"/>
  <c r="E16" i="27"/>
  <c r="H16" i="27" s="1"/>
  <c r="F16" i="27" s="1"/>
  <c r="E50" i="27"/>
  <c r="H50" i="27" s="1"/>
  <c r="F50" i="27" s="1"/>
  <c r="E46" i="27"/>
  <c r="H46" i="27" s="1"/>
  <c r="F46" i="27" s="1"/>
  <c r="E44" i="27"/>
  <c r="H44" i="27" s="1"/>
  <c r="F44" i="27" s="1"/>
  <c r="E60" i="27"/>
  <c r="H60" i="27" s="1"/>
  <c r="F60" i="27" s="1"/>
  <c r="E40" i="27"/>
  <c r="H40" i="27" s="1"/>
  <c r="F40" i="27" s="1"/>
  <c r="E47" i="27"/>
  <c r="H47" i="27" s="1"/>
  <c r="F47" i="27" s="1"/>
  <c r="E9" i="27"/>
  <c r="H9" i="27" s="1"/>
  <c r="F9" i="27" s="1"/>
  <c r="I37" i="22"/>
  <c r="B38" i="22" s="1"/>
  <c r="E18" i="27"/>
  <c r="H18" i="27" s="1"/>
  <c r="F18" i="27" s="1"/>
  <c r="E73" i="27"/>
  <c r="H73" i="27" s="1"/>
  <c r="F73" i="27" s="1"/>
  <c r="E66" i="27"/>
  <c r="H66" i="27" s="1"/>
  <c r="F66" i="27" s="1"/>
  <c r="E27" i="27"/>
  <c r="H27" i="27" s="1"/>
  <c r="F27" i="27" s="1"/>
  <c r="C34" i="27"/>
  <c r="C36" i="22" s="1"/>
  <c r="E69" i="27"/>
  <c r="H69" i="27" s="1"/>
  <c r="F69" i="27" s="1"/>
  <c r="D62" i="27"/>
  <c r="D38" i="22" s="1"/>
  <c r="E41" i="27"/>
  <c r="H41" i="27" s="1"/>
  <c r="F41" i="27" s="1"/>
  <c r="E23" i="27"/>
  <c r="H23" i="27" s="1"/>
  <c r="F23" i="27" s="1"/>
  <c r="E72" i="27"/>
  <c r="H72" i="27" s="1"/>
  <c r="F72" i="27" s="1"/>
  <c r="E65" i="27"/>
  <c r="H65" i="27" s="1"/>
  <c r="F65" i="27" s="1"/>
  <c r="E39" i="27"/>
  <c r="H39" i="27" s="1"/>
  <c r="F39" i="27" s="1"/>
  <c r="E10" i="27"/>
  <c r="H10" i="27" s="1"/>
  <c r="F10" i="27" s="1"/>
  <c r="E24" i="27"/>
  <c r="H24" i="27" s="1"/>
  <c r="F24" i="27" s="1"/>
  <c r="F148" i="28"/>
  <c r="F44" i="23" s="1"/>
  <c r="F116" i="28"/>
  <c r="E124" i="28"/>
  <c r="I124" i="28" s="1"/>
  <c r="I108" i="28"/>
  <c r="E71" i="28"/>
  <c r="I71" i="28" s="1"/>
  <c r="I93" i="28"/>
  <c r="I65" i="28"/>
  <c r="H65" i="28" s="1"/>
  <c r="I51" i="28"/>
  <c r="H51" i="28" s="1"/>
  <c r="I23" i="28"/>
  <c r="H23" i="28" s="1"/>
  <c r="I79" i="28"/>
  <c r="H79" i="28" s="1"/>
  <c r="I67" i="28"/>
  <c r="H67" i="28" s="1"/>
  <c r="I107" i="28"/>
  <c r="I53" i="28"/>
  <c r="H53" i="28" s="1"/>
  <c r="I72" i="28"/>
  <c r="H72" i="28" s="1"/>
  <c r="G129" i="28"/>
  <c r="G43" i="23" s="1"/>
  <c r="H90" i="27"/>
  <c r="E38" i="23"/>
  <c r="E12" i="23"/>
  <c r="I12" i="23" s="1"/>
  <c r="H12" i="23" s="1"/>
  <c r="E16" i="23"/>
  <c r="I16" i="23" s="1"/>
  <c r="H16" i="23" s="1"/>
  <c r="K66" i="20"/>
  <c r="O66" i="20" s="1"/>
  <c r="K60" i="20"/>
  <c r="O60" i="20" s="1"/>
  <c r="K47" i="20"/>
  <c r="O47" i="20" s="1"/>
  <c r="K61" i="20"/>
  <c r="O61" i="20" s="1"/>
  <c r="K42" i="20"/>
  <c r="L42" i="20" s="1"/>
  <c r="D25" i="20"/>
  <c r="K62" i="20"/>
  <c r="O62" i="20" s="1"/>
  <c r="K102" i="20"/>
  <c r="O102" i="20" s="1"/>
  <c r="K18" i="20"/>
  <c r="K78" i="20"/>
  <c r="O78" i="20" s="1"/>
  <c r="K100" i="20"/>
  <c r="M100" i="20" s="1"/>
  <c r="K77" i="20"/>
  <c r="M77" i="20" s="1"/>
  <c r="G40" i="20"/>
  <c r="G25" i="20"/>
  <c r="E10" i="32"/>
  <c r="I10" i="32" s="1"/>
  <c r="G10" i="32" s="1"/>
  <c r="E44" i="17"/>
  <c r="I44" i="17" s="1"/>
  <c r="H44" i="17" s="1"/>
  <c r="E38" i="17"/>
  <c r="I38" i="17" s="1"/>
  <c r="H38" i="17" s="1"/>
  <c r="E14" i="17"/>
  <c r="I14" i="17" s="1"/>
  <c r="H14" i="17" s="1"/>
  <c r="E11" i="17"/>
  <c r="I11" i="17" s="1"/>
  <c r="H11" i="17" s="1"/>
  <c r="E18" i="17"/>
  <c r="I18" i="17" s="1"/>
  <c r="H18" i="17" s="1"/>
  <c r="E40" i="17"/>
  <c r="I40" i="17" s="1"/>
  <c r="H40" i="17" s="1"/>
  <c r="E13" i="17"/>
  <c r="I13" i="17" s="1"/>
  <c r="H13" i="17" s="1"/>
  <c r="E42" i="17"/>
  <c r="I42" i="17" s="1"/>
  <c r="H42" i="17" s="1"/>
  <c r="E19" i="17"/>
  <c r="I19" i="17" s="1"/>
  <c r="H19" i="17" s="1"/>
  <c r="E154" i="28"/>
  <c r="I154" i="28" s="1"/>
  <c r="H154" i="28" s="1"/>
  <c r="E57" i="28"/>
  <c r="I57" i="28" s="1"/>
  <c r="H57" i="28" s="1"/>
  <c r="E17" i="23"/>
  <c r="I17" i="23" s="1"/>
  <c r="H17" i="23" s="1"/>
  <c r="E9" i="23"/>
  <c r="I9" i="23" s="1"/>
  <c r="H9" i="23" s="1"/>
  <c r="E14" i="23"/>
  <c r="I14" i="23" s="1"/>
  <c r="H14" i="23" s="1"/>
  <c r="C75" i="28"/>
  <c r="E75" i="28" s="1"/>
  <c r="E31" i="23"/>
  <c r="I46" i="28"/>
  <c r="H46" i="28" s="1"/>
  <c r="I86" i="28"/>
  <c r="I109" i="28"/>
  <c r="H109" i="28" s="1"/>
  <c r="I39" i="28"/>
  <c r="H39" i="28" s="1"/>
  <c r="E19" i="28"/>
  <c r="I24" i="28"/>
  <c r="H24" i="28" s="1"/>
  <c r="I45" i="28"/>
  <c r="H45" i="28" s="1"/>
  <c r="I95" i="28"/>
  <c r="I9" i="28"/>
  <c r="H9" i="28" s="1"/>
  <c r="I22" i="28"/>
  <c r="H22" i="28" s="1"/>
  <c r="I94" i="28"/>
  <c r="I52" i="28"/>
  <c r="H52" i="28" s="1"/>
  <c r="I38" i="28"/>
  <c r="H38" i="28" s="1"/>
  <c r="I50" i="28"/>
  <c r="H50" i="28" s="1"/>
  <c r="I101" i="28"/>
  <c r="I73" i="28"/>
  <c r="H73" i="28" s="1"/>
  <c r="I17" i="28"/>
  <c r="H17" i="28" s="1"/>
  <c r="I10" i="28"/>
  <c r="H10" i="28" s="1"/>
  <c r="I58" i="28"/>
  <c r="H58" i="28" s="1"/>
  <c r="I44" i="28"/>
  <c r="H44" i="28" s="1"/>
  <c r="I30" i="28"/>
  <c r="H30" i="28" s="1"/>
  <c r="I66" i="28"/>
  <c r="H66" i="28" s="1"/>
  <c r="I87" i="28"/>
  <c r="I59" i="28"/>
  <c r="H59" i="28" s="1"/>
  <c r="I37" i="28"/>
  <c r="H37" i="28" s="1"/>
  <c r="K31" i="20"/>
  <c r="O31" i="20" s="1"/>
  <c r="E135" i="28"/>
  <c r="I135" i="28" s="1"/>
  <c r="E110" i="28"/>
  <c r="E106" i="28"/>
  <c r="I106" i="28" s="1"/>
  <c r="E92" i="28"/>
  <c r="I92" i="28" s="1"/>
  <c r="E96" i="28"/>
  <c r="E40" i="28"/>
  <c r="E36" i="28"/>
  <c r="I36" i="28" s="1"/>
  <c r="B28" i="23"/>
  <c r="E28" i="23" s="1"/>
  <c r="I27" i="23"/>
  <c r="H27" i="23" s="1"/>
  <c r="I102" i="28"/>
  <c r="I100" i="28"/>
  <c r="K91" i="20"/>
  <c r="O91" i="20" s="1"/>
  <c r="E85" i="28"/>
  <c r="I85" i="28" s="1"/>
  <c r="E89" i="28"/>
  <c r="E47" i="28"/>
  <c r="E43" i="28"/>
  <c r="I43" i="28" s="1"/>
  <c r="K38" i="20"/>
  <c r="M38" i="20" s="1"/>
  <c r="G62" i="27"/>
  <c r="G38" i="22" s="1"/>
  <c r="E33" i="27"/>
  <c r="H33" i="27" s="1"/>
  <c r="F33" i="27" s="1"/>
  <c r="I90" i="26"/>
  <c r="K103" i="20"/>
  <c r="O103" i="20" s="1"/>
  <c r="K51" i="20"/>
  <c r="O51" i="20" s="1"/>
  <c r="C22" i="5"/>
  <c r="E22" i="5" s="1"/>
  <c r="J22" i="5" s="1"/>
  <c r="I22" i="5" s="1"/>
  <c r="B99" i="28"/>
  <c r="E36" i="26"/>
  <c r="I36" i="26" s="1"/>
  <c r="K43" i="20"/>
  <c r="M43" i="20" s="1"/>
  <c r="K23" i="20"/>
  <c r="O23" i="20" s="1"/>
  <c r="F120" i="28"/>
  <c r="I81" i="28"/>
  <c r="H81" i="28" s="1"/>
  <c r="C34" i="21"/>
  <c r="E64" i="28"/>
  <c r="I64" i="28" s="1"/>
  <c r="E68" i="28"/>
  <c r="J33" i="23"/>
  <c r="B34" i="23" s="1"/>
  <c r="E34" i="23" s="1"/>
  <c r="E21" i="23"/>
  <c r="I21" i="23" s="1"/>
  <c r="H21" i="23" s="1"/>
  <c r="J68" i="20"/>
  <c r="C44" i="32"/>
  <c r="E44" i="32" s="1"/>
  <c r="I44" i="32" s="1"/>
  <c r="G44" i="32" s="1"/>
  <c r="E26" i="28"/>
  <c r="E56" i="27"/>
  <c r="H56" i="27" s="1"/>
  <c r="F56" i="27" s="1"/>
  <c r="E31" i="27"/>
  <c r="H31" i="27" s="1"/>
  <c r="F31" i="27" s="1"/>
  <c r="E28" i="27"/>
  <c r="H28" i="27" s="1"/>
  <c r="F28" i="27" s="1"/>
  <c r="E25" i="27"/>
  <c r="H25" i="27" s="1"/>
  <c r="F25" i="27" s="1"/>
  <c r="E19" i="27"/>
  <c r="H19" i="27" s="1"/>
  <c r="F19" i="27" s="1"/>
  <c r="H17" i="27"/>
  <c r="F17" i="27" s="1"/>
  <c r="C20" i="27"/>
  <c r="D62" i="26"/>
  <c r="E33" i="26"/>
  <c r="I33" i="26" s="1"/>
  <c r="F33" i="26" s="1"/>
  <c r="K108" i="20"/>
  <c r="M108" i="20" s="1"/>
  <c r="K99" i="20"/>
  <c r="K81" i="20"/>
  <c r="O81" i="20" s="1"/>
  <c r="K64" i="20"/>
  <c r="O64" i="20" s="1"/>
  <c r="K52" i="20"/>
  <c r="O52" i="20" s="1"/>
  <c r="K46" i="20"/>
  <c r="O46" i="20" s="1"/>
  <c r="K29" i="20"/>
  <c r="O29" i="20" s="1"/>
  <c r="K24" i="20"/>
  <c r="O24" i="20" s="1"/>
  <c r="E15" i="70"/>
  <c r="J41" i="23"/>
  <c r="B42" i="23" s="1"/>
  <c r="E42" i="23" s="1"/>
  <c r="J29" i="23"/>
  <c r="B30" i="23" s="1"/>
  <c r="E30" i="23" s="1"/>
  <c r="I30" i="23" s="1"/>
  <c r="H30" i="23" s="1"/>
  <c r="E128" i="28"/>
  <c r="I128" i="28" s="1"/>
  <c r="C48" i="27"/>
  <c r="C37" i="22" s="1"/>
  <c r="E11" i="27"/>
  <c r="H11" i="27" s="1"/>
  <c r="F11" i="27" s="1"/>
  <c r="D76" i="26"/>
  <c r="D42" i="21" s="1"/>
  <c r="E22" i="26"/>
  <c r="I22" i="26" s="1"/>
  <c r="D34" i="26"/>
  <c r="K57" i="20"/>
  <c r="M57" i="20" s="1"/>
  <c r="C25" i="32"/>
  <c r="E25" i="32" s="1"/>
  <c r="I25" i="32" s="1"/>
  <c r="G25" i="32" s="1"/>
  <c r="I88" i="28"/>
  <c r="I32" i="28"/>
  <c r="H32" i="28" s="1"/>
  <c r="J31" i="23"/>
  <c r="B32" i="23" s="1"/>
  <c r="E32" i="23" s="1"/>
  <c r="K105" i="20"/>
  <c r="M105" i="20" s="1"/>
  <c r="K76" i="20"/>
  <c r="O76" i="20" s="1"/>
  <c r="K35" i="20"/>
  <c r="O35" i="20" s="1"/>
  <c r="I18" i="28"/>
  <c r="H18" i="28" s="1"/>
  <c r="I31" i="28"/>
  <c r="H31" i="28" s="1"/>
  <c r="F74" i="26"/>
  <c r="K95" i="20"/>
  <c r="O95" i="20" s="1"/>
  <c r="K80" i="20"/>
  <c r="O80" i="20" s="1"/>
  <c r="K36" i="20"/>
  <c r="M36" i="20" s="1"/>
  <c r="E45" i="23"/>
  <c r="J39" i="23"/>
  <c r="B40" i="23" s="1"/>
  <c r="E40" i="23" s="1"/>
  <c r="E116" i="28"/>
  <c r="I116" i="28" s="1"/>
  <c r="I15" i="28"/>
  <c r="F124" i="28"/>
  <c r="J25" i="28"/>
  <c r="B29" i="28" s="1"/>
  <c r="E74" i="27"/>
  <c r="H74" i="27" s="1"/>
  <c r="F74" i="27" s="1"/>
  <c r="E57" i="27"/>
  <c r="H57" i="27" s="1"/>
  <c r="F57" i="27" s="1"/>
  <c r="K63" i="20"/>
  <c r="I11" i="28"/>
  <c r="H11" i="28" s="1"/>
  <c r="E61" i="28"/>
  <c r="E54" i="28"/>
  <c r="E36" i="27"/>
  <c r="H36" i="27" s="1"/>
  <c r="E32" i="27"/>
  <c r="H32" i="27" s="1"/>
  <c r="F32" i="27" s="1"/>
  <c r="E29" i="27"/>
  <c r="H29" i="27" s="1"/>
  <c r="F29" i="27" s="1"/>
  <c r="D20" i="26"/>
  <c r="D34" i="21" s="1"/>
  <c r="K109" i="20"/>
  <c r="O109" i="20" s="1"/>
  <c r="K94" i="20"/>
  <c r="K93" i="20"/>
  <c r="O93" i="20" s="1"/>
  <c r="K74" i="20"/>
  <c r="K70" i="20"/>
  <c r="O70" i="20" s="1"/>
  <c r="K59" i="20"/>
  <c r="L59" i="20" s="1"/>
  <c r="K34" i="20"/>
  <c r="M34" i="20" s="1"/>
  <c r="K21" i="20"/>
  <c r="O21" i="20" s="1"/>
  <c r="K15" i="20"/>
  <c r="O15" i="20" s="1"/>
  <c r="E35" i="70"/>
  <c r="E31" i="17"/>
  <c r="I31" i="17" s="1"/>
  <c r="H31" i="17" s="1"/>
  <c r="I16" i="28"/>
  <c r="H16" i="28" s="1"/>
  <c r="J35" i="23"/>
  <c r="B36" i="23" s="1"/>
  <c r="E36" i="23" s="1"/>
  <c r="I36" i="23" s="1"/>
  <c r="H36" i="23" s="1"/>
  <c r="I80" i="28"/>
  <c r="H80" i="28" s="1"/>
  <c r="K28" i="20"/>
  <c r="O28" i="20" s="1"/>
  <c r="I60" i="28"/>
  <c r="H60" i="28" s="1"/>
  <c r="E22" i="27"/>
  <c r="H22" i="27" s="1"/>
  <c r="D20" i="27"/>
  <c r="D35" i="22" s="1"/>
  <c r="K90" i="20"/>
  <c r="O90" i="20" s="1"/>
  <c r="K73" i="20"/>
  <c r="O73" i="20" s="1"/>
  <c r="E31" i="70"/>
  <c r="J42" i="23"/>
  <c r="B43" i="23" s="1"/>
  <c r="F90" i="27"/>
  <c r="G48" i="27"/>
  <c r="G37" i="22" s="1"/>
  <c r="H26" i="27"/>
  <c r="F26" i="27" s="1"/>
  <c r="H12" i="27"/>
  <c r="F12" i="27" s="1"/>
  <c r="H20" i="26"/>
  <c r="H34" i="21" s="1"/>
  <c r="K71" i="20"/>
  <c r="M71" i="20" s="1"/>
  <c r="K45" i="20"/>
  <c r="O45" i="20" s="1"/>
  <c r="C14" i="5"/>
  <c r="E14" i="5" s="1"/>
  <c r="J14" i="5" s="1"/>
  <c r="I14" i="5" s="1"/>
  <c r="E71" i="27"/>
  <c r="H71" i="27" s="1"/>
  <c r="F71" i="27" s="1"/>
  <c r="E58" i="27"/>
  <c r="H58" i="27" s="1"/>
  <c r="F58" i="27" s="1"/>
  <c r="C62" i="27"/>
  <c r="D48" i="27"/>
  <c r="D37" i="22" s="1"/>
  <c r="K79" i="20"/>
  <c r="M79" i="20" s="1"/>
  <c r="K67" i="20"/>
  <c r="K50" i="20"/>
  <c r="O50" i="20" s="1"/>
  <c r="K44" i="20"/>
  <c r="O44" i="20" s="1"/>
  <c r="K32" i="20"/>
  <c r="O32" i="20" s="1"/>
  <c r="C37" i="70"/>
  <c r="C29" i="70"/>
  <c r="E59" i="27"/>
  <c r="H59" i="27" s="1"/>
  <c r="F59" i="27" s="1"/>
  <c r="G34" i="27"/>
  <c r="G36" i="22" s="1"/>
  <c r="E30" i="26"/>
  <c r="I30" i="26" s="1"/>
  <c r="F30" i="26" s="1"/>
  <c r="E24" i="26"/>
  <c r="I24" i="26" s="1"/>
  <c r="F24" i="26" s="1"/>
  <c r="H34" i="26"/>
  <c r="H35" i="21" s="1"/>
  <c r="K56" i="20"/>
  <c r="M56" i="20" s="1"/>
  <c r="E18" i="70"/>
  <c r="E25" i="23"/>
  <c r="I25" i="23" s="1"/>
  <c r="H25" i="23" s="1"/>
  <c r="D76" i="27"/>
  <c r="D43" i="22" s="1"/>
  <c r="E53" i="27"/>
  <c r="H53" i="27" s="1"/>
  <c r="E14" i="27"/>
  <c r="H14" i="27" s="1"/>
  <c r="F14" i="27" s="1"/>
  <c r="K84" i="20"/>
  <c r="K33" i="20"/>
  <c r="L33" i="20" s="1"/>
  <c r="K16" i="20"/>
  <c r="K12" i="20"/>
  <c r="O12" i="20" s="1"/>
  <c r="K9" i="20"/>
  <c r="O9" i="20" s="1"/>
  <c r="C14" i="32"/>
  <c r="E14" i="32" s="1"/>
  <c r="I14" i="32" s="1"/>
  <c r="G14" i="32" s="1"/>
  <c r="D120" i="28"/>
  <c r="E120" i="28" s="1"/>
  <c r="I120" i="28" s="1"/>
  <c r="I8" i="28"/>
  <c r="E54" i="27"/>
  <c r="H54" i="27" s="1"/>
  <c r="F54" i="27" s="1"/>
  <c r="G20" i="27"/>
  <c r="G35" i="22" s="1"/>
  <c r="F90" i="26"/>
  <c r="H62" i="26"/>
  <c r="H37" i="21" s="1"/>
  <c r="K107" i="20"/>
  <c r="O107" i="20" s="1"/>
  <c r="K89" i="20"/>
  <c r="K65" i="20"/>
  <c r="L65" i="20" s="1"/>
  <c r="D48" i="26"/>
  <c r="D36" i="21" s="1"/>
  <c r="K19" i="20"/>
  <c r="O19" i="20" s="1"/>
  <c r="C16" i="32"/>
  <c r="E16" i="32" s="1"/>
  <c r="I16" i="32" s="1"/>
  <c r="G16" i="32" s="1"/>
  <c r="K87" i="20"/>
  <c r="K72" i="20"/>
  <c r="K48" i="20"/>
  <c r="M48" i="20" s="1"/>
  <c r="K39" i="20"/>
  <c r="K37" i="20"/>
  <c r="O37" i="20" s="1"/>
  <c r="K20" i="20"/>
  <c r="M20" i="20" s="1"/>
  <c r="K11" i="20"/>
  <c r="O11" i="20" s="1"/>
  <c r="C41" i="70"/>
  <c r="C33" i="70"/>
  <c r="E21" i="32"/>
  <c r="I21" i="32" s="1"/>
  <c r="G21" i="32" s="1"/>
  <c r="E68" i="26"/>
  <c r="I68" i="26" s="1"/>
  <c r="F68" i="26" s="1"/>
  <c r="K17" i="20"/>
  <c r="M17" i="20" s="1"/>
  <c r="K14" i="20"/>
  <c r="N29" i="6"/>
  <c r="B29" i="70" s="1"/>
  <c r="E37" i="17"/>
  <c r="I37" i="17" s="1"/>
  <c r="H37" i="17" s="1"/>
  <c r="C38" i="32"/>
  <c r="E38" i="32" s="1"/>
  <c r="I38" i="32" s="1"/>
  <c r="G38" i="32" s="1"/>
  <c r="C20" i="32"/>
  <c r="E20" i="32" s="1"/>
  <c r="I20" i="32" s="1"/>
  <c r="G20" i="32" s="1"/>
  <c r="C12" i="32"/>
  <c r="E12" i="32" s="1"/>
  <c r="I12" i="32" s="1"/>
  <c r="G12" i="32" s="1"/>
  <c r="C40" i="70"/>
  <c r="C32" i="70"/>
  <c r="K42" i="33"/>
  <c r="L42" i="33" s="1"/>
  <c r="C32" i="32"/>
  <c r="E32" i="32" s="1"/>
  <c r="I32" i="32" s="1"/>
  <c r="G32" i="32" s="1"/>
  <c r="C17" i="32"/>
  <c r="E17" i="32" s="1"/>
  <c r="I17" i="32" s="1"/>
  <c r="G17" i="32" s="1"/>
  <c r="C41" i="32"/>
  <c r="E41" i="32" s="1"/>
  <c r="I41" i="32" s="1"/>
  <c r="G41" i="32" s="1"/>
  <c r="C42" i="70"/>
  <c r="C34" i="70"/>
  <c r="E32" i="17"/>
  <c r="I32" i="17" s="1"/>
  <c r="H32" i="17" s="1"/>
  <c r="C30" i="32"/>
  <c r="E30" i="32" s="1"/>
  <c r="I30" i="32" s="1"/>
  <c r="G30" i="32" s="1"/>
  <c r="C9" i="32"/>
  <c r="E9" i="32" s="1"/>
  <c r="I9" i="32" s="1"/>
  <c r="G9" i="32" s="1"/>
  <c r="C39" i="70"/>
  <c r="K43" i="33"/>
  <c r="L43" i="33" s="1"/>
  <c r="C13" i="32"/>
  <c r="E13" i="32" s="1"/>
  <c r="I13" i="32" s="1"/>
  <c r="G13" i="32" s="1"/>
  <c r="C8" i="32"/>
  <c r="E8" i="32" s="1"/>
  <c r="I8" i="32" s="1"/>
  <c r="G8" i="32" s="1"/>
  <c r="E15" i="17"/>
  <c r="I15" i="17" s="1"/>
  <c r="H15" i="17" s="1"/>
  <c r="C39" i="32"/>
  <c r="E39" i="32" s="1"/>
  <c r="I39" i="32" s="1"/>
  <c r="G39" i="32" s="1"/>
  <c r="C31" i="32"/>
  <c r="E31" i="32" s="1"/>
  <c r="I31" i="32" s="1"/>
  <c r="G31" i="32" s="1"/>
  <c r="C23" i="32"/>
  <c r="E23" i="32" s="1"/>
  <c r="I23" i="32" s="1"/>
  <c r="G23" i="32" s="1"/>
  <c r="M101" i="20" l="1"/>
  <c r="H167" i="28"/>
  <c r="H128" i="28"/>
  <c r="L92" i="20"/>
  <c r="E36" i="22"/>
  <c r="H36" i="22" s="1"/>
  <c r="F36" i="22" s="1"/>
  <c r="M47" i="20"/>
  <c r="N17" i="13"/>
  <c r="L86" i="20"/>
  <c r="M86" i="20"/>
  <c r="L13" i="20"/>
  <c r="C38" i="70"/>
  <c r="L58" i="20"/>
  <c r="E148" i="28"/>
  <c r="D44" i="23"/>
  <c r="E44" i="23" s="1"/>
  <c r="I44" i="23" s="1"/>
  <c r="H44" i="23" s="1"/>
  <c r="E37" i="22"/>
  <c r="H37" i="22" s="1"/>
  <c r="F37" i="22" s="1"/>
  <c r="E62" i="27"/>
  <c r="C38" i="22"/>
  <c r="E38" i="22" s="1"/>
  <c r="H38" i="22" s="1"/>
  <c r="F38" i="22" s="1"/>
  <c r="O58" i="20"/>
  <c r="L10" i="20"/>
  <c r="M10" i="20"/>
  <c r="M78" i="20"/>
  <c r="L101" i="20"/>
  <c r="I38" i="23"/>
  <c r="H38" i="23" s="1"/>
  <c r="I34" i="23"/>
  <c r="H34" i="23" s="1"/>
  <c r="K40" i="20"/>
  <c r="O40" i="20" s="1"/>
  <c r="L77" i="20"/>
  <c r="M13" i="20"/>
  <c r="D7" i="70"/>
  <c r="M49" i="20"/>
  <c r="K54" i="20"/>
  <c r="M54" i="20" s="1"/>
  <c r="L49" i="20"/>
  <c r="E36" i="21"/>
  <c r="I36" i="21" s="1"/>
  <c r="F36" i="21" s="1"/>
  <c r="H120" i="28"/>
  <c r="I74" i="28"/>
  <c r="H74" i="28" s="1"/>
  <c r="E78" i="28"/>
  <c r="I78" i="28" s="1"/>
  <c r="I82" i="28" s="1"/>
  <c r="I32" i="23"/>
  <c r="H32" i="23" s="1"/>
  <c r="I40" i="23"/>
  <c r="H40" i="23" s="1"/>
  <c r="N23" i="13"/>
  <c r="N15" i="13"/>
  <c r="L24" i="20"/>
  <c r="E34" i="27"/>
  <c r="K96" i="20"/>
  <c r="L96" i="20" s="1"/>
  <c r="N27" i="13"/>
  <c r="N31" i="13"/>
  <c r="O42" i="20"/>
  <c r="N11" i="13"/>
  <c r="L100" i="20"/>
  <c r="F129" i="28"/>
  <c r="F43" i="23" s="1"/>
  <c r="N19" i="13"/>
  <c r="N22" i="13"/>
  <c r="M22" i="20"/>
  <c r="M61" i="20"/>
  <c r="I148" i="28"/>
  <c r="H124" i="28"/>
  <c r="N30" i="13"/>
  <c r="I28" i="23"/>
  <c r="H28" i="23" s="1"/>
  <c r="I43" i="21"/>
  <c r="F43" i="21" s="1"/>
  <c r="D6" i="70"/>
  <c r="E42" i="21"/>
  <c r="I42" i="21" s="1"/>
  <c r="F42" i="21" s="1"/>
  <c r="C9" i="5"/>
  <c r="E9" i="5" s="1"/>
  <c r="J9" i="5" s="1"/>
  <c r="I9" i="5" s="1"/>
  <c r="E39" i="70"/>
  <c r="C42" i="5" s="1"/>
  <c r="E42" i="5" s="1"/>
  <c r="J42" i="5" s="1"/>
  <c r="I42" i="5" s="1"/>
  <c r="N39" i="13"/>
  <c r="D27" i="70"/>
  <c r="E23" i="70"/>
  <c r="D23" i="70" s="1"/>
  <c r="E76" i="26"/>
  <c r="E20" i="26"/>
  <c r="I45" i="23"/>
  <c r="H45" i="23" s="1"/>
  <c r="M106" i="20"/>
  <c r="L106" i="20"/>
  <c r="M98" i="20"/>
  <c r="L98" i="20"/>
  <c r="M110" i="20"/>
  <c r="L30" i="20"/>
  <c r="M9" i="20"/>
  <c r="O92" i="20"/>
  <c r="M66" i="20"/>
  <c r="L75" i="20"/>
  <c r="M75" i="20"/>
  <c r="K82" i="20"/>
  <c r="O82" i="20" s="1"/>
  <c r="M30" i="20"/>
  <c r="M88" i="20"/>
  <c r="L50" i="20"/>
  <c r="L61" i="20"/>
  <c r="K68" i="20"/>
  <c r="M68" i="20" s="1"/>
  <c r="L91" i="20"/>
  <c r="L22" i="20"/>
  <c r="L88" i="20"/>
  <c r="L110" i="20"/>
  <c r="K25" i="20"/>
  <c r="O25" i="20" s="1"/>
  <c r="O77" i="20"/>
  <c r="L32" i="20"/>
  <c r="M109" i="20"/>
  <c r="L15" i="20"/>
  <c r="L104" i="20"/>
  <c r="L52" i="20"/>
  <c r="L47" i="20"/>
  <c r="L102" i="20"/>
  <c r="M80" i="20"/>
  <c r="M85" i="20"/>
  <c r="M102" i="20"/>
  <c r="M29" i="20"/>
  <c r="M45" i="20"/>
  <c r="L90" i="20"/>
  <c r="L29" i="20"/>
  <c r="M42" i="20"/>
  <c r="M104" i="20"/>
  <c r="L93" i="20"/>
  <c r="L9" i="20"/>
  <c r="L85" i="20"/>
  <c r="O53" i="20"/>
  <c r="L46" i="20"/>
  <c r="M51" i="20"/>
  <c r="M53" i="20"/>
  <c r="M62" i="20"/>
  <c r="F62" i="26"/>
  <c r="E43" i="22"/>
  <c r="H43" i="22" s="1"/>
  <c r="F43" i="22" s="1"/>
  <c r="F20" i="27"/>
  <c r="E48" i="27"/>
  <c r="I29" i="23"/>
  <c r="H29" i="23" s="1"/>
  <c r="F76" i="26"/>
  <c r="H76" i="27"/>
  <c r="L107" i="20"/>
  <c r="L103" i="20"/>
  <c r="M23" i="20"/>
  <c r="L18" i="20"/>
  <c r="O18" i="20"/>
  <c r="M24" i="20"/>
  <c r="M103" i="20"/>
  <c r="L60" i="20"/>
  <c r="M50" i="20"/>
  <c r="M44" i="20"/>
  <c r="L78" i="20"/>
  <c r="L62" i="20"/>
  <c r="M64" i="20"/>
  <c r="L23" i="20"/>
  <c r="L45" i="20"/>
  <c r="M18" i="20"/>
  <c r="M32" i="20"/>
  <c r="L80" i="20"/>
  <c r="M60" i="20"/>
  <c r="L51" i="20"/>
  <c r="O100" i="20"/>
  <c r="L66" i="20"/>
  <c r="M107" i="20"/>
  <c r="M90" i="20"/>
  <c r="L44" i="20"/>
  <c r="M35" i="20"/>
  <c r="M76" i="20"/>
  <c r="E34" i="21"/>
  <c r="I34" i="21" s="1"/>
  <c r="F34" i="21" s="1"/>
  <c r="I110" i="28"/>
  <c r="H110" i="28" s="1"/>
  <c r="I96" i="28"/>
  <c r="H96" i="28" s="1"/>
  <c r="H54" i="28"/>
  <c r="I25" i="28"/>
  <c r="H25" i="28" s="1"/>
  <c r="H26" i="28" s="1"/>
  <c r="I31" i="23"/>
  <c r="H31" i="23" s="1"/>
  <c r="I54" i="28"/>
  <c r="I42" i="23"/>
  <c r="H42" i="23" s="1"/>
  <c r="E32" i="70"/>
  <c r="E22" i="70"/>
  <c r="O94" i="20"/>
  <c r="L94" i="20"/>
  <c r="E103" i="28"/>
  <c r="E99" i="28"/>
  <c r="I99" i="28" s="1"/>
  <c r="I103" i="28" s="1"/>
  <c r="H103" i="28" s="1"/>
  <c r="E25" i="70"/>
  <c r="O20" i="20"/>
  <c r="L20" i="20"/>
  <c r="C38" i="5"/>
  <c r="E38" i="5" s="1"/>
  <c r="J38" i="5" s="1"/>
  <c r="I38" i="5" s="1"/>
  <c r="D35" i="70"/>
  <c r="C35" i="22"/>
  <c r="E35" i="22" s="1"/>
  <c r="H35" i="22" s="1"/>
  <c r="F35" i="22" s="1"/>
  <c r="E20" i="27"/>
  <c r="D129" i="28"/>
  <c r="E29" i="70"/>
  <c r="E17" i="70"/>
  <c r="E36" i="70"/>
  <c r="L17" i="20"/>
  <c r="O17" i="20"/>
  <c r="E20" i="70"/>
  <c r="O72" i="20"/>
  <c r="L72" i="20"/>
  <c r="L19" i="20"/>
  <c r="O84" i="20"/>
  <c r="L84" i="20"/>
  <c r="E34" i="70"/>
  <c r="L71" i="20"/>
  <c r="O71" i="20"/>
  <c r="H34" i="27"/>
  <c r="F22" i="27"/>
  <c r="F34" i="27" s="1"/>
  <c r="L28" i="20"/>
  <c r="I62" i="26"/>
  <c r="L99" i="20"/>
  <c r="O99" i="20"/>
  <c r="M99" i="20"/>
  <c r="O43" i="20"/>
  <c r="L43" i="20"/>
  <c r="L31" i="20"/>
  <c r="O89" i="20"/>
  <c r="L89" i="20"/>
  <c r="F53" i="27"/>
  <c r="F62" i="27" s="1"/>
  <c r="H62" i="27"/>
  <c r="L70" i="20"/>
  <c r="D35" i="21"/>
  <c r="E35" i="21" s="1"/>
  <c r="I35" i="21" s="1"/>
  <c r="F35" i="21" s="1"/>
  <c r="E34" i="26"/>
  <c r="M11" i="20"/>
  <c r="O14" i="20"/>
  <c r="L14" i="20"/>
  <c r="O74" i="20"/>
  <c r="L74" i="20"/>
  <c r="M74" i="20"/>
  <c r="F22" i="26"/>
  <c r="F34" i="26" s="1"/>
  <c r="I34" i="26"/>
  <c r="H64" i="28"/>
  <c r="H68" i="28" s="1"/>
  <c r="I68" i="28"/>
  <c r="I47" i="28"/>
  <c r="H43" i="28"/>
  <c r="H47" i="28" s="1"/>
  <c r="M89" i="20"/>
  <c r="I39" i="23"/>
  <c r="H39" i="23" s="1"/>
  <c r="E37" i="70"/>
  <c r="O87" i="20"/>
  <c r="L87" i="20"/>
  <c r="E42" i="70"/>
  <c r="L56" i="20"/>
  <c r="O56" i="20"/>
  <c r="M12" i="20"/>
  <c r="E41" i="70"/>
  <c r="E10" i="70"/>
  <c r="M28" i="20"/>
  <c r="L67" i="20"/>
  <c r="O67" i="20"/>
  <c r="M67" i="20"/>
  <c r="M19" i="20"/>
  <c r="M87" i="20"/>
  <c r="C18" i="5"/>
  <c r="E18" i="5" s="1"/>
  <c r="J18" i="5" s="1"/>
  <c r="I18" i="5" s="1"/>
  <c r="D15" i="70"/>
  <c r="M70" i="20"/>
  <c r="E76" i="27"/>
  <c r="M91" i="20"/>
  <c r="I33" i="23"/>
  <c r="H33" i="23" s="1"/>
  <c r="I89" i="28"/>
  <c r="H89" i="28" s="1"/>
  <c r="I41" i="23"/>
  <c r="H41" i="23" s="1"/>
  <c r="E21" i="70"/>
  <c r="F36" i="27"/>
  <c r="F48" i="27" s="1"/>
  <c r="H48" i="27"/>
  <c r="E40" i="70"/>
  <c r="E30" i="70"/>
  <c r="O48" i="20"/>
  <c r="L48" i="20"/>
  <c r="O16" i="20"/>
  <c r="L16" i="20"/>
  <c r="M16" i="20"/>
  <c r="E26" i="70"/>
  <c r="M94" i="20"/>
  <c r="L38" i="20"/>
  <c r="O38" i="20"/>
  <c r="E33" i="70"/>
  <c r="E8" i="70"/>
  <c r="O34" i="20"/>
  <c r="L34" i="20"/>
  <c r="E29" i="28"/>
  <c r="I29" i="28" s="1"/>
  <c r="E33" i="28"/>
  <c r="H20" i="27"/>
  <c r="E16" i="70"/>
  <c r="E14" i="70"/>
  <c r="E9" i="70"/>
  <c r="E28" i="70"/>
  <c r="L37" i="20"/>
  <c r="O65" i="20"/>
  <c r="M65" i="20"/>
  <c r="D18" i="70"/>
  <c r="C21" i="5"/>
  <c r="E21" i="5" s="1"/>
  <c r="J21" i="5" s="1"/>
  <c r="I21" i="5" s="1"/>
  <c r="M14" i="20"/>
  <c r="L79" i="20"/>
  <c r="O79" i="20"/>
  <c r="I76" i="26"/>
  <c r="M31" i="20"/>
  <c r="L73" i="20"/>
  <c r="M73" i="20"/>
  <c r="M15" i="20"/>
  <c r="L95" i="20"/>
  <c r="H15" i="28"/>
  <c r="H19" i="28" s="1"/>
  <c r="I19" i="28"/>
  <c r="L76" i="20"/>
  <c r="M21" i="20"/>
  <c r="L64" i="20"/>
  <c r="M93" i="20"/>
  <c r="H61" i="28"/>
  <c r="E48" i="26"/>
  <c r="I35" i="23"/>
  <c r="H35" i="23" s="1"/>
  <c r="M52" i="20"/>
  <c r="M81" i="20"/>
  <c r="M84" i="20"/>
  <c r="O39" i="20"/>
  <c r="L39" i="20"/>
  <c r="H8" i="28"/>
  <c r="H12" i="28" s="1"/>
  <c r="I12" i="28"/>
  <c r="E62" i="26"/>
  <c r="D37" i="21"/>
  <c r="E37" i="21" s="1"/>
  <c r="I37" i="21" s="1"/>
  <c r="F37" i="21" s="1"/>
  <c r="L105" i="20"/>
  <c r="O105" i="20"/>
  <c r="O57" i="20"/>
  <c r="L57" i="20"/>
  <c r="L81" i="20"/>
  <c r="E38" i="70"/>
  <c r="D31" i="70"/>
  <c r="C34" i="5"/>
  <c r="E34" i="5" s="1"/>
  <c r="J34" i="5" s="1"/>
  <c r="I34" i="5" s="1"/>
  <c r="O63" i="20"/>
  <c r="L63" i="20"/>
  <c r="L108" i="20"/>
  <c r="O108" i="20"/>
  <c r="E13" i="70"/>
  <c r="E24" i="70"/>
  <c r="E12" i="70"/>
  <c r="L11" i="20"/>
  <c r="L12" i="20"/>
  <c r="O33" i="20"/>
  <c r="M33" i="20"/>
  <c r="M39" i="20"/>
  <c r="H71" i="28"/>
  <c r="L21" i="20"/>
  <c r="O59" i="20"/>
  <c r="M59" i="20"/>
  <c r="L35" i="20"/>
  <c r="F8" i="26"/>
  <c r="F20" i="26" s="1"/>
  <c r="I20" i="26"/>
  <c r="H116" i="28"/>
  <c r="H129" i="28" s="1"/>
  <c r="I129" i="28"/>
  <c r="O36" i="20"/>
  <c r="L36" i="20"/>
  <c r="M63" i="20"/>
  <c r="M37" i="20"/>
  <c r="M95" i="20"/>
  <c r="F36" i="26"/>
  <c r="F48" i="26" s="1"/>
  <c r="I48" i="26"/>
  <c r="I61" i="28"/>
  <c r="L109" i="20"/>
  <c r="M72" i="20"/>
  <c r="F76" i="27"/>
  <c r="H36" i="28"/>
  <c r="H40" i="28" s="1"/>
  <c r="I40" i="28"/>
  <c r="H135" i="28"/>
  <c r="H148" i="28" s="1"/>
  <c r="M46" i="20"/>
  <c r="O68" i="20" l="1"/>
  <c r="L40" i="20"/>
  <c r="M40" i="20"/>
  <c r="E129" i="28"/>
  <c r="D43" i="23"/>
  <c r="E43" i="23" s="1"/>
  <c r="I43" i="23" s="1"/>
  <c r="H43" i="23" s="1"/>
  <c r="L54" i="20"/>
  <c r="O54" i="20"/>
  <c r="H75" i="28"/>
  <c r="I75" i="28"/>
  <c r="H78" i="28"/>
  <c r="H82" i="28" s="1"/>
  <c r="L25" i="20"/>
  <c r="I167" i="28"/>
  <c r="D39" i="70"/>
  <c r="M96" i="20"/>
  <c r="O96" i="20"/>
  <c r="C26" i="5"/>
  <c r="E26" i="5" s="1"/>
  <c r="J26" i="5" s="1"/>
  <c r="I26" i="5" s="1"/>
  <c r="D42" i="70"/>
  <c r="C45" i="5"/>
  <c r="E45" i="5" s="1"/>
  <c r="J45" i="5" s="1"/>
  <c r="L68" i="20"/>
  <c r="M25" i="20"/>
  <c r="M82" i="20"/>
  <c r="L82" i="20"/>
  <c r="I26" i="28"/>
  <c r="H29" i="28"/>
  <c r="H33" i="28" s="1"/>
  <c r="I33" i="28"/>
  <c r="C36" i="5"/>
  <c r="E36" i="5" s="1"/>
  <c r="J36" i="5" s="1"/>
  <c r="I36" i="5" s="1"/>
  <c r="D33" i="70"/>
  <c r="C44" i="5"/>
  <c r="E44" i="5" s="1"/>
  <c r="J44" i="5" s="1"/>
  <c r="D41" i="70"/>
  <c r="D34" i="70"/>
  <c r="C37" i="5"/>
  <c r="E37" i="5" s="1"/>
  <c r="J37" i="5" s="1"/>
  <c r="I37" i="5" s="1"/>
  <c r="D20" i="70"/>
  <c r="C23" i="5"/>
  <c r="E23" i="5" s="1"/>
  <c r="J23" i="5" s="1"/>
  <c r="I23" i="5" s="1"/>
  <c r="C32" i="5"/>
  <c r="E32" i="5" s="1"/>
  <c r="J32" i="5" s="1"/>
  <c r="I32" i="5" s="1"/>
  <c r="D29" i="70"/>
  <c r="C25" i="5"/>
  <c r="E25" i="5" s="1"/>
  <c r="J25" i="5" s="1"/>
  <c r="I25" i="5" s="1"/>
  <c r="D22" i="70"/>
  <c r="D12" i="70"/>
  <c r="C15" i="5"/>
  <c r="E15" i="5" s="1"/>
  <c r="J15" i="5" s="1"/>
  <c r="I15" i="5" s="1"/>
  <c r="D38" i="70"/>
  <c r="C41" i="5"/>
  <c r="E41" i="5" s="1"/>
  <c r="J41" i="5" s="1"/>
  <c r="I41" i="5" s="1"/>
  <c r="C17" i="5"/>
  <c r="E17" i="5" s="1"/>
  <c r="J17" i="5" s="1"/>
  <c r="I17" i="5" s="1"/>
  <c r="D14" i="70"/>
  <c r="C40" i="5"/>
  <c r="E40" i="5" s="1"/>
  <c r="J40" i="5" s="1"/>
  <c r="I40" i="5" s="1"/>
  <c r="D37" i="70"/>
  <c r="C24" i="5"/>
  <c r="E24" i="5" s="1"/>
  <c r="J24" i="5" s="1"/>
  <c r="I24" i="5" s="1"/>
  <c r="D21" i="70"/>
  <c r="C28" i="5"/>
  <c r="E28" i="5" s="1"/>
  <c r="J28" i="5" s="1"/>
  <c r="I28" i="5" s="1"/>
  <c r="D25" i="70"/>
  <c r="D32" i="70"/>
  <c r="C35" i="5"/>
  <c r="E35" i="5" s="1"/>
  <c r="J35" i="5" s="1"/>
  <c r="I35" i="5" s="1"/>
  <c r="C31" i="5"/>
  <c r="E31" i="5" s="1"/>
  <c r="J31" i="5" s="1"/>
  <c r="I31" i="5" s="1"/>
  <c r="D28" i="70"/>
  <c r="D30" i="70"/>
  <c r="C33" i="5"/>
  <c r="E33" i="5" s="1"/>
  <c r="J33" i="5" s="1"/>
  <c r="I33" i="5" s="1"/>
  <c r="D24" i="70"/>
  <c r="C27" i="5"/>
  <c r="E27" i="5" s="1"/>
  <c r="J27" i="5" s="1"/>
  <c r="I27" i="5" s="1"/>
  <c r="D16" i="70"/>
  <c r="C19" i="5"/>
  <c r="E19" i="5" s="1"/>
  <c r="J19" i="5" s="1"/>
  <c r="I19" i="5" s="1"/>
  <c r="C12" i="5"/>
  <c r="E12" i="5" s="1"/>
  <c r="J12" i="5" s="1"/>
  <c r="I12" i="5" s="1"/>
  <c r="D9" i="70"/>
  <c r="D8" i="70"/>
  <c r="C11" i="5"/>
  <c r="E11" i="5" s="1"/>
  <c r="J11" i="5" s="1"/>
  <c r="I11" i="5" s="1"/>
  <c r="D26" i="70"/>
  <c r="C29" i="5"/>
  <c r="E29" i="5" s="1"/>
  <c r="J29" i="5" s="1"/>
  <c r="I29" i="5" s="1"/>
  <c r="D10" i="70"/>
  <c r="C13" i="5"/>
  <c r="E13" i="5" s="1"/>
  <c r="J13" i="5" s="1"/>
  <c r="I13" i="5" s="1"/>
  <c r="D36" i="70"/>
  <c r="C39" i="5"/>
  <c r="E39" i="5" s="1"/>
  <c r="J39" i="5" s="1"/>
  <c r="I39" i="5" s="1"/>
  <c r="C16" i="5"/>
  <c r="E16" i="5" s="1"/>
  <c r="J16" i="5" s="1"/>
  <c r="I16" i="5" s="1"/>
  <c r="D13" i="70"/>
  <c r="D40" i="70"/>
  <c r="C43" i="5"/>
  <c r="E43" i="5" s="1"/>
  <c r="J43" i="5" s="1"/>
  <c r="I43" i="5" s="1"/>
  <c r="D17" i="70"/>
  <c r="C20" i="5"/>
  <c r="E20" i="5" s="1"/>
  <c r="J20" i="5" s="1"/>
  <c r="I20" i="5" s="1"/>
  <c r="I44" i="5" l="1"/>
  <c r="I45" i="5"/>
  <c r="I49" i="17" l="1"/>
  <c r="H49" i="17" s="1"/>
  <c r="H104" i="26" l="1"/>
  <c r="H44" i="21" s="1"/>
  <c r="F44" i="21" s="1"/>
  <c r="F97" i="26"/>
  <c r="F104" i="26" s="1"/>
  <c r="H49" i="23" l="1"/>
  <c r="F49" i="22" l="1"/>
  <c r="I49" i="21" l="1"/>
  <c r="F49" i="21" s="1"/>
  <c r="J50" i="17" l="1"/>
  <c r="F49" i="6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8" authorId="0" shapeId="0" xr:uid="{00000000-0006-0000-1300-000001000000}">
      <text>
        <r>
          <rPr>
            <sz val="9"/>
            <color indexed="81"/>
            <rFont val="Tahoma"/>
            <family val="2"/>
          </rPr>
          <t xml:space="preserve">USDA estimate
</t>
        </r>
      </text>
    </comment>
    <comment ref="F38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I38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9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I39" authorId="0" shapeId="0" xr:uid="{00000000-0006-0000-13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13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0" authorId="0" shapeId="0" xr:uid="{00000000-0006-0000-1300-000008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I40" authorId="0" shapeId="0" xr:uid="{00000000-0006-0000-13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1300-00000A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1" authorId="0" shapeId="0" xr:uid="{00000000-0006-0000-1300-00000B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I41" authorId="0" shapeId="0" xr:uid="{00000000-0006-0000-1300-00000C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1300-00000D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2" authorId="0" shapeId="0" xr:uid="{00000000-0006-0000-1300-00000E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8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39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9" authorId="0" shapeId="0" xr:uid="{00000000-0006-0000-14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" authorId="0" shapeId="0" xr:uid="{00000000-0006-0000-1400-000006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0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0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" authorId="0" shapeId="0" xr:uid="{00000000-0006-0000-1400-000009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1" authorId="0" shapeId="0" xr:uid="{00000000-0006-0000-1400-00000A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1" authorId="0" shapeId="0" xr:uid="{00000000-0006-0000-1400-00000B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" authorId="0" shapeId="0" xr:uid="{00000000-0006-0000-1400-00000C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2" authorId="0" shapeId="0" xr:uid="{00000000-0006-0000-1400-00000D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2" authorId="0" shapeId="0" xr:uid="{00000000-0006-0000-1400-00000E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8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 shapeId="0" xr:uid="{00000000-0006-0000-18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" authorId="0" shapeId="0" xr:uid="{00000000-0006-0000-18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18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9" authorId="0" shapeId="0" xr:uid="{00000000-0006-0000-18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18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0" authorId="0" shapeId="0" xr:uid="{00000000-0006-0000-18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" authorId="0" shapeId="0" xr:uid="{00000000-0006-0000-18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1800-00000A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1" authorId="0" shapeId="0" xr:uid="{00000000-0006-0000-1800-00000B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" authorId="0" shapeId="0" xr:uid="{00000000-0006-0000-1800-00000C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1800-00000D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2" authorId="0" shapeId="0" xr:uid="{00000000-0006-0000-1800-00000E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" authorId="0" shapeId="0" xr:uid="{00000000-0006-0000-1800-00000F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00000000-0006-0000-1800-000010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3" authorId="0" shapeId="0" xr:uid="{00000000-0006-0000-1800-00001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4" authorId="0" shapeId="0" xr:uid="{00000000-0006-0000-1800-00001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26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7" authorId="0" shapeId="0" xr:uid="{00000000-0006-0000-1A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8" authorId="0" shapeId="0" xr:uid="{00000000-0006-0000-1A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9" authorId="0" shapeId="0" xr:uid="{00000000-0006-0000-1A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0" authorId="0" shapeId="0" xr:uid="{00000000-0006-0000-1A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Bukowski, Maria - REE-ERS, Kansas City, MO</author>
  </authors>
  <commentList>
    <comment ref="P5" authorId="0" shapeId="0" xr:uid="{B2DE43F1-E5B7-4C16-9BB9-775F0B71B96B}">
      <text>
        <r>
          <rPr>
            <b/>
            <sz val="9"/>
            <color indexed="81"/>
            <rFont val="Tahoma"/>
            <family val="2"/>
          </rPr>
          <t>ERS Estimates</t>
        </r>
      </text>
    </comment>
    <comment ref="Q5" authorId="0" shapeId="0" xr:uid="{ED79B3B5-04D5-4F5E-B8A5-67C804C844E3}">
      <text>
        <r>
          <rPr>
            <b/>
            <sz val="9"/>
            <color indexed="81"/>
            <rFont val="Tahoma"/>
            <family val="2"/>
          </rPr>
          <t>ERS Estimates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" authorId="0" shapeId="0" xr:uid="{33228C2E-F575-44DB-A4D8-FB379E9101BA}">
      <text>
        <r>
          <rPr>
            <b/>
            <sz val="9"/>
            <color indexed="81"/>
            <rFont val="Tahoma"/>
            <family val="2"/>
          </rPr>
          <t>ERS Estimates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1" authorId="0" shapeId="0" xr:uid="{74FFD7BF-1F50-4DBE-8E1F-4B36D8C16924}">
      <text>
        <r>
          <rPr>
            <b/>
            <sz val="9"/>
            <color indexed="81"/>
            <rFont val="Tahoma"/>
            <family val="2"/>
          </rPr>
          <t>ERS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2" authorId="0" shapeId="0" xr:uid="{7034BB67-571F-4D08-9971-2EAC0CA86CAD}">
      <text>
        <r>
          <rPr>
            <b/>
            <sz val="9"/>
            <color indexed="81"/>
            <rFont val="Tahoma"/>
            <family val="2"/>
          </rPr>
          <t>ERS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6" authorId="0" shapeId="0" xr:uid="{9EFEC429-BA3A-402A-84F6-6F02A7FF1A21}">
      <text>
        <r>
          <rPr>
            <b/>
            <sz val="9"/>
            <color indexed="81"/>
            <rFont val="Tahoma"/>
            <family val="2"/>
          </rPr>
          <t>ERS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Bukowski, Maria - REE-ERS, Kansas City, MO</author>
  </authors>
  <commentList>
    <comment ref="C37" authorId="0" shapeId="0" xr:uid="{00000000-0006-0000-21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 shapeId="0" xr:uid="{00000000-0006-0000-21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7" authorId="0" shapeId="0" xr:uid="{00000000-0006-0000-21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" authorId="0" shapeId="0" xr:uid="{00000000-0006-0000-21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 shapeId="0" xr:uid="{00000000-0006-0000-21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8" authorId="0" shapeId="0" xr:uid="{00000000-0006-0000-21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21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9" authorId="0" shapeId="0" xr:uid="{00000000-0006-0000-21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9" authorId="0" shapeId="0" xr:uid="{00000000-0006-0000-21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2100-00000A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0" authorId="0" shapeId="0" xr:uid="{00000000-0006-0000-2100-00000B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0" authorId="0" shapeId="0" xr:uid="{00000000-0006-0000-2100-00000C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2100-00000D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1" authorId="0" shapeId="0" xr:uid="{00000000-0006-0000-2100-00000E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1" authorId="0" shapeId="0" xr:uid="{00000000-0006-0000-2100-00000F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2100-000010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2" authorId="0" shapeId="0" xr:uid="{00000000-0006-0000-2100-00001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2" authorId="0" shapeId="0" xr:uid="{00000000-0006-0000-2100-00001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7" authorId="1" shapeId="0" xr:uid="{EFC85DEB-A05C-4BB8-A821-24633E529A33}">
      <text>
        <r>
          <rPr>
            <b/>
            <sz val="9"/>
            <color indexed="81"/>
            <rFont val="Tahoma"/>
            <family val="2"/>
          </rPr>
          <t>USDA estimate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3" authorId="0" shapeId="0" xr:uid="{ECB1A437-2AD9-4439-AA7E-E0AF5BD3B7AD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3" authorId="0" shapeId="0" xr:uid="{E348031D-F1BF-4E27-8904-921B8302C062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3" authorId="0" shapeId="0" xr:uid="{8A2ABFCF-E835-4C69-980E-465D629600E3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3" authorId="0" shapeId="0" xr:uid="{E31B1C84-F2AA-4BAD-A112-D326961D2EF7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38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J38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39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J39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40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J40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41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3" authorId="0" shapeId="0" xr:uid="{167823B0-CE52-4ADC-AA84-8185F57332E3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3" authorId="0" shapeId="0" xr:uid="{82827D7C-1434-46C1-840C-DA392B9F4C9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3" authorId="0" shapeId="0" xr:uid="{B619FB81-3A26-487E-9EEF-EF28828F43EE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3" authorId="0" shapeId="0" xr:uid="{773733F6-20F9-4217-BAA5-EC0F86A48055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3" authorId="0" shapeId="0" xr:uid="{9443817F-DED5-4631-925C-0AFB552FA133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Bukowski, Maria - REE-ERS, Kansas City, MO</author>
  </authors>
  <commentList>
    <comment ref="B39" authorId="0" shapeId="0" xr:uid="{00000000-0006-0000-2900-000001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39" authorId="0" shapeId="0" xr:uid="{00000000-0006-0000-2900-000002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F39" authorId="0" shapeId="0" xr:uid="{00000000-0006-0000-2900-000003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0" authorId="0" shapeId="0" xr:uid="{00000000-0006-0000-2900-000004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0" authorId="0" shapeId="0" xr:uid="{00000000-0006-0000-2900-000005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F40" authorId="0" shapeId="0" xr:uid="{00000000-0006-0000-2900-000006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1" authorId="0" shapeId="0" xr:uid="{00000000-0006-0000-2900-000007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1" authorId="0" shapeId="0" xr:uid="{00000000-0006-0000-2900-000008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F41" authorId="0" shapeId="0" xr:uid="{00000000-0006-0000-2900-000009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2" authorId="0" shapeId="0" xr:uid="{00000000-0006-0000-2900-00000A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2" authorId="0" shapeId="0" xr:uid="{00000000-0006-0000-2900-00000B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F42" authorId="0" shapeId="0" xr:uid="{00000000-0006-0000-2900-00000C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3" authorId="0" shapeId="0" xr:uid="{00000000-0006-0000-2900-00000D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3" authorId="0" shapeId="0" xr:uid="{00000000-0006-0000-2900-00000E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F43" authorId="0" shapeId="0" xr:uid="{00000000-0006-0000-2900-00000F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4" authorId="0" shapeId="0" xr:uid="{00000000-0006-0000-2900-000010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4" authorId="0" shapeId="0" xr:uid="{00000000-0006-0000-2900-000011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F44" authorId="0" shapeId="0" xr:uid="{00000000-0006-0000-2900-000012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C45" authorId="1" shapeId="0" xr:uid="{13ADEB55-4644-4A35-998B-9BF19F3FCA43}">
      <text>
        <r>
          <rPr>
            <sz val="9"/>
            <color indexed="81"/>
            <rFont val="Tahoma"/>
            <family val="2"/>
          </rPr>
          <t xml:space="preserve">ERS estimate
</t>
        </r>
      </text>
    </comment>
    <comment ref="F45" authorId="1" shapeId="0" xr:uid="{B3198842-E179-4501-9705-A2A4A80AD5A7}">
      <text>
        <r>
          <rPr>
            <b/>
            <sz val="9"/>
            <color indexed="81"/>
            <rFont val="Tahoma"/>
            <family val="2"/>
          </rPr>
          <t xml:space="preserve">ERS estimate </t>
        </r>
      </text>
    </comment>
    <comment ref="C46" authorId="1" shapeId="0" xr:uid="{C0AA4095-F338-4ADE-A8CC-64263F0ED3A9}">
      <text>
        <r>
          <rPr>
            <sz val="9"/>
            <color indexed="81"/>
            <rFont val="Tahoma"/>
            <family val="2"/>
          </rPr>
          <t>ERS estimate</t>
        </r>
      </text>
    </comment>
    <comment ref="F46" authorId="1" shapeId="0" xr:uid="{CFE24C31-5F42-46D9-BAF8-7CED01225955}">
      <text>
        <r>
          <rPr>
            <b/>
            <sz val="9"/>
            <color indexed="81"/>
            <rFont val="Tahoma"/>
            <family val="2"/>
          </rPr>
          <t xml:space="preserve">ERS estimate </t>
        </r>
      </text>
    </comment>
    <comment ref="C47" authorId="1" shapeId="0" xr:uid="{7BE4E68D-242E-410D-A12E-BF40AAA5CEC3}">
      <text>
        <r>
          <rPr>
            <sz val="9"/>
            <color indexed="81"/>
            <rFont val="Tahoma"/>
            <family val="2"/>
          </rPr>
          <t>ERS estimate</t>
        </r>
      </text>
    </comment>
    <comment ref="F47" authorId="1" shapeId="0" xr:uid="{1E957F57-ECF2-450A-B8F5-C0A3D078FF1B}">
      <text>
        <r>
          <rPr>
            <b/>
            <sz val="9"/>
            <color indexed="81"/>
            <rFont val="Tahoma"/>
            <family val="2"/>
          </rPr>
          <t>ERS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8" authorId="1" shapeId="0" xr:uid="{6ECB3969-B498-44BF-BE8A-09BE09589425}">
      <text>
        <r>
          <rPr>
            <sz val="9"/>
            <color indexed="81"/>
            <rFont val="Tahoma"/>
            <family val="2"/>
          </rPr>
          <t>ERS estimate</t>
        </r>
      </text>
    </comment>
    <comment ref="F48" authorId="1" shapeId="0" xr:uid="{127BFE67-8291-444E-A9DF-877DB845A908}">
      <text>
        <r>
          <rPr>
            <b/>
            <sz val="9"/>
            <color indexed="81"/>
            <rFont val="Tahoma"/>
            <family val="2"/>
          </rPr>
          <t xml:space="preserve">ERS estimate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9" authorId="1" shapeId="0" xr:uid="{93D64F0A-2F04-4C1F-B8C6-9C23E8AAB43E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F49" authorId="1" shapeId="0" xr:uid="{805F12E4-0ADB-4416-B5F5-22BAA20A4AF6}">
      <text>
        <r>
          <rPr>
            <b/>
            <sz val="9"/>
            <color indexed="81"/>
            <rFont val="Tahoma"/>
            <family val="2"/>
          </rPr>
          <t xml:space="preserve">ERS estimate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9" authorId="0" shapeId="0" xr:uid="{00000000-0006-0000-2A00-000001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F39" authorId="0" shapeId="0" xr:uid="{00000000-0006-0000-2A00-000002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0" authorId="0" shapeId="0" xr:uid="{00000000-0006-0000-2A00-000003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F40" authorId="0" shapeId="0" xr:uid="{00000000-0006-0000-2A00-000004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1" authorId="0" shapeId="0" xr:uid="{00000000-0006-0000-2A00-000005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F41" authorId="0" shapeId="0" xr:uid="{00000000-0006-0000-2A00-000006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2" authorId="0" shapeId="0" xr:uid="{00000000-0006-0000-2A00-000007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F42" authorId="0" shapeId="0" xr:uid="{00000000-0006-0000-2A00-000008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89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96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103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110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0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USDA estimate.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0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0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USDA estimate.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1" authorId="0" shapeId="0" xr:uid="{00000000-0006-0000-0700-000006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Mark Ash</author>
  </authors>
  <commentList>
    <comment ref="C60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6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0" authorId="1" shapeId="0" xr:uid="{E35AF1B1-06EC-4D76-B79D-BE332D088B23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60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1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61" authorId="0" shapeId="0" xr:uid="{00000000-0006-0000-0800-000006000000}">
      <text>
        <r>
          <rPr>
            <sz val="9"/>
            <color indexed="81"/>
            <rFont val="Tahoma"/>
            <family val="2"/>
          </rPr>
          <t xml:space="preserve">USDA estimate
</t>
        </r>
      </text>
    </comment>
    <comment ref="G61" authorId="1" shapeId="0" xr:uid="{BA3CE4DD-A326-42C2-B7DD-DE13DE84F505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61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81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ERS estimate
</t>
        </r>
      </text>
    </comment>
    <comment ref="E81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ERS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81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ERS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Bukowski, Maria - REE-ERS, Kansas City, MO</author>
  </authors>
  <commentList>
    <comment ref="J42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Includes Arkansas
</t>
        </r>
      </text>
    </comment>
    <comment ref="J43" authorId="0" shapeId="0" xr:uid="{EA833F7D-AD0A-4526-8F42-9B17316209CC}">
      <text>
        <r>
          <rPr>
            <sz val="9"/>
            <color indexed="81"/>
            <rFont val="Tahoma"/>
            <family val="2"/>
          </rPr>
          <t xml:space="preserve">Includes Arkansas
</t>
        </r>
      </text>
    </comment>
    <comment ref="J44" authorId="0" shapeId="0" xr:uid="{00000000-0006-0000-0D00-000003000000}">
      <text>
        <r>
          <rPr>
            <sz val="9"/>
            <color indexed="81"/>
            <rFont val="Tahoma"/>
            <family val="2"/>
          </rPr>
          <t>Includes Arkansas</t>
        </r>
      </text>
    </comment>
    <comment ref="J45" authorId="0" shapeId="0" xr:uid="{00000000-0006-0000-0D00-000004000000}">
      <text>
        <r>
          <rPr>
            <sz val="9"/>
            <color indexed="81"/>
            <rFont val="Tahoma"/>
            <family val="2"/>
          </rPr>
          <t xml:space="preserve">Includes Arkansas
</t>
        </r>
      </text>
    </comment>
    <comment ref="J46" authorId="1" shapeId="0" xr:uid="{56773520-3B92-4396-AE43-86AF9233964F}">
      <text>
        <r>
          <rPr>
            <sz val="9"/>
            <color indexed="81"/>
            <rFont val="Tahoma"/>
            <family val="2"/>
          </rPr>
          <t xml:space="preserve">Includes Arkansas
</t>
        </r>
      </text>
    </comment>
    <comment ref="J47" authorId="1" shapeId="0" xr:uid="{3BACB03D-51B3-42C2-953D-F12927A13EDE}">
      <text>
        <r>
          <rPr>
            <sz val="9"/>
            <color indexed="81"/>
            <rFont val="Tahoma"/>
            <family val="2"/>
          </rPr>
          <t xml:space="preserve">Includes Arkansas
</t>
        </r>
      </text>
    </comment>
    <comment ref="J48" authorId="1" shapeId="0" xr:uid="{65564FC6-1A49-4186-B026-CF901D5160BF}">
      <text>
        <r>
          <rPr>
            <sz val="9"/>
            <color indexed="81"/>
            <rFont val="Tahoma"/>
            <family val="2"/>
          </rPr>
          <t xml:space="preserve">Includes Arkansas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42" authorId="0" shapeId="0" xr:uid="{00000000-0006-0000-0F00-000001000000}">
      <text>
        <r>
          <rPr>
            <sz val="9"/>
            <color indexed="81"/>
            <rFont val="Tahoma"/>
            <family val="2"/>
          </rPr>
          <t xml:space="preserve">Includes New Mexico and Arkansas
</t>
        </r>
      </text>
    </comment>
    <comment ref="J43" authorId="0" shapeId="0" xr:uid="{00000000-0006-0000-0F00-000002000000}">
      <text>
        <r>
          <rPr>
            <sz val="9"/>
            <color indexed="81"/>
            <rFont val="Tahoma"/>
            <family val="2"/>
          </rPr>
          <t xml:space="preserve">Includes New Mexico and Arkansas
</t>
        </r>
      </text>
    </comment>
    <comment ref="J44" authorId="0" shapeId="0" xr:uid="{00000000-0006-0000-0F00-000003000000}">
      <text>
        <r>
          <rPr>
            <sz val="9"/>
            <color indexed="81"/>
            <rFont val="Tahoma"/>
            <family val="2"/>
          </rPr>
          <t xml:space="preserve">Includes New Mexico and Arkansas
</t>
        </r>
      </text>
    </comment>
    <comment ref="J45" authorId="0" shapeId="0" xr:uid="{00000000-0006-0000-0F00-000004000000}">
      <text>
        <r>
          <rPr>
            <sz val="9"/>
            <color indexed="81"/>
            <rFont val="Tahoma"/>
            <family val="2"/>
          </rPr>
          <t xml:space="preserve">Includes New Mexico and Arkansas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39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9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0" authorId="0" shapeId="0" xr:uid="{00000000-0006-0000-12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0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1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1" authorId="0" shapeId="0" xr:uid="{00000000-0006-0000-12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2" authorId="0" shapeId="0" xr:uid="{00000000-0006-0000-12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2" authorId="0" shapeId="0" xr:uid="{00000000-0006-0000-12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 xr:uid="{00000000-0006-0000-12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<sst xmlns="http://schemas.openxmlformats.org/spreadsheetml/2006/main" count="4746" uniqueCount="741">
  <si>
    <t>Date</t>
  </si>
  <si>
    <t>Off-farm</t>
  </si>
  <si>
    <t>Total</t>
  </si>
  <si>
    <t>1,000 bushels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</si>
  <si>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</si>
  <si>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</si>
  <si>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</si>
  <si>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</si>
  <si>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</si>
  <si>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</si>
  <si>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</si>
  <si>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</si>
  <si>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</si>
  <si>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</si>
  <si>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</si>
  <si>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Year</t>
  </si>
  <si>
    <t>----------------1,000 acres---------------------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</si>
  <si>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</si>
  <si>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</si>
  <si>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</si>
  <si>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</si>
  <si>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</si>
  <si>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</si>
  <si>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</si>
  <si>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</si>
  <si>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</si>
  <si>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</si>
  <si>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</si>
  <si>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</si>
  <si>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 xml:space="preserve">1992 </t>
  </si>
  <si>
    <t>1993</t>
  </si>
  <si>
    <t>1994</t>
  </si>
  <si>
    <t>1995</t>
  </si>
  <si>
    <t xml:space="preserve">1996 </t>
  </si>
  <si>
    <t>1997</t>
  </si>
  <si>
    <t xml:space="preserve"> </t>
  </si>
  <si>
    <t>Planted</t>
  </si>
  <si>
    <t>Harvested</t>
  </si>
  <si>
    <t>Yield</t>
  </si>
  <si>
    <t>per acre</t>
  </si>
  <si>
    <t>Production</t>
  </si>
  <si>
    <t>Value</t>
  </si>
  <si>
    <t>Loan</t>
  </si>
  <si>
    <t>rate 1/</t>
  </si>
  <si>
    <t>Bushels</t>
  </si>
  <si>
    <t>1992</t>
  </si>
  <si>
    <t>1996</t>
  </si>
  <si>
    <t xml:space="preserve">  Cottonseed</t>
  </si>
  <si>
    <t xml:space="preserve">  Canola</t>
  </si>
  <si>
    <t>Imports</t>
  </si>
  <si>
    <t>Exports</t>
  </si>
  <si>
    <t>Million pounds</t>
  </si>
  <si>
    <t>Domestic disappearance</t>
  </si>
  <si>
    <t xml:space="preserve">Production </t>
  </si>
  <si>
    <t>Yield per acre</t>
  </si>
  <si>
    <t>Pounds</t>
  </si>
  <si>
    <t>Planted 1/</t>
  </si>
  <si>
    <t>Harvested 2/</t>
  </si>
  <si>
    <t>Value 3/</t>
  </si>
  <si>
    <t>beginning</t>
  </si>
  <si>
    <t>Seed, loss,</t>
  </si>
  <si>
    <t>August 1</t>
  </si>
  <si>
    <t>shrinkage,</t>
  </si>
  <si>
    <t>residual 1/</t>
  </si>
  <si>
    <t>Quota</t>
  </si>
  <si>
    <t xml:space="preserve">  Year</t>
  </si>
  <si>
    <t>stocks</t>
  </si>
  <si>
    <t>Crush</t>
  </si>
  <si>
    <t>Food</t>
  </si>
  <si>
    <t>and</t>
  </si>
  <si>
    <t>received</t>
  </si>
  <si>
    <t>by</t>
  </si>
  <si>
    <t>farmers</t>
  </si>
  <si>
    <t>Disappearance</t>
  </si>
  <si>
    <t>Price</t>
  </si>
  <si>
    <t>Supply</t>
  </si>
  <si>
    <t>Crop</t>
  </si>
  <si>
    <t>year</t>
  </si>
  <si>
    <t>1998</t>
  </si>
  <si>
    <t>1999</t>
  </si>
  <si>
    <t>1,000 acres</t>
  </si>
  <si>
    <t>Southwest</t>
  </si>
  <si>
    <t>Southeast</t>
  </si>
  <si>
    <t>AL</t>
  </si>
  <si>
    <t>FL</t>
  </si>
  <si>
    <t>GA</t>
  </si>
  <si>
    <t>SC</t>
  </si>
  <si>
    <t>OK</t>
  </si>
  <si>
    <t>TX</t>
  </si>
  <si>
    <t>NM</t>
  </si>
  <si>
    <t>VA</t>
  </si>
  <si>
    <t>NC</t>
  </si>
  <si>
    <t>United</t>
  </si>
  <si>
    <t>States</t>
  </si>
  <si>
    <t>1,000 pounds (in-shell)</t>
  </si>
  <si>
    <t>October 1</t>
  </si>
  <si>
    <t>Beginning</t>
  </si>
  <si>
    <t>Domestic</t>
  </si>
  <si>
    <t>Ending</t>
  </si>
  <si>
    <t>3/</t>
  </si>
  <si>
    <t>May</t>
  </si>
  <si>
    <t>1,000 pounds</t>
  </si>
  <si>
    <t>Oct.</t>
  </si>
  <si>
    <t>Nov.</t>
  </si>
  <si>
    <t>Dec.</t>
  </si>
  <si>
    <t>Jan.</t>
  </si>
  <si>
    <t>Feb.</t>
  </si>
  <si>
    <t>Mar.</t>
  </si>
  <si>
    <t>Apr.</t>
  </si>
  <si>
    <t>Aug.</t>
  </si>
  <si>
    <t>Sep.</t>
  </si>
  <si>
    <t xml:space="preserve"> June 1</t>
  </si>
  <si>
    <t xml:space="preserve"> Exports</t>
  </si>
  <si>
    <t>Residual</t>
  </si>
  <si>
    <t xml:space="preserve"> --------------- 1,000 bushels ---------------</t>
  </si>
  <si>
    <t>Seed</t>
  </si>
  <si>
    <t>by farmers</t>
  </si>
  <si>
    <t xml:space="preserve"> ---------------1,000 short tons ---------------</t>
  </si>
  <si>
    <t>-------------------- Million pounds --------------------</t>
  </si>
  <si>
    <t>September 1</t>
  </si>
  <si>
    <t>Total 1/</t>
  </si>
  <si>
    <t>residual</t>
  </si>
  <si>
    <t>stocks 1/</t>
  </si>
  <si>
    <t>Production 1/</t>
  </si>
  <si>
    <t>(solvent)</t>
  </si>
  <si>
    <t>Crude,</t>
  </si>
  <si>
    <t xml:space="preserve">September 1 </t>
  </si>
  <si>
    <t>Ending stocks</t>
  </si>
  <si>
    <t>1999/2000</t>
  </si>
  <si>
    <t xml:space="preserve">October 1 </t>
  </si>
  <si>
    <t>1,000 short tons</t>
  </si>
  <si>
    <t>Disappearance 1/</t>
  </si>
  <si>
    <t>use</t>
  </si>
  <si>
    <t>Soybean meal</t>
  </si>
  <si>
    <t xml:space="preserve">between value </t>
  </si>
  <si>
    <t>of products and</t>
  </si>
  <si>
    <t>soybean price</t>
  </si>
  <si>
    <t>Soybean oil</t>
  </si>
  <si>
    <t xml:space="preserve"> Value of products per bushel</t>
  </si>
  <si>
    <t>oil</t>
  </si>
  <si>
    <t>Soybean</t>
  </si>
  <si>
    <t>No. 1</t>
  </si>
  <si>
    <t>yellow</t>
  </si>
  <si>
    <t>Illinois</t>
  </si>
  <si>
    <t>processor</t>
  </si>
  <si>
    <t>Spread</t>
  </si>
  <si>
    <t>Percent of value</t>
  </si>
  <si>
    <t>Price 1/</t>
  </si>
  <si>
    <t>Cents</t>
  </si>
  <si>
    <t>Price 2/</t>
  </si>
  <si>
    <t>value</t>
  </si>
  <si>
    <t>exporters</t>
  </si>
  <si>
    <t>Soybeans--</t>
  </si>
  <si>
    <t xml:space="preserve"> Supply--</t>
  </si>
  <si>
    <t xml:space="preserve"> Use--</t>
  </si>
  <si>
    <t xml:space="preserve">  Total</t>
  </si>
  <si>
    <t xml:space="preserve"> Ending stocks</t>
  </si>
  <si>
    <t>Soybean meal--</t>
  </si>
  <si>
    <t>Soybean oil--</t>
  </si>
  <si>
    <t>Million metric tons</t>
  </si>
  <si>
    <t>Major</t>
  </si>
  <si>
    <t>2/</t>
  </si>
  <si>
    <t>importers</t>
  </si>
  <si>
    <t>World</t>
  </si>
  <si>
    <t>4/</t>
  </si>
  <si>
    <t>-----------1,000 acres--------</t>
  </si>
  <si>
    <t>Other</t>
  </si>
  <si>
    <t>Average,</t>
  </si>
  <si>
    <t>---------Million pounds---------</t>
  </si>
  <si>
    <t>Valley</t>
  </si>
  <si>
    <t>Points</t>
  </si>
  <si>
    <t>crude</t>
  </si>
  <si>
    <t xml:space="preserve"> Production</t>
  </si>
  <si>
    <t>--------1,000 acres----------</t>
  </si>
  <si>
    <t>seed</t>
  </si>
  <si>
    <t xml:space="preserve">Year </t>
  </si>
  <si>
    <t xml:space="preserve">beginning </t>
  </si>
  <si>
    <t>protein</t>
  </si>
  <si>
    <t>June 1</t>
  </si>
  <si>
    <t xml:space="preserve"> stocks</t>
  </si>
  <si>
    <t xml:space="preserve">1998 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</si>
  <si>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</si>
  <si>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</si>
  <si>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</si>
  <si>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</si>
  <si>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</si>
  <si>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</si>
  <si>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</si>
  <si>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</si>
  <si>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</si>
  <si>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 xml:space="preserve"> ---------- Million pounds ----------</t>
  </si>
  <si>
    <t xml:space="preserve">Total </t>
  </si>
  <si>
    <t>foreign</t>
  </si>
  <si>
    <t>Midwest</t>
  </si>
  <si>
    <t>Oilseeds:</t>
  </si>
  <si>
    <t>Fats and oils:</t>
  </si>
  <si>
    <t>Oilmeals:</t>
  </si>
  <si>
    <t>1982=100</t>
  </si>
  <si>
    <t>Unit</t>
  </si>
  <si>
    <t>Stocks</t>
  </si>
  <si>
    <t>Jan. 1</t>
  </si>
  <si>
    <t>Per capita</t>
  </si>
  <si>
    <t xml:space="preserve">Calendar </t>
  </si>
  <si>
    <t>Item</t>
  </si>
  <si>
    <t xml:space="preserve">  Soybeans</t>
  </si>
  <si>
    <t xml:space="preserve">  Peanuts</t>
  </si>
  <si>
    <t>Direct</t>
  </si>
  <si>
    <t>domestic</t>
  </si>
  <si>
    <t>Edible</t>
  </si>
  <si>
    <t>2000/01</t>
  </si>
  <si>
    <t>2001/02</t>
  </si>
  <si>
    <t>Loan rate 4/</t>
  </si>
  <si>
    <t>2000</t>
  </si>
  <si>
    <t>Pounds/acre</t>
  </si>
  <si>
    <t>food use</t>
  </si>
  <si>
    <t>Soybean hulls</t>
  </si>
  <si>
    <t>Price 3/</t>
  </si>
  <si>
    <t>2002/03</t>
  </si>
  <si>
    <t xml:space="preserve"> Total </t>
  </si>
  <si>
    <t>---------1,000 short tons---------</t>
  </si>
  <si>
    <t xml:space="preserve"> ---------- 1,000 short tons ----------</t>
  </si>
  <si>
    <t>2003/04</t>
  </si>
  <si>
    <t>2004/05</t>
  </si>
  <si>
    <t>Consumption</t>
  </si>
  <si>
    <t>All types</t>
  </si>
  <si>
    <t>2005/06</t>
  </si>
  <si>
    <t>2004</t>
  </si>
  <si>
    <t>2006/07</t>
  </si>
  <si>
    <t xml:space="preserve">2005/06 </t>
  </si>
  <si>
    <t>NA</t>
  </si>
  <si>
    <t>2007/08</t>
  </si>
  <si>
    <t>2008/09</t>
  </si>
  <si>
    <t xml:space="preserve">2007/08 </t>
  </si>
  <si>
    <t>Bureau of Labor Statistics Producer Price Indexes:</t>
  </si>
  <si>
    <t>2009/10</t>
  </si>
  <si>
    <t>Biodiesel: FOB Iowa, B100 (Soy methyl ester)</t>
  </si>
  <si>
    <t>2010/11</t>
  </si>
  <si>
    <t xml:space="preserve">2009/10 </t>
  </si>
  <si>
    <t xml:space="preserve">2010/11 </t>
  </si>
  <si>
    <t>2011/12</t>
  </si>
  <si>
    <t>1991=100</t>
  </si>
  <si>
    <t>2012/13</t>
  </si>
  <si>
    <t>Seed, feed,</t>
  </si>
  <si>
    <t>and residual</t>
  </si>
  <si>
    <t>---</t>
  </si>
  <si>
    <t>June-Aug.</t>
  </si>
  <si>
    <t xml:space="preserve">2011/12 </t>
  </si>
  <si>
    <t>Million bushels</t>
  </si>
  <si>
    <t>Cents/pound</t>
  </si>
  <si>
    <t>Loan rate</t>
  </si>
  <si>
    <t>Production 2/</t>
  </si>
  <si>
    <t>East Corn Belt</t>
  </si>
  <si>
    <t>Inedible distillers</t>
  </si>
  <si>
    <t>2013/14</t>
  </si>
  <si>
    <t xml:space="preserve">2012/13 </t>
  </si>
  <si>
    <t>Oil Crops Data: Yearbook Tables</t>
  </si>
  <si>
    <t>Nonquota</t>
  </si>
  <si>
    <t>34-percent</t>
  </si>
  <si>
    <t>2014/15</t>
  </si>
  <si>
    <t xml:space="preserve">2013/14 </t>
  </si>
  <si>
    <t>2015/16</t>
  </si>
  <si>
    <t xml:space="preserve">2014/15 </t>
  </si>
  <si>
    <t>2016/17</t>
  </si>
  <si>
    <t>Total 2/</t>
  </si>
  <si>
    <t>1/ Includes Mississippi. 2/ Includes Arkansas.</t>
  </si>
  <si>
    <t xml:space="preserve">2015/16 </t>
  </si>
  <si>
    <t>Season-average</t>
  </si>
  <si>
    <t>Food use</t>
  </si>
  <si>
    <t>per capita</t>
  </si>
  <si>
    <t>(shelled basis)</t>
  </si>
  <si>
    <t>2017/18</t>
  </si>
  <si>
    <t xml:space="preserve">2016/17 </t>
  </si>
  <si>
    <t>-----------1,000 acres------------</t>
  </si>
  <si>
    <t>---------------------------------------------------------- Million pounds----------------------------------------------------------</t>
  </si>
  <si>
    <t>-------------Dollars-------------</t>
  </si>
  <si>
    <t>--------Dollars--------</t>
  </si>
  <si>
    <t>Dollars</t>
  </si>
  <si>
    <t>--------Percent---------</t>
  </si>
  <si>
    <t>2001</t>
  </si>
  <si>
    <t>2002</t>
  </si>
  <si>
    <t>2003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</si>
  <si>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</si>
  <si>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</si>
  <si>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</si>
  <si>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</si>
  <si>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</si>
  <si>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</si>
  <si>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</si>
  <si>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</si>
  <si>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</si>
  <si>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</si>
  <si>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</si>
  <si>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</si>
  <si>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--------------------------------------------------Million pounds, rendered basis------------------------------------------------</t>
  </si>
  <si>
    <t>----------------------------------------------------------------Million pounds-----------------------------------------------------------</t>
  </si>
  <si>
    <t>2018/19</t>
  </si>
  <si>
    <t xml:space="preserve">2017/18 </t>
  </si>
  <si>
    <t>Country/region 1/</t>
  </si>
  <si>
    <t>Mexico</t>
  </si>
  <si>
    <t>Philippines</t>
  </si>
  <si>
    <t>Japan</t>
  </si>
  <si>
    <t>Indonesia</t>
  </si>
  <si>
    <t>Egypt</t>
  </si>
  <si>
    <t>Thailand</t>
  </si>
  <si>
    <t>Guatemala</t>
  </si>
  <si>
    <t>Malaysia</t>
  </si>
  <si>
    <t>Peru</t>
  </si>
  <si>
    <t>Bangladesh</t>
  </si>
  <si>
    <t>Colombia</t>
  </si>
  <si>
    <t>Ecuador</t>
  </si>
  <si>
    <t>Honduras</t>
  </si>
  <si>
    <t>Dominican Republic</t>
  </si>
  <si>
    <t>Vietnam</t>
  </si>
  <si>
    <t>El Salvador</t>
  </si>
  <si>
    <t>Venezuela</t>
  </si>
  <si>
    <t>All other countries</t>
  </si>
  <si>
    <t>China</t>
  </si>
  <si>
    <t>Netherlands</t>
  </si>
  <si>
    <t>Taiwan</t>
  </si>
  <si>
    <t>Pakistan</t>
  </si>
  <si>
    <t>Spain</t>
  </si>
  <si>
    <t>Canada</t>
  </si>
  <si>
    <t>Tunisia</t>
  </si>
  <si>
    <t>Costa Rica</t>
  </si>
  <si>
    <t>Portugal</t>
  </si>
  <si>
    <t>Morocco</t>
  </si>
  <si>
    <t>Panama</t>
  </si>
  <si>
    <t>Sri Lanka</t>
  </si>
  <si>
    <t>Jamaica</t>
  </si>
  <si>
    <t>Nicaragua</t>
  </si>
  <si>
    <t>Saudi Arabia</t>
  </si>
  <si>
    <t>Trinidad and Tobago</t>
  </si>
  <si>
    <t>United Arab Emirates</t>
  </si>
  <si>
    <t>Kuwait</t>
  </si>
  <si>
    <t>2019/20</t>
  </si>
  <si>
    <t xml:space="preserve">2018/19 </t>
  </si>
  <si>
    <t>Domestic use</t>
  </si>
  <si>
    <t>Peanut</t>
  </si>
  <si>
    <t>candy</t>
  </si>
  <si>
    <t xml:space="preserve">Snack </t>
  </si>
  <si>
    <t>peanuts</t>
  </si>
  <si>
    <t>butter</t>
  </si>
  <si>
    <t>uses</t>
  </si>
  <si>
    <t>Clean</t>
  </si>
  <si>
    <t>in-shell</t>
  </si>
  <si>
    <t>-------------------------------- Million pounds--------------------------------</t>
  </si>
  <si>
    <r>
      <t xml:space="preserve">Source: USDA, Economic Research Service using data from USDA, National Agricultural </t>
    </r>
    <r>
      <rPr>
        <i/>
        <sz val="8"/>
        <rFont val="Helvetica"/>
        <family val="2"/>
      </rPr>
      <t/>
    </r>
  </si>
  <si>
    <t>-----1,000 acres------</t>
  </si>
  <si>
    <r>
      <rPr>
        <i/>
        <sz val="8"/>
        <rFont val="Helvetica"/>
      </rPr>
      <t>Loan Deficiency Payments Fact Sheet</t>
    </r>
    <r>
      <rPr>
        <sz val="8"/>
        <rFont val="Helvetica"/>
      </rPr>
      <t>.</t>
    </r>
  </si>
  <si>
    <t>Government support</t>
  </si>
  <si>
    <t>2020/21</t>
  </si>
  <si>
    <t xml:space="preserve">2019/20 </t>
  </si>
  <si>
    <t xml:space="preserve">1/ Area planted for all peanuts. 2/ Area harvested peanuts for nuts. 3/ Crop value is peanuts for nuts. Prior to 2002, includes both quota </t>
  </si>
  <si>
    <r>
      <t xml:space="preserve">Statistics Service, </t>
    </r>
    <r>
      <rPr>
        <i/>
        <sz val="8"/>
        <rFont val="Helvetica"/>
      </rPr>
      <t>Peanut Stocks and Processing.</t>
    </r>
  </si>
  <si>
    <t>Dollars/bushel</t>
  </si>
  <si>
    <t>Dollars/short ton</t>
  </si>
  <si>
    <t>Decatur, IL</t>
  </si>
  <si>
    <t xml:space="preserve">Sep.–Nov. </t>
  </si>
  <si>
    <t xml:space="preserve">Dec.–Feb. </t>
  </si>
  <si>
    <t>Mar.–May</t>
  </si>
  <si>
    <t>June–Aug.</t>
  </si>
  <si>
    <t>Sep.–Nov.</t>
  </si>
  <si>
    <t>Dec.–Feb.</t>
  </si>
  <si>
    <t>----------------------Cents/pound----------------------</t>
  </si>
  <si>
    <t>Thousand dollars</t>
  </si>
  <si>
    <r>
      <t xml:space="preserve">and USDA, Farm Service Agency, </t>
    </r>
    <r>
      <rPr>
        <i/>
        <sz val="8"/>
        <rFont val="Helvetica"/>
      </rPr>
      <t>Nonrecourse Marketing Assistance Loans and Loan</t>
    </r>
    <r>
      <rPr>
        <sz val="8"/>
        <rFont val="Helvetica"/>
        <family val="2"/>
      </rPr>
      <t xml:space="preserve"> </t>
    </r>
    <r>
      <rPr>
        <i/>
        <sz val="8"/>
        <rFont val="Helvetica"/>
      </rPr>
      <t>Deficiency Payments Fact Sheet.</t>
    </r>
  </si>
  <si>
    <t>Dollars per hundredweight</t>
  </si>
  <si>
    <t>average,</t>
  </si>
  <si>
    <t xml:space="preserve">Pacific </t>
  </si>
  <si>
    <t>Northwest</t>
  </si>
  <si>
    <t>Minneapolis, MN</t>
  </si>
  <si>
    <t>Dollars/hundredweight</t>
  </si>
  <si>
    <t>Dollars/gallon</t>
  </si>
  <si>
    <t>disappearance</t>
  </si>
  <si>
    <t>1/ Data based on local marketing years except for Argentina and Brazil, which are adjusted to an October–September year. 2/ Major exporters include Brazil, Argentina,</t>
  </si>
  <si>
    <t xml:space="preserve"> December 1</t>
  </si>
  <si>
    <t xml:space="preserve"> March 1</t>
  </si>
  <si>
    <t xml:space="preserve"> September 1</t>
  </si>
  <si>
    <t xml:space="preserve"> Year</t>
  </si>
  <si>
    <t xml:space="preserve"> Year   </t>
  </si>
  <si>
    <t xml:space="preserve"> Year </t>
  </si>
  <si>
    <t xml:space="preserve">  Total </t>
  </si>
  <si>
    <t xml:space="preserve"> September</t>
  </si>
  <si>
    <t xml:space="preserve"> October</t>
  </si>
  <si>
    <t xml:space="preserve"> November</t>
  </si>
  <si>
    <t xml:space="preserve"> December</t>
  </si>
  <si>
    <t xml:space="preserve"> January</t>
  </si>
  <si>
    <t xml:space="preserve"> February</t>
  </si>
  <si>
    <t xml:space="preserve"> March</t>
  </si>
  <si>
    <t xml:space="preserve"> April</t>
  </si>
  <si>
    <t xml:space="preserve"> May</t>
  </si>
  <si>
    <t xml:space="preserve"> May </t>
  </si>
  <si>
    <t xml:space="preserve"> June</t>
  </si>
  <si>
    <t xml:space="preserve"> July</t>
  </si>
  <si>
    <t xml:space="preserve"> August</t>
  </si>
  <si>
    <t xml:space="preserve">  Average</t>
  </si>
  <si>
    <t xml:space="preserve">        </t>
  </si>
  <si>
    <t xml:space="preserve">2000/01 </t>
  </si>
  <si>
    <t xml:space="preserve">2003/04 </t>
  </si>
  <si>
    <t xml:space="preserve">  Disappearance</t>
  </si>
  <si>
    <t xml:space="preserve">   Ending</t>
  </si>
  <si>
    <t xml:space="preserve">   Imports</t>
  </si>
  <si>
    <t xml:space="preserve">   Total</t>
  </si>
  <si>
    <t xml:space="preserve"> --------1,000 acres---------</t>
  </si>
  <si>
    <t xml:space="preserve">   Item</t>
  </si>
  <si>
    <t xml:space="preserve"> Coconut</t>
  </si>
  <si>
    <t xml:space="preserve"> Corn</t>
  </si>
  <si>
    <t xml:space="preserve"> Cottonseed</t>
  </si>
  <si>
    <t xml:space="preserve"> Lard</t>
  </si>
  <si>
    <t xml:space="preserve"> Palm</t>
  </si>
  <si>
    <t xml:space="preserve"> Palm kernel</t>
  </si>
  <si>
    <t xml:space="preserve"> Peanut 2/</t>
  </si>
  <si>
    <t xml:space="preserve"> Safflower</t>
  </si>
  <si>
    <t xml:space="preserve"> Soybean</t>
  </si>
  <si>
    <t xml:space="preserve"> Sunflower</t>
  </si>
  <si>
    <t xml:space="preserve"> Canola</t>
  </si>
  <si>
    <t xml:space="preserve"> Tallow, edible</t>
  </si>
  <si>
    <t xml:space="preserve">  Total stocks</t>
  </si>
  <si>
    <t xml:space="preserve"> Olive</t>
  </si>
  <si>
    <t xml:space="preserve"> Sesame</t>
  </si>
  <si>
    <t xml:space="preserve">  Total imports</t>
  </si>
  <si>
    <t xml:space="preserve">  Total production</t>
  </si>
  <si>
    <t xml:space="preserve"> Corn </t>
  </si>
  <si>
    <t xml:space="preserve">  Total exports</t>
  </si>
  <si>
    <t xml:space="preserve">  Total disappearance</t>
  </si>
  <si>
    <t xml:space="preserve">  Item                   </t>
  </si>
  <si>
    <t xml:space="preserve">  Flaxseed</t>
  </si>
  <si>
    <t xml:space="preserve">  Sunflowerseed--All types</t>
  </si>
  <si>
    <t xml:space="preserve">  Sunflowerseed--Nonoil type</t>
  </si>
  <si>
    <t xml:space="preserve"> Cash prices at terminal markets</t>
  </si>
  <si>
    <t xml:space="preserve">  Canola, Velva, ND</t>
  </si>
  <si>
    <t xml:space="preserve">  Cottonseed, Memphis, TN</t>
  </si>
  <si>
    <t xml:space="preserve">  Flaxseed, Minneapolis, MN</t>
  </si>
  <si>
    <t xml:space="preserve">  Soybeans, Central Illinois, No. 1 yellow</t>
  </si>
  <si>
    <t xml:space="preserve">  Soybeans, Louisiana Gulf, No.1 yellow</t>
  </si>
  <si>
    <t xml:space="preserve">  Sunflowerseed, Enderlin, ND, Nu-Sun</t>
  </si>
  <si>
    <t xml:space="preserve"> Wholesale</t>
  </si>
  <si>
    <t xml:space="preserve">  Canola oil, Midwest</t>
  </si>
  <si>
    <t xml:space="preserve">  Corn oil, edible, crude, tank cars, wet/dry mill Chicago, IL</t>
  </si>
  <si>
    <t xml:space="preserve">  Cottonseed oil, PBSY, Greenwood, MS</t>
  </si>
  <si>
    <t xml:space="preserve">  Lard, loose, delivered, Chicago, IL</t>
  </si>
  <si>
    <t xml:space="preserve">  Sunflower oil, crude Minneapolis, MN</t>
  </si>
  <si>
    <t xml:space="preserve">  Tallow, edible, number 1, delivered, Chicago, IL</t>
  </si>
  <si>
    <t xml:space="preserve">  Yellow grease, rail, Minneapolis, MN</t>
  </si>
  <si>
    <t xml:space="preserve">  Soybean meal, High protein, Decatur, IL</t>
  </si>
  <si>
    <t xml:space="preserve"> Group by origin:</t>
  </si>
  <si>
    <t xml:space="preserve">  Animal fats</t>
  </si>
  <si>
    <t xml:space="preserve"> Group by use:</t>
  </si>
  <si>
    <t xml:space="preserve">  Margarine</t>
  </si>
  <si>
    <t xml:space="preserve">  Shortening and cooking oils</t>
  </si>
  <si>
    <t xml:space="preserve">  Inedible fats and oils</t>
  </si>
  <si>
    <t xml:space="preserve">  Peanut butter</t>
  </si>
  <si>
    <t xml:space="preserve"> year </t>
  </si>
  <si>
    <t xml:space="preserve">   World less United States</t>
  </si>
  <si>
    <t xml:space="preserve"> Imports</t>
  </si>
  <si>
    <t xml:space="preserve"> Crush</t>
  </si>
  <si>
    <t xml:space="preserve"> Total</t>
  </si>
  <si>
    <t xml:space="preserve"> Domestic</t>
  </si>
  <si>
    <t xml:space="preserve"> Copra</t>
  </si>
  <si>
    <t xml:space="preserve"> Peanuts</t>
  </si>
  <si>
    <t xml:space="preserve"> Rapeseed</t>
  </si>
  <si>
    <t xml:space="preserve"> Soybeans</t>
  </si>
  <si>
    <t xml:space="preserve"> Sunflowerseed</t>
  </si>
  <si>
    <t xml:space="preserve"> Coconut oil</t>
  </si>
  <si>
    <t xml:space="preserve"> Cottonseed oil</t>
  </si>
  <si>
    <t xml:space="preserve"> Olive oil</t>
  </si>
  <si>
    <t xml:space="preserve"> Palm oil</t>
  </si>
  <si>
    <t xml:space="preserve"> Palm kernel oil</t>
  </si>
  <si>
    <t xml:space="preserve"> Peanut oil</t>
  </si>
  <si>
    <t xml:space="preserve"> Rapeseed oil</t>
  </si>
  <si>
    <t xml:space="preserve"> Soybean oil</t>
  </si>
  <si>
    <t xml:space="preserve"> Sunflowerseed oil</t>
  </si>
  <si>
    <t xml:space="preserve"> Copra meal</t>
  </si>
  <si>
    <t xml:space="preserve"> Cottonseed meal</t>
  </si>
  <si>
    <t xml:space="preserve"> Fish meal</t>
  </si>
  <si>
    <t xml:space="preserve"> Palm kernel meal</t>
  </si>
  <si>
    <t xml:space="preserve"> Peanut meal</t>
  </si>
  <si>
    <t xml:space="preserve"> Rapeseed meal</t>
  </si>
  <si>
    <t xml:space="preserve"> Soybean meal</t>
  </si>
  <si>
    <t xml:space="preserve"> Sunflowerseed meal</t>
  </si>
  <si>
    <t xml:space="preserve">1/ Beginning with the 1991 crop, a marketing loan program replaced the nonrecourse loan of previous years. Effective marketing loan value is $4.92 </t>
  </si>
  <si>
    <r>
      <rPr>
        <i/>
        <sz val="8"/>
        <rFont val="Helvetica"/>
      </rPr>
      <t>Payments Fact Sheet</t>
    </r>
    <r>
      <rPr>
        <sz val="8"/>
        <rFont val="Helvetica"/>
      </rPr>
      <t>; and National Sunflower Association reporting.</t>
    </r>
  </si>
  <si>
    <t>48-percent protein,</t>
  </si>
  <si>
    <t>1/ Crude, tanks, Free on Board, Central Illinois. 2/ 44-percent (solvent), Decatur, IL based on September–August year. Beginning 2001/02, 48 percent solvent.</t>
  </si>
  <si>
    <t>Memphis, TN</t>
  </si>
  <si>
    <t>34-percent protein</t>
  </si>
  <si>
    <t>Chicago, IL</t>
  </si>
  <si>
    <r>
      <t xml:space="preserve">Source: USDA, Economic Research Service using data from USDA, World Agricultural Outlook Board, </t>
    </r>
    <r>
      <rPr>
        <i/>
        <sz val="8"/>
        <rFont val="Helvetica"/>
      </rPr>
      <t>World Agricultural Supply and Demand Estimates</t>
    </r>
    <r>
      <rPr>
        <sz val="8"/>
        <rFont val="Helvetica"/>
        <family val="2"/>
      </rPr>
      <t>.</t>
    </r>
  </si>
  <si>
    <t xml:space="preserve">  Coconut oil, crude, tank cars, NY</t>
  </si>
  <si>
    <t xml:space="preserve">  Distillers corn oil, inedible, FOB Eastern Corn Belt</t>
  </si>
  <si>
    <t xml:space="preserve">  Palm oil, refined, CIF, bulk, U.S. ports</t>
  </si>
  <si>
    <t xml:space="preserve">  Palm kernel oil, refined, CIF, bulk, U.S. ports</t>
  </si>
  <si>
    <t xml:space="preserve">  Peanut oil, crude, tank cars FOB Southeastern mills</t>
  </si>
  <si>
    <t xml:space="preserve">  Soybean oil, crude, tank cars, FOB Decatur, IL</t>
  </si>
  <si>
    <t xml:space="preserve">  Canola meal, 36-percent protein, Pacific Northwest</t>
  </si>
  <si>
    <t xml:space="preserve">  Cottonseed meal, 41-percent protein, solvent, Memphis, TN</t>
  </si>
  <si>
    <t xml:space="preserve">  Linseed meal, 34-percent protein, Minneapolis, MN</t>
  </si>
  <si>
    <t xml:space="preserve">  Sunflower meal, 34-percent protein, North Dakota–Minnesota</t>
  </si>
  <si>
    <t xml:space="preserve"> Beginning stocks</t>
  </si>
  <si>
    <t>2020/21 5/</t>
  </si>
  <si>
    <t>Table 38—U.S. soybean exports by selected destinations (1,000 metric tons)</t>
  </si>
  <si>
    <t>Table 39—U.S. soybean meal exports by selected destinations (1,000 metric tons)</t>
  </si>
  <si>
    <t>Table 40—U.S. soybean oil exports by selected destinations (1,000 metric tons)</t>
  </si>
  <si>
    <t>2021/22</t>
  </si>
  <si>
    <t>2021/22 2/</t>
  </si>
  <si>
    <t>United Kingdom</t>
  </si>
  <si>
    <t>Ireland</t>
  </si>
  <si>
    <r>
      <t>Source: USDA, Economic Research Service using data from USDA, Foreign Agricultural Service,</t>
    </r>
    <r>
      <rPr>
        <i/>
        <sz val="8"/>
        <rFont val="Helvetica"/>
      </rPr>
      <t xml:space="preserve"> Production, Supply and Distribution</t>
    </r>
    <r>
      <rPr>
        <sz val="8"/>
        <rFont val="Helvetica"/>
        <family val="2"/>
      </rPr>
      <t>.</t>
    </r>
  </si>
  <si>
    <t>India</t>
  </si>
  <si>
    <t>Hong Kong</t>
  </si>
  <si>
    <t>Haiti</t>
  </si>
  <si>
    <t>Note: Monthly production data not available for 2011/12–2014/15</t>
  </si>
  <si>
    <t>1/ Includes millfeed (hull meal) and soy flour.</t>
  </si>
  <si>
    <t>2021/22 3/</t>
  </si>
  <si>
    <t>1/ Estimate. 2/ Forecast.</t>
  </si>
  <si>
    <t>1/ Total supply includes imports. 2/Estimate. 3/ Forecast.</t>
  </si>
  <si>
    <t>1/ Includes millfeed (hull meal). 2/ Estimate. 3/ Forecast.</t>
  </si>
  <si>
    <t>1/ Estimates for farm use and local sales are not available, so these are now included in residual use. 2/ Estimate. 3/ Forecast.</t>
  </si>
  <si>
    <t>Note: Monthly production data not available for 2011/12–2014/15.</t>
  </si>
  <si>
    <t>1/ Prime Bleachable Summer Yellow (PBSY), basis Greenwood, MS, beginning 1992. 2/ Estimate. 3/ Forecast.</t>
  </si>
  <si>
    <t xml:space="preserve">1/ Estimate. 2/ Forecast. </t>
  </si>
  <si>
    <t xml:space="preserve">1/ Total supply includes imports. 2/ Estimate. 3/ Forecast. </t>
  </si>
  <si>
    <t>1/ Includes planting seed and residual. 2/ Estimate. 3/ Forecast.</t>
  </si>
  <si>
    <t>1/ Forecast. 2/ Estimate.</t>
  </si>
  <si>
    <t>3/ Estimate. 4/ Forecast.</t>
  </si>
  <si>
    <t xml:space="preserve">1/ Loose, average wholesale, tanks, Chicago, IL. 2/ U.S. Department of Commerce, U.S. Census Bureau ended publication of lard production in July 1989. </t>
  </si>
  <si>
    <t>NA = Not available. 1/ Loose, average wholesale, Chicago, IL. 2/ Production includes both technical and edible tallow. 3/ Estimate. 4/ Forecast.</t>
  </si>
  <si>
    <t>1/ Market year is September–August. 2/ Estimate.</t>
  </si>
  <si>
    <t>1/ Market year is October–September. 2/ Estimate.</t>
  </si>
  <si>
    <t>2/ Estimate. 3/ Forecast.</t>
  </si>
  <si>
    <t>Onfarm</t>
  </si>
  <si>
    <t>($5.02 less 2-percent origination fee) for crop years 1991–1993. 2/ Forecast.</t>
  </si>
  <si>
    <t>Biofuel 1/</t>
  </si>
  <si>
    <t>and USDA, Foreign Agricultural Service, Global Agricultural Trade System.</t>
  </si>
  <si>
    <t>meal and hulls</t>
  </si>
  <si>
    <t>3/ Central Illinois, bulk.</t>
  </si>
  <si>
    <t>Million dollars</t>
  </si>
  <si>
    <t>and nonquota peanuts. 4/ Loan rate established by the 2002 Farm Act. 5/ Forecast.</t>
  </si>
  <si>
    <t>NA = Not applicable.</t>
  </si>
  <si>
    <t>Virginia and North Carolina</t>
  </si>
  <si>
    <r>
      <t xml:space="preserve">and USDA, Foreign Agricultural Service, </t>
    </r>
    <r>
      <rPr>
        <sz val="8"/>
        <rFont val="Helvetica"/>
      </rPr>
      <t>Global Agricultural Trade System.</t>
    </r>
  </si>
  <si>
    <t>1/ Estimate.</t>
  </si>
  <si>
    <t>NA = Not available.</t>
  </si>
  <si>
    <t>1/ Starting January 2021 data includes renewable diesel.</t>
  </si>
  <si>
    <t>Edible and other</t>
  </si>
  <si>
    <r>
      <rPr>
        <i/>
        <sz val="8"/>
        <rFont val="Helvetica"/>
      </rPr>
      <t>Agricultural Prices</t>
    </r>
    <r>
      <rPr>
        <sz val="8"/>
        <rFont val="Helvetica"/>
      </rPr>
      <t>; USDA, Foreign Agricultural Service, Global Agricultural Trade System;</t>
    </r>
    <r>
      <rPr>
        <i/>
        <sz val="8"/>
        <rFont val="Helvetica"/>
      </rPr>
      <t xml:space="preserve"> </t>
    </r>
    <r>
      <rPr>
        <sz val="8"/>
        <rFont val="Helvetica"/>
      </rPr>
      <t>and USDA, Farm Service Agency,</t>
    </r>
    <r>
      <rPr>
        <i/>
        <sz val="8"/>
        <rFont val="Helvetica"/>
      </rPr>
      <t xml:space="preserve"> Nonrecourse Marketing Assistance Loans and </t>
    </r>
  </si>
  <si>
    <t xml:space="preserve">1/ Includes inedible distillers corn oil. </t>
  </si>
  <si>
    <t>Biofuel 2/</t>
  </si>
  <si>
    <t xml:space="preserve">  Sunflowerseed--Oiltype</t>
  </si>
  <si>
    <t>NA = Not available. CIF = Cost, Insurance, Freight. FOB = Free On Board. PSBY = Prime Bleachable Summer Yellow.</t>
  </si>
  <si>
    <t xml:space="preserve">Note: USDA, Economic Research Service estimates after 1989, which have been revised from previous publications with a lower yield-per-hog conversion rate. </t>
  </si>
  <si>
    <t>South Korea</t>
  </si>
  <si>
    <t>Germany</t>
  </si>
  <si>
    <t>The Bahamas</t>
  </si>
  <si>
    <t>use and</t>
  </si>
  <si>
    <r>
      <t xml:space="preserve"> USDA, Foreign Agricultural Service, Global Agricultural Trade System; USDA, Farm Service Agency, </t>
    </r>
    <r>
      <rPr>
        <i/>
        <sz val="8"/>
        <rFont val="Helvetica"/>
      </rPr>
      <t xml:space="preserve">Nonrecourse Marketing Assistance Loans and Loan Deficiency </t>
    </r>
  </si>
  <si>
    <r>
      <t>Updates of these data and data covering more years and countries can be found in USDA, Economic Research Service, Data Products,</t>
    </r>
    <r>
      <rPr>
        <i/>
        <sz val="8"/>
        <rFont val="Helvetica"/>
      </rPr>
      <t xml:space="preserve"> Oil Crops Yearbook</t>
    </r>
    <r>
      <rPr>
        <sz val="8"/>
        <rFont val="Helvetica"/>
      </rPr>
      <t>.</t>
    </r>
  </si>
  <si>
    <t>U.S. soybean stocks—quarterly</t>
  </si>
  <si>
    <t>U.S. soybeans and soybean products supply and disappearance—annual</t>
  </si>
  <si>
    <t>U.S. soybeans and soybean products supply and disappearance—crop year quarter and month</t>
  </si>
  <si>
    <t>U.S. soybeans and soybean products price spreads—monthly</t>
  </si>
  <si>
    <t>U.S. peanut acreage, production, yield, and farm price—annual</t>
  </si>
  <si>
    <t>Peanut acreage, production, yield, by State and region—annual</t>
  </si>
  <si>
    <t>U.S. cottonseed and cottonseed products—annual</t>
  </si>
  <si>
    <t>U.S. sunflowerseed and sunflowerseed products—annual</t>
  </si>
  <si>
    <t>U.S. canola seed and canola products—annual</t>
  </si>
  <si>
    <t>U.S. flaxseed and flaxseed products—annual</t>
  </si>
  <si>
    <t>U.S. edible oils and fats supply and disappearance—annual</t>
  </si>
  <si>
    <t>Domestic prices—monthly</t>
  </si>
  <si>
    <t>U.S. fats and oils domestic consumption—annual</t>
  </si>
  <si>
    <t>Exports and imports—annual</t>
  </si>
  <si>
    <t>World production, supply, and disappearance—annual</t>
  </si>
  <si>
    <t>Contact: Maria Bukowski and Aaron M. Ates, USDA, Economic Research Service, Market and Trade Economics Division.</t>
  </si>
  <si>
    <t>Stocks beginning October 1</t>
  </si>
  <si>
    <t>Italy</t>
  </si>
  <si>
    <t>5/ Estimated. 6/ Projected.</t>
  </si>
  <si>
    <t>1/ Total supply includes imports. 2/ Estimate. 3/ Forecast.</t>
  </si>
  <si>
    <t>U.S. corn oil supply, disappearance, and price—annual</t>
  </si>
  <si>
    <r>
      <rPr>
        <i/>
        <sz val="8"/>
        <rFont val="Helvetica"/>
      </rPr>
      <t xml:space="preserve">Oilseed Crushings, Production, Consumption and Stocks, </t>
    </r>
    <r>
      <rPr>
        <sz val="8"/>
        <rFont val="Helvetica"/>
      </rPr>
      <t>and</t>
    </r>
    <r>
      <rPr>
        <i/>
        <sz val="8"/>
        <rFont val="Helvetica"/>
      </rPr>
      <t xml:space="preserve"> Agricultural Prices</t>
    </r>
    <r>
      <rPr>
        <sz val="8"/>
        <rFont val="Helvetica"/>
      </rPr>
      <t>; and USDA, Foreign Agricultural Service, Global Agricultural Trade System.</t>
    </r>
  </si>
  <si>
    <t>AL = Alabama, FL = Florida, GA = Georgia, SC = South Carolina, OK = Oklahoma, TX = Texas, NM = New Mexico, VA = Virginia, NC = North Carolina.</t>
  </si>
  <si>
    <t>Nonoil type</t>
  </si>
  <si>
    <t>Oil type</t>
  </si>
  <si>
    <t>Nonoil</t>
  </si>
  <si>
    <r>
      <t xml:space="preserve">Global Agricultural Trade System; and USDA, Farm Service Agency, </t>
    </r>
    <r>
      <rPr>
        <i/>
        <sz val="8"/>
        <rFont val="Helvetica"/>
      </rPr>
      <t>Nonrecourse Marketing Assistance Loans and Loan Deficiency Payments Fact Sheet.</t>
    </r>
  </si>
  <si>
    <t xml:space="preserve">1/ USDA, Economic Research Service and USDA, World Agricultural Outlook Board forecasts. 2/ August–July year beginning 1982.  </t>
  </si>
  <si>
    <r>
      <rPr>
        <i/>
        <sz val="8"/>
        <rFont val="Helvetica"/>
      </rPr>
      <t>Peanut Stocks and Processing;</t>
    </r>
    <r>
      <rPr>
        <sz val="8"/>
        <rFont val="Helvetica"/>
        <family val="2"/>
      </rPr>
      <t xml:space="preserve"> and USDA, Foreign Agricultural Service, </t>
    </r>
    <r>
      <rPr>
        <sz val="8"/>
        <rFont val="Helvetica"/>
      </rPr>
      <t>Global Agricultural Trade System.</t>
    </r>
  </si>
  <si>
    <r>
      <t xml:space="preserve">Sosland Publishing, </t>
    </r>
    <r>
      <rPr>
        <i/>
        <sz val="8"/>
        <rFont val="Helvetica"/>
      </rPr>
      <t>Milling and Baking News;</t>
    </r>
    <r>
      <rPr>
        <sz val="8"/>
        <rFont val="Helvetica"/>
        <family val="2"/>
      </rPr>
      <t xml:space="preserve"> and U.S. Department of Labor, Bureau of Labor Statistics, </t>
    </r>
    <r>
      <rPr>
        <i/>
        <sz val="8"/>
        <rFont val="Helvetica"/>
        <family val="2"/>
      </rPr>
      <t>Producer Price Index Press Release</t>
    </r>
    <r>
      <rPr>
        <sz val="8"/>
        <rFont val="Helvetica"/>
        <family val="2"/>
      </rPr>
      <t>.</t>
    </r>
  </si>
  <si>
    <r>
      <t xml:space="preserve">Sosland Publishing, </t>
    </r>
    <r>
      <rPr>
        <i/>
        <sz val="8"/>
        <rFont val="Helvetica"/>
      </rPr>
      <t>Milling and Baking News</t>
    </r>
    <r>
      <rPr>
        <sz val="8"/>
        <rFont val="Helvetica"/>
        <family val="2"/>
      </rPr>
      <t xml:space="preserve">; and U.S. Department of Labor, Bureau of Labor Statistics, </t>
    </r>
    <r>
      <rPr>
        <i/>
        <sz val="8"/>
        <rFont val="Helvetica"/>
      </rPr>
      <t>Producer Price Index Press Release</t>
    </r>
    <r>
      <rPr>
        <sz val="8"/>
        <rFont val="Helvetica"/>
        <family val="2"/>
      </rPr>
      <t>.</t>
    </r>
  </si>
  <si>
    <t>Production, Consumption and Stocks; and USDA, Foreign Agricultural Service, Global Agricultural Trade System.</t>
  </si>
  <si>
    <t>Table 34—Prices: Farm, wholesale, and index numbers of wholesale prices, by month, 2013–2022</t>
  </si>
  <si>
    <t>Last updated: March 27, 2023.</t>
  </si>
  <si>
    <t>2022/23</t>
  </si>
  <si>
    <t>Last updated: 03/27/2023.</t>
  </si>
  <si>
    <t>2022 2/</t>
  </si>
  <si>
    <t>Table 2—Soybeans: U.S. acreage planted, harvested, yield, production, value, and loan rate, 1980–2022</t>
  </si>
  <si>
    <t>Table 1—Soybean stocks: U.S. onfarm, off-farm, and total, by quarter, 1999/2000–2022/23</t>
  </si>
  <si>
    <t>Table 3—Soybeans: U.S. supply, disappearance, and price, 1980/81–2022/23</t>
  </si>
  <si>
    <t>2022/23 3/</t>
  </si>
  <si>
    <t>Table 4—Soybean meal: U.S. supply, disappearance, and price, 1980/81–2022/23</t>
  </si>
  <si>
    <t>Table 5—Soybean oil: U.S. supply, disappearance, and price, 1980/81–2022/23</t>
  </si>
  <si>
    <t>Table 6—Soybeans: U.S. supply and disappearance, by crop year quarter, 2000/01–2022/23</t>
  </si>
  <si>
    <t>Table 7—Soybean meal: U.S. supply and disappearance, by month, 2007/08–2021/22</t>
  </si>
  <si>
    <t>Table 8—Soybean oil: U.S. supply and disappearance, by month, 2007/08–2021/22</t>
  </si>
  <si>
    <t>Table 9—Soybeans: U.S. monthly value of products per bushel of soybeans processed and spot price spread, 1990/91–2021/22</t>
  </si>
  <si>
    <t>Table 10—Peanuts: U.S. acreage planted, harvested, yield, production, and value, 1980–2022</t>
  </si>
  <si>
    <t>2022 5/</t>
  </si>
  <si>
    <t>Table 11—Peanuts (farmers' stock basis): U.S. supply, disappearance, and price, 1980/81–2022/23</t>
  </si>
  <si>
    <t>Table 12—U.S. food uses of peanuts, shelled basis, 1980/81–2021/22</t>
  </si>
  <si>
    <t>Table 13—Peanuts: U.S. planted acreage, by State and region, 1980–2022</t>
  </si>
  <si>
    <t>Table 14—Peanuts: U.S. harvested acreage, by State and region, 1980–2022</t>
  </si>
  <si>
    <t>Table 15—Peanuts: U.S. production, by State and region, 1980–2022</t>
  </si>
  <si>
    <t>Table 16—Peanuts: Yield per harvested acre, by State and region, 1980–2022</t>
  </si>
  <si>
    <t>2022 1/</t>
  </si>
  <si>
    <t>Table 17—Cottonseed: U.S. acreage planted, harvested, yield, production, and value, 1980–2022</t>
  </si>
  <si>
    <t>2022/23 2/</t>
  </si>
  <si>
    <t>2021/22 1/</t>
  </si>
  <si>
    <t>Table 18—Cottonseed: U.S. supply, disappearance, and price, 1980/81–2022/23</t>
  </si>
  <si>
    <t>Table 19—Cottonseed meal: U.S. supply, disappearance, and price, 1980/81–2022/23</t>
  </si>
  <si>
    <t>Table 20—Cottonseed oil: U.S. supply, disappearance, and price, 1980/81–2022/23</t>
  </si>
  <si>
    <t>Table 21—Sunflowerseed: U.S. acreage planted, harvested, yield, production, and value, 1980–2022</t>
  </si>
  <si>
    <t>Table 22—Sunflowerseed: U.S. supply, disappearance, and price, 1980/81–2022/23</t>
  </si>
  <si>
    <t>Table 23—Sunflowerseed meal: U.S. supply, disappearance, and price, 1980/81–2022/23</t>
  </si>
  <si>
    <t>Table 26—Canola oil: U.S. supply, disappearance, and price, 1991/92–2022/23</t>
  </si>
  <si>
    <t>Table 29—Flaxseed: U.S. supply, disappearance, and price, 1980/81–2022/23</t>
  </si>
  <si>
    <t>Table 30—Linseed meal: U.S. supply, disappearance, and price, 1980/81–2022/23</t>
  </si>
  <si>
    <t>Table 31—Linseed oil: U.S. supply, disappearance, and price, 1980/81–2022/23</t>
  </si>
  <si>
    <t>Table 32—Edible fats and oils: U.S. supply and disappearance, 2006–2022</t>
  </si>
  <si>
    <t>Table 33—Corn oil: U.S. supply, disappearance, and price, 1980/81–2022/23</t>
  </si>
  <si>
    <t>2022/23 4/</t>
  </si>
  <si>
    <t>Table 35—Lard: U.S. supply, disappearance, and price, 1980–2022</t>
  </si>
  <si>
    <t>2022 4/</t>
  </si>
  <si>
    <t>2021 3/</t>
  </si>
  <si>
    <t>Table 36—Edible tallow: U.S. supply, disappearance, and price, 1980–2022</t>
  </si>
  <si>
    <t>2022/23 6/</t>
  </si>
  <si>
    <t>2021/22 5/</t>
  </si>
  <si>
    <t>Table 37—Supply and use: U.S. soybeans, soybean meal, and soybean oil, major foreign exporters, importers, and world, 2019/20–2022/23 1/</t>
  </si>
  <si>
    <t>Table 41—World oilseed supply and distribution, 2014/15–2022/23</t>
  </si>
  <si>
    <t>Table 42—World vegetable oils supply and distribution, 2014/15–2022/23</t>
  </si>
  <si>
    <t>Table 43—World protein meal supply and distribution, 2014/15–2022/23</t>
  </si>
  <si>
    <t>Table 27—Canola meal: U.S. supply, disappearance, and price, 1991/92–2022/23</t>
  </si>
  <si>
    <t>Table 24—Sunflowerseed oil: U.S. supply, disappearance, and price, 1980/81–2022/23</t>
  </si>
  <si>
    <t>Table 37—Supply and use: U.S. soybeans, soybean meal, and soybean oil, major foreign exporters, importers, and world, 2019/20–2022/23</t>
  </si>
  <si>
    <t>Turkey</t>
  </si>
  <si>
    <t>Algeria</t>
  </si>
  <si>
    <t>Table 38—U.S. soybean exports by selected destinations, 2013/14–2021/22</t>
  </si>
  <si>
    <t>Table 39—U.S. soybean meal exports by selected destinations, 2013/14–2021/22</t>
  </si>
  <si>
    <t>Table 40—U.S. soybean oil exports by selected destinations, 2013/14–2021/22</t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</si>
  <si>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Grain Stocks</t>
    </r>
    <r>
      <rPr>
        <sz val="8"/>
        <rFont val="Helvetica"/>
      </rPr>
      <t>.</t>
    </r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</si>
  <si>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Crop Production</t>
    </r>
    <r>
      <rPr>
        <sz val="8"/>
        <rFont val="Helvetica"/>
      </rPr>
      <t>.</t>
    </r>
  </si>
  <si>
    <r>
      <rPr>
        <sz val="8"/>
        <rFont val="Helvetica"/>
      </rPr>
      <t>and USDA, Agricultural Marketing Service,</t>
    </r>
    <r>
      <rPr>
        <i/>
        <sz val="8"/>
        <rFont val="Helvetica"/>
      </rPr>
      <t xml:space="preserve"> National Grain and Oilseed Processors Feedstuff Report.</t>
    </r>
  </si>
  <si>
    <t>Table 34—Prices: Farm, wholesale, and index numbers of wholesale prices, by month, 2014–2022–Continued</t>
  </si>
  <si>
    <t>414.582(P)</t>
  </si>
  <si>
    <t>397.273(P)</t>
  </si>
  <si>
    <t>419.846(P)</t>
  </si>
  <si>
    <t>418.690(P)</t>
  </si>
  <si>
    <t>NA = Not available. CIF = Cost, Insurance, Freight. FOB = Free On Board. PSBY = Prime Bleachable Summer Yellow. P : Preliminary. All indexes are subject to monthly revisions up to four months after original publication.</t>
  </si>
  <si>
    <t>413.546(P)</t>
  </si>
  <si>
    <t>384.156(P)</t>
  </si>
  <si>
    <r>
      <rPr>
        <i/>
        <sz val="8"/>
        <rFont val="Helvetica"/>
      </rPr>
      <t>Stocks</t>
    </r>
    <r>
      <rPr>
        <sz val="8"/>
        <rFont val="Helvetica"/>
      </rPr>
      <t xml:space="preserve">; U.S. Department of Energy, Energy Information Administration, </t>
    </r>
    <r>
      <rPr>
        <i/>
        <sz val="8"/>
        <rFont val="Helvetica"/>
      </rPr>
      <t>Monthly Biodiesel Production Report; Monthly Biofuels Capacity &amp; Feedstocks Update,</t>
    </r>
  </si>
  <si>
    <t xml:space="preserve">1/ Prior to January 2006, methyl ester consumption based on quarterly data from the Commodity Credit Corporation Bioenergy Program. Estimates from 2017/2018 through </t>
  </si>
  <si>
    <t>Belgium-Luxembourg</t>
  </si>
  <si>
    <t>Israel</t>
  </si>
  <si>
    <t>Chile</t>
  </si>
  <si>
    <t>Jordan</t>
  </si>
  <si>
    <r>
      <t xml:space="preserve">Source: USDA, Economic Research Service using U.S. Department of Commerce, Bureau of the Census, </t>
    </r>
    <r>
      <rPr>
        <i/>
        <sz val="8"/>
        <color theme="1"/>
        <rFont val="Helvetica"/>
      </rPr>
      <t>Foreign Trade Statistics</t>
    </r>
    <r>
      <rPr>
        <sz val="8"/>
        <color theme="1"/>
        <rFont val="Helvetica"/>
      </rPr>
      <t xml:space="preserve"> data</t>
    </r>
    <r>
      <rPr>
        <i/>
        <sz val="8"/>
        <color theme="1"/>
        <rFont val="Helvetica"/>
      </rPr>
      <t>.</t>
    </r>
  </si>
  <si>
    <t>Table 25—Canola seed: U.S. acreage planted, harvested, yield, supply, disappearance, price and value, 1991/92–2022/23</t>
  </si>
  <si>
    <t>Table 25—Canola seed: U.S. acreage planted, harvested, yield, supply, disappearance, price, and value, 1991/92–2022/23</t>
  </si>
  <si>
    <t>Table 28—Flaxseed: U.S. acreage planted, harvested, yield, production, and value, 1980–2022</t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</si>
  <si>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Crop Production</t>
    </r>
    <r>
      <rPr>
        <sz val="8"/>
        <rFont val="Helvetica"/>
        <family val="2"/>
      </rPr>
      <t xml:space="preserve">, </t>
    </r>
    <r>
      <rPr>
        <i/>
        <sz val="8"/>
        <rFont val="Helvetica"/>
      </rPr>
      <t xml:space="preserve">Grain Stocks, Fats and Oils: </t>
    </r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</si>
  <si>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Fats and Oils: Oilseed Crushings, Production, Consumption and Stocks</t>
    </r>
    <r>
      <rPr>
        <sz val="8"/>
        <rFont val="Helvetica"/>
      </rPr>
      <t xml:space="preserve">; </t>
    </r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</si>
  <si>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Fats and Oils: Oilseed Crushings,</t>
    </r>
  </si>
  <si>
    <t xml:space="preserve">2020/21 include renewable diesel data reported by California Air Resource Board and Environmental Protection Agency (EPA). Starting January 2021, </t>
  </si>
  <si>
    <t>renewable gasoline, biobutanol, and "other" biofuels and biointermediates.</t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</si>
  <si>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 xml:space="preserve">Fats and Oils: Oilseed Crushings, Production, Consumption and </t>
    </r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</si>
  <si>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Fats and Oils: Oilseed Crushings, Production, Consumption and Stocks;</t>
    </r>
    <r>
      <rPr>
        <sz val="8"/>
        <rFont val="Helvetica"/>
        <family val="2"/>
      </rPr>
      <t xml:space="preserve"> </t>
    </r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</si>
  <si>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Crop Production, and Crop Values</t>
    </r>
    <r>
      <rPr>
        <sz val="8"/>
        <rFont val="Helvetica"/>
        <family val="2"/>
      </rPr>
      <t xml:space="preserve">; </t>
    </r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</si>
  <si>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Crop Production</t>
    </r>
    <r>
      <rPr>
        <sz val="8"/>
        <rFont val="Helvetica"/>
      </rPr>
      <t xml:space="preserve">, </t>
    </r>
    <r>
      <rPr>
        <i/>
        <sz val="8"/>
        <rFont val="Helvetica"/>
      </rPr>
      <t>Peanut Stocks and Processing</t>
    </r>
    <r>
      <rPr>
        <sz val="8"/>
        <rFont val="Helvetica"/>
      </rPr>
      <t xml:space="preserve">, </t>
    </r>
  </si>
  <si>
    <r>
      <t>Source: USDA, Economic Research Service using data from USDA</t>
    </r>
    <r>
      <rPr>
        <i/>
        <sz val="8"/>
        <color theme="1"/>
        <rFont val="Helvetica"/>
      </rPr>
      <t>,</t>
    </r>
    <r>
      <rPr>
        <sz val="8"/>
        <color theme="1"/>
        <rFont val="Helvetica"/>
      </rPr>
      <t xml:space="preserve"> National Agricultural Statistics Service, </t>
    </r>
    <r>
      <rPr>
        <i/>
        <sz val="8"/>
        <color theme="1"/>
        <rFont val="Helvetica"/>
      </rPr>
      <t>Crop Production</t>
    </r>
    <r>
      <rPr>
        <sz val="8"/>
        <color theme="1"/>
        <rFont val="Helvetica"/>
      </rPr>
      <t xml:space="preserve"> and </t>
    </r>
    <r>
      <rPr>
        <i/>
        <sz val="8"/>
        <color theme="1"/>
        <rFont val="Helvetica"/>
      </rPr>
      <t>Crop Values</t>
    </r>
    <r>
      <rPr>
        <sz val="8"/>
        <color theme="1"/>
        <rFont val="Helvetica"/>
      </rPr>
      <t>.</t>
    </r>
  </si>
  <si>
    <r>
      <t>Source: USDA, Economic Research Service using data from USDA</t>
    </r>
    <r>
      <rPr>
        <i/>
        <sz val="8"/>
        <rFont val="Helvetica"/>
        <family val="2"/>
      </rPr>
      <t>,</t>
    </r>
    <r>
      <rPr>
        <sz val="8"/>
        <rFont val="Helvetica"/>
        <family val="2"/>
      </rPr>
      <t xml:space="preserve"> National Agricultural Statistics Service, </t>
    </r>
    <r>
      <rPr>
        <i/>
        <sz val="8"/>
        <rFont val="Helvetica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</rPr>
      <t>Crop Values</t>
    </r>
    <r>
      <rPr>
        <sz val="8"/>
        <rFont val="Helvetica"/>
        <family val="2"/>
      </rPr>
      <t>.</t>
    </r>
  </si>
  <si>
    <r>
      <t>Source: USDA, Economic Research Service using data from USDA, National Agricultural Statistics Service,</t>
    </r>
    <r>
      <rPr>
        <i/>
        <sz val="8"/>
        <rFont val="Helvetica"/>
      </rPr>
      <t xml:space="preserve"> Crop Production, Grain Stocks, and Agricultural Prices</t>
    </r>
    <r>
      <rPr>
        <sz val="8"/>
        <rFont val="Helvetica"/>
      </rPr>
      <t>;</t>
    </r>
  </si>
  <si>
    <r>
      <t xml:space="preserve">Source: USDA, Economic Research Service (ERS) using USDA, ERS estimates and USDA, Agricultural Marketing Service, </t>
    </r>
    <r>
      <rPr>
        <i/>
        <sz val="8"/>
        <rFont val="Helvetica"/>
      </rPr>
      <t>National Monthly Feedstuff Prices;</t>
    </r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</si>
  <si>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 xml:space="preserve">Crop Production, Grain Stocks, </t>
    </r>
    <r>
      <rPr>
        <sz val="8"/>
        <rFont val="Helvetica"/>
      </rPr>
      <t>and</t>
    </r>
    <r>
      <rPr>
        <i/>
        <sz val="8"/>
        <rFont val="Helvetica"/>
      </rPr>
      <t xml:space="preserve"> Crop Values; </t>
    </r>
    <r>
      <rPr>
        <sz val="8"/>
        <rFont val="Helvetica"/>
      </rPr>
      <t>USDA, Foreign Agricultural Service,</t>
    </r>
  </si>
  <si>
    <r>
      <t xml:space="preserve">Source: USDA, Economic Research Service estimates and using data from USDA, National Agricultural Statistics Service, </t>
    </r>
    <r>
      <rPr>
        <i/>
        <sz val="8"/>
        <rFont val="Helvetica"/>
      </rPr>
      <t>Fats and Oils:</t>
    </r>
    <r>
      <rPr>
        <sz val="8"/>
        <rFont val="Helvetica"/>
        <family val="2"/>
      </rPr>
      <t xml:space="preserve"> </t>
    </r>
    <r>
      <rPr>
        <i/>
        <sz val="8"/>
        <rFont val="Helvetica"/>
      </rPr>
      <t>Oilseed Crushings, Production, Consumption</t>
    </r>
  </si>
  <si>
    <r>
      <t>Source: USDA, Economic Research Service using data from USDA</t>
    </r>
    <r>
      <rPr>
        <i/>
        <sz val="8"/>
        <rFont val="Helvetica"/>
        <family val="2"/>
      </rPr>
      <t>,</t>
    </r>
    <r>
      <rPr>
        <sz val="8"/>
        <rFont val="Helvetica"/>
        <family val="2"/>
      </rPr>
      <t xml:space="preserve">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Crop Values</t>
    </r>
    <r>
      <rPr>
        <sz val="8"/>
        <rFont val="Helvetica"/>
        <family val="2"/>
      </rPr>
      <t>.</t>
    </r>
  </si>
  <si>
    <r>
      <t>Source: USDA, Economic Research Service using data from USDA, National Agricultural Statistics Service,</t>
    </r>
    <r>
      <rPr>
        <i/>
        <sz val="8"/>
        <rFont val="Helvetica"/>
      </rPr>
      <t xml:space="preserve"> Crop Production, Grain Stocks, and </t>
    </r>
  </si>
  <si>
    <r>
      <t xml:space="preserve">Source: USDA, Economic Research Service estimates; USDA, Agricultural Marketing Service, </t>
    </r>
    <r>
      <rPr>
        <i/>
        <sz val="8"/>
        <rFont val="Helvetica"/>
        <family val="2"/>
      </rPr>
      <t>National Monthly Feedstuff Prices;</t>
    </r>
  </si>
  <si>
    <r>
      <t xml:space="preserve">Source: USDA, Economic Research Service estimates; USDA, Foreign Agricultural Service, </t>
    </r>
    <r>
      <rPr>
        <sz val="8"/>
        <rFont val="Helvetica"/>
      </rPr>
      <t>Global Agricultural Trade System;</t>
    </r>
    <r>
      <rPr>
        <sz val="8"/>
        <rFont val="Helvetica"/>
        <family val="2"/>
      </rPr>
      <t xml:space="preserve"> and Reuters.</t>
    </r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</si>
  <si>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 xml:space="preserve">Fats and Oils: Oilseed Crushings, Production, Consumption and Stocks, </t>
    </r>
    <r>
      <rPr>
        <sz val="8"/>
        <rFont val="Helvetica"/>
      </rPr>
      <t>and</t>
    </r>
  </si>
  <si>
    <r>
      <t xml:space="preserve">Source: USDA, Economic Research Service estimates and using data from USDA, National Agricultural Statistics Service, </t>
    </r>
    <r>
      <rPr>
        <i/>
        <sz val="8"/>
        <rFont val="Helvetica"/>
      </rPr>
      <t>Grain</t>
    </r>
    <r>
      <rPr>
        <i/>
        <sz val="8"/>
        <rFont val="Helvetica"/>
        <family val="2"/>
      </rPr>
      <t xml:space="preserve"> Crushings;</t>
    </r>
  </si>
  <si>
    <r>
      <t xml:space="preserve">Source: USDA, Economic Research Service using data from USDA, National Agricultural Statistics Service, </t>
    </r>
    <r>
      <rPr>
        <i/>
        <sz val="8"/>
        <rFont val="Helvetica"/>
        <family val="2"/>
      </rPr>
      <t xml:space="preserve">Agricultural Prices; </t>
    </r>
    <r>
      <rPr>
        <sz val="8"/>
        <rFont val="Helvetica"/>
      </rPr>
      <t>USDA</t>
    </r>
    <r>
      <rPr>
        <sz val="8"/>
        <rFont val="Helvetica"/>
        <family val="2"/>
      </rPr>
      <t xml:space="preserve">, Agricultural Marketing Service, </t>
    </r>
    <r>
      <rPr>
        <i/>
        <sz val="8"/>
        <rFont val="Helvetica"/>
        <family val="2"/>
      </rPr>
      <t>National Monthly Feedstuff Prices;</t>
    </r>
  </si>
  <si>
    <r>
      <t xml:space="preserve">Source: USDA, Economic Research Service estimates; USDA, Foreign Agricultural Service, </t>
    </r>
    <r>
      <rPr>
        <sz val="8"/>
        <rFont val="Helvetica"/>
      </rPr>
      <t>Global Agricultural Trade System;</t>
    </r>
    <r>
      <rPr>
        <i/>
        <sz val="8"/>
        <rFont val="Helvetica"/>
      </rPr>
      <t xml:space="preserve"> </t>
    </r>
    <r>
      <rPr>
        <sz val="8"/>
        <rFont val="Helvetica"/>
      </rPr>
      <t>USDA, Agricultural Marketing Service</t>
    </r>
    <r>
      <rPr>
        <i/>
        <sz val="8"/>
        <rFont val="Helvetica"/>
      </rPr>
      <t>,</t>
    </r>
  </si>
  <si>
    <t>Therefore, world supply may not equal world use.</t>
  </si>
  <si>
    <r>
      <t xml:space="preserve">Source: USDA, Economic Research Service using data from USDA, National Agricultural Statistics Service, </t>
    </r>
    <r>
      <rPr>
        <i/>
        <sz val="8"/>
        <rFont val="Helvetica"/>
        <family val="2"/>
      </rPr>
      <t xml:space="preserve">Agricultural Prices; </t>
    </r>
    <r>
      <rPr>
        <sz val="8"/>
        <rFont val="Helvetica"/>
      </rPr>
      <t>USDA</t>
    </r>
    <r>
      <rPr>
        <sz val="8"/>
        <rFont val="Helvetica"/>
        <family val="2"/>
      </rPr>
      <t xml:space="preserve">, Agricultural Marketing Service, </t>
    </r>
    <r>
      <rPr>
        <i/>
        <sz val="8"/>
        <rFont val="Helvetica"/>
        <family val="2"/>
      </rPr>
      <t>National Monthly Feedstuff Prices,</t>
    </r>
  </si>
  <si>
    <r>
      <rPr>
        <i/>
        <sz val="8"/>
        <rFont val="Helvetica"/>
      </rPr>
      <t xml:space="preserve">Oilseed Processor Feedstuff Report, </t>
    </r>
    <r>
      <rPr>
        <sz val="8"/>
        <rFont val="Helvetica"/>
      </rPr>
      <t>and</t>
    </r>
    <r>
      <rPr>
        <i/>
        <sz val="8"/>
        <rFont val="Helvetica"/>
      </rPr>
      <t xml:space="preserve"> Tallow and Protein Report</t>
    </r>
    <r>
      <rPr>
        <sz val="8"/>
        <rFont val="Helvetica"/>
        <family val="2"/>
      </rPr>
      <t xml:space="preserve">; Sosland Publishing, </t>
    </r>
    <r>
      <rPr>
        <i/>
        <sz val="8"/>
        <rFont val="Helvetica"/>
      </rPr>
      <t>Milling and Baking News;</t>
    </r>
    <r>
      <rPr>
        <sz val="8"/>
        <rFont val="Helvetica"/>
        <family val="2"/>
      </rPr>
      <t xml:space="preserve"> and U.S. Department of Labor, Bureau of Labor Statistics, </t>
    </r>
    <r>
      <rPr>
        <i/>
        <sz val="8"/>
        <rFont val="Helvetica"/>
        <family val="2"/>
      </rPr>
      <t>Producer Price Index Press Release</t>
    </r>
    <r>
      <rPr>
        <sz val="8"/>
        <rFont val="Helvetica"/>
        <family val="2"/>
      </rPr>
      <t>.</t>
    </r>
  </si>
  <si>
    <r>
      <t xml:space="preserve">and </t>
    </r>
    <r>
      <rPr>
        <i/>
        <sz val="8"/>
        <rFont val="Helvetica"/>
      </rPr>
      <t>Tallow and Protein Report</t>
    </r>
    <r>
      <rPr>
        <sz val="8"/>
        <rFont val="Helvetica"/>
        <family val="2"/>
      </rPr>
      <t xml:space="preserve">; Sosland Publishing, </t>
    </r>
    <r>
      <rPr>
        <i/>
        <sz val="8"/>
        <rFont val="Helvetica"/>
      </rPr>
      <t>Milling and Baking News;</t>
    </r>
    <r>
      <rPr>
        <sz val="8"/>
        <rFont val="Helvetica"/>
        <family val="2"/>
      </rPr>
      <t xml:space="preserve"> and U.S. Department of Labor, Bureau of Labor Statistics, </t>
    </r>
    <r>
      <rPr>
        <i/>
        <sz val="8"/>
        <rFont val="Helvetica"/>
        <family val="2"/>
      </rPr>
      <t>Producer Price Index Press Release</t>
    </r>
    <r>
      <rPr>
        <sz val="8"/>
        <rFont val="Helvetica"/>
        <family val="2"/>
      </rPr>
      <t>.</t>
    </r>
  </si>
  <si>
    <r>
      <t xml:space="preserve">Source: USDA, Economic Research Service using data from USDA, National Agricultural Statistics Service, </t>
    </r>
    <r>
      <rPr>
        <i/>
        <sz val="8"/>
        <rFont val="Helvetica"/>
        <family val="2"/>
      </rPr>
      <t xml:space="preserve">Agricultural Prices; </t>
    </r>
    <r>
      <rPr>
        <sz val="8"/>
        <rFont val="Helvetica"/>
      </rPr>
      <t>USDA</t>
    </r>
    <r>
      <rPr>
        <sz val="8"/>
        <rFont val="Helvetica"/>
        <family val="2"/>
      </rPr>
      <t xml:space="preserve">, Agricultural Marketing Service, </t>
    </r>
    <r>
      <rPr>
        <i/>
        <sz val="8"/>
        <rFont val="Helvetica"/>
        <family val="2"/>
      </rPr>
      <t>National Monthly Feedstuff Prices</t>
    </r>
  </si>
  <si>
    <t xml:space="preserve">4/ World imports and exports will not balance because of differences in local marketing years and time lags between reported exports and imports. </t>
  </si>
  <si>
    <t>Mexico, and Southeast Asia for soybeans; European Union, Mexico, Southeast Asia, and Japan for soybean meal; China, India, Bangladesh, and North Africa for soybean oil.</t>
  </si>
  <si>
    <t>Paraguay, and Uruguay for soybeans; Argentina, Brazil, and India for soybean meal; Argentina, Brazil, Paraguay and the European Union (EU) for soybean oil. 3/ EU, China, Japan,</t>
  </si>
  <si>
    <r>
      <t xml:space="preserve">Sosland Publishing, </t>
    </r>
    <r>
      <rPr>
        <i/>
        <sz val="8"/>
        <color theme="1"/>
        <rFont val="Helvetica"/>
      </rPr>
      <t>Milling and Baking News;</t>
    </r>
    <r>
      <rPr>
        <sz val="8"/>
        <color theme="1"/>
        <rFont val="Helvetica"/>
      </rPr>
      <t xml:space="preserve"> and U.S. Department of Labor, Bureau of Labor Statistics , </t>
    </r>
    <r>
      <rPr>
        <i/>
        <sz val="8"/>
        <color theme="1"/>
        <rFont val="Helvetica"/>
      </rPr>
      <t>Producer Price Index Press Release</t>
    </r>
    <r>
      <rPr>
        <sz val="8"/>
        <color theme="1"/>
        <rFont val="Helvetica"/>
      </rPr>
      <t>.</t>
    </r>
  </si>
  <si>
    <r>
      <t xml:space="preserve">USDA, Agricultural Marketing Service, </t>
    </r>
    <r>
      <rPr>
        <i/>
        <sz val="8"/>
        <rFont val="Helvetica"/>
      </rPr>
      <t xml:space="preserve">National Monthly Feedstuff Prices </t>
    </r>
    <r>
      <rPr>
        <sz val="8"/>
        <rFont val="Helvetica"/>
      </rPr>
      <t>and</t>
    </r>
    <r>
      <rPr>
        <i/>
        <sz val="8"/>
        <rFont val="Helvetica"/>
      </rPr>
      <t xml:space="preserve"> Oilseed Processor Feedstuff Report;</t>
    </r>
    <r>
      <rPr>
        <sz val="8"/>
        <rFont val="Helvetica"/>
        <family val="2"/>
      </rPr>
      <t xml:space="preserve"> USDA, Foreign Agricultural Service, </t>
    </r>
    <r>
      <rPr>
        <sz val="8"/>
        <rFont val="Helvetica"/>
      </rPr>
      <t xml:space="preserve">Global Agricultural Trade System; U.S. Department of Energy, </t>
    </r>
  </si>
  <si>
    <r>
      <rPr>
        <i/>
        <sz val="8"/>
        <rFont val="Helvetica"/>
      </rPr>
      <t>Fats and Oils: Oilseed Crushings, Production, Consumption and Stocks</t>
    </r>
    <r>
      <rPr>
        <sz val="8"/>
        <rFont val="Helvetica"/>
      </rPr>
      <t>.</t>
    </r>
  </si>
  <si>
    <r>
      <t xml:space="preserve">Source: USDA, Economic Research Service using U.S. Department of Commerce, Bureau of the Census, </t>
    </r>
    <r>
      <rPr>
        <i/>
        <sz val="8"/>
        <color theme="1"/>
        <rFont val="Helvetica"/>
      </rPr>
      <t>Foreign Trade</t>
    </r>
    <r>
      <rPr>
        <sz val="8"/>
        <color theme="1"/>
        <rFont val="Helvetica"/>
        <family val="2"/>
      </rPr>
      <t xml:space="preserve"> </t>
    </r>
    <r>
      <rPr>
        <i/>
        <sz val="8"/>
        <color theme="1"/>
        <rFont val="Helvetica"/>
      </rPr>
      <t>Statistics.</t>
    </r>
  </si>
  <si>
    <r>
      <t xml:space="preserve">Source: USDA, Economic Research Service using U.S. Department of Commerce, Bureau of the Census, </t>
    </r>
    <r>
      <rPr>
        <i/>
        <sz val="8"/>
        <color theme="1"/>
        <rFont val="Helvetica"/>
      </rPr>
      <t>Foreign Trade Statistics.</t>
    </r>
  </si>
  <si>
    <t xml:space="preserve">2/ Estimates from 2017/2018 through 2020/21 include renewable diesel data reported by California Air Resource Board. Starting January 2021, U.S. Energy Information and Administration (EIA) started reporting </t>
  </si>
  <si>
    <t>use of corn oil for biofuels, including biodiesel, renewable diesel, renewable heating oil, renewable jet fuel, renewable naphtha, renewable gasoline, biobutanol, and "other" biofuels and biointermediates.</t>
  </si>
  <si>
    <r>
      <rPr>
        <i/>
        <sz val="8"/>
        <rFont val="Helvetica"/>
      </rPr>
      <t>and Stocks</t>
    </r>
    <r>
      <rPr>
        <sz val="8"/>
        <rFont val="Helvetica"/>
        <family val="2"/>
      </rPr>
      <t xml:space="preserve">; U.S. Department of Energy, Energy Information Administration, </t>
    </r>
    <r>
      <rPr>
        <i/>
        <sz val="8"/>
        <rFont val="Helvetica"/>
      </rPr>
      <t>Monthly Biodiesel Production Report, and Monthly Biofuels Capacity &amp; Feedstocks Update,</t>
    </r>
  </si>
  <si>
    <t xml:space="preserve">1/ Prior to January 2006, methyl ester consumption based on quarterly data from the Commodity Credit Corporation Bioenergy Program. Estimates from 2017/2018 through 2020/21 include renewable diesel data reported by California Air Resource Board and Environmental Protection Agency (EPA). Starting January 2021, </t>
  </si>
  <si>
    <r>
      <t xml:space="preserve">  Yellow grease, rail, Minneapolis, MN</t>
    </r>
    <r>
      <rPr>
        <vertAlign val="superscript"/>
        <sz val="8"/>
        <rFont val="Helvetica"/>
      </rPr>
      <t>1</t>
    </r>
  </si>
  <si>
    <r>
      <rPr>
        <vertAlign val="superscript"/>
        <sz val="8"/>
        <rFont val="Helvetica"/>
      </rPr>
      <t>1</t>
    </r>
    <r>
      <rPr>
        <sz val="8"/>
        <rFont val="Helvetica"/>
        <family val="2"/>
      </rPr>
      <t xml:space="preserve"> Starting in February 2022, prices for yellow grease are truck, FOB, Minnesota.</t>
    </r>
  </si>
  <si>
    <t>U.S. Energy Information Administration (EIA) started reporting use of soybean oil for biofuels, including biodiesel, renewable diesel, renewable heating oil, renewable jet fuel,</t>
  </si>
  <si>
    <r>
      <t xml:space="preserve">Energy Information Administration, </t>
    </r>
    <r>
      <rPr>
        <i/>
        <sz val="8"/>
        <rFont val="Helvetica"/>
      </rPr>
      <t>Monthly Biodiesel Production Report; Monthly Biofuels Capacity &amp; Feedstocks Update.</t>
    </r>
  </si>
  <si>
    <r>
      <t xml:space="preserve">U.S. Energy Information Administration, </t>
    </r>
    <r>
      <rPr>
        <i/>
        <sz val="8"/>
        <rFont val="Helvetica"/>
      </rPr>
      <t xml:space="preserve">Monthly Biodiesel Production Report, </t>
    </r>
    <r>
      <rPr>
        <sz val="8"/>
        <rFont val="Helvetica"/>
      </rPr>
      <t>and</t>
    </r>
    <r>
      <rPr>
        <i/>
        <sz val="8"/>
        <rFont val="Helvetica"/>
      </rPr>
      <t xml:space="preserve"> Monthly Biofuels Capacity and Feedstocks Update.</t>
    </r>
  </si>
  <si>
    <t xml:space="preserve"> Received by U.S farmers</t>
  </si>
  <si>
    <t>Myanmar</t>
  </si>
  <si>
    <t>Jun.</t>
  </si>
  <si>
    <t>Jul.</t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</si>
  <si>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Crop Production</t>
    </r>
    <r>
      <rPr>
        <sz val="8"/>
        <rFont val="Helvetica"/>
        <family val="2"/>
      </rPr>
      <t xml:space="preserve">, and </t>
    </r>
    <r>
      <rPr>
        <i/>
        <sz val="8"/>
        <rFont val="Helvetica"/>
      </rPr>
      <t>Crop Values</t>
    </r>
    <r>
      <rPr>
        <sz val="8"/>
        <rFont val="Helvetica"/>
        <family val="2"/>
      </rPr>
      <t xml:space="preserve">;  </t>
    </r>
  </si>
  <si>
    <r>
      <rPr>
        <sz val="8"/>
        <rFont val="Helvetica"/>
      </rPr>
      <t>and USDA, Farm Service Agency</t>
    </r>
    <r>
      <rPr>
        <i/>
        <sz val="8"/>
        <rFont val="Helvetica"/>
      </rPr>
      <t xml:space="preserve">, Nonrecourse Marketing Assistance Loans and Loan Deficiency Payments Fact Sheet. </t>
    </r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</si>
  <si>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 xml:space="preserve">Fats and Oils: Oilseed Crushings, Production, Consumption </t>
    </r>
  </si>
  <si>
    <r>
      <t>and Stocks</t>
    </r>
    <r>
      <rPr>
        <sz val="8"/>
        <rFont val="Helvetica"/>
      </rPr>
      <t>; USDA, Agricultural Marketing Service</t>
    </r>
    <r>
      <rPr>
        <i/>
        <sz val="8"/>
        <rFont val="Helvetica"/>
      </rPr>
      <t xml:space="preserve">, National Monthly Feedstuff Prices; </t>
    </r>
    <r>
      <rPr>
        <sz val="8"/>
        <rFont val="Helvetica"/>
      </rPr>
      <t>and USDA, Foreign Agricultural</t>
    </r>
    <r>
      <rPr>
        <i/>
        <sz val="8"/>
        <rFont val="Helvetica"/>
      </rPr>
      <t xml:space="preserve"> </t>
    </r>
    <r>
      <rPr>
        <sz val="8"/>
        <rFont val="Helvetica"/>
      </rPr>
      <t>Service</t>
    </r>
    <r>
      <rPr>
        <i/>
        <sz val="8"/>
        <rFont val="Helvetica"/>
      </rPr>
      <t>,</t>
    </r>
    <r>
      <rPr>
        <sz val="8"/>
        <rFont val="Helvetica"/>
      </rPr>
      <t xml:space="preserve"> Global Agricultural Trade System.</t>
    </r>
  </si>
  <si>
    <r>
      <t>and Stocks</t>
    </r>
    <r>
      <rPr>
        <sz val="8"/>
        <rFont val="Helvetica"/>
      </rPr>
      <t>; USDA, Agricultural Marketing Service</t>
    </r>
    <r>
      <rPr>
        <i/>
        <sz val="8"/>
        <rFont val="Helvetica"/>
      </rPr>
      <t xml:space="preserve">, National Monthly Feedstuff Prices; </t>
    </r>
    <r>
      <rPr>
        <sz val="8"/>
        <rFont val="Helvetica"/>
      </rPr>
      <t>USDA, Foreign Agricultural</t>
    </r>
    <r>
      <rPr>
        <i/>
        <sz val="8"/>
        <rFont val="Helvetica"/>
      </rPr>
      <t xml:space="preserve"> </t>
    </r>
    <r>
      <rPr>
        <sz val="8"/>
        <rFont val="Helvetica"/>
      </rPr>
      <t>Service</t>
    </r>
    <r>
      <rPr>
        <i/>
        <sz val="8"/>
        <rFont val="Helvetica"/>
      </rPr>
      <t xml:space="preserve">, </t>
    </r>
    <r>
      <rPr>
        <sz val="8"/>
        <rFont val="Helvetica"/>
      </rPr>
      <t>Global Agricultural Trade System;</t>
    </r>
    <r>
      <rPr>
        <i/>
        <sz val="8"/>
        <rFont val="Helvetica"/>
      </rPr>
      <t xml:space="preserve"> </t>
    </r>
    <r>
      <rPr>
        <sz val="8"/>
        <rFont val="Helvetica"/>
      </rPr>
      <t>and</t>
    </r>
    <r>
      <rPr>
        <i/>
        <sz val="8"/>
        <rFont val="Helvetica"/>
      </rPr>
      <t xml:space="preserve"> </t>
    </r>
    <r>
      <rPr>
        <sz val="8"/>
        <rFont val="Helvetica"/>
      </rPr>
      <t>U.S.</t>
    </r>
  </si>
  <si>
    <r>
      <t>and</t>
    </r>
    <r>
      <rPr>
        <i/>
        <sz val="8"/>
        <rFont val="Helvetica"/>
      </rPr>
      <t xml:space="preserve"> Agricultural Prices</t>
    </r>
    <r>
      <rPr>
        <sz val="8"/>
        <rFont val="Helvetica"/>
      </rPr>
      <t>; USDA, Foreign Agricultural Service, Global Agricultural Trade System; and the U.S. Department of Commerce, Bureau of the</t>
    </r>
  </si>
  <si>
    <t>Census, United States Census.</t>
  </si>
  <si>
    <r>
      <rPr>
        <i/>
        <sz val="8"/>
        <rFont val="Helvetica"/>
      </rPr>
      <t>Oils: Oilseed Crushings, Production, Consumption and Stocks</t>
    </r>
    <r>
      <rPr>
        <sz val="8"/>
        <rFont val="Helvetica"/>
      </rPr>
      <t>; and USDA, Foreign Agricultural Service, Global Agricultural Trade System.</t>
    </r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</si>
  <si>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 xml:space="preserve">Crop Production, Agricultural Prices, </t>
    </r>
    <r>
      <rPr>
        <sz val="8"/>
        <rFont val="Helvetica"/>
      </rPr>
      <t>and</t>
    </r>
    <r>
      <rPr>
        <i/>
        <sz val="8"/>
        <rFont val="Helvetica"/>
      </rPr>
      <t xml:space="preserve"> Fats and</t>
    </r>
  </si>
  <si>
    <r>
      <rPr>
        <i/>
        <sz val="8"/>
        <rFont val="Helvetica"/>
      </rPr>
      <t>and Stocks</t>
    </r>
    <r>
      <rPr>
        <sz val="8"/>
        <rFont val="Helvetica"/>
        <family val="2"/>
      </rPr>
      <t xml:space="preserve">; USDA, Agricultural Marketing Service, </t>
    </r>
    <r>
      <rPr>
        <i/>
        <sz val="8"/>
        <rFont val="Helvetica"/>
      </rPr>
      <t>National Monthly Feedstuff Prices</t>
    </r>
    <r>
      <rPr>
        <sz val="8"/>
        <rFont val="Helvetica"/>
        <family val="2"/>
      </rPr>
      <t xml:space="preserve">; and USDA, Foreign Agricultural Service, </t>
    </r>
    <r>
      <rPr>
        <sz val="8"/>
        <rFont val="Helvetica"/>
      </rPr>
      <t>Global Agricultural Trade System.</t>
    </r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</si>
  <si>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Fats and Oils:</t>
    </r>
    <r>
      <rPr>
        <sz val="8"/>
        <rFont val="Helvetica"/>
        <family val="2"/>
      </rPr>
      <t xml:space="preserve"> </t>
    </r>
    <r>
      <rPr>
        <i/>
        <sz val="8"/>
        <rFont val="Helvetica"/>
      </rPr>
      <t>Oilseed Crushings, Production, Consumption</t>
    </r>
  </si>
  <si>
    <r>
      <rPr>
        <i/>
        <sz val="8"/>
        <rFont val="Helvetica"/>
      </rPr>
      <t>Consumption and Stocks</t>
    </r>
    <r>
      <rPr>
        <sz val="8"/>
        <rFont val="Helvetica"/>
      </rPr>
      <t xml:space="preserve">; USDA, Foreign Agricultural Service, Global Agricultural Trade System; and Sosland Publishing, </t>
    </r>
    <r>
      <rPr>
        <i/>
        <sz val="8"/>
        <rFont val="Helvetica"/>
      </rPr>
      <t>Milling and Baking News</t>
    </r>
    <r>
      <rPr>
        <sz val="8"/>
        <rFont val="Helvetica"/>
      </rPr>
      <t>.</t>
    </r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</si>
  <si>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Fats and Oils: Oilseed Crushings, Production,</t>
    </r>
  </si>
  <si>
    <t xml:space="preserve">Source: USDA, Economic Research Service using data from U.S. Department of Commerce, Bureau of the Census; USDA, National Agricultural </t>
  </si>
  <si>
    <r>
      <t xml:space="preserve">Statistics Service, </t>
    </r>
    <r>
      <rPr>
        <i/>
        <sz val="8"/>
        <rFont val="Helvetica"/>
      </rPr>
      <t xml:space="preserve">Fats and Oils: Oilseed Crushings, Production, Consumption and Stocks; </t>
    </r>
    <r>
      <rPr>
        <sz val="8"/>
        <rFont val="Helvetica"/>
        <family val="2"/>
      </rPr>
      <t xml:space="preserve">USDA, Agricultural Marketing Service, </t>
    </r>
    <r>
      <rPr>
        <i/>
        <sz val="8"/>
        <rFont val="Helvetica"/>
      </rPr>
      <t>Tallow, Protein, and Hide Report</t>
    </r>
    <r>
      <rPr>
        <sz val="8"/>
        <rFont val="Helvetica"/>
        <family val="2"/>
      </rPr>
      <t>;</t>
    </r>
  </si>
  <si>
    <r>
      <t xml:space="preserve">and USDA, Foreign Agricultural Service, </t>
    </r>
    <r>
      <rPr>
        <sz val="8"/>
        <rFont val="Helvetica"/>
      </rPr>
      <t>Global Agricultural Trade System</t>
    </r>
    <r>
      <rPr>
        <sz val="8"/>
        <rFont val="Helvetica"/>
        <family val="2"/>
      </rPr>
      <t>.</t>
    </r>
  </si>
  <si>
    <t>Source: USDA, Economic Research Service (ERS) using data from USDA, ERS estimates; U.S. Department of Commerce, Bureau of the Census; USDA, National</t>
  </si>
  <si>
    <r>
      <rPr>
        <i/>
        <sz val="8"/>
        <rFont val="Helvetica"/>
      </rPr>
      <t>Feedstuff Prices</t>
    </r>
    <r>
      <rPr>
        <sz val="8"/>
        <rFont val="Helvetica"/>
      </rPr>
      <t>; and USDA, Foreign Agricultural Service, Global Agricultural Trade System.</t>
    </r>
  </si>
  <si>
    <r>
      <rPr>
        <sz val="8"/>
        <rFont val="Helvetica"/>
      </rPr>
      <t>Agricultural Statistics Service,</t>
    </r>
    <r>
      <rPr>
        <i/>
        <sz val="8"/>
        <rFont val="Helvetica"/>
      </rPr>
      <t xml:space="preserve"> Fats and Oils: Oilseed Crushings, Production, Consumption and Stocks; </t>
    </r>
    <r>
      <rPr>
        <sz val="8"/>
        <rFont val="Helvetica"/>
      </rPr>
      <t>USDA, Agricultural Marketing Service</t>
    </r>
    <r>
      <rPr>
        <i/>
        <sz val="8"/>
        <rFont val="Helvetica"/>
      </rPr>
      <t>, National Monthly</t>
    </r>
  </si>
  <si>
    <r>
      <t xml:space="preserve">Source: USDA, Economic Research Service estimates and using data from USDA, National Agricultural Statistics Service, </t>
    </r>
    <r>
      <rPr>
        <i/>
        <sz val="8"/>
        <rFont val="Helvetica"/>
      </rPr>
      <t>Fats and Oils:</t>
    </r>
    <r>
      <rPr>
        <sz val="8"/>
        <rFont val="Helvetica"/>
      </rPr>
      <t xml:space="preserve"> </t>
    </r>
    <r>
      <rPr>
        <i/>
        <sz val="8"/>
        <rFont val="Helvetica"/>
      </rPr>
      <t>Oilseed</t>
    </r>
  </si>
  <si>
    <t>Agricultural Service, Global Agricultural Trade System.</t>
  </si>
  <si>
    <r>
      <rPr>
        <i/>
        <sz val="8"/>
        <rFont val="Helvetica"/>
      </rPr>
      <t xml:space="preserve">Crushings, Production, Consumption and Stocks; </t>
    </r>
    <r>
      <rPr>
        <sz val="8"/>
        <rFont val="Helvetica"/>
      </rPr>
      <t xml:space="preserve">USDA, Agricultural Marketing Service, </t>
    </r>
    <r>
      <rPr>
        <i/>
        <sz val="8"/>
        <rFont val="Helvetica"/>
      </rPr>
      <t>National Monthly Feedstuff Prices;</t>
    </r>
    <r>
      <rPr>
        <sz val="8"/>
        <rFont val="Helvetica"/>
      </rPr>
      <t xml:space="preserve"> and USDA, Foreign</t>
    </r>
  </si>
  <si>
    <r>
      <t>USDA, Foreign Agricultural Service, Global Agricultural Trade System; and Sosland Publishing,</t>
    </r>
    <r>
      <rPr>
        <i/>
        <sz val="8"/>
        <rFont val="Helvetica"/>
      </rPr>
      <t xml:space="preserve"> Milling and Baking News</t>
    </r>
    <r>
      <rPr>
        <sz val="8"/>
        <rFont val="Helvetica"/>
      </rPr>
      <t>.</t>
    </r>
  </si>
  <si>
    <r>
      <rPr>
        <i/>
        <sz val="8"/>
        <rFont val="Helvetica"/>
      </rPr>
      <t>Tallow, Protein, and Hide Report;</t>
    </r>
    <r>
      <rPr>
        <sz val="8"/>
        <rFont val="Helvetica"/>
      </rPr>
      <t xml:space="preserve"> U.S. Department of Commerce, Bureau of the Census data; and USDA, National Agricultural Statistics Service,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</si>
</sst>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6" formatCode="&quot;$&quot;#,##0_);[Red]\(&quot;$&quot;#,##0\)"/>
    <numFmt numFmtId="43" formatCode="_(* #,##0.00_);_(* \(#,##0.00\);_(* &quot;-&quot;??_);_(@_)"/>
    <numFmt numFmtId="164" formatCode="#,##0___________)"/>
    <numFmt numFmtId="165" formatCode="#,##0___________________)"/>
    <numFmt numFmtId="166" formatCode="#,##0_______)"/>
    <numFmt numFmtId="167" formatCode="#,##0_________)"/>
    <numFmt numFmtId="168" formatCode="#,##0.0___________)"/>
    <numFmt numFmtId="169" formatCode="#,##0_)"/>
    <numFmt numFmtId="170" formatCode="#,##0___)"/>
    <numFmt numFmtId="171" formatCode="#,##0_______________)"/>
    <numFmt numFmtId="172" formatCode="#,##0_____)"/>
    <numFmt numFmtId="173" formatCode="#,##0.0___)"/>
    <numFmt numFmtId="174" formatCode="#,##0.0_)"/>
    <numFmt numFmtId="175" formatCode="#,##0.00___________)"/>
    <numFmt numFmtId="176" formatCode="#,##0.00_______)"/>
    <numFmt numFmtId="177" formatCode="#,##0.0_______________)"/>
    <numFmt numFmtId="178" formatCode="#,##0.00___)"/>
    <numFmt numFmtId="179" formatCode="#,##0.00_____)"/>
    <numFmt numFmtId="180" formatCode="#,##0.0_______)"/>
    <numFmt numFmtId="181" formatCode="#,##0.00_)"/>
    <numFmt numFmtId="182" formatCode="#,##0.00_________)"/>
    <numFmt numFmtId="183" formatCode="#,##0.00_____________)"/>
    <numFmt numFmtId="184" formatCode="_(* #,##0_);_(* \(#,##0\);_(* &quot;-&quot;??_);_(@_)"/>
    <numFmt numFmtId="185" formatCode="0.0"/>
    <numFmt numFmtId="186" formatCode="#,##0.0_);\(#,##0.0\)"/>
    <numFmt numFmtId="187" formatCode="0.00_)"/>
    <numFmt numFmtId="188" formatCode="#,##0.0"/>
    <numFmt numFmtId="189" formatCode="#,##0.00000___)"/>
    <numFmt numFmtId="190" formatCode="#0.0"/>
    <numFmt numFmtId="191" formatCode="#,##0.000___________)"/>
    <numFmt numFmtId="192" formatCode="#,##0.00000000000000000"/>
    <numFmt numFmtId="193" formatCode="#,##0.0000"/>
    <numFmt numFmtId="194" formatCode="0.000"/>
    <numFmt numFmtId="195" formatCode="0.000000"/>
    <numFmt numFmtId="196" formatCode="#,##0.0000_______)"/>
    <numFmt numFmtId="197" formatCode="#,##0.0000_____)"/>
    <numFmt numFmtId="198" formatCode="#,##0.00000___________)"/>
    <numFmt numFmtId="199" formatCode="#,##0.000_)"/>
    <numFmt numFmtId="200" formatCode="_(* #,##0.0_);_(* \(#,##0.0\);_(* &quot;-&quot;??_);_(@_)"/>
    <numFmt numFmtId="201" formatCode="#,##0.000___)"/>
  </numFmts>
  <fonts count="88">
    <font>
      <sz val="8"/>
      <name val="Helvetic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</font>
    <font>
      <sz val="7"/>
      <name val="Helvetica"/>
      <family val="2"/>
    </font>
    <font>
      <i/>
      <sz val="7"/>
      <name val="Helvetica"/>
      <family val="2"/>
    </font>
    <font>
      <sz val="8"/>
      <name val="Helvetica-Narrow"/>
      <family val="2"/>
    </font>
    <font>
      <sz val="8"/>
      <name val="Helvetica"/>
      <family val="2"/>
    </font>
    <font>
      <i/>
      <sz val="8"/>
      <name val="Helvetica"/>
      <family val="2"/>
    </font>
    <font>
      <u/>
      <sz val="8"/>
      <color indexed="12"/>
      <name val="Helvetic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8"/>
      <name val="Helvetica"/>
    </font>
    <font>
      <i/>
      <sz val="8"/>
      <color indexed="8"/>
      <name val="Arial"/>
      <family val="2"/>
    </font>
    <font>
      <i/>
      <sz val="8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10"/>
      <name val="Helvetica"/>
    </font>
    <font>
      <b/>
      <sz val="14"/>
      <name val="Helvetica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u/>
      <sz val="10.45"/>
      <color indexed="12"/>
      <name val="Arial"/>
      <family val="2"/>
    </font>
    <font>
      <sz val="10"/>
      <name val="Courier"/>
    </font>
    <font>
      <u/>
      <sz val="10"/>
      <color indexed="12"/>
      <name val="Courier"/>
      <family val="3"/>
    </font>
    <font>
      <sz val="10"/>
      <name val="Arial"/>
      <family val="2"/>
    </font>
    <font>
      <sz val="11"/>
      <name val="Calibri"/>
      <family val="2"/>
    </font>
    <font>
      <b/>
      <sz val="8"/>
      <color rgb="FF333333"/>
      <name val="Helvetica"/>
    </font>
    <font>
      <sz val="10"/>
      <name val="Arial"/>
      <family val="2"/>
    </font>
    <font>
      <sz val="10"/>
      <color indexed="8"/>
      <name val="Arial"/>
      <family val="2"/>
    </font>
    <font>
      <b/>
      <sz val="8"/>
      <name val="Helvetica"/>
    </font>
    <font>
      <sz val="8"/>
      <color theme="1"/>
      <name val="Helvetica"/>
    </font>
    <font>
      <sz val="8"/>
      <color rgb="FFFF0000"/>
      <name val="Helvetica"/>
    </font>
    <font>
      <sz val="8"/>
      <color rgb="FFFF0000"/>
      <name val="Helvetica"/>
      <family val="2"/>
    </font>
    <font>
      <sz val="8"/>
      <color theme="1"/>
      <name val="Helvetica"/>
      <family val="2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ourier"/>
      <family val="3"/>
    </font>
    <font>
      <u/>
      <sz val="10"/>
      <color theme="10"/>
      <name val="Arial"/>
      <family val="2"/>
    </font>
    <font>
      <u/>
      <sz val="9"/>
      <color indexed="12"/>
      <name val="Arial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sz val="12"/>
      <name val="Helv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8"/>
      <color theme="1"/>
      <name val="Helvetica"/>
    </font>
    <font>
      <sz val="11"/>
      <color theme="1"/>
      <name val="Calibri"/>
      <family val="2"/>
    </font>
    <font>
      <sz val="7"/>
      <color theme="1"/>
      <name val="Helvetica"/>
      <family val="2"/>
    </font>
    <font>
      <u/>
      <sz val="8"/>
      <name val="Helvetica"/>
      <family val="2"/>
    </font>
    <font>
      <b/>
      <sz val="8"/>
      <color theme="1"/>
      <name val="Helvetica"/>
    </font>
    <font>
      <i/>
      <sz val="8"/>
      <color theme="1"/>
      <name val="Arial"/>
      <family val="2"/>
    </font>
    <font>
      <sz val="8"/>
      <color indexed="8"/>
      <name val="Arial"/>
      <family val="2"/>
    </font>
    <font>
      <b/>
      <sz val="10"/>
      <color theme="1"/>
      <name val="Helvetica"/>
    </font>
    <font>
      <b/>
      <sz val="8"/>
      <name val="Helvetica"/>
      <family val="2"/>
    </font>
    <font>
      <vertAlign val="superscript"/>
      <sz val="8"/>
      <name val="Helvetica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84">
    <xf numFmtId="0" fontId="0" fillId="0" borderId="0"/>
    <xf numFmtId="43" fontId="4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8" fillId="0" borderId="0"/>
    <xf numFmtId="0" fontId="24" fillId="0" borderId="0" applyNumberFormat="0" applyFill="0" applyBorder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7" fillId="0" borderId="6" applyNumberFormat="0" applyFill="0" applyAlignment="0" applyProtection="0"/>
    <xf numFmtId="0" fontId="2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5" borderId="7" applyNumberFormat="0" applyAlignment="0" applyProtection="0"/>
    <xf numFmtId="0" fontId="32" fillId="6" borderId="8" applyNumberFormat="0" applyAlignment="0" applyProtection="0"/>
    <xf numFmtId="0" fontId="33" fillId="6" borderId="7" applyNumberFormat="0" applyAlignment="0" applyProtection="0"/>
    <xf numFmtId="0" fontId="34" fillId="0" borderId="9" applyNumberFormat="0" applyFill="0" applyAlignment="0" applyProtection="0"/>
    <xf numFmtId="0" fontId="35" fillId="7" borderId="10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2" applyNumberFormat="0" applyFill="0" applyAlignment="0" applyProtection="0"/>
    <xf numFmtId="0" fontId="3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9" fillId="32" borderId="0" applyNumberFormat="0" applyBorder="0" applyAlignment="0" applyProtection="0"/>
    <xf numFmtId="187" fontId="40" fillId="0" borderId="0"/>
    <xf numFmtId="0" fontId="41" fillId="0" borderId="0" applyNumberFormat="0" applyFill="0" applyBorder="0" applyAlignment="0" applyProtection="0">
      <alignment vertical="top"/>
      <protection locked="0"/>
    </xf>
    <xf numFmtId="37" fontId="42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8" borderId="11" applyNumberFormat="0" applyFont="0" applyAlignment="0" applyProtection="0"/>
    <xf numFmtId="0" fontId="44" fillId="0" borderId="0"/>
    <xf numFmtId="43" fontId="18" fillId="0" borderId="0" applyFont="0" applyFill="0" applyBorder="0" applyAlignment="0" applyProtection="0"/>
    <xf numFmtId="0" fontId="47" fillId="0" borderId="0"/>
    <xf numFmtId="43" fontId="18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8" fillId="0" borderId="0"/>
    <xf numFmtId="0" fontId="18" fillId="0" borderId="0"/>
    <xf numFmtId="0" fontId="2" fillId="0" borderId="0"/>
    <xf numFmtId="9" fontId="18" fillId="0" borderId="0" applyFont="0" applyFill="0" applyBorder="0" applyAlignment="0" applyProtection="0"/>
    <xf numFmtId="0" fontId="1" fillId="0" borderId="0"/>
    <xf numFmtId="0" fontId="54" fillId="4" borderId="0" applyNumberFormat="0" applyBorder="0" applyAlignment="0" applyProtection="0"/>
    <xf numFmtId="0" fontId="56" fillId="0" borderId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57" fillId="0" borderId="0" applyNumberFormat="0" applyFill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9" fillId="20" borderId="0" applyNumberFormat="0" applyBorder="0" applyAlignment="0" applyProtection="0"/>
    <xf numFmtId="0" fontId="40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39" fillId="24" borderId="0" applyNumberFormat="0" applyBorder="0" applyAlignment="0" applyProtection="0"/>
    <xf numFmtId="43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9" fillId="32" borderId="0" applyNumberFormat="0" applyBorder="0" applyAlignment="0" applyProtection="0"/>
    <xf numFmtId="43" fontId="59" fillId="0" borderId="0" applyFon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0" fillId="0" borderId="0"/>
    <xf numFmtId="0" fontId="18" fillId="0" borderId="0">
      <alignment vertical="center"/>
    </xf>
    <xf numFmtId="0" fontId="1" fillId="0" borderId="0"/>
    <xf numFmtId="0" fontId="1" fillId="8" borderId="11" applyNumberFormat="0" applyFont="0" applyAlignment="0" applyProtection="0"/>
    <xf numFmtId="0" fontId="60" fillId="0" borderId="0" applyNumberFormat="0" applyFill="0" applyBorder="0" applyAlignment="0" applyProtection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6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4" borderId="0" applyNumberFormat="0" applyBorder="0" applyAlignment="0" applyProtection="0"/>
    <xf numFmtId="0" fontId="39" fillId="32" borderId="0" applyNumberFormat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" fillId="0" borderId="0"/>
    <xf numFmtId="0" fontId="40" fillId="0" borderId="0"/>
    <xf numFmtId="0" fontId="61" fillId="0" borderId="0"/>
    <xf numFmtId="0" fontId="1" fillId="0" borderId="0"/>
    <xf numFmtId="0" fontId="1" fillId="8" borderId="11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8" borderId="11" applyNumberFormat="0" applyFont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36" borderId="0" applyNumberFormat="0" applyBorder="0" applyAlignment="0" applyProtection="0"/>
    <xf numFmtId="0" fontId="59" fillId="37" borderId="0" applyNumberFormat="0" applyBorder="0" applyAlignment="0" applyProtection="0"/>
    <xf numFmtId="0" fontId="59" fillId="38" borderId="0" applyNumberFormat="0" applyBorder="0" applyAlignment="0" applyProtection="0"/>
    <xf numFmtId="0" fontId="59" fillId="39" borderId="0" applyNumberFormat="0" applyBorder="0" applyAlignment="0" applyProtection="0"/>
    <xf numFmtId="0" fontId="59" fillId="40" borderId="0" applyNumberFormat="0" applyBorder="0" applyAlignment="0" applyProtection="0"/>
    <xf numFmtId="0" fontId="59" fillId="41" borderId="0" applyNumberFormat="0" applyBorder="0" applyAlignment="0" applyProtection="0"/>
    <xf numFmtId="0" fontId="59" fillId="36" borderId="0" applyNumberFormat="0" applyBorder="0" applyAlignment="0" applyProtection="0"/>
    <xf numFmtId="0" fontId="59" fillId="39" borderId="0" applyNumberFormat="0" applyBorder="0" applyAlignment="0" applyProtection="0"/>
    <xf numFmtId="0" fontId="59" fillId="42" borderId="0" applyNumberFormat="0" applyBorder="0" applyAlignment="0" applyProtection="0"/>
    <xf numFmtId="0" fontId="62" fillId="43" borderId="0" applyNumberFormat="0" applyBorder="0" applyAlignment="0" applyProtection="0"/>
    <xf numFmtId="0" fontId="62" fillId="40" borderId="0" applyNumberFormat="0" applyBorder="0" applyAlignment="0" applyProtection="0"/>
    <xf numFmtId="0" fontId="62" fillId="41" borderId="0" applyNumberFormat="0" applyBorder="0" applyAlignment="0" applyProtection="0"/>
    <xf numFmtId="0" fontId="62" fillId="44" borderId="0" applyNumberFormat="0" applyBorder="0" applyAlignment="0" applyProtection="0"/>
    <xf numFmtId="0" fontId="62" fillId="45" borderId="0" applyNumberFormat="0" applyBorder="0" applyAlignment="0" applyProtection="0"/>
    <xf numFmtId="0" fontId="62" fillId="46" borderId="0" applyNumberFormat="0" applyBorder="0" applyAlignment="0" applyProtection="0"/>
    <xf numFmtId="0" fontId="62" fillId="47" borderId="0" applyNumberFormat="0" applyBorder="0" applyAlignment="0" applyProtection="0"/>
    <xf numFmtId="0" fontId="62" fillId="48" borderId="0" applyNumberFormat="0" applyBorder="0" applyAlignment="0" applyProtection="0"/>
    <xf numFmtId="0" fontId="62" fillId="49" borderId="0" applyNumberFormat="0" applyBorder="0" applyAlignment="0" applyProtection="0"/>
    <xf numFmtId="0" fontId="62" fillId="44" borderId="0" applyNumberFormat="0" applyBorder="0" applyAlignment="0" applyProtection="0"/>
    <xf numFmtId="0" fontId="62" fillId="45" borderId="0" applyNumberFormat="0" applyBorder="0" applyAlignment="0" applyProtection="0"/>
    <xf numFmtId="0" fontId="62" fillId="50" borderId="0" applyNumberFormat="0" applyBorder="0" applyAlignment="0" applyProtection="0"/>
    <xf numFmtId="0" fontId="63" fillId="34" borderId="0" applyNumberFormat="0" applyBorder="0" applyAlignment="0" applyProtection="0"/>
    <xf numFmtId="0" fontId="64" fillId="51" borderId="23" applyNumberFormat="0" applyAlignment="0" applyProtection="0"/>
    <xf numFmtId="0" fontId="65" fillId="52" borderId="24" applyNumberFormat="0" applyAlignment="0" applyProtection="0"/>
    <xf numFmtId="43" fontId="18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67" fillId="35" borderId="0" applyNumberFormat="0" applyBorder="0" applyAlignment="0" applyProtection="0"/>
    <xf numFmtId="0" fontId="68" fillId="0" borderId="25" applyNumberFormat="0" applyFill="0" applyAlignment="0" applyProtection="0"/>
    <xf numFmtId="0" fontId="69" fillId="0" borderId="26" applyNumberFormat="0" applyFill="0" applyAlignment="0" applyProtection="0"/>
    <xf numFmtId="0" fontId="70" fillId="0" borderId="27" applyNumberFormat="0" applyFill="0" applyAlignment="0" applyProtection="0"/>
    <xf numFmtId="0" fontId="70" fillId="0" borderId="0" applyNumberFormat="0" applyFill="0" applyBorder="0" applyAlignment="0" applyProtection="0"/>
    <xf numFmtId="0" fontId="71" fillId="38" borderId="23" applyNumberFormat="0" applyAlignment="0" applyProtection="0"/>
    <xf numFmtId="0" fontId="72" fillId="0" borderId="28" applyNumberFormat="0" applyFill="0" applyAlignment="0" applyProtection="0"/>
    <xf numFmtId="0" fontId="73" fillId="53" borderId="0" applyNumberFormat="0" applyBorder="0" applyAlignment="0" applyProtection="0"/>
    <xf numFmtId="0" fontId="18" fillId="0" borderId="0"/>
    <xf numFmtId="0" fontId="18" fillId="54" borderId="29" applyNumberFormat="0" applyFont="0" applyAlignment="0" applyProtection="0"/>
    <xf numFmtId="0" fontId="18" fillId="54" borderId="29" applyNumberFormat="0" applyFont="0" applyAlignment="0" applyProtection="0"/>
    <xf numFmtId="0" fontId="74" fillId="51" borderId="30" applyNumberFormat="0" applyAlignment="0" applyProtection="0"/>
    <xf numFmtId="9" fontId="18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31" applyNumberFormat="0" applyFill="0" applyAlignment="0" applyProtection="0"/>
    <xf numFmtId="0" fontId="77" fillId="0" borderId="0" applyNumberForma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60" fillId="0" borderId="0" applyNumberFormat="0" applyFill="0" applyBorder="0" applyAlignment="0" applyProtection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0" borderId="0"/>
    <xf numFmtId="0" fontId="1" fillId="8" borderId="1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</cellStyleXfs>
  <cellXfs count="409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7" fontId="0" fillId="0" borderId="0" xfId="0" applyNumberFormat="1"/>
    <xf numFmtId="169" fontId="0" fillId="0" borderId="0" xfId="0" applyNumberFormat="1"/>
    <xf numFmtId="169" fontId="0" fillId="0" borderId="1" xfId="0" applyNumberFormat="1" applyBorder="1"/>
    <xf numFmtId="170" fontId="0" fillId="0" borderId="0" xfId="0" applyNumberFormat="1"/>
    <xf numFmtId="171" fontId="0" fillId="0" borderId="0" xfId="0" applyNumberFormat="1"/>
    <xf numFmtId="0" fontId="0" fillId="0" borderId="2" xfId="0" applyBorder="1" applyAlignment="1">
      <alignment horizontal="centerContinuous"/>
    </xf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164" fontId="0" fillId="0" borderId="0" xfId="0" applyNumberFormat="1"/>
    <xf numFmtId="176" fontId="0" fillId="0" borderId="0" xfId="0" applyNumberFormat="1"/>
    <xf numFmtId="177" fontId="0" fillId="0" borderId="0" xfId="0" applyNumberFormat="1"/>
    <xf numFmtId="179" fontId="0" fillId="0" borderId="0" xfId="0" applyNumberFormat="1"/>
    <xf numFmtId="166" fontId="0" fillId="0" borderId="0" xfId="0" applyNumberFormat="1"/>
    <xf numFmtId="180" fontId="0" fillId="0" borderId="0" xfId="0" applyNumberFormat="1"/>
    <xf numFmtId="178" fontId="0" fillId="0" borderId="0" xfId="0" applyNumberFormat="1"/>
    <xf numFmtId="0" fontId="0" fillId="0" borderId="0" xfId="0" quotePrefix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2" xfId="0" quotePrefix="1" applyBorder="1" applyAlignment="1">
      <alignment horizontal="center"/>
    </xf>
    <xf numFmtId="0" fontId="5" fillId="0" borderId="0" xfId="0" quotePrefix="1" applyFont="1" applyAlignment="1">
      <alignment horizontal="left"/>
    </xf>
    <xf numFmtId="183" fontId="0" fillId="0" borderId="0" xfId="0" applyNumberFormat="1"/>
    <xf numFmtId="2" fontId="0" fillId="0" borderId="0" xfId="0" applyNumberFormat="1" applyAlignment="1">
      <alignment horizontal="center"/>
    </xf>
    <xf numFmtId="181" fontId="0" fillId="0" borderId="0" xfId="0" applyNumberFormat="1"/>
    <xf numFmtId="0" fontId="6" fillId="0" borderId="0" xfId="0" applyFont="1"/>
    <xf numFmtId="185" fontId="0" fillId="0" borderId="0" xfId="0" applyNumberFormat="1"/>
    <xf numFmtId="168" fontId="0" fillId="0" borderId="0" xfId="0" applyNumberFormat="1"/>
    <xf numFmtId="2" fontId="0" fillId="0" borderId="0" xfId="0" applyNumberFormat="1"/>
    <xf numFmtId="0" fontId="0" fillId="0" borderId="1" xfId="0" quotePrefix="1" applyBorder="1" applyAlignment="1">
      <alignment horizontal="center"/>
    </xf>
    <xf numFmtId="188" fontId="0" fillId="0" borderId="0" xfId="0" quotePrefix="1" applyNumberFormat="1" applyAlignment="1">
      <alignment horizontal="center"/>
    </xf>
    <xf numFmtId="3" fontId="0" fillId="0" borderId="0" xfId="0" applyNumberFormat="1" applyAlignment="1">
      <alignment horizontal="center"/>
    </xf>
    <xf numFmtId="185" fontId="7" fillId="0" borderId="0" xfId="0" applyNumberFormat="1" applyFont="1" applyAlignment="1">
      <alignment horizontal="right"/>
    </xf>
    <xf numFmtId="185" fontId="7" fillId="0" borderId="0" xfId="0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172" fontId="8" fillId="0" borderId="0" xfId="0" applyNumberFormat="1" applyFont="1"/>
    <xf numFmtId="164" fontId="8" fillId="0" borderId="0" xfId="0" applyNumberFormat="1" applyFont="1"/>
    <xf numFmtId="167" fontId="8" fillId="0" borderId="0" xfId="0" applyNumberFormat="1" applyFont="1"/>
    <xf numFmtId="0" fontId="8" fillId="0" borderId="0" xfId="0" applyFont="1" applyAlignment="1">
      <alignment horizontal="centerContinuous"/>
    </xf>
    <xf numFmtId="0" fontId="8" fillId="0" borderId="0" xfId="0" applyFont="1" applyAlignment="1">
      <alignment horizontal="center"/>
    </xf>
    <xf numFmtId="0" fontId="8" fillId="0" borderId="0" xfId="0" applyFont="1"/>
    <xf numFmtId="2" fontId="8" fillId="0" borderId="0" xfId="0" applyNumberFormat="1" applyFont="1" applyAlignment="1">
      <alignment horizontal="center"/>
    </xf>
    <xf numFmtId="170" fontId="8" fillId="0" borderId="0" xfId="0" applyNumberFormat="1" applyFont="1"/>
    <xf numFmtId="0" fontId="8" fillId="0" borderId="0" xfId="0" applyFont="1" applyAlignment="1">
      <alignment horizontal="left"/>
    </xf>
    <xf numFmtId="3" fontId="8" fillId="0" borderId="0" xfId="0" applyNumberFormat="1" applyFont="1"/>
    <xf numFmtId="0" fontId="0" fillId="0" borderId="0" xfId="0" quotePrefix="1"/>
    <xf numFmtId="184" fontId="8" fillId="0" borderId="0" xfId="1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0" xfId="0" quotePrefix="1" applyNumberFormat="1" applyAlignment="1">
      <alignment horizontal="center"/>
    </xf>
    <xf numFmtId="0" fontId="8" fillId="0" borderId="0" xfId="0" quotePrefix="1" applyFont="1" applyAlignment="1">
      <alignment horizontal="left"/>
    </xf>
    <xf numFmtId="185" fontId="0" fillId="0" borderId="1" xfId="0" applyNumberFormat="1" applyBorder="1"/>
    <xf numFmtId="167" fontId="0" fillId="0" borderId="0" xfId="0" applyNumberFormat="1" applyAlignment="1">
      <alignment horizontal="center"/>
    </xf>
    <xf numFmtId="186" fontId="0" fillId="0" borderId="0" xfId="0" applyNumberFormat="1"/>
    <xf numFmtId="0" fontId="9" fillId="0" borderId="0" xfId="0" applyFont="1"/>
    <xf numFmtId="0" fontId="8" fillId="0" borderId="0" xfId="0" quotePrefix="1" applyFont="1"/>
    <xf numFmtId="0" fontId="8" fillId="0" borderId="1" xfId="0" quotePrefix="1" applyFont="1" applyBorder="1" applyAlignment="1">
      <alignment horizontal="left"/>
    </xf>
    <xf numFmtId="0" fontId="8" fillId="0" borderId="1" xfId="4" applyBorder="1"/>
    <xf numFmtId="0" fontId="8" fillId="0" borderId="0" xfId="4"/>
    <xf numFmtId="181" fontId="8" fillId="0" borderId="0" xfId="4" applyNumberFormat="1"/>
    <xf numFmtId="185" fontId="8" fillId="0" borderId="0" xfId="4" applyNumberFormat="1"/>
    <xf numFmtId="164" fontId="0" fillId="0" borderId="0" xfId="0" applyNumberFormat="1" applyAlignment="1">
      <alignment horizontal="center"/>
    </xf>
    <xf numFmtId="0" fontId="15" fillId="0" borderId="0" xfId="0" applyFont="1"/>
    <xf numFmtId="0" fontId="0" fillId="0" borderId="0" xfId="0" quotePrefix="1" applyAlignment="1">
      <alignment horizontal="center"/>
    </xf>
    <xf numFmtId="0" fontId="17" fillId="0" borderId="0" xfId="4" applyFont="1" applyAlignment="1" applyProtection="1">
      <alignment horizontal="right" vertical="top" wrapText="1" readingOrder="1"/>
      <protection locked="0"/>
    </xf>
    <xf numFmtId="0" fontId="8" fillId="0" borderId="0" xfId="4" applyAlignment="1">
      <alignment readingOrder="1"/>
    </xf>
    <xf numFmtId="0" fontId="16" fillId="0" borderId="0" xfId="4" quotePrefix="1" applyFont="1" applyAlignment="1" applyProtection="1">
      <alignment horizontal="right" vertical="top" wrapText="1" readingOrder="1"/>
      <protection locked="0"/>
    </xf>
    <xf numFmtId="0" fontId="8" fillId="0" borderId="0" xfId="0" applyFont="1" applyAlignment="1">
      <alignment horizontal="right"/>
    </xf>
    <xf numFmtId="0" fontId="18" fillId="0" borderId="0" xfId="5" applyAlignment="1">
      <alignment vertical="top" wrapText="1"/>
    </xf>
    <xf numFmtId="0" fontId="18" fillId="0" borderId="0" xfId="5"/>
    <xf numFmtId="0" fontId="20" fillId="0" borderId="0" xfId="3" applyFont="1" applyAlignment="1" applyProtection="1"/>
    <xf numFmtId="0" fontId="21" fillId="0" borderId="0" xfId="5" applyFont="1"/>
    <xf numFmtId="0" fontId="18" fillId="0" borderId="0" xfId="5" applyAlignment="1">
      <alignment wrapText="1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173" fontId="0" fillId="0" borderId="0" xfId="0" applyNumberFormat="1" applyAlignment="1">
      <alignment horizontal="left" indent="3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right" indent="1"/>
    </xf>
    <xf numFmtId="182" fontId="8" fillId="0" borderId="0" xfId="0" applyNumberFormat="1" applyFont="1"/>
    <xf numFmtId="0" fontId="0" fillId="0" borderId="2" xfId="0" applyBorder="1" applyAlignment="1">
      <alignment horizontal="left" indent="2"/>
    </xf>
    <xf numFmtId="178" fontId="0" fillId="0" borderId="0" xfId="0" applyNumberFormat="1" applyAlignment="1">
      <alignment horizontal="center"/>
    </xf>
    <xf numFmtId="184" fontId="8" fillId="0" borderId="0" xfId="1" applyNumberFormat="1" applyFont="1" applyFill="1" applyBorder="1" applyAlignment="1">
      <alignment horizontal="center"/>
    </xf>
    <xf numFmtId="0" fontId="10" fillId="0" borderId="0" xfId="2" applyAlignment="1" applyProtection="1">
      <alignment horizontal="left"/>
    </xf>
    <xf numFmtId="170" fontId="0" fillId="0" borderId="0" xfId="0" applyNumberFormat="1" applyAlignment="1">
      <alignment horizontal="right" indent="1"/>
    </xf>
    <xf numFmtId="181" fontId="0" fillId="0" borderId="0" xfId="0" applyNumberFormat="1" applyAlignment="1">
      <alignment horizontal="right" indent="3"/>
    </xf>
    <xf numFmtId="0" fontId="0" fillId="0" borderId="3" xfId="0" applyBorder="1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horizontal="left" indent="3"/>
    </xf>
    <xf numFmtId="0" fontId="0" fillId="0" borderId="2" xfId="0" applyBorder="1" applyAlignment="1">
      <alignment horizontal="left" indent="4"/>
    </xf>
    <xf numFmtId="0" fontId="0" fillId="0" borderId="1" xfId="0" applyBorder="1" applyAlignment="1">
      <alignment horizontal="left" indent="4"/>
    </xf>
    <xf numFmtId="0" fontId="0" fillId="0" borderId="0" xfId="0" applyAlignment="1">
      <alignment horizontal="right"/>
    </xf>
    <xf numFmtId="0" fontId="45" fillId="0" borderId="0" xfId="0" applyFo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left" indent="6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left" indent="2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19" xfId="0" applyBorder="1" applyAlignment="1">
      <alignment horizontal="right" indent="3"/>
    </xf>
    <xf numFmtId="184" fontId="8" fillId="0" borderId="0" xfId="53" applyNumberFormat="1" applyFont="1"/>
    <xf numFmtId="166" fontId="0" fillId="0" borderId="0" xfId="0" applyNumberFormat="1" applyAlignment="1">
      <alignment horizontal="center"/>
    </xf>
    <xf numFmtId="0" fontId="0" fillId="0" borderId="20" xfId="0" applyBorder="1" applyAlignment="1">
      <alignment horizontal="right" indent="3"/>
    </xf>
    <xf numFmtId="0" fontId="0" fillId="0" borderId="0" xfId="0" applyAlignment="1">
      <alignment horizontal="right" indent="1"/>
    </xf>
    <xf numFmtId="0" fontId="0" fillId="0" borderId="2" xfId="0" applyBorder="1" applyAlignment="1">
      <alignment horizontal="right" indent="2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indent="5"/>
    </xf>
    <xf numFmtId="0" fontId="0" fillId="0" borderId="2" xfId="0" quotePrefix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0" fillId="0" borderId="0" xfId="0" applyAlignment="1">
      <alignment horizontal="right" indent="2"/>
    </xf>
    <xf numFmtId="0" fontId="0" fillId="0" borderId="13" xfId="0" applyBorder="1" applyAlignment="1">
      <alignment horizontal="right" indent="3"/>
    </xf>
    <xf numFmtId="0" fontId="0" fillId="0" borderId="13" xfId="0" applyBorder="1" applyAlignment="1">
      <alignment horizontal="right" indent="6"/>
    </xf>
    <xf numFmtId="0" fontId="0" fillId="0" borderId="2" xfId="0" applyBorder="1" applyAlignment="1">
      <alignment horizontal="right" indent="6"/>
    </xf>
    <xf numFmtId="0" fontId="18" fillId="0" borderId="0" xfId="5" quotePrefix="1"/>
    <xf numFmtId="0" fontId="46" fillId="0" borderId="0" xfId="0" applyFont="1" applyAlignment="1">
      <alignment vertical="center"/>
    </xf>
    <xf numFmtId="176" fontId="0" fillId="0" borderId="0" xfId="0" applyNumberFormat="1" applyAlignment="1">
      <alignment horizontal="center"/>
    </xf>
    <xf numFmtId="188" fontId="0" fillId="0" borderId="0" xfId="0" applyNumberFormat="1"/>
    <xf numFmtId="184" fontId="0" fillId="0" borderId="0" xfId="1" applyNumberFormat="1" applyFont="1"/>
    <xf numFmtId="189" fontId="0" fillId="0" borderId="0" xfId="0" applyNumberFormat="1"/>
    <xf numFmtId="179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3" fontId="42" fillId="0" borderId="0" xfId="0" applyNumberFormat="1" applyFont="1"/>
    <xf numFmtId="181" fontId="0" fillId="0" borderId="0" xfId="0" applyNumberFormat="1" applyAlignment="1">
      <alignment horizontal="right"/>
    </xf>
    <xf numFmtId="0" fontId="1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left" indent="1"/>
    </xf>
    <xf numFmtId="0" fontId="15" fillId="0" borderId="0" xfId="0" applyFont="1" applyAlignment="1">
      <alignment horizontal="center"/>
    </xf>
    <xf numFmtId="6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3" xfId="0" quotePrefix="1" applyFont="1" applyBorder="1" applyAlignment="1">
      <alignment horizontal="left" indent="5"/>
    </xf>
    <xf numFmtId="0" fontId="15" fillId="0" borderId="0" xfId="0" quotePrefix="1" applyFont="1" applyAlignment="1">
      <alignment horizontal="center"/>
    </xf>
    <xf numFmtId="0" fontId="15" fillId="0" borderId="3" xfId="0" applyFont="1" applyBorder="1" applyAlignment="1">
      <alignment horizontal="left" indent="4"/>
    </xf>
    <xf numFmtId="0" fontId="15" fillId="0" borderId="3" xfId="0" quotePrefix="1" applyFont="1" applyBorder="1" applyAlignment="1">
      <alignment horizontal="left" indent="1"/>
    </xf>
    <xf numFmtId="0" fontId="15" fillId="0" borderId="3" xfId="0" quotePrefix="1" applyFont="1" applyBorder="1" applyAlignment="1">
      <alignment horizontal="center"/>
    </xf>
    <xf numFmtId="0" fontId="15" fillId="0" borderId="0" xfId="0" applyFont="1" applyAlignment="1">
      <alignment horizontal="right" indent="1"/>
    </xf>
    <xf numFmtId="0" fontId="15" fillId="0" borderId="0" xfId="0" quotePrefix="1" applyFont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3" xfId="0" quotePrefix="1" applyFont="1" applyBorder="1" applyAlignment="1">
      <alignment horizontal="left"/>
    </xf>
    <xf numFmtId="0" fontId="15" fillId="0" borderId="0" xfId="0" applyFont="1" applyAlignment="1">
      <alignment horizontal="centerContinuous"/>
    </xf>
    <xf numFmtId="0" fontId="15" fillId="0" borderId="0" xfId="0" applyFont="1" applyAlignment="1">
      <alignment horizontal="left" indent="7"/>
    </xf>
    <xf numFmtId="0" fontId="15" fillId="0" borderId="3" xfId="0" quotePrefix="1" applyFont="1" applyBorder="1" applyAlignment="1">
      <alignment horizontal="right"/>
    </xf>
    <xf numFmtId="0" fontId="15" fillId="0" borderId="0" xfId="0" quotePrefix="1" applyFont="1" applyAlignment="1">
      <alignment horizontal="right"/>
    </xf>
    <xf numFmtId="3" fontId="15" fillId="0" borderId="0" xfId="0" quotePrefix="1" applyNumberFormat="1" applyFont="1" applyAlignment="1">
      <alignment horizontal="center"/>
    </xf>
    <xf numFmtId="0" fontId="15" fillId="0" borderId="3" xfId="0" applyFont="1" applyBorder="1" applyAlignment="1">
      <alignment horizontal="right"/>
    </xf>
    <xf numFmtId="0" fontId="15" fillId="0" borderId="3" xfId="0" quotePrefix="1" applyFont="1" applyBorder="1" applyAlignment="1">
      <alignment horizontal="right" indent="2"/>
    </xf>
    <xf numFmtId="0" fontId="15" fillId="0" borderId="3" xfId="0" applyFont="1" applyBorder="1" applyAlignment="1">
      <alignment horizontal="left" indent="5"/>
    </xf>
    <xf numFmtId="16" fontId="0" fillId="0" borderId="1" xfId="0" quotePrefix="1" applyNumberFormat="1" applyBorder="1" applyAlignment="1">
      <alignment horizontal="center"/>
    </xf>
    <xf numFmtId="0" fontId="15" fillId="0" borderId="0" xfId="0" applyFont="1" applyAlignment="1">
      <alignment horizontal="left" indent="6"/>
    </xf>
    <xf numFmtId="0" fontId="0" fillId="0" borderId="21" xfId="0" applyBorder="1" applyAlignment="1">
      <alignment horizontal="center"/>
    </xf>
    <xf numFmtId="0" fontId="49" fillId="0" borderId="0" xfId="0" applyFont="1"/>
    <xf numFmtId="0" fontId="15" fillId="0" borderId="0" xfId="0" applyFont="1" applyAlignment="1">
      <alignment horizontal="right" indent="4"/>
    </xf>
    <xf numFmtId="0" fontId="15" fillId="0" borderId="1" xfId="0" applyFont="1" applyBorder="1" applyAlignment="1">
      <alignment horizontal="right" indent="1"/>
    </xf>
    <xf numFmtId="0" fontId="0" fillId="0" borderId="22" xfId="0" applyBorder="1" applyAlignment="1">
      <alignment horizontal="center"/>
    </xf>
    <xf numFmtId="0" fontId="15" fillId="0" borderId="3" xfId="0" applyFont="1" applyBorder="1" applyAlignment="1">
      <alignment horizontal="right" indent="6"/>
    </xf>
    <xf numFmtId="184" fontId="0" fillId="0" borderId="0" xfId="1" applyNumberFormat="1" applyFont="1" applyBorder="1" applyAlignment="1">
      <alignment horizontal="center"/>
    </xf>
    <xf numFmtId="184" fontId="0" fillId="0" borderId="0" xfId="1" applyNumberFormat="1" applyFont="1" applyAlignment="1">
      <alignment horizontal="center"/>
    </xf>
    <xf numFmtId="184" fontId="8" fillId="0" borderId="0" xfId="1" applyNumberFormat="1" applyFont="1" applyAlignment="1">
      <alignment horizontal="right"/>
    </xf>
    <xf numFmtId="184" fontId="0" fillId="0" borderId="0" xfId="1" applyNumberFormat="1" applyFont="1" applyAlignment="1">
      <alignment horizontal="right"/>
    </xf>
    <xf numFmtId="184" fontId="8" fillId="0" borderId="0" xfId="1" applyNumberFormat="1" applyFont="1" applyBorder="1" applyAlignment="1">
      <alignment horizontal="right"/>
    </xf>
    <xf numFmtId="184" fontId="8" fillId="0" borderId="0" xfId="1" applyNumberFormat="1" applyFont="1" applyFill="1" applyBorder="1" applyAlignment="1">
      <alignment horizontal="right"/>
    </xf>
    <xf numFmtId="43" fontId="8" fillId="0" borderId="0" xfId="1" applyFont="1" applyAlignment="1">
      <alignment horizontal="right"/>
    </xf>
    <xf numFmtId="43" fontId="0" fillId="0" borderId="0" xfId="1" applyFont="1" applyBorder="1" applyAlignment="1">
      <alignment horizontal="right"/>
    </xf>
    <xf numFmtId="43" fontId="0" fillId="0" borderId="0" xfId="1" applyFont="1" applyAlignment="1">
      <alignment horizontal="right"/>
    </xf>
    <xf numFmtId="43" fontId="0" fillId="0" borderId="0" xfId="1" applyFont="1" applyFill="1" applyAlignment="1">
      <alignment horizontal="right"/>
    </xf>
    <xf numFmtId="49" fontId="0" fillId="0" borderId="16" xfId="0" applyNumberFormat="1" applyBorder="1" applyAlignment="1">
      <alignment horizontal="center"/>
    </xf>
    <xf numFmtId="0" fontId="8" fillId="0" borderId="0" xfId="0" applyFont="1" applyAlignment="1">
      <alignment horizontal="left" indent="1"/>
    </xf>
    <xf numFmtId="4" fontId="0" fillId="0" borderId="0" xfId="0" applyNumberFormat="1"/>
    <xf numFmtId="4" fontId="50" fillId="0" borderId="0" xfId="0" applyNumberFormat="1" applyFont="1"/>
    <xf numFmtId="191" fontId="0" fillId="0" borderId="0" xfId="0" applyNumberFormat="1"/>
    <xf numFmtId="43" fontId="0" fillId="0" borderId="0" xfId="1" applyFont="1" applyFill="1" applyBorder="1" applyAlignment="1">
      <alignment horizontal="right"/>
    </xf>
    <xf numFmtId="0" fontId="50" fillId="0" borderId="0" xfId="0" applyFont="1"/>
    <xf numFmtId="2" fontId="0" fillId="0" borderId="0" xfId="0" applyNumberFormat="1" applyAlignment="1">
      <alignment horizontal="right"/>
    </xf>
    <xf numFmtId="0" fontId="51" fillId="0" borderId="0" xfId="4" applyFont="1"/>
    <xf numFmtId="169" fontId="51" fillId="0" borderId="0" xfId="0" applyNumberFormat="1" applyFont="1"/>
    <xf numFmtId="0" fontId="50" fillId="0" borderId="0" xfId="4" applyFont="1"/>
    <xf numFmtId="167" fontId="50" fillId="0" borderId="0" xfId="0" applyNumberFormat="1" applyFont="1"/>
    <xf numFmtId="0" fontId="50" fillId="0" borderId="0" xfId="0" applyFont="1" applyAlignment="1">
      <alignment horizontal="left"/>
    </xf>
    <xf numFmtId="170" fontId="50" fillId="0" borderId="0" xfId="0" applyNumberFormat="1" applyFont="1"/>
    <xf numFmtId="172" fontId="50" fillId="0" borderId="0" xfId="0" applyNumberFormat="1" applyFont="1"/>
    <xf numFmtId="173" fontId="50" fillId="0" borderId="0" xfId="0" applyNumberFormat="1" applyFont="1" applyAlignment="1">
      <alignment horizontal="left" indent="3"/>
    </xf>
    <xf numFmtId="181" fontId="50" fillId="0" borderId="0" xfId="4" applyNumberFormat="1" applyFont="1"/>
    <xf numFmtId="0" fontId="15" fillId="0" borderId="3" xfId="0" applyFont="1" applyBorder="1" applyAlignment="1">
      <alignment horizontal="centerContinuous"/>
    </xf>
    <xf numFmtId="0" fontId="8" fillId="0" borderId="3" xfId="0" applyFont="1" applyBorder="1" applyAlignment="1">
      <alignment horizontal="centerContinuous"/>
    </xf>
    <xf numFmtId="179" fontId="0" fillId="0" borderId="0" xfId="0" applyNumberFormat="1" applyAlignment="1">
      <alignment horizontal="centerContinuous"/>
    </xf>
    <xf numFmtId="184" fontId="8" fillId="0" borderId="0" xfId="1" applyNumberFormat="1" applyFont="1" applyFill="1" applyAlignment="1">
      <alignment horizontal="right"/>
    </xf>
    <xf numFmtId="184" fontId="0" fillId="0" borderId="0" xfId="1" applyNumberFormat="1" applyFont="1" applyFill="1" applyAlignment="1">
      <alignment horizontal="right"/>
    </xf>
    <xf numFmtId="178" fontId="4" fillId="0" borderId="0" xfId="0" applyNumberFormat="1" applyFont="1" applyAlignment="1">
      <alignment horizontal="right"/>
    </xf>
    <xf numFmtId="164" fontId="50" fillId="0" borderId="0" xfId="0" applyNumberFormat="1" applyFont="1"/>
    <xf numFmtId="178" fontId="0" fillId="0" borderId="0" xfId="0" applyNumberFormat="1" applyAlignment="1">
      <alignment horizontal="right"/>
    </xf>
    <xf numFmtId="175" fontId="0" fillId="0" borderId="0" xfId="0" applyNumberFormat="1" applyAlignment="1">
      <alignment horizontal="right"/>
    </xf>
    <xf numFmtId="187" fontId="0" fillId="0" borderId="0" xfId="0" applyNumberFormat="1" applyAlignment="1">
      <alignment horizontal="right"/>
    </xf>
    <xf numFmtId="178" fontId="0" fillId="0" borderId="1" xfId="0" applyNumberFormat="1" applyBorder="1" applyAlignment="1">
      <alignment horizontal="left" indent="1"/>
    </xf>
    <xf numFmtId="185" fontId="0" fillId="0" borderId="0" xfId="0" applyNumberFormat="1" applyAlignment="1">
      <alignment horizontal="right"/>
    </xf>
    <xf numFmtId="0" fontId="51" fillId="0" borderId="0" xfId="0" applyFont="1"/>
    <xf numFmtId="164" fontId="51" fillId="0" borderId="0" xfId="0" applyNumberFormat="1" applyFont="1"/>
    <xf numFmtId="170" fontId="51" fillId="0" borderId="0" xfId="0" applyNumberFormat="1" applyFont="1"/>
    <xf numFmtId="180" fontId="0" fillId="0" borderId="1" xfId="0" applyNumberFormat="1" applyBorder="1"/>
    <xf numFmtId="0" fontId="1" fillId="0" borderId="0" xfId="62"/>
    <xf numFmtId="170" fontId="51" fillId="0" borderId="0" xfId="0" applyNumberFormat="1" applyFont="1" applyAlignment="1">
      <alignment horizontal="right" indent="1"/>
    </xf>
    <xf numFmtId="0" fontId="50" fillId="0" borderId="1" xfId="0" applyFont="1" applyBorder="1"/>
    <xf numFmtId="172" fontId="50" fillId="0" borderId="1" xfId="0" applyNumberFormat="1" applyFont="1" applyBorder="1"/>
    <xf numFmtId="165" fontId="50" fillId="0" borderId="0" xfId="0" applyNumberFormat="1" applyFont="1" applyAlignment="1">
      <alignment horizontal="right"/>
    </xf>
    <xf numFmtId="2" fontId="51" fillId="0" borderId="0" xfId="0" applyNumberFormat="1" applyFont="1" applyAlignment="1">
      <alignment horizontal="right"/>
    </xf>
    <xf numFmtId="0" fontId="8" fillId="0" borderId="1" xfId="0" applyFont="1" applyBorder="1"/>
    <xf numFmtId="0" fontId="0" fillId="0" borderId="1" xfId="0" quotePrefix="1" applyBorder="1"/>
    <xf numFmtId="165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183" fontId="0" fillId="0" borderId="1" xfId="0" applyNumberFormat="1" applyBorder="1"/>
    <xf numFmtId="164" fontId="0" fillId="0" borderId="1" xfId="0" applyNumberFormat="1" applyBorder="1"/>
    <xf numFmtId="176" fontId="0" fillId="0" borderId="1" xfId="0" applyNumberFormat="1" applyBorder="1"/>
    <xf numFmtId="170" fontId="0" fillId="0" borderId="1" xfId="0" applyNumberFormat="1" applyBorder="1"/>
    <xf numFmtId="170" fontId="0" fillId="0" borderId="0" xfId="0" applyNumberFormat="1" applyAlignment="1">
      <alignment horizontal="center"/>
    </xf>
    <xf numFmtId="166" fontId="0" fillId="0" borderId="1" xfId="0" applyNumberFormat="1" applyBorder="1"/>
    <xf numFmtId="192" fontId="0" fillId="0" borderId="0" xfId="0" applyNumberFormat="1"/>
    <xf numFmtId="0" fontId="50" fillId="0" borderId="1" xfId="0" applyFont="1" applyBorder="1" applyAlignment="1">
      <alignment horizontal="left"/>
    </xf>
    <xf numFmtId="166" fontId="50" fillId="0" borderId="1" xfId="0" applyNumberFormat="1" applyFont="1" applyBorder="1"/>
    <xf numFmtId="176" fontId="50" fillId="0" borderId="1" xfId="0" applyNumberFormat="1" applyFont="1" applyBorder="1"/>
    <xf numFmtId="180" fontId="50" fillId="0" borderId="0" xfId="0" applyNumberFormat="1" applyFont="1"/>
    <xf numFmtId="178" fontId="50" fillId="0" borderId="0" xfId="0" applyNumberFormat="1" applyFont="1" applyAlignment="1">
      <alignment horizontal="right"/>
    </xf>
    <xf numFmtId="188" fontId="0" fillId="0" borderId="1" xfId="0" quotePrefix="1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72" fontId="0" fillId="0" borderId="1" xfId="0" applyNumberFormat="1" applyBorder="1"/>
    <xf numFmtId="173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53" fillId="0" borderId="1" xfId="0" applyFont="1" applyBorder="1"/>
    <xf numFmtId="171" fontId="50" fillId="0" borderId="0" xfId="0" applyNumberFormat="1" applyFont="1"/>
    <xf numFmtId="171" fontId="50" fillId="0" borderId="1" xfId="0" applyNumberFormat="1" applyFont="1" applyBorder="1"/>
    <xf numFmtId="165" fontId="50" fillId="0" borderId="0" xfId="0" applyNumberFormat="1" applyFont="1"/>
    <xf numFmtId="0" fontId="50" fillId="0" borderId="0" xfId="0" applyFont="1" applyAlignment="1">
      <alignment horizontal="right"/>
    </xf>
    <xf numFmtId="0" fontId="50" fillId="0" borderId="0" xfId="0" quotePrefix="1" applyFont="1" applyAlignment="1">
      <alignment horizontal="left"/>
    </xf>
    <xf numFmtId="166" fontId="50" fillId="0" borderId="0" xfId="0" applyNumberFormat="1" applyFont="1"/>
    <xf numFmtId="0" fontId="50" fillId="0" borderId="1" xfId="0" quotePrefix="1" applyFont="1" applyBorder="1" applyAlignment="1">
      <alignment horizontal="left"/>
    </xf>
    <xf numFmtId="179" fontId="50" fillId="0" borderId="0" xfId="0" applyNumberFormat="1" applyFont="1"/>
    <xf numFmtId="179" fontId="50" fillId="0" borderId="1" xfId="0" applyNumberFormat="1" applyFont="1" applyBorder="1"/>
    <xf numFmtId="0" fontId="53" fillId="0" borderId="1" xfId="0" quotePrefix="1" applyFont="1" applyBorder="1" applyAlignment="1">
      <alignment horizontal="left"/>
    </xf>
    <xf numFmtId="193" fontId="0" fillId="0" borderId="0" xfId="0" applyNumberFormat="1"/>
    <xf numFmtId="2" fontId="50" fillId="0" borderId="0" xfId="0" applyNumberFormat="1" applyFont="1"/>
    <xf numFmtId="0" fontId="53" fillId="0" borderId="0" xfId="0" quotePrefix="1" applyFont="1" applyAlignment="1">
      <alignment horizontal="left"/>
    </xf>
    <xf numFmtId="176" fontId="50" fillId="0" borderId="0" xfId="0" applyNumberFormat="1" applyFont="1"/>
    <xf numFmtId="184" fontId="0" fillId="0" borderId="0" xfId="53" applyNumberFormat="1" applyFont="1" applyFill="1"/>
    <xf numFmtId="184" fontId="0" fillId="0" borderId="0" xfId="53" applyNumberFormat="1" applyFont="1" applyFill="1" applyBorder="1"/>
    <xf numFmtId="184" fontId="0" fillId="0" borderId="1" xfId="53" applyNumberFormat="1" applyFont="1" applyFill="1" applyBorder="1"/>
    <xf numFmtId="173" fontId="0" fillId="0" borderId="1" xfId="0" applyNumberFormat="1" applyBorder="1"/>
    <xf numFmtId="174" fontId="0" fillId="0" borderId="1" xfId="0" applyNumberFormat="1" applyBorder="1"/>
    <xf numFmtId="185" fontId="50" fillId="0" borderId="0" xfId="0" applyNumberFormat="1" applyFont="1"/>
    <xf numFmtId="173" fontId="0" fillId="0" borderId="1" xfId="0" applyNumberFormat="1" applyBorder="1" applyAlignment="1">
      <alignment horizontal="left" indent="3"/>
    </xf>
    <xf numFmtId="167" fontId="50" fillId="0" borderId="1" xfId="0" applyNumberFormat="1" applyFont="1" applyBorder="1"/>
    <xf numFmtId="4" fontId="0" fillId="0" borderId="0" xfId="0" applyNumberFormat="1" applyAlignment="1">
      <alignment horizontal="center"/>
    </xf>
    <xf numFmtId="172" fontId="53" fillId="0" borderId="0" xfId="0" applyNumberFormat="1" applyFont="1"/>
    <xf numFmtId="172" fontId="53" fillId="0" borderId="1" xfId="0" applyNumberFormat="1" applyFont="1" applyBorder="1"/>
    <xf numFmtId="0" fontId="80" fillId="0" borderId="0" xfId="0" quotePrefix="1" applyFont="1" applyAlignment="1">
      <alignment horizontal="left"/>
    </xf>
    <xf numFmtId="184" fontId="53" fillId="0" borderId="0" xfId="1" applyNumberFormat="1" applyFont="1" applyFill="1" applyBorder="1" applyAlignment="1">
      <alignment horizontal="center"/>
    </xf>
    <xf numFmtId="184" fontId="53" fillId="0" borderId="1" xfId="1" applyNumberFormat="1" applyFont="1" applyFill="1" applyBorder="1" applyAlignment="1">
      <alignment horizontal="center"/>
    </xf>
    <xf numFmtId="184" fontId="50" fillId="0" borderId="0" xfId="1" applyNumberFormat="1" applyFont="1" applyFill="1" applyBorder="1" applyAlignment="1">
      <alignment horizontal="right"/>
    </xf>
    <xf numFmtId="184" fontId="50" fillId="0" borderId="1" xfId="1" applyNumberFormat="1" applyFont="1" applyFill="1" applyBorder="1" applyAlignment="1">
      <alignment horizontal="right"/>
    </xf>
    <xf numFmtId="184" fontId="0" fillId="0" borderId="0" xfId="0" applyNumberFormat="1"/>
    <xf numFmtId="43" fontId="50" fillId="0" borderId="0" xfId="1" applyFont="1" applyFill="1" applyAlignment="1">
      <alignment horizontal="right"/>
    </xf>
    <xf numFmtId="43" fontId="50" fillId="0" borderId="0" xfId="1" applyFont="1" applyFill="1" applyBorder="1" applyAlignment="1">
      <alignment horizontal="right"/>
    </xf>
    <xf numFmtId="43" fontId="50" fillId="0" borderId="1" xfId="1" applyFont="1" applyFill="1" applyBorder="1" applyAlignment="1">
      <alignment horizontal="right"/>
    </xf>
    <xf numFmtId="194" fontId="0" fillId="0" borderId="0" xfId="0" applyNumberFormat="1"/>
    <xf numFmtId="167" fontId="53" fillId="0" borderId="0" xfId="0" applyNumberFormat="1" applyFont="1"/>
    <xf numFmtId="167" fontId="53" fillId="0" borderId="1" xfId="0" applyNumberFormat="1" applyFont="1" applyBorder="1"/>
    <xf numFmtId="164" fontId="53" fillId="0" borderId="0" xfId="0" applyNumberFormat="1" applyFont="1"/>
    <xf numFmtId="164" fontId="53" fillId="0" borderId="1" xfId="0" applyNumberFormat="1" applyFont="1" applyBorder="1"/>
    <xf numFmtId="182" fontId="53" fillId="0" borderId="0" xfId="0" applyNumberFormat="1" applyFont="1"/>
    <xf numFmtId="182" fontId="53" fillId="0" borderId="1" xfId="0" applyNumberFormat="1" applyFont="1" applyBorder="1"/>
    <xf numFmtId="164" fontId="50" fillId="0" borderId="1" xfId="0" applyNumberFormat="1" applyFont="1" applyBorder="1"/>
    <xf numFmtId="2" fontId="53" fillId="0" borderId="0" xfId="0" applyNumberFormat="1" applyFont="1" applyAlignment="1">
      <alignment horizontal="center"/>
    </xf>
    <xf numFmtId="2" fontId="53" fillId="0" borderId="1" xfId="0" applyNumberFormat="1" applyFont="1" applyBorder="1" applyAlignment="1">
      <alignment horizontal="center"/>
    </xf>
    <xf numFmtId="195" fontId="0" fillId="0" borderId="0" xfId="0" applyNumberFormat="1"/>
    <xf numFmtId="1" fontId="0" fillId="0" borderId="0" xfId="0" applyNumberFormat="1"/>
    <xf numFmtId="2" fontId="50" fillId="0" borderId="0" xfId="0" applyNumberFormat="1" applyFont="1" applyAlignment="1">
      <alignment horizontal="right"/>
    </xf>
    <xf numFmtId="187" fontId="50" fillId="0" borderId="0" xfId="0" applyNumberFormat="1" applyFont="1" applyAlignment="1">
      <alignment horizontal="right"/>
    </xf>
    <xf numFmtId="175" fontId="50" fillId="0" borderId="0" xfId="0" applyNumberFormat="1" applyFont="1" applyAlignment="1">
      <alignment horizontal="right"/>
    </xf>
    <xf numFmtId="2" fontId="50" fillId="0" borderId="1" xfId="0" applyNumberFormat="1" applyFont="1" applyBorder="1" applyAlignment="1">
      <alignment horizontal="right"/>
    </xf>
    <xf numFmtId="178" fontId="50" fillId="0" borderId="1" xfId="0" applyNumberFormat="1" applyFont="1" applyBorder="1" applyAlignment="1">
      <alignment horizontal="right"/>
    </xf>
    <xf numFmtId="187" fontId="50" fillId="0" borderId="1" xfId="0" applyNumberFormat="1" applyFont="1" applyBorder="1" applyAlignment="1">
      <alignment horizontal="right"/>
    </xf>
    <xf numFmtId="175" fontId="50" fillId="0" borderId="1" xfId="0" applyNumberFormat="1" applyFont="1" applyBorder="1" applyAlignment="1">
      <alignment horizontal="right"/>
    </xf>
    <xf numFmtId="2" fontId="50" fillId="0" borderId="0" xfId="0" applyNumberFormat="1" applyFont="1" applyAlignment="1">
      <alignment horizontal="center"/>
    </xf>
    <xf numFmtId="2" fontId="50" fillId="0" borderId="1" xfId="0" applyNumberFormat="1" applyFont="1" applyBorder="1" applyAlignment="1">
      <alignment horizontal="center"/>
    </xf>
    <xf numFmtId="167" fontId="50" fillId="0" borderId="0" xfId="0" applyNumberFormat="1" applyFont="1" applyAlignment="1">
      <alignment horizontal="center"/>
    </xf>
    <xf numFmtId="2" fontId="50" fillId="0" borderId="0" xfId="0" quotePrefix="1" applyNumberFormat="1" applyFont="1" applyAlignment="1">
      <alignment horizontal="center"/>
    </xf>
    <xf numFmtId="167" fontId="50" fillId="0" borderId="1" xfId="0" applyNumberFormat="1" applyFont="1" applyBorder="1" applyAlignment="1">
      <alignment horizontal="center"/>
    </xf>
    <xf numFmtId="2" fontId="50" fillId="0" borderId="1" xfId="0" quotePrefix="1" applyNumberFormat="1" applyFont="1" applyBorder="1" applyAlignment="1">
      <alignment horizontal="center"/>
    </xf>
    <xf numFmtId="177" fontId="50" fillId="0" borderId="0" xfId="0" applyNumberFormat="1" applyFont="1"/>
    <xf numFmtId="177" fontId="50" fillId="0" borderId="1" xfId="0" applyNumberFormat="1" applyFont="1" applyBorder="1"/>
    <xf numFmtId="0" fontId="51" fillId="0" borderId="0" xfId="0" applyFont="1" applyAlignment="1">
      <alignment horizontal="right"/>
    </xf>
    <xf numFmtId="170" fontId="50" fillId="0" borderId="1" xfId="0" applyNumberFormat="1" applyFont="1" applyBorder="1"/>
    <xf numFmtId="179" fontId="50" fillId="0" borderId="0" xfId="0" applyNumberFormat="1" applyFont="1" applyAlignment="1">
      <alignment horizontal="center"/>
    </xf>
    <xf numFmtId="179" fontId="50" fillId="0" borderId="1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43" fontId="0" fillId="0" borderId="0" xfId="0" applyNumberFormat="1"/>
    <xf numFmtId="169" fontId="50" fillId="0" borderId="0" xfId="0" applyNumberFormat="1" applyFont="1"/>
    <xf numFmtId="176" fontId="50" fillId="0" borderId="0" xfId="0" applyNumberFormat="1" applyFont="1" applyAlignment="1">
      <alignment horizontal="center"/>
    </xf>
    <xf numFmtId="176" fontId="50" fillId="0" borderId="1" xfId="0" applyNumberFormat="1" applyFont="1" applyBorder="1" applyAlignment="1">
      <alignment horizontal="center"/>
    </xf>
    <xf numFmtId="170" fontId="50" fillId="0" borderId="0" xfId="0" applyNumberFormat="1" applyFont="1" applyAlignment="1">
      <alignment horizontal="right" indent="1"/>
    </xf>
    <xf numFmtId="170" fontId="50" fillId="0" borderId="1" xfId="0" applyNumberFormat="1" applyFont="1" applyBorder="1" applyAlignment="1">
      <alignment horizontal="right" indent="1"/>
    </xf>
    <xf numFmtId="0" fontId="81" fillId="0" borderId="0" xfId="2" applyFont="1" applyFill="1" applyAlignment="1" applyProtection="1">
      <alignment horizontal="left"/>
    </xf>
    <xf numFmtId="196" fontId="0" fillId="0" borderId="0" xfId="0" applyNumberFormat="1"/>
    <xf numFmtId="197" fontId="0" fillId="0" borderId="0" xfId="0" applyNumberFormat="1"/>
    <xf numFmtId="172" fontId="0" fillId="0" borderId="0" xfId="57" applyNumberFormat="1" applyFont="1"/>
    <xf numFmtId="172" fontId="4" fillId="0" borderId="1" xfId="57" applyNumberFormat="1" applyBorder="1"/>
    <xf numFmtId="172" fontId="0" fillId="0" borderId="1" xfId="57" applyNumberFormat="1" applyFont="1" applyBorder="1"/>
    <xf numFmtId="185" fontId="7" fillId="0" borderId="0" xfId="57" applyNumberFormat="1" applyFont="1" applyAlignment="1">
      <alignment horizontal="center"/>
    </xf>
    <xf numFmtId="185" fontId="7" fillId="0" borderId="1" xfId="57" applyNumberFormat="1" applyFont="1" applyBorder="1" applyAlignment="1">
      <alignment horizontal="center"/>
    </xf>
    <xf numFmtId="179" fontId="4" fillId="0" borderId="1" xfId="57" applyNumberFormat="1" applyBorder="1"/>
    <xf numFmtId="179" fontId="4" fillId="0" borderId="0" xfId="0" applyNumberFormat="1" applyFont="1"/>
    <xf numFmtId="167" fontId="0" fillId="0" borderId="1" xfId="0" applyNumberFormat="1" applyBorder="1" applyAlignment="1">
      <alignment horizontal="center"/>
    </xf>
    <xf numFmtId="2" fontId="8" fillId="0" borderId="0" xfId="4" applyNumberFormat="1"/>
    <xf numFmtId="176" fontId="82" fillId="0" borderId="0" xfId="0" applyNumberFormat="1" applyFont="1"/>
    <xf numFmtId="2" fontId="0" fillId="0" borderId="0" xfId="4" applyNumberFormat="1" applyFont="1"/>
    <xf numFmtId="198" fontId="0" fillId="0" borderId="0" xfId="0" applyNumberFormat="1"/>
    <xf numFmtId="179" fontId="50" fillId="0" borderId="0" xfId="57" applyNumberFormat="1" applyFont="1"/>
    <xf numFmtId="0" fontId="53" fillId="0" borderId="0" xfId="0" quotePrefix="1" applyFont="1"/>
    <xf numFmtId="0" fontId="79" fillId="0" borderId="0" xfId="0" applyFont="1"/>
    <xf numFmtId="165" fontId="50" fillId="0" borderId="0" xfId="0" applyNumberFormat="1" applyFont="1" applyAlignment="1">
      <alignment horizontal="left"/>
    </xf>
    <xf numFmtId="0" fontId="53" fillId="0" borderId="0" xfId="0" applyFont="1" applyAlignment="1">
      <alignment horizontal="centerContinuous"/>
    </xf>
    <xf numFmtId="0" fontId="79" fillId="0" borderId="0" xfId="0" applyFont="1" applyAlignment="1">
      <alignment horizontal="centerContinuous"/>
    </xf>
    <xf numFmtId="0" fontId="50" fillId="0" borderId="0" xfId="0" applyFont="1" applyAlignment="1">
      <alignment horizontal="centerContinuous"/>
    </xf>
    <xf numFmtId="0" fontId="83" fillId="0" borderId="0" xfId="0" applyFont="1" applyAlignment="1">
      <alignment horizontal="right" vertical="top" wrapText="1" readingOrder="1"/>
    </xf>
    <xf numFmtId="172" fontId="79" fillId="0" borderId="0" xfId="0" applyNumberFormat="1" applyFont="1"/>
    <xf numFmtId="0" fontId="50" fillId="0" borderId="0" xfId="0" quotePrefix="1" applyFont="1"/>
    <xf numFmtId="0" fontId="83" fillId="0" borderId="0" xfId="0" applyFont="1" applyAlignment="1">
      <alignment vertical="top" readingOrder="1"/>
    </xf>
    <xf numFmtId="199" fontId="0" fillId="0" borderId="0" xfId="0" applyNumberFormat="1"/>
    <xf numFmtId="178" fontId="4" fillId="0" borderId="0" xfId="0" applyNumberFormat="1" applyFont="1" applyAlignment="1">
      <alignment horizontal="center"/>
    </xf>
    <xf numFmtId="187" fontId="0" fillId="0" borderId="0" xfId="0" applyNumberFormat="1" applyAlignment="1">
      <alignment horizontal="center"/>
    </xf>
    <xf numFmtId="178" fontId="51" fillId="0" borderId="0" xfId="0" applyNumberFormat="1" applyFont="1"/>
    <xf numFmtId="178" fontId="50" fillId="0" borderId="0" xfId="0" applyNumberFormat="1" applyFont="1"/>
    <xf numFmtId="0" fontId="82" fillId="0" borderId="0" xfId="0" applyFont="1"/>
    <xf numFmtId="0" fontId="50" fillId="0" borderId="0" xfId="0" applyFont="1" applyAlignment="1">
      <alignment horizontal="left" indent="1"/>
    </xf>
    <xf numFmtId="178" fontId="50" fillId="0" borderId="1" xfId="0" applyNumberFormat="1" applyFont="1" applyBorder="1"/>
    <xf numFmtId="179" fontId="50" fillId="0" borderId="0" xfId="0" applyNumberFormat="1" applyFont="1" applyAlignment="1">
      <alignment horizontal="right"/>
    </xf>
    <xf numFmtId="0" fontId="52" fillId="0" borderId="0" xfId="4" applyFont="1"/>
    <xf numFmtId="2" fontId="52" fillId="0" borderId="0" xfId="4" applyNumberFormat="1" applyFont="1"/>
    <xf numFmtId="200" fontId="0" fillId="0" borderId="0" xfId="1" applyNumberFormat="1" applyFont="1"/>
    <xf numFmtId="43" fontId="0" fillId="0" borderId="0" xfId="1" applyFont="1"/>
    <xf numFmtId="3" fontId="84" fillId="0" borderId="0" xfId="0" applyNumberFormat="1" applyFont="1"/>
    <xf numFmtId="179" fontId="0" fillId="0" borderId="1" xfId="0" applyNumberFormat="1" applyBorder="1"/>
    <xf numFmtId="201" fontId="50" fillId="0" borderId="0" xfId="0" applyNumberFormat="1" applyFont="1"/>
    <xf numFmtId="0" fontId="85" fillId="0" borderId="0" xfId="0" applyFont="1" applyAlignment="1">
      <alignment horizontal="left"/>
    </xf>
    <xf numFmtId="2" fontId="0" fillId="0" borderId="0" xfId="4" applyNumberFormat="1" applyFont="1" applyAlignment="1">
      <alignment horizontal="right"/>
    </xf>
    <xf numFmtId="0" fontId="0" fillId="0" borderId="0" xfId="4" applyFont="1" applyAlignment="1">
      <alignment horizontal="right"/>
    </xf>
    <xf numFmtId="2" fontId="8" fillId="0" borderId="1" xfId="4" applyNumberFormat="1" applyBorder="1"/>
    <xf numFmtId="2" fontId="0" fillId="0" borderId="1" xfId="4" applyNumberFormat="1" applyFont="1" applyBorder="1"/>
    <xf numFmtId="169" fontId="0" fillId="0" borderId="0" xfId="0" applyNumberFormat="1" applyAlignment="1">
      <alignment horizontal="right"/>
    </xf>
    <xf numFmtId="184" fontId="0" fillId="0" borderId="0" xfId="1" applyNumberFormat="1" applyFont="1" applyFill="1"/>
    <xf numFmtId="37" fontId="0" fillId="0" borderId="0" xfId="0" applyNumberFormat="1"/>
    <xf numFmtId="169" fontId="8" fillId="0" borderId="0" xfId="0" applyNumberFormat="1" applyFont="1"/>
    <xf numFmtId="2" fontId="4" fillId="0" borderId="0" xfId="4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51" fillId="0" borderId="0" xfId="0" applyNumberFormat="1" applyFont="1"/>
    <xf numFmtId="181" fontId="50" fillId="0" borderId="0" xfId="0" applyNumberFormat="1" applyFont="1" applyAlignment="1">
      <alignment horizontal="right"/>
    </xf>
    <xf numFmtId="37" fontId="50" fillId="0" borderId="0" xfId="0" applyNumberFormat="1" applyFont="1"/>
    <xf numFmtId="184" fontId="50" fillId="0" borderId="0" xfId="1" applyNumberFormat="1" applyFont="1" applyFill="1"/>
    <xf numFmtId="0" fontId="49" fillId="0" borderId="0" xfId="4" applyFont="1"/>
    <xf numFmtId="39" fontId="0" fillId="0" borderId="0" xfId="0" applyNumberFormat="1"/>
    <xf numFmtId="169" fontId="50" fillId="0" borderId="0" xfId="0" applyNumberFormat="1" applyFont="1" applyAlignment="1">
      <alignment horizontal="right"/>
    </xf>
    <xf numFmtId="194" fontId="50" fillId="0" borderId="0" xfId="0" applyNumberFormat="1" applyFont="1" applyAlignment="1">
      <alignment horizontal="right"/>
    </xf>
    <xf numFmtId="0" fontId="53" fillId="0" borderId="0" xfId="4" applyFont="1"/>
    <xf numFmtId="0" fontId="86" fillId="0" borderId="0" xfId="4" applyFont="1"/>
    <xf numFmtId="2" fontId="86" fillId="0" borderId="0" xfId="4" applyNumberFormat="1" applyFont="1"/>
    <xf numFmtId="2" fontId="49" fillId="0" borderId="0" xfId="4" applyNumberFormat="1" applyFont="1"/>
    <xf numFmtId="0" fontId="0" fillId="0" borderId="0" xfId="4" applyFont="1"/>
    <xf numFmtId="190" fontId="48" fillId="0" borderId="0" xfId="0" applyNumberFormat="1" applyFont="1" applyAlignment="1">
      <alignment horizontal="right"/>
    </xf>
    <xf numFmtId="0" fontId="8" fillId="0" borderId="2" xfId="0" applyFont="1" applyBorder="1" applyAlignment="1">
      <alignment horizontal="center"/>
    </xf>
    <xf numFmtId="0" fontId="53" fillId="0" borderId="2" xfId="0" applyFont="1" applyBorder="1" applyAlignment="1">
      <alignment horizontal="center"/>
    </xf>
    <xf numFmtId="172" fontId="50" fillId="0" borderId="0" xfId="0" applyNumberFormat="1" applyFont="1" applyAlignment="1">
      <alignment horizontal="center"/>
    </xf>
    <xf numFmtId="0" fontId="50" fillId="0" borderId="2" xfId="0" applyFont="1" applyBorder="1" applyAlignment="1">
      <alignment horizontal="center"/>
    </xf>
    <xf numFmtId="0" fontId="50" fillId="0" borderId="2" xfId="0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3" fillId="0" borderId="2" xfId="0" quotePrefix="1" applyFont="1" applyBorder="1" applyAlignment="1">
      <alignment horizontal="center" vertical="center"/>
    </xf>
    <xf numFmtId="172" fontId="50" fillId="0" borderId="0" xfId="0" applyNumberFormat="1" applyFont="1" applyAlignment="1">
      <alignment horizontal="right" vertical="center"/>
    </xf>
    <xf numFmtId="172" fontId="50" fillId="0" borderId="1" xfId="0" applyNumberFormat="1" applyFont="1" applyBorder="1" applyAlignment="1">
      <alignment horizontal="right" vertical="center"/>
    </xf>
    <xf numFmtId="172" fontId="50" fillId="0" borderId="0" xfId="0" applyNumberFormat="1" applyFont="1" applyAlignment="1">
      <alignment horizontal="right"/>
    </xf>
    <xf numFmtId="172" fontId="50" fillId="0" borderId="1" xfId="0" applyNumberFormat="1" applyFont="1" applyBorder="1" applyAlignment="1">
      <alignment horizontal="right"/>
    </xf>
    <xf numFmtId="179" fontId="50" fillId="0" borderId="1" xfId="0" applyNumberFormat="1" applyFont="1" applyBorder="1" applyAlignment="1">
      <alignment horizontal="right"/>
    </xf>
    <xf numFmtId="0" fontId="0" fillId="0" borderId="15" xfId="0" applyBorder="1"/>
    <xf numFmtId="0" fontId="10" fillId="0" borderId="0" xfId="2" applyFill="1" applyAlignment="1" applyProtection="1">
      <alignment horizontal="left"/>
    </xf>
    <xf numFmtId="0" fontId="10" fillId="0" borderId="0" xfId="2" quotePrefix="1" applyFill="1" applyAlignment="1" applyProtection="1">
      <alignment horizontal="left"/>
    </xf>
    <xf numFmtId="0" fontId="0" fillId="0" borderId="0" xfId="0" applyAlignment="1">
      <alignment horizontal="left" wrapText="1"/>
    </xf>
    <xf numFmtId="0" fontId="15" fillId="0" borderId="3" xfId="0" applyFont="1" applyBorder="1" applyAlignment="1">
      <alignment horizontal="center"/>
    </xf>
  </cellXfs>
  <cellStyles count="284">
    <cellStyle name="20% - Accent1" xfId="23" builtinId="30" customBuiltin="1"/>
    <cellStyle name="20% - Accent1 2" xfId="66" xr:uid="{D62768DF-D833-4D60-AF27-DD05F5775990}"/>
    <cellStyle name="20% - Accent1 2 2" xfId="106" xr:uid="{E4A3BDFC-CEE5-42A2-8E3A-B468A0C3B28C}"/>
    <cellStyle name="20% - Accent1 2 2 2" xfId="242" xr:uid="{2C92C8DE-CB26-46E7-87D1-5AD21F716F17}"/>
    <cellStyle name="20% - Accent1 2 3" xfId="163" xr:uid="{0A93BA2E-5EB2-4354-8D61-1569A477165F}"/>
    <cellStyle name="20% - Accent1 2 3 2" xfId="276" xr:uid="{6C1D35A3-306C-4D5A-B4B6-55AF468A3660}"/>
    <cellStyle name="20% - Accent1 2 4" xfId="231" xr:uid="{22F586C9-0DE5-4540-9B09-CC676F49DF9F}"/>
    <cellStyle name="20% - Accent1 3" xfId="107" xr:uid="{937BAF27-7C84-4716-AE6C-4EA4C8DF7AAD}"/>
    <cellStyle name="20% - Accent1 3 2" xfId="243" xr:uid="{F9426D82-1551-4FD6-8A16-05F78A0EC481}"/>
    <cellStyle name="20% - Accent1 4" xfId="172" xr:uid="{DEE4A846-6F4E-4DB1-8D8F-F87DF35EADCE}"/>
    <cellStyle name="20% - Accent1 5" xfId="218" xr:uid="{8E5028EC-B529-44B4-A432-E60BFA99BF82}"/>
    <cellStyle name="20% - Accent2" xfId="27" builtinId="34" customBuiltin="1"/>
    <cellStyle name="20% - Accent2 2" xfId="69" xr:uid="{3B39F317-EDDE-4950-9E83-B9FAFE842A93}"/>
    <cellStyle name="20% - Accent2 2 2" xfId="108" xr:uid="{9D40DDE9-DE42-4E2D-8578-289C3F6C30A4}"/>
    <cellStyle name="20% - Accent2 2 2 2" xfId="244" xr:uid="{6F6D2576-7DD7-4994-8093-B164E0CEED7F}"/>
    <cellStyle name="20% - Accent2 2 3" xfId="164" xr:uid="{0776443C-94FB-4E7F-8813-CC67D7AF6447}"/>
    <cellStyle name="20% - Accent2 2 3 2" xfId="277" xr:uid="{98378663-FB76-4DBB-957E-AEF6B82EC523}"/>
    <cellStyle name="20% - Accent2 2 4" xfId="232" xr:uid="{6DB74551-3AD4-405C-AF33-4AB22B95C455}"/>
    <cellStyle name="20% - Accent2 3" xfId="109" xr:uid="{215BE560-F362-4F47-AB41-16D537180231}"/>
    <cellStyle name="20% - Accent2 3 2" xfId="245" xr:uid="{FAB80479-F4C2-46CC-B050-EBB38DC7B5DD}"/>
    <cellStyle name="20% - Accent2 4" xfId="173" xr:uid="{7F34BBE2-DE4B-4BF5-82A6-F75D809D8DA5}"/>
    <cellStyle name="20% - Accent2 5" xfId="220" xr:uid="{8272BF2A-6933-49F6-8BDC-4BF0C858CBCA}"/>
    <cellStyle name="20% - Accent3" xfId="31" builtinId="38" customBuiltin="1"/>
    <cellStyle name="20% - Accent3 2" xfId="72" xr:uid="{5B2097E4-168F-4A70-B8B3-358C8DE26451}"/>
    <cellStyle name="20% - Accent3 2 2" xfId="110" xr:uid="{BFA5845D-6477-4E05-BAE0-BFC679A3586B}"/>
    <cellStyle name="20% - Accent3 2 2 2" xfId="246" xr:uid="{3FAE8260-3209-41DB-9858-58455A13C8C3}"/>
    <cellStyle name="20% - Accent3 2 3" xfId="165" xr:uid="{F19BF3CE-5643-4428-88F7-F694A0FFE625}"/>
    <cellStyle name="20% - Accent3 2 3 2" xfId="278" xr:uid="{1DE2B4EC-E99C-4B5D-8973-93F90C25952D}"/>
    <cellStyle name="20% - Accent3 2 4" xfId="233" xr:uid="{16456890-EF40-45B0-87C5-7C4B01EF4630}"/>
    <cellStyle name="20% - Accent3 3" xfId="111" xr:uid="{AF2E9321-0DF3-49C2-9AEC-C09C6811289F}"/>
    <cellStyle name="20% - Accent3 3 2" xfId="247" xr:uid="{47AA7A35-00CA-4593-8F65-E4235514E6FF}"/>
    <cellStyle name="20% - Accent3 4" xfId="174" xr:uid="{A35D1974-DD22-4272-919D-8C0E7B929245}"/>
    <cellStyle name="20% - Accent3 5" xfId="222" xr:uid="{81121C02-6FD4-4465-A847-C40ECBFEA487}"/>
    <cellStyle name="20% - Accent4" xfId="35" builtinId="42" customBuiltin="1"/>
    <cellStyle name="20% - Accent4 2" xfId="75" xr:uid="{D30B987A-C4F8-4B65-BBF0-67C89EAB9809}"/>
    <cellStyle name="20% - Accent4 2 2" xfId="112" xr:uid="{553E093B-4602-40C7-9BD5-11E4F7083D28}"/>
    <cellStyle name="20% - Accent4 2 2 2" xfId="248" xr:uid="{0E31CAE2-9BD7-459A-9D92-7439045D60A3}"/>
    <cellStyle name="20% - Accent4 2 3" xfId="166" xr:uid="{F0888A4B-5858-4E8D-B13E-8D6D063A7D6A}"/>
    <cellStyle name="20% - Accent4 2 3 2" xfId="279" xr:uid="{0AAE4AC5-4DE8-4328-A1F6-52A80F1EF957}"/>
    <cellStyle name="20% - Accent4 2 4" xfId="234" xr:uid="{E3AD3017-A0B0-4438-A00F-057424C03666}"/>
    <cellStyle name="20% - Accent4 3" xfId="113" xr:uid="{F63ABB35-CF4C-4091-BBF4-8A685987214B}"/>
    <cellStyle name="20% - Accent4 3 2" xfId="249" xr:uid="{B52C7CA1-2E45-4C6A-85B6-07B42F850D75}"/>
    <cellStyle name="20% - Accent4 4" xfId="175" xr:uid="{F159726E-F7E5-4128-8EC5-88094BD6BEAE}"/>
    <cellStyle name="20% - Accent4 5" xfId="224" xr:uid="{D27BBDAA-C16D-431F-9FFD-525BE66A1E7D}"/>
    <cellStyle name="20% - Accent5" xfId="39" builtinId="46" customBuiltin="1"/>
    <cellStyle name="20% - Accent5 2" xfId="79" xr:uid="{AD1042AE-B199-4350-8201-77CB4CFFF20E}"/>
    <cellStyle name="20% - Accent5 2 2" xfId="250" xr:uid="{1B246458-80F6-4FE5-BB8F-F51E3E9AACEC}"/>
    <cellStyle name="20% - Accent5 3" xfId="156" xr:uid="{2D2CC1DC-0CF8-44EE-8602-B123F171C637}"/>
    <cellStyle name="20% - Accent5 3 2" xfId="270" xr:uid="{397344B9-FA60-4FD9-A805-AE5943B7DA2C}"/>
    <cellStyle name="20% - Accent5 4" xfId="176" xr:uid="{50F513B6-7CE1-469B-A9CB-B2B90DAADFD5}"/>
    <cellStyle name="20% - Accent5 5" xfId="226" xr:uid="{B9685B44-ACDE-4391-9F88-AC50FC155E06}"/>
    <cellStyle name="20% - Accent6" xfId="43" builtinId="50" customBuiltin="1"/>
    <cellStyle name="20% - Accent6 2" xfId="82" xr:uid="{9032551F-CAE7-4454-A0C4-89A0711CDA3B}"/>
    <cellStyle name="20% - Accent6 2 2" xfId="251" xr:uid="{4664764A-CA37-44EE-B9C1-446FD39D2591}"/>
    <cellStyle name="20% - Accent6 3" xfId="158" xr:uid="{E244292C-5497-4CF7-8702-8A746D067147}"/>
    <cellStyle name="20% - Accent6 3 2" xfId="272" xr:uid="{1266BD94-F752-4F1B-98C7-35056DEB27EE}"/>
    <cellStyle name="20% - Accent6 4" xfId="177" xr:uid="{92EE93E5-B98F-4144-854E-6341886B6A6B}"/>
    <cellStyle name="20% - Accent6 5" xfId="228" xr:uid="{356E0720-8D11-40D1-B4E7-27B856B34109}"/>
    <cellStyle name="40% - Accent1" xfId="24" builtinId="31" customBuiltin="1"/>
    <cellStyle name="40% - Accent1 2" xfId="67" xr:uid="{CB393EEF-29E2-499F-B748-C4BDE2CC0A15}"/>
    <cellStyle name="40% - Accent1 2 2" xfId="252" xr:uid="{E2404380-F1A8-419B-8723-858BA016778B}"/>
    <cellStyle name="40% - Accent1 3" xfId="153" xr:uid="{2A61CD57-59DC-43FC-A9F5-F42AC7E72400}"/>
    <cellStyle name="40% - Accent1 3 2" xfId="267" xr:uid="{75A25300-9EFE-452B-AF78-A23616F45ED2}"/>
    <cellStyle name="40% - Accent1 4" xfId="178" xr:uid="{A250B1CD-4607-49E9-AF8E-F2C7ED0E5BED}"/>
    <cellStyle name="40% - Accent1 5" xfId="219" xr:uid="{13150A5C-06EC-4359-9E37-89576F97B6B6}"/>
    <cellStyle name="40% - Accent2" xfId="28" builtinId="35" customBuiltin="1"/>
    <cellStyle name="40% - Accent2 2" xfId="70" xr:uid="{866D8A5C-18D2-44B3-8E13-473DA3397776}"/>
    <cellStyle name="40% - Accent2 2 2" xfId="253" xr:uid="{39982374-6D55-49BD-AAAA-1B38657067BF}"/>
    <cellStyle name="40% - Accent2 3" xfId="154" xr:uid="{6B2DE638-210E-40A5-934E-CFE8E15FC494}"/>
    <cellStyle name="40% - Accent2 3 2" xfId="268" xr:uid="{CD72DB16-F3B5-44F0-B5E6-DDA9CDFA3AAC}"/>
    <cellStyle name="40% - Accent2 4" xfId="179" xr:uid="{1866BD99-8ED1-4A36-896C-195F8384E207}"/>
    <cellStyle name="40% - Accent2 5" xfId="221" xr:uid="{F534652B-262C-4854-BF8E-018F7437C3B6}"/>
    <cellStyle name="40% - Accent3" xfId="32" builtinId="39" customBuiltin="1"/>
    <cellStyle name="40% - Accent3 2" xfId="73" xr:uid="{6FE82381-D8A0-421C-8AD9-0FD21CA97295}"/>
    <cellStyle name="40% - Accent3 2 2" xfId="114" xr:uid="{BCD2B8E4-A44B-42A4-8D0E-D7FA5AC13BB1}"/>
    <cellStyle name="40% - Accent3 2 2 2" xfId="254" xr:uid="{F44FBD74-F8C1-4053-A403-DA7136DBA63C}"/>
    <cellStyle name="40% - Accent3 2 3" xfId="167" xr:uid="{3337D8FB-08C3-4A82-91D9-504CEA66AB44}"/>
    <cellStyle name="40% - Accent3 2 3 2" xfId="280" xr:uid="{B100B9D6-114B-4C82-A621-0DE4DBFA747E}"/>
    <cellStyle name="40% - Accent3 2 4" xfId="235" xr:uid="{81124DEC-F277-403D-9F6A-16CB9B08E351}"/>
    <cellStyle name="40% - Accent3 3" xfId="115" xr:uid="{9DDF376F-97E0-4B00-995B-7E5239AEB01E}"/>
    <cellStyle name="40% - Accent3 3 2" xfId="255" xr:uid="{B7225C46-7643-4978-AE8A-ABC55FF8E003}"/>
    <cellStyle name="40% - Accent3 4" xfId="180" xr:uid="{0522CB2A-2107-42E1-9D25-4255D2FF7E4F}"/>
    <cellStyle name="40% - Accent3 5" xfId="223" xr:uid="{21179E98-24B5-4DD2-B26B-038281908FAD}"/>
    <cellStyle name="40% - Accent4" xfId="36" builtinId="43" customBuiltin="1"/>
    <cellStyle name="40% - Accent4 2" xfId="76" xr:uid="{80AFF5B6-6B5F-48B2-8E39-31C547B6E878}"/>
    <cellStyle name="40% - Accent4 2 2" xfId="256" xr:uid="{8BE76749-9D06-4B83-8BC9-13B0A611B07C}"/>
    <cellStyle name="40% - Accent4 3" xfId="155" xr:uid="{8EA9703D-BA6B-4EC4-B0DC-44B71A7377BF}"/>
    <cellStyle name="40% - Accent4 3 2" xfId="269" xr:uid="{59ADBB21-682E-4AC8-BF51-A47C2C84248F}"/>
    <cellStyle name="40% - Accent4 4" xfId="181" xr:uid="{51E11ADF-2A59-47F2-9D1D-D15D8BDC3C83}"/>
    <cellStyle name="40% - Accent4 5" xfId="225" xr:uid="{2F5C512B-79BD-4652-AD95-247D0B4AFCD1}"/>
    <cellStyle name="40% - Accent5" xfId="40" builtinId="47" customBuiltin="1"/>
    <cellStyle name="40% - Accent5 2" xfId="80" xr:uid="{8910073C-ED7E-40F9-A2B5-799538B4A72B}"/>
    <cellStyle name="40% - Accent5 2 2" xfId="257" xr:uid="{365B7FB0-0860-4E4A-978E-44C7FD38B56D}"/>
    <cellStyle name="40% - Accent5 3" xfId="157" xr:uid="{0BBE69EA-F401-440B-9228-31AE779E64A8}"/>
    <cellStyle name="40% - Accent5 3 2" xfId="271" xr:uid="{E53C2590-895E-43F5-BDA6-CC891F8C0083}"/>
    <cellStyle name="40% - Accent5 4" xfId="182" xr:uid="{154A24C5-604A-4329-90BA-48AEE4D25A09}"/>
    <cellStyle name="40% - Accent5 5" xfId="227" xr:uid="{A7696CBE-3874-4EB4-82FA-BA73D65DD24D}"/>
    <cellStyle name="40% - Accent6" xfId="44" builtinId="51" customBuiltin="1"/>
    <cellStyle name="40% - Accent6 2" xfId="83" xr:uid="{5ECEFFDB-F992-4483-A27E-B295D1A39E31}"/>
    <cellStyle name="40% - Accent6 2 2" xfId="258" xr:uid="{4C4C77D4-EE78-4EED-86EE-012ABDE6A4A4}"/>
    <cellStyle name="40% - Accent6 3" xfId="159" xr:uid="{90A7FC4B-36F6-459A-A1E7-48AE4B896D13}"/>
    <cellStyle name="40% - Accent6 3 2" xfId="273" xr:uid="{ADEA273E-D01C-4DC8-B19C-28B024439EC9}"/>
    <cellStyle name="40% - Accent6 4" xfId="183" xr:uid="{91024A6F-86CB-4F37-A741-E28788B3F7C0}"/>
    <cellStyle name="40% - Accent6 5" xfId="229" xr:uid="{A0A8AA75-7C74-42C8-BDEB-83BEE164F8EB}"/>
    <cellStyle name="60% - Accent1" xfId="25" builtinId="32" customBuiltin="1"/>
    <cellStyle name="60% - Accent1 2" xfId="68" xr:uid="{DB2EEBA6-74E8-47AC-B88E-D0555153A3DC}"/>
    <cellStyle name="60% - Accent1 2 2" xfId="184" xr:uid="{F6BC5597-A54D-4D66-9D2E-C60A248A5A4A}"/>
    <cellStyle name="60% - Accent2" xfId="29" builtinId="36" customBuiltin="1"/>
    <cellStyle name="60% - Accent2 2" xfId="71" xr:uid="{9DD9AD1A-2E5F-4648-9232-525627ABF7DF}"/>
    <cellStyle name="60% - Accent2 2 2" xfId="185" xr:uid="{3D45C180-5A60-48F2-9740-EA1D52B1D629}"/>
    <cellStyle name="60% - Accent3" xfId="33" builtinId="40" customBuiltin="1"/>
    <cellStyle name="60% - Accent3 2" xfId="74" xr:uid="{E89E01EB-ECAA-4A82-9601-A1AB6F83DDB3}"/>
    <cellStyle name="60% - Accent3 2 2" xfId="85" xr:uid="{0CBCDEF4-F64B-4559-B5EC-B51FB1BAE213}"/>
    <cellStyle name="60% - Accent3 3" xfId="116" xr:uid="{CEE786B8-C913-4049-994E-65A26285C6EA}"/>
    <cellStyle name="60% - Accent3 4" xfId="186" xr:uid="{D645BD08-E39C-4C25-B580-C2A63031CFC5}"/>
    <cellStyle name="60% - Accent4" xfId="37" builtinId="44" customBuiltin="1"/>
    <cellStyle name="60% - Accent4 2" xfId="77" xr:uid="{1231B2BF-F23A-4A4B-8FA7-6B1D6241B57B}"/>
    <cellStyle name="60% - Accent4 2 2" xfId="91" xr:uid="{B8FCBB77-DC1C-4DE3-BC16-6BDE96634F89}"/>
    <cellStyle name="60% - Accent4 3" xfId="117" xr:uid="{A4B9AFA1-F4B0-490A-A433-3EE249D0A392}"/>
    <cellStyle name="60% - Accent4 4" xfId="187" xr:uid="{CD0CDA9A-1F7B-4E92-99F3-BD762A7CCADB}"/>
    <cellStyle name="60% - Accent5" xfId="41" builtinId="48" customBuiltin="1"/>
    <cellStyle name="60% - Accent5 2" xfId="81" xr:uid="{9D11E30F-2738-4107-9088-5034FBF6A06D}"/>
    <cellStyle name="60% - Accent5 2 2" xfId="188" xr:uid="{4CF3EA48-69BD-4B64-9372-EC0B1C18B2FC}"/>
    <cellStyle name="60% - Accent6" xfId="45" builtinId="52" customBuiltin="1"/>
    <cellStyle name="60% - Accent6 2" xfId="84" xr:uid="{2C5602E1-8F67-4F5C-8546-E7B3AE7D5CC2}"/>
    <cellStyle name="60% - Accent6 2 2" xfId="94" xr:uid="{23993680-B6F6-4F89-9386-5AA249017C75}"/>
    <cellStyle name="60% - Accent6 3" xfId="118" xr:uid="{755ABA0B-B885-41C2-B3DF-848182688E69}"/>
    <cellStyle name="60% - Accent6 4" xfId="189" xr:uid="{2C19E2BF-387A-4A77-B85D-69093093D120}"/>
    <cellStyle name="Accent1" xfId="22" builtinId="29" customBuiltin="1"/>
    <cellStyle name="Accent1 2" xfId="190" xr:uid="{DF645C36-4F57-419F-A749-DA791B761D68}"/>
    <cellStyle name="Accent2" xfId="26" builtinId="33" customBuiltin="1"/>
    <cellStyle name="Accent2 2" xfId="191" xr:uid="{89BCE584-1F72-41E5-B96D-87C74C963740}"/>
    <cellStyle name="Accent3" xfId="30" builtinId="37" customBuiltin="1"/>
    <cellStyle name="Accent3 2" xfId="192" xr:uid="{8B7C847B-1B82-4DE8-B31F-D52983AAD7CA}"/>
    <cellStyle name="Accent4" xfId="34" builtinId="41" customBuiltin="1"/>
    <cellStyle name="Accent4 2" xfId="193" xr:uid="{9F84CAED-68B2-4602-B1F6-9FC057F9BB90}"/>
    <cellStyle name="Accent5" xfId="38" builtinId="45" customBuiltin="1"/>
    <cellStyle name="Accent5 2" xfId="194" xr:uid="{8AC86068-9E86-4155-B049-A7D36E058F1F}"/>
    <cellStyle name="Accent6" xfId="42" builtinId="49" customBuiltin="1"/>
    <cellStyle name="Accent6 2" xfId="195" xr:uid="{E6144148-A1EE-42DB-BA76-91BF54364FC1}"/>
    <cellStyle name="Bad" xfId="12" builtinId="27" customBuiltin="1"/>
    <cellStyle name="Bad 2" xfId="196" xr:uid="{AC46B52D-F852-48DF-9824-A4692CEBAD2E}"/>
    <cellStyle name="Calculation" xfId="16" builtinId="22" customBuiltin="1"/>
    <cellStyle name="Calculation 2" xfId="197" xr:uid="{EB3F58F8-9EC2-47C9-83E6-D78A730A699E}"/>
    <cellStyle name="Check Cell" xfId="18" builtinId="23" customBuiltin="1"/>
    <cellStyle name="Check Cell 2" xfId="198" xr:uid="{6D60F205-FD44-44A9-B9EE-9FD488931A48}"/>
    <cellStyle name="Comma" xfId="1" builtinId="3"/>
    <cellStyle name="Comma 10" xfId="87" xr:uid="{114A2D8A-BA51-4C5B-A0C6-E66917DA5566}"/>
    <cellStyle name="Comma 11" xfId="120" xr:uid="{4F020EF8-23DD-42D0-BC28-9B8BD3617717}"/>
    <cellStyle name="Comma 12" xfId="121" xr:uid="{89CF2C9F-C10A-4BBE-BB7B-3F873A29D3F2}"/>
    <cellStyle name="Comma 13" xfId="122" xr:uid="{B3557604-9AD5-420F-B3B1-57F891B49A2B}"/>
    <cellStyle name="Comma 14" xfId="123" xr:uid="{9A45980D-0570-4178-A93D-BFF3B145534D}"/>
    <cellStyle name="Comma 15" xfId="124" xr:uid="{423C4C15-F684-4FAE-A6FE-D03DF74F5298}"/>
    <cellStyle name="Comma 16" xfId="125" xr:uid="{B5F9E080-2B63-46BB-8BC6-5F13588641D7}"/>
    <cellStyle name="Comma 17" xfId="126" xr:uid="{3D6CE9E0-C98D-4618-B4A7-8700EB6F271F}"/>
    <cellStyle name="Comma 18" xfId="119" xr:uid="{F0F25E6B-E823-4B4F-9133-4F328286D9E8}"/>
    <cellStyle name="Comma 19" xfId="161" xr:uid="{773EA17E-71FF-45FC-BFC3-53589803A15A}"/>
    <cellStyle name="Comma 19 2" xfId="275" xr:uid="{4E77D97A-5EF2-464B-866F-4351FE48B459}"/>
    <cellStyle name="Comma 2" xfId="53" xr:uid="{00000000-0005-0000-0000-00001C000000}"/>
    <cellStyle name="Comma 2 2" xfId="127" xr:uid="{7007088E-0525-4C8B-A94B-B60902FE4989}"/>
    <cellStyle name="Comma 2 2 2" xfId="259" xr:uid="{2499F70A-588C-4569-BED3-79575599A1AF}"/>
    <cellStyle name="Comma 2 3" xfId="168" xr:uid="{2220800F-6C95-4535-8781-F784F133A78D}"/>
    <cellStyle name="Comma 2 3 2" xfId="281" xr:uid="{D98CAA01-C932-4C42-945A-1954BD576D6F}"/>
    <cellStyle name="Comma 2 4" xfId="199" xr:uid="{A0274385-3F42-4E0F-B055-3841718C4745}"/>
    <cellStyle name="Comma 2 5" xfId="236" xr:uid="{81436C76-BE79-4478-A4A0-1A2A7550CEDD}"/>
    <cellStyle name="Comma 2 6" xfId="93" xr:uid="{82808561-A720-4F38-B8E9-01C356E2B9EF}"/>
    <cellStyle name="Comma 20" xfId="241" xr:uid="{1221768F-047D-4AF2-B064-23007809C4EE}"/>
    <cellStyle name="Comma 21" xfId="104" xr:uid="{375C1696-70D1-47F2-ABE7-D357492E3984}"/>
    <cellStyle name="Comma 3" xfId="55" xr:uid="{F948226D-468E-4FAB-A758-A67BEEC95FF2}"/>
    <cellStyle name="Comma 4" xfId="128" xr:uid="{96A2EB0A-AE19-4D42-959B-ADE8D0BCBB39}"/>
    <cellStyle name="Comma 4 2" xfId="260" xr:uid="{072EE638-087D-4799-833B-6431307ADEF3}"/>
    <cellStyle name="Comma 5" xfId="92" xr:uid="{959C68EB-D959-4B5A-8C60-0CF71139C0F8}"/>
    <cellStyle name="Comma 6" xfId="88" xr:uid="{20C3323B-1683-4E8B-9C5B-3A6F53F176A3}"/>
    <cellStyle name="Comma 7" xfId="95" xr:uid="{9F6BF6A1-A2C9-402C-A7E6-7F0017DC9368}"/>
    <cellStyle name="Comma 8" xfId="90" xr:uid="{C5A34222-1C50-4745-9257-7782BC6D4AA0}"/>
    <cellStyle name="Comma 9" xfId="89" xr:uid="{112038AB-8F4A-42C3-A90F-2C35C1F75140}"/>
    <cellStyle name="Explanatory Text" xfId="20" builtinId="53" customBuiltin="1"/>
    <cellStyle name="Explanatory Text 2" xfId="200" xr:uid="{4526E2FE-0F56-4D27-A052-EB9080AEC21B}"/>
    <cellStyle name="Good" xfId="11" builtinId="26" customBuiltin="1"/>
    <cellStyle name="Good 2" xfId="201" xr:uid="{396D97CC-B0C3-4574-B663-9825A2B439E0}"/>
    <cellStyle name="Heading 1" xfId="7" builtinId="16" customBuiltin="1"/>
    <cellStyle name="Heading 1 2" xfId="202" xr:uid="{33DE2513-1704-4CBD-8604-28941CC510E2}"/>
    <cellStyle name="Heading 2" xfId="8" builtinId="17" customBuiltin="1"/>
    <cellStyle name="Heading 2 2" xfId="203" xr:uid="{622585A2-F99B-43C8-AF43-B2FC8E743889}"/>
    <cellStyle name="Heading 3" xfId="9" builtinId="18" customBuiltin="1"/>
    <cellStyle name="Heading 3 2" xfId="204" xr:uid="{E46A6EEA-CE0C-41CC-9EDB-85F3AA857E89}"/>
    <cellStyle name="Heading 4" xfId="10" builtinId="19" customBuiltin="1"/>
    <cellStyle name="Heading 4 2" xfId="205" xr:uid="{E5993714-1236-4A64-B3D8-E6E892BE933E}"/>
    <cellStyle name="Hyperlink" xfId="2" builtinId="8"/>
    <cellStyle name="Hyperlink 2" xfId="3" xr:uid="{00000000-0005-0000-0000-000024000000}"/>
    <cellStyle name="Hyperlink 2 2" xfId="169" xr:uid="{9E32456C-2A64-49DD-B927-0C6BB73330AE}"/>
    <cellStyle name="Hyperlink 3" xfId="47" xr:uid="{00000000-0005-0000-0000-000025000000}"/>
    <cellStyle name="Hyperlink 3 2" xfId="56" xr:uid="{8703CFFB-9370-4957-B1BE-A6D12ECDE211}"/>
    <cellStyle name="Hyperlink 3 3" xfId="162" xr:uid="{6F423D6B-B3ED-472F-9685-190BF257C673}"/>
    <cellStyle name="Hyperlink 4" xfId="49" xr:uid="{00000000-0005-0000-0000-000026000000}"/>
    <cellStyle name="Hyperlink 5" xfId="78" xr:uid="{F8CF2A2F-4ADB-4097-92B6-C201ED7B9B52}"/>
    <cellStyle name="Hyperlink 6" xfId="96" xr:uid="{DAA20A82-2258-4906-B458-D0E7F26BEAC8}"/>
    <cellStyle name="Input" xfId="14" builtinId="20" customBuiltin="1"/>
    <cellStyle name="Input 2" xfId="206" xr:uid="{CD569D93-907E-4470-89B8-253442F19CFA}"/>
    <cellStyle name="Linked Cell" xfId="17" builtinId="24" customBuiltin="1"/>
    <cellStyle name="Linked Cell 2" xfId="207" xr:uid="{ACC03E4C-25E2-4F4B-990A-77F19D35D6FF}"/>
    <cellStyle name="Neutral" xfId="13" builtinId="28" customBuiltin="1"/>
    <cellStyle name="Neutral 2" xfId="63" xr:uid="{008AC044-5C5A-4B7C-B363-36B99141D746}"/>
    <cellStyle name="Neutral 2 2" xfId="208" xr:uid="{8923ECB4-4F02-44F7-B4C4-35F80760C3F7}"/>
    <cellStyle name="Normal" xfId="0" builtinId="0"/>
    <cellStyle name="Normal 10" xfId="129" xr:uid="{37D55D9F-DE7F-40EC-B42B-535A3EA7E229}"/>
    <cellStyle name="Normal 11" xfId="130" xr:uid="{DCAB4BA3-6933-4DED-A2E1-DAD3E8FAB91E}"/>
    <cellStyle name="Normal 12" xfId="131" xr:uid="{A805BFD6-E75E-4166-BCF2-BEE0E81FD4D1}"/>
    <cellStyle name="Normal 13" xfId="132" xr:uid="{569F9F07-C99A-49CF-898C-DED5FFC22BF7}"/>
    <cellStyle name="Normal 14" xfId="133" xr:uid="{80772ED7-2CB1-42BD-AB9A-81806F2BDDC4}"/>
    <cellStyle name="Normal 15" xfId="134" xr:uid="{02C0D30C-57BE-4C68-84BA-340881CE88E9}"/>
    <cellStyle name="Normal 16" xfId="135" xr:uid="{7A667571-FA64-4501-ACE8-18EB58D9DA16}"/>
    <cellStyle name="Normal 17" xfId="105" xr:uid="{B8DB60A2-54D0-490B-B498-A0E2A1D70ECB}"/>
    <cellStyle name="Normal 18" xfId="151" xr:uid="{7702CE6F-8909-48DB-80BD-FD782483215C}"/>
    <cellStyle name="Normal 18 2" xfId="265" xr:uid="{08D2E49A-D0F2-4015-BD79-B6BBB293FA92}"/>
    <cellStyle name="Normal 19" xfId="230" xr:uid="{6B938A07-8239-4637-9081-55548E18CC1A}"/>
    <cellStyle name="Normal 2" xfId="4" xr:uid="{00000000-0005-0000-0000-00002B000000}"/>
    <cellStyle name="Normal 2 2" xfId="5" xr:uid="{00000000-0005-0000-0000-00002C000000}"/>
    <cellStyle name="Normal 2 3" xfId="57" xr:uid="{6D24B3F8-0DF3-45EC-98DA-A0EA04135DAC}"/>
    <cellStyle name="Normal 2 4" xfId="64" xr:uid="{26F76CA0-CB64-4A4A-A311-9FC35F9F4734}"/>
    <cellStyle name="Normal 20" xfId="217" xr:uid="{34ACF015-93B3-42C1-A00A-BA74FA94C982}"/>
    <cellStyle name="Normal 21" xfId="86" xr:uid="{9DBB7F48-142E-4156-AB69-52BA57A3DDA8}"/>
    <cellStyle name="Normal 3" xfId="46" xr:uid="{00000000-0005-0000-0000-00002D000000}"/>
    <cellStyle name="Normal 3 2" xfId="58" xr:uid="{81CD4063-B8D3-4147-B484-AF5964C3976B}"/>
    <cellStyle name="Normal 3 3" xfId="97" xr:uid="{50D530B6-F2D8-458A-BABC-7FE9C17CEA36}"/>
    <cellStyle name="Normal 4" xfId="48" xr:uid="{00000000-0005-0000-0000-00002E000000}"/>
    <cellStyle name="Normal 4 2" xfId="59" xr:uid="{AB29F0B2-4697-4B7A-BA63-639E419D30A3}"/>
    <cellStyle name="Normal 4 3" xfId="98" xr:uid="{1EDA4905-2DDB-4DB2-9123-DED6EB4F9912}"/>
    <cellStyle name="Normal 5" xfId="50" xr:uid="{00000000-0005-0000-0000-00002F000000}"/>
    <cellStyle name="Normal 5 2" xfId="60" xr:uid="{2A994748-9ED1-468C-B3A3-D1E0D6FB9365}"/>
    <cellStyle name="Normal 5 3" xfId="99" xr:uid="{B1461AD5-8B07-4FF1-996E-A7873C2AFB0D}"/>
    <cellStyle name="Normal 6" xfId="52" xr:uid="{00000000-0005-0000-0000-000030000000}"/>
    <cellStyle name="Normal 6 2" xfId="136" xr:uid="{D0825005-9B12-4BE0-928C-2DB4FACAD0B3}"/>
    <cellStyle name="Normal 6 2 2" xfId="261" xr:uid="{499EAC40-E097-4768-830D-C2B8BFA6842A}"/>
    <cellStyle name="Normal 6 3" xfId="170" xr:uid="{06222BDE-507B-43F1-A51E-A5A025243FF2}"/>
    <cellStyle name="Normal 6 3 2" xfId="282" xr:uid="{31269511-2159-4C67-BDB4-FE62C4C6DA3D}"/>
    <cellStyle name="Normal 6 4" xfId="209" xr:uid="{B114F687-D301-46D3-9184-3603E9C40527}"/>
    <cellStyle name="Normal 6 5" xfId="237" xr:uid="{71ACECA4-93A3-4289-AE18-D8618F440FE8}"/>
    <cellStyle name="Normal 6 6" xfId="100" xr:uid="{A1A75709-EAB5-4456-A0EA-4A18A69E4562}"/>
    <cellStyle name="Normal 7" xfId="54" xr:uid="{A43A8493-FF9B-4B3F-B6DB-4FE5C94C6D32}"/>
    <cellStyle name="Normal 7 2" xfId="137" xr:uid="{EE86CFB2-F7A9-4B76-9B8B-7B8D7DC11045}"/>
    <cellStyle name="Normal 8" xfId="62" xr:uid="{ED004C29-401F-4EBA-BC9A-1331AC65369B}"/>
    <cellStyle name="Normal 8 2" xfId="138" xr:uid="{C543FCBB-620D-4DAE-9F4F-AF5CBD34DFAC}"/>
    <cellStyle name="Normal 9" xfId="139" xr:uid="{F0AC0402-E062-4301-BA93-71588BDB4FAA}"/>
    <cellStyle name="Normal 9 2" xfId="262" xr:uid="{1E9B1042-284B-4CC9-97DC-F55A24E6668D}"/>
    <cellStyle name="Note 2" xfId="51" xr:uid="{00000000-0005-0000-0000-000031000000}"/>
    <cellStyle name="Note 2 2" xfId="140" xr:uid="{D0EA358D-76D9-4094-9755-5A07DFBBD24F}"/>
    <cellStyle name="Note 2 2 2" xfId="263" xr:uid="{7BD84A0F-52AD-4664-8651-3518E3228A99}"/>
    <cellStyle name="Note 2 3" xfId="171" xr:uid="{54662429-9481-44A4-A96B-255C878F7390}"/>
    <cellStyle name="Note 2 3 2" xfId="283" xr:uid="{4DE2C39F-60B4-4AC6-99EF-6A55C9CFA50F}"/>
    <cellStyle name="Note 2 4" xfId="211" xr:uid="{3C3FB330-12BB-4FF1-92DD-487D9343A75A}"/>
    <cellStyle name="Note 2 5" xfId="238" xr:uid="{B217CAC7-8D7E-4FC3-964E-A1EE5D7810DB}"/>
    <cellStyle name="Note 2 6" xfId="101" xr:uid="{EFD258E7-6C16-46DE-B143-8B2412643983}"/>
    <cellStyle name="Note 3" xfId="65" xr:uid="{CEADCB07-521D-4D78-AC5A-2AE1C829CB21}"/>
    <cellStyle name="Note 3 2" xfId="264" xr:uid="{34872F4F-531D-4E1C-B947-1E83D9A6CF1F}"/>
    <cellStyle name="Note 4" xfId="152" xr:uid="{44154C9E-B652-451C-9317-4C1870C0F9E9}"/>
    <cellStyle name="Note 4 2" xfId="266" xr:uid="{BF88B32E-5FC5-462B-8C9A-A573F8E05640}"/>
    <cellStyle name="Note 5" xfId="210" xr:uid="{20F128BF-9B8E-4F22-9D44-4004542B9D72}"/>
    <cellStyle name="Output" xfId="15" builtinId="21" customBuiltin="1"/>
    <cellStyle name="Output 2" xfId="212" xr:uid="{E408F586-6799-417A-8B75-4AC9D245C80F}"/>
    <cellStyle name="Percent 10" xfId="142" xr:uid="{0BC1184F-DCE4-4497-80CD-11D4332B0865}"/>
    <cellStyle name="Percent 11" xfId="141" xr:uid="{75F1175E-7472-4523-884D-8DFE980FC7B4}"/>
    <cellStyle name="Percent 12" xfId="160" xr:uid="{D49EE5DD-7917-4436-BA3A-9D0185444784}"/>
    <cellStyle name="Percent 12 2" xfId="274" xr:uid="{80749814-7F58-4D45-80F0-A9F3CF1EC382}"/>
    <cellStyle name="Percent 13" xfId="240" xr:uid="{058BA79F-25A1-4AAF-89B8-D67FC82DFBB2}"/>
    <cellStyle name="Percent 14" xfId="103" xr:uid="{0771FFE1-6FA8-47E7-8FAE-362D41B092DD}"/>
    <cellStyle name="Percent 2" xfId="61" xr:uid="{F5AF82C7-73BA-4A63-B152-0959F2849C38}"/>
    <cellStyle name="Percent 2 2" xfId="213" xr:uid="{603D4B34-4FC0-4767-B98C-B95D5A4E120A}"/>
    <cellStyle name="Percent 2 3" xfId="143" xr:uid="{B0F85400-B36E-4237-A7CB-2EA4DA431710}"/>
    <cellStyle name="Percent 3" xfId="144" xr:uid="{CC608B70-D5CC-4C66-88EB-BC977C883E97}"/>
    <cellStyle name="Percent 4" xfId="145" xr:uid="{081ADE5F-CBDD-4F72-AC78-0F529A599E0A}"/>
    <cellStyle name="Percent 5" xfId="146" xr:uid="{85829B19-FB5B-4672-9270-426F89C1D45F}"/>
    <cellStyle name="Percent 6" xfId="147" xr:uid="{D5C57D40-AEB4-482F-B900-8631219C26FB}"/>
    <cellStyle name="Percent 7" xfId="148" xr:uid="{45B1CCD2-7B5E-423C-BE21-06F34A0920CE}"/>
    <cellStyle name="Percent 8" xfId="149" xr:uid="{7B891360-3726-4FD3-94C8-CB7525A7E295}"/>
    <cellStyle name="Percent 9" xfId="150" xr:uid="{CD7F4765-2BA6-47E5-B84A-DAEE3AEB331B}"/>
    <cellStyle name="Title" xfId="6" builtinId="15" customBuiltin="1"/>
    <cellStyle name="Title 2" xfId="214" xr:uid="{4BF5FB50-B7F8-4737-9950-990458B59139}"/>
    <cellStyle name="Title 3" xfId="239" xr:uid="{BBDCADFA-4612-40E3-A097-FD0C941FF371}"/>
    <cellStyle name="Title 4" xfId="102" xr:uid="{8C3CE80E-593D-4F9D-8F1E-4E8F6891978D}"/>
    <cellStyle name="Total" xfId="21" builtinId="25" customBuiltin="1"/>
    <cellStyle name="Total 2" xfId="215" xr:uid="{EAD95B4A-318D-44BB-B766-62AAA81BEA5E}"/>
    <cellStyle name="Warning Text" xfId="19" builtinId="11" customBuiltin="1"/>
    <cellStyle name="Warning Text 2" xfId="216" xr:uid="{85B1B62A-372D-4CED-83D1-39B7A21B5911}"/>
  </cellStyles>
  <dxfs count="0"/>
  <tableStyles count="0" defaultTableStyle="TableStyleMedium9" defaultPivotStyle="PivotStyleLight16"/>
  <colors>
    <mruColors>
      <color rgb="FF0000E1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8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5" name="Picture 1" descr="PrintLogo">
          <a:extLst>
            <a:ext uri="{FF2B5EF4-FFF2-40B4-BE49-F238E27FC236}">
              <a16:creationId xmlns:a16="http://schemas.microsoft.com/office/drawing/2014/main" id="{00000000-0008-0000-0000-0000F1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6" name="Picture 2" descr="PrintLogo">
          <a:extLst>
            <a:ext uri="{FF2B5EF4-FFF2-40B4-BE49-F238E27FC236}">
              <a16:creationId xmlns:a16="http://schemas.microsoft.com/office/drawing/2014/main" id="{00000000-0008-0000-0000-0000F2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7" name="Picture 3" descr="PrintLogo">
          <a:extLst>
            <a:ext uri="{FF2B5EF4-FFF2-40B4-BE49-F238E27FC236}">
              <a16:creationId xmlns:a16="http://schemas.microsoft.com/office/drawing/2014/main" id="{00000000-0008-0000-0000-0000F3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8" name="Picture 4" descr="PrintLogo">
          <a:extLst>
            <a:ext uri="{FF2B5EF4-FFF2-40B4-BE49-F238E27FC236}">
              <a16:creationId xmlns:a16="http://schemas.microsoft.com/office/drawing/2014/main" id="{00000000-0008-0000-0000-0000F4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9" name="Picture 5" descr="PrintLogo">
          <a:extLst>
            <a:ext uri="{FF2B5EF4-FFF2-40B4-BE49-F238E27FC236}">
              <a16:creationId xmlns:a16="http://schemas.microsoft.com/office/drawing/2014/main" id="{00000000-0008-0000-0000-0000F5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0" name="Picture 6" descr="PrintLogo">
          <a:extLst>
            <a:ext uri="{FF2B5EF4-FFF2-40B4-BE49-F238E27FC236}">
              <a16:creationId xmlns:a16="http://schemas.microsoft.com/office/drawing/2014/main" id="{00000000-0008-0000-0000-0000F6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1" name="Picture 7" descr="PrintLogo">
          <a:extLst>
            <a:ext uri="{FF2B5EF4-FFF2-40B4-BE49-F238E27FC236}">
              <a16:creationId xmlns:a16="http://schemas.microsoft.com/office/drawing/2014/main" id="{00000000-0008-0000-0000-0000F7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2" name="Picture 8" descr="PrintLogo">
          <a:extLst>
            <a:ext uri="{FF2B5EF4-FFF2-40B4-BE49-F238E27FC236}">
              <a16:creationId xmlns:a16="http://schemas.microsoft.com/office/drawing/2014/main" id="{00000000-0008-0000-0000-0000F8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3" name="Picture 9" descr="PrintLogo">
          <a:extLst>
            <a:ext uri="{FF2B5EF4-FFF2-40B4-BE49-F238E27FC236}">
              <a16:creationId xmlns:a16="http://schemas.microsoft.com/office/drawing/2014/main" id="{00000000-0008-0000-0000-0000F9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4" name="Picture 10" descr="PrintLogo">
          <a:extLst>
            <a:ext uri="{FF2B5EF4-FFF2-40B4-BE49-F238E27FC236}">
              <a16:creationId xmlns:a16="http://schemas.microsoft.com/office/drawing/2014/main" id="{00000000-0008-0000-0000-0000FA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5" name="Picture 11" descr="PrintLogo">
          <a:extLst>
            <a:ext uri="{FF2B5EF4-FFF2-40B4-BE49-F238E27FC236}">
              <a16:creationId xmlns:a16="http://schemas.microsoft.com/office/drawing/2014/main" id="{00000000-0008-0000-0000-0000FB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6" name="Picture 12" descr="PrintLogo">
          <a:extLst>
            <a:ext uri="{FF2B5EF4-FFF2-40B4-BE49-F238E27FC236}">
              <a16:creationId xmlns:a16="http://schemas.microsoft.com/office/drawing/2014/main" id="{00000000-0008-0000-0000-0000FC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7" name="Picture 13" descr="PrintLogo">
          <a:extLst>
            <a:ext uri="{FF2B5EF4-FFF2-40B4-BE49-F238E27FC236}">
              <a16:creationId xmlns:a16="http://schemas.microsoft.com/office/drawing/2014/main" id="{00000000-0008-0000-0000-0000FD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8" name="Picture 14" descr="PrintLogo">
          <a:extLst>
            <a:ext uri="{FF2B5EF4-FFF2-40B4-BE49-F238E27FC236}">
              <a16:creationId xmlns:a16="http://schemas.microsoft.com/office/drawing/2014/main" id="{00000000-0008-0000-0000-0000FE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9" name="Picture 15" descr="PrintLogo">
          <a:extLst>
            <a:ext uri="{FF2B5EF4-FFF2-40B4-BE49-F238E27FC236}">
              <a16:creationId xmlns:a16="http://schemas.microsoft.com/office/drawing/2014/main" id="{00000000-0008-0000-0000-0000FF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0" name="Picture 16" descr="PrintLogo">
          <a:extLst>
            <a:ext uri="{FF2B5EF4-FFF2-40B4-BE49-F238E27FC236}">
              <a16:creationId xmlns:a16="http://schemas.microsoft.com/office/drawing/2014/main" id="{00000000-0008-0000-0000-000000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1" name="Picture 17" descr="PrintLogo">
          <a:extLst>
            <a:ext uri="{FF2B5EF4-FFF2-40B4-BE49-F238E27FC236}">
              <a16:creationId xmlns:a16="http://schemas.microsoft.com/office/drawing/2014/main" id="{00000000-0008-0000-0000-000001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2" name="Picture 18" descr="PrintLogo">
          <a:extLst>
            <a:ext uri="{FF2B5EF4-FFF2-40B4-BE49-F238E27FC236}">
              <a16:creationId xmlns:a16="http://schemas.microsoft.com/office/drawing/2014/main" id="{00000000-0008-0000-0000-000002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3" name="Picture 19" descr="PrintLogo">
          <a:extLst>
            <a:ext uri="{FF2B5EF4-FFF2-40B4-BE49-F238E27FC236}">
              <a16:creationId xmlns:a16="http://schemas.microsoft.com/office/drawing/2014/main" id="{00000000-0008-0000-0000-000003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4" name="Picture 20" descr="PrintLogo">
          <a:extLst>
            <a:ext uri="{FF2B5EF4-FFF2-40B4-BE49-F238E27FC236}">
              <a16:creationId xmlns:a16="http://schemas.microsoft.com/office/drawing/2014/main" id="{00000000-0008-0000-0000-000004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5" name="Picture 21" descr="PrintLogo">
          <a:extLst>
            <a:ext uri="{FF2B5EF4-FFF2-40B4-BE49-F238E27FC236}">
              <a16:creationId xmlns:a16="http://schemas.microsoft.com/office/drawing/2014/main" id="{00000000-0008-0000-0000-000005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6" name="Picture 22" descr="PrintLogo">
          <a:extLst>
            <a:ext uri="{FF2B5EF4-FFF2-40B4-BE49-F238E27FC236}">
              <a16:creationId xmlns:a16="http://schemas.microsoft.com/office/drawing/2014/main" id="{00000000-0008-0000-0000-000006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7" name="Picture 23" descr="PrintLogo">
          <a:extLst>
            <a:ext uri="{FF2B5EF4-FFF2-40B4-BE49-F238E27FC236}">
              <a16:creationId xmlns:a16="http://schemas.microsoft.com/office/drawing/2014/main" id="{00000000-0008-0000-0000-000007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8" name="Picture 24" descr="PrintLogo">
          <a:extLst>
            <a:ext uri="{FF2B5EF4-FFF2-40B4-BE49-F238E27FC236}">
              <a16:creationId xmlns:a16="http://schemas.microsoft.com/office/drawing/2014/main" id="{00000000-0008-0000-0000-000008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9" name="Picture 25" descr="PrintLogo">
          <a:extLst>
            <a:ext uri="{FF2B5EF4-FFF2-40B4-BE49-F238E27FC236}">
              <a16:creationId xmlns:a16="http://schemas.microsoft.com/office/drawing/2014/main" id="{00000000-0008-0000-0000-000009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0" name="Picture 26" descr="PrintLogo">
          <a:extLst>
            <a:ext uri="{FF2B5EF4-FFF2-40B4-BE49-F238E27FC236}">
              <a16:creationId xmlns:a16="http://schemas.microsoft.com/office/drawing/2014/main" id="{00000000-0008-0000-0000-00000A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1" name="Picture 27" descr="PrintLogo">
          <a:extLst>
            <a:ext uri="{FF2B5EF4-FFF2-40B4-BE49-F238E27FC236}">
              <a16:creationId xmlns:a16="http://schemas.microsoft.com/office/drawing/2014/main" id="{00000000-0008-0000-0000-00000B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2" name="Picture 28" descr="PrintLogo">
          <a:extLst>
            <a:ext uri="{FF2B5EF4-FFF2-40B4-BE49-F238E27FC236}">
              <a16:creationId xmlns:a16="http://schemas.microsoft.com/office/drawing/2014/main" id="{00000000-0008-0000-0000-00000C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3" name="Picture 29" descr="PrintLogo">
          <a:extLst>
            <a:ext uri="{FF2B5EF4-FFF2-40B4-BE49-F238E27FC236}">
              <a16:creationId xmlns:a16="http://schemas.microsoft.com/office/drawing/2014/main" id="{00000000-0008-0000-0000-00000D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4" name="Picture 30" descr="PrintLogo">
          <a:extLst>
            <a:ext uri="{FF2B5EF4-FFF2-40B4-BE49-F238E27FC236}">
              <a16:creationId xmlns:a16="http://schemas.microsoft.com/office/drawing/2014/main" id="{00000000-0008-0000-0000-00000E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5" name="Picture 31" descr="PrintLogo">
          <a:extLst>
            <a:ext uri="{FF2B5EF4-FFF2-40B4-BE49-F238E27FC236}">
              <a16:creationId xmlns:a16="http://schemas.microsoft.com/office/drawing/2014/main" id="{00000000-0008-0000-0000-00000F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6" name="Picture 32" descr="PrintLogo">
          <a:extLst>
            <a:ext uri="{FF2B5EF4-FFF2-40B4-BE49-F238E27FC236}">
              <a16:creationId xmlns:a16="http://schemas.microsoft.com/office/drawing/2014/main" id="{00000000-0008-0000-0000-000010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7" name="Picture 33" descr="PrintLogo">
          <a:extLst>
            <a:ext uri="{FF2B5EF4-FFF2-40B4-BE49-F238E27FC236}">
              <a16:creationId xmlns:a16="http://schemas.microsoft.com/office/drawing/2014/main" id="{00000000-0008-0000-0000-000011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8" name="Picture 34" descr="PrintLogo">
          <a:extLst>
            <a:ext uri="{FF2B5EF4-FFF2-40B4-BE49-F238E27FC236}">
              <a16:creationId xmlns:a16="http://schemas.microsoft.com/office/drawing/2014/main" id="{00000000-0008-0000-0000-000012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9" name="Picture 35" descr="PrintLogo">
          <a:extLst>
            <a:ext uri="{FF2B5EF4-FFF2-40B4-BE49-F238E27FC236}">
              <a16:creationId xmlns:a16="http://schemas.microsoft.com/office/drawing/2014/main" id="{00000000-0008-0000-0000-000013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0" name="Picture 36" descr="PrintLogo">
          <a:extLst>
            <a:ext uri="{FF2B5EF4-FFF2-40B4-BE49-F238E27FC236}">
              <a16:creationId xmlns:a16="http://schemas.microsoft.com/office/drawing/2014/main" id="{00000000-0008-0000-0000-000014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1" name="Picture 37" descr="PrintLogo">
          <a:extLst>
            <a:ext uri="{FF2B5EF4-FFF2-40B4-BE49-F238E27FC236}">
              <a16:creationId xmlns:a16="http://schemas.microsoft.com/office/drawing/2014/main" id="{00000000-0008-0000-0000-000015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2" name="Picture 38" descr="PrintLogo">
          <a:extLst>
            <a:ext uri="{FF2B5EF4-FFF2-40B4-BE49-F238E27FC236}">
              <a16:creationId xmlns:a16="http://schemas.microsoft.com/office/drawing/2014/main" id="{00000000-0008-0000-0000-000016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3" name="Picture 39" descr="PrintLogo">
          <a:extLst>
            <a:ext uri="{FF2B5EF4-FFF2-40B4-BE49-F238E27FC236}">
              <a16:creationId xmlns:a16="http://schemas.microsoft.com/office/drawing/2014/main" id="{00000000-0008-0000-0000-000017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4" name="Picture 40" descr="PrintLogo">
          <a:extLst>
            <a:ext uri="{FF2B5EF4-FFF2-40B4-BE49-F238E27FC236}">
              <a16:creationId xmlns:a16="http://schemas.microsoft.com/office/drawing/2014/main" id="{00000000-0008-0000-0000-000018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5" name="Picture 41" descr="PrintLogo">
          <a:extLst>
            <a:ext uri="{FF2B5EF4-FFF2-40B4-BE49-F238E27FC236}">
              <a16:creationId xmlns:a16="http://schemas.microsoft.com/office/drawing/2014/main" id="{00000000-0008-0000-0000-000019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6" name="Picture 42" descr="PrintLogo">
          <a:extLst>
            <a:ext uri="{FF2B5EF4-FFF2-40B4-BE49-F238E27FC236}">
              <a16:creationId xmlns:a16="http://schemas.microsoft.com/office/drawing/2014/main" id="{00000000-0008-0000-0000-00001A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27" name="Picture 2098" descr="PrintLogo">
          <a:extLst>
            <a:ext uri="{FF2B5EF4-FFF2-40B4-BE49-F238E27FC236}">
              <a16:creationId xmlns:a16="http://schemas.microsoft.com/office/drawing/2014/main" id="{00000000-0008-0000-0000-00001B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28" name="Picture 2099" descr="PrintLogo">
          <a:extLst>
            <a:ext uri="{FF2B5EF4-FFF2-40B4-BE49-F238E27FC236}">
              <a16:creationId xmlns:a16="http://schemas.microsoft.com/office/drawing/2014/main" id="{00000000-0008-0000-0000-00001C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29" name="Picture 2100" descr="PrintLogo">
          <a:extLst>
            <a:ext uri="{FF2B5EF4-FFF2-40B4-BE49-F238E27FC236}">
              <a16:creationId xmlns:a16="http://schemas.microsoft.com/office/drawing/2014/main" id="{00000000-0008-0000-0000-00001D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0" name="Picture 2101" descr="PrintLogo">
          <a:extLst>
            <a:ext uri="{FF2B5EF4-FFF2-40B4-BE49-F238E27FC236}">
              <a16:creationId xmlns:a16="http://schemas.microsoft.com/office/drawing/2014/main" id="{00000000-0008-0000-0000-00001E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1" name="Picture 2102" descr="PrintLogo">
          <a:extLst>
            <a:ext uri="{FF2B5EF4-FFF2-40B4-BE49-F238E27FC236}">
              <a16:creationId xmlns:a16="http://schemas.microsoft.com/office/drawing/2014/main" id="{00000000-0008-0000-0000-00001F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2" name="Picture 2103" descr="PrintLogo">
          <a:extLst>
            <a:ext uri="{FF2B5EF4-FFF2-40B4-BE49-F238E27FC236}">
              <a16:creationId xmlns:a16="http://schemas.microsoft.com/office/drawing/2014/main" id="{00000000-0008-0000-0000-000020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3" name="Picture 2104" descr="PrintLogo">
          <a:extLst>
            <a:ext uri="{FF2B5EF4-FFF2-40B4-BE49-F238E27FC236}">
              <a16:creationId xmlns:a16="http://schemas.microsoft.com/office/drawing/2014/main" id="{00000000-0008-0000-0000-000021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87630</xdr:colOff>
      <xdr:row>0</xdr:row>
      <xdr:rowOff>34290</xdr:rowOff>
    </xdr:from>
    <xdr:to>
      <xdr:col>0</xdr:col>
      <xdr:colOff>4354830</xdr:colOff>
      <xdr:row>0</xdr:row>
      <xdr:rowOff>533400</xdr:rowOff>
    </xdr:to>
    <xdr:pic>
      <xdr:nvPicPr>
        <xdr:cNvPr id="15936034" name="Picture 2105" descr="PrintLogo">
          <a:extLst>
            <a:ext uri="{FF2B5EF4-FFF2-40B4-BE49-F238E27FC236}">
              <a16:creationId xmlns:a16="http://schemas.microsoft.com/office/drawing/2014/main" id="{00000000-0008-0000-0000-000022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" y="3429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0505D3-FE86-339F-4AD7-46E0E6F4C5F4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X9A0T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BAA2B3-A415-4267-8832-713225840D38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X10A0T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CECBDB8-85B4-20A5-872C-4B150F705A59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X10A0T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C11C0B-4778-466E-8D26-9B2DDC734A52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X11A0T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82982E-BF1E-B3ED-FCC1-E6D6D19A4CE8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X11A0T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9E79D9-62BE-42BB-9839-F1CBDF6ECD35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X12A0T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AB3437-F441-75E0-AB91-0B732E399172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X12A0T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C4E571-918C-4692-BBE5-706060CC0298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X13A0T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C98E9A8-A1DE-E187-EE40-E6B21C31C789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X13A0T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C33DFC-01C2-96A1-EA3B-0C19906BE87D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X14A0T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9705D2-32FF-4A83-AD91-D53470C258F0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X15A0T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98E0B66-1D49-5373-BE5D-65F17C6DDBEB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X15A0T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0B59CA-B264-4260-A118-E519C86A02C9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X16A0T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321CB9-E131-BD1E-5D72-815CF8710FE2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X16A0T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426C66-B24C-4865-9BA0-7059F1B34758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X17A0T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FAD390-5849-2E45-B57C-530F152A4FA0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X17A0T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5AB55D-47E0-6B6E-0095-891DF5D52CC2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X18A0T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805583-B417-4B82-9351-37EC07F7F75A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EF8C01-6C65-93C6-A22F-E6AB1EB17042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X1A0T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64F7FD-422E-40BC-AFCD-8D783CE31C09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X19A0T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DA37429-611A-246E-E5B0-305098EF792E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X19A0T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704637-83A0-4F88-B63F-F5292F6E0168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X20A0T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0F28D7-498D-1D9F-68DA-C1A91D0B9128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X20A0T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AECC62-DBF0-479C-958B-90773E5D2B02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X21A0T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61336C6-4F4D-EA3E-2778-4A7C7FB27999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X21A0T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41D233-3B4F-467E-96BA-315F748CDCB0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X22A0T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084EE21-07E0-CBBF-3473-EEF9D39284B1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X22A0T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B13B2A-2C9B-4F1E-8517-2FD668D7ED18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X23A0T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B23AE4D-CD33-F114-1DC8-742C8F970D3A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X23A0T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D8959B-DC85-43E5-B238-37EDC224D777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X24A0T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916BF48-622C-20B6-3AD5-02D1BD4D9A47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X24A0T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646B1A-15B8-445B-99FE-A60CEF75DF90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X25A0T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CA0CFA-C89A-1C41-4AEB-0CFBFFA3EE5F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X25A0T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65781C-6179-4573-9D9D-D33F212ACAB9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X26A0T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DA6DBF7-0459-1E4C-C9DD-43B72BE91654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X26A0T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D5894B-2F26-4A73-B346-84C977315938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X27A0T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36EA1E-0E73-A01F-BF68-C02A9B771EAF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X27A0T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EF0A01-E05B-444E-827E-ADA6257510EF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X28A0T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3399DD-E530-4C30-3BE3-816112E46516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X28A0T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B705F4-9284-4EF5-AF63-DB2E0811B8D5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F2EBAF-458C-4C35-8063-529D95BF89DE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X2A0T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5696E2-6122-44EA-9862-36F7C68E6F83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X29A0T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6B53FE-B1A7-8E51-5008-EE853EFD5C31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X29A0T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61D1BC-DE07-42E8-BBF9-F0B390316C3F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X30A0T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54E6BB-155F-7EB9-8818-EEE9CB15F313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X30A0T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4FC8E4-AA37-F27C-BCC8-52B6DFC4BC0C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X31A0T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866D94-95FD-4DD5-B763-7BD060B5F6A2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X32A0T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FE3C417-CF36-6E5D-513D-39E3F311386C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X32A0T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50CFCF-2366-4898-85B6-5F5C40A57E0A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X33A0T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75378A-71D3-8BC7-70A4-730BAFCA2246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X33A0T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6EFE9F-99EB-A191-DF6C-553F36E7F205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X34A0T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D435A9-AC60-46CF-9992-16A3F1D9F11C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X42A0T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74CA06F-4D53-149B-5D58-5A6CAF9FA1BB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X43A0T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931B07-34F4-4E35-9198-AEBAA2426CF3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X43A0T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34B9A5-77E3-366C-EFB6-93F114EFB045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X44A0T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1AB409-912F-44CF-A4C6-2EE312D13701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X44A0T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18F03D-5217-DFFE-031B-66B006F1B85C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X45A0T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439BC0-7429-47DC-86D2-D2E3E6649FCE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X45A0T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81C78D0-AB22-0EEC-B178-7BC04FCE522B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X46A0T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A66072-F299-443E-8238-2287BB006B70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X3A0T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67D46EB-44E3-4DAC-D7F3-F1217A3C2747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X3A0T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02544B-3E4E-4672-93B6-E6F4FAE55782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X46A0T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F2EA9B5-2367-1F97-6851-DF261DBF0FFD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X47A0T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93B645-8D1A-46A1-B51C-797958C98BF5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X47A0T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9DFA346-CB09-A8B6-B547-BEE8B8FBBECA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X48A0T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C3C3E9-91C0-43C2-B30C-D50FE74522A5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X48A0T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6DCD58B-24F0-45B2-276F-BFFF115E3144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X49A0T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433A4C9-E017-42AB-80C8-A75271B08162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X49A0T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DD753B-38AE-6C0B-5C61-1255A2EA118F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X50A0T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4B980F-390F-4BFA-B49D-54C0665E873B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X50A0T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A024F4-88B6-D467-1997-C553876141EB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X51A0T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228F7D-0848-44E7-B7FB-9E940AEBAD0E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7126C8-14BF-9534-AF26-CA15AB645A2F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X4A0T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A5E587-74AC-48BF-9BF3-5123A0C702A5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X5A0T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3CC79E-B70E-1DC1-7A4E-5770A7925F8A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X5A0T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51DA1B-43E7-4A39-874D-D543B7C348FD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X6A0T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507617-53E4-7D27-FD77-0B39AE228499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X6A0T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33579F-53E0-4364-A470-8DEA55379642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X7A0T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A81E827-933C-4244-AD3E-72AD53BA73F7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X7A0T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C16950-68B8-418E-907D-2E4A121E30DB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X8A0T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1867980-33D7-A5B0-5CB6-73973186EE92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X8A0T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12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13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14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15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1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4.bin"/><Relationship Id="rId4" Type="http://schemas.openxmlformats.org/officeDocument/2006/relationships/comments" Target="../comments25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5.bin"/><Relationship Id="rId4" Type="http://schemas.openxmlformats.org/officeDocument/2006/relationships/comments" Target="../comments26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83"/>
  <sheetViews>
    <sheetView tabSelected="1" zoomScaleNormal="100" workbookViewId="0">
      <selection activeCell="A2" sqref="A2"/>
    </sheetView>
  </sheetViews>
  <sheetFormatPr defaultColWidth="11.33203125" defaultRowHeight="12.75"/>
  <cols>
    <col min="1" max="1" width="117.33203125" style="83" bestFit="1" customWidth="1"/>
    <col min="2" max="16384" width="11.33203125" style="80"/>
  </cols>
  <sheetData>
    <row r="1" spans="1:1" ht="44.25" customHeight="1">
      <c r="A1" s="79"/>
    </row>
    <row r="2" spans="1:1" ht="18">
      <c r="A2" s="85" t="s">
        <v>255</v>
      </c>
    </row>
    <row r="3" spans="1:1" s="82" customFormat="1" ht="11.25">
      <c r="A3" s="81"/>
    </row>
    <row r="4" spans="1:1" ht="12.75" customHeight="1">
      <c r="A4" s="84" t="s">
        <v>557</v>
      </c>
    </row>
    <row r="5" spans="1:1">
      <c r="A5" s="405" t="s">
        <v>595</v>
      </c>
    </row>
    <row r="7" spans="1:1">
      <c r="A7" s="84" t="s">
        <v>558</v>
      </c>
    </row>
    <row r="8" spans="1:1">
      <c r="A8" s="406" t="s">
        <v>594</v>
      </c>
    </row>
    <row r="9" spans="1:1">
      <c r="A9" s="406" t="s">
        <v>596</v>
      </c>
    </row>
    <row r="10" spans="1:1">
      <c r="A10" s="406" t="s">
        <v>598</v>
      </c>
    </row>
    <row r="11" spans="1:1">
      <c r="A11" s="406" t="s">
        <v>599</v>
      </c>
    </row>
    <row r="12" spans="1:1">
      <c r="A12" s="138"/>
    </row>
    <row r="13" spans="1:1">
      <c r="A13" s="84" t="s">
        <v>559</v>
      </c>
    </row>
    <row r="14" spans="1:1">
      <c r="A14" s="406" t="s">
        <v>600</v>
      </c>
    </row>
    <row r="15" spans="1:1">
      <c r="A15" s="406" t="s">
        <v>601</v>
      </c>
    </row>
    <row r="16" spans="1:1">
      <c r="A16" s="405" t="s">
        <v>602</v>
      </c>
    </row>
    <row r="17" spans="1:1">
      <c r="A17" s="322"/>
    </row>
    <row r="18" spans="1:1">
      <c r="A18" s="84" t="s">
        <v>560</v>
      </c>
    </row>
    <row r="19" spans="1:1">
      <c r="A19" s="405" t="s">
        <v>603</v>
      </c>
    </row>
    <row r="20" spans="1:1">
      <c r="A20" s="80"/>
    </row>
    <row r="21" spans="1:1">
      <c r="A21" s="84" t="s">
        <v>561</v>
      </c>
    </row>
    <row r="22" spans="1:1">
      <c r="A22" s="405" t="s">
        <v>604</v>
      </c>
    </row>
    <row r="23" spans="1:1">
      <c r="A23" s="405" t="s">
        <v>606</v>
      </c>
    </row>
    <row r="24" spans="1:1">
      <c r="A24" s="405" t="s">
        <v>607</v>
      </c>
    </row>
    <row r="25" spans="1:1">
      <c r="A25" s="322"/>
    </row>
    <row r="26" spans="1:1">
      <c r="A26" s="84" t="s">
        <v>562</v>
      </c>
    </row>
    <row r="27" spans="1:1">
      <c r="A27" s="405" t="s">
        <v>608</v>
      </c>
    </row>
    <row r="28" spans="1:1">
      <c r="A28" s="405" t="s">
        <v>609</v>
      </c>
    </row>
    <row r="29" spans="1:1">
      <c r="A29" s="405" t="s">
        <v>610</v>
      </c>
    </row>
    <row r="30" spans="1:1">
      <c r="A30" s="405" t="s">
        <v>611</v>
      </c>
    </row>
    <row r="31" spans="1:1">
      <c r="A31" s="322"/>
    </row>
    <row r="32" spans="1:1">
      <c r="A32" s="84" t="s">
        <v>563</v>
      </c>
    </row>
    <row r="33" spans="1:1">
      <c r="A33" s="405" t="s">
        <v>613</v>
      </c>
    </row>
    <row r="34" spans="1:1">
      <c r="A34" s="406" t="s">
        <v>616</v>
      </c>
    </row>
    <row r="35" spans="1:1">
      <c r="A35" s="406" t="s">
        <v>617</v>
      </c>
    </row>
    <row r="36" spans="1:1">
      <c r="A36" s="406" t="s">
        <v>618</v>
      </c>
    </row>
    <row r="37" spans="1:1">
      <c r="A37" s="322"/>
    </row>
    <row r="38" spans="1:1">
      <c r="A38" s="84" t="s">
        <v>564</v>
      </c>
    </row>
    <row r="39" spans="1:1">
      <c r="A39" s="406" t="s">
        <v>619</v>
      </c>
    </row>
    <row r="40" spans="1:1">
      <c r="A40" s="405" t="s">
        <v>620</v>
      </c>
    </row>
    <row r="41" spans="1:1">
      <c r="A41" s="405" t="s">
        <v>621</v>
      </c>
    </row>
    <row r="42" spans="1:1">
      <c r="A42" s="405" t="s">
        <v>640</v>
      </c>
    </row>
    <row r="43" spans="1:1">
      <c r="A43" s="322"/>
    </row>
    <row r="44" spans="1:1">
      <c r="A44" s="84" t="s">
        <v>565</v>
      </c>
    </row>
    <row r="45" spans="1:1">
      <c r="A45" s="405" t="s">
        <v>666</v>
      </c>
    </row>
    <row r="46" spans="1:1">
      <c r="A46" s="405" t="s">
        <v>622</v>
      </c>
    </row>
    <row r="47" spans="1:1">
      <c r="A47" s="405" t="s">
        <v>639</v>
      </c>
    </row>
    <row r="48" spans="1:1">
      <c r="A48" s="322"/>
    </row>
    <row r="49" spans="1:1">
      <c r="A49" s="84" t="s">
        <v>566</v>
      </c>
    </row>
    <row r="50" spans="1:1">
      <c r="A50" s="405" t="s">
        <v>667</v>
      </c>
    </row>
    <row r="51" spans="1:1">
      <c r="A51" s="406" t="s">
        <v>623</v>
      </c>
    </row>
    <row r="52" spans="1:1">
      <c r="A52" s="406" t="s">
        <v>624</v>
      </c>
    </row>
    <row r="53" spans="1:1">
      <c r="A53" s="406" t="s">
        <v>625</v>
      </c>
    </row>
    <row r="54" spans="1:1">
      <c r="A54" s="97"/>
    </row>
    <row r="55" spans="1:1">
      <c r="A55" s="84" t="s">
        <v>567</v>
      </c>
    </row>
    <row r="56" spans="1:1">
      <c r="A56" s="405" t="s">
        <v>626</v>
      </c>
    </row>
    <row r="57" spans="1:1">
      <c r="A57" s="97"/>
    </row>
    <row r="58" spans="1:1">
      <c r="A58" s="84" t="s">
        <v>577</v>
      </c>
    </row>
    <row r="59" spans="1:1">
      <c r="A59" s="405" t="s">
        <v>627</v>
      </c>
    </row>
    <row r="60" spans="1:1">
      <c r="A60" s="97"/>
    </row>
    <row r="61" spans="1:1">
      <c r="A61" s="84" t="s">
        <v>568</v>
      </c>
    </row>
    <row r="62" spans="1:1">
      <c r="A62" s="405" t="s">
        <v>589</v>
      </c>
    </row>
    <row r="63" spans="1:1">
      <c r="A63" s="97"/>
    </row>
    <row r="64" spans="1:1">
      <c r="A64" s="84" t="s">
        <v>569</v>
      </c>
    </row>
    <row r="65" spans="1:1">
      <c r="A65" s="405" t="s">
        <v>629</v>
      </c>
    </row>
    <row r="66" spans="1:1">
      <c r="A66" s="405" t="s">
        <v>632</v>
      </c>
    </row>
    <row r="67" spans="1:1">
      <c r="A67" s="97"/>
    </row>
    <row r="68" spans="1:1">
      <c r="A68" s="84" t="s">
        <v>570</v>
      </c>
    </row>
    <row r="69" spans="1:1">
      <c r="A69" s="406" t="s">
        <v>641</v>
      </c>
    </row>
    <row r="70" spans="1:1">
      <c r="A70" s="405" t="s">
        <v>500</v>
      </c>
    </row>
    <row r="71" spans="1:1">
      <c r="A71" s="405" t="s">
        <v>501</v>
      </c>
    </row>
    <row r="72" spans="1:1">
      <c r="A72" s="405" t="s">
        <v>502</v>
      </c>
    </row>
    <row r="73" spans="1:1">
      <c r="A73" s="97"/>
    </row>
    <row r="74" spans="1:1">
      <c r="A74" s="84" t="s">
        <v>571</v>
      </c>
    </row>
    <row r="75" spans="1:1">
      <c r="A75" s="405" t="s">
        <v>636</v>
      </c>
    </row>
    <row r="76" spans="1:1">
      <c r="A76" s="405" t="s">
        <v>637</v>
      </c>
    </row>
    <row r="77" spans="1:1">
      <c r="A77" s="405" t="s">
        <v>638</v>
      </c>
    </row>
    <row r="78" spans="1:1">
      <c r="A78" s="97"/>
    </row>
    <row r="79" spans="1:1">
      <c r="A79" s="30" t="s">
        <v>572</v>
      </c>
    </row>
    <row r="80" spans="1:1">
      <c r="A80" s="30"/>
    </row>
    <row r="82" spans="1:1">
      <c r="A82" s="364" t="s">
        <v>590</v>
      </c>
    </row>
    <row r="83" spans="1:1">
      <c r="A83" s="10" t="s">
        <v>556</v>
      </c>
    </row>
  </sheetData>
  <hyperlinks>
    <hyperlink ref="A5" location="'tab01'!A1" display="Table 1—Soybean stocks: U.S. onfarm, off-farm, and total, by quarter, 1999/2000–2022/23" xr:uid="{E82C92AA-2CE8-4EFC-A78A-4B6646232679}"/>
    <hyperlink ref="A8" location="'tab02'!A1" display="Table 2—Soybeans: U.S. acreage planted, harvested, yield, production, value, and loan rate, 1980–2022" xr:uid="{81630B6B-2FB7-457D-B822-A40D1AF517F6}"/>
    <hyperlink ref="A9" location="'tab3'!A1" display="Table 3—Soybeans: U.S. supply, disappearance, and price, 1980/81–2022/23" xr:uid="{E8B49373-3AE6-4B6A-90A3-0DDE7AC8BA41}"/>
    <hyperlink ref="A10" location="'tab4'!A1" display="Table 4—Soybean meal: U.S. supply, disappearance, and price, 1980/81–2022/23" xr:uid="{85BCBE10-290E-4F99-9478-0F36318645A9}"/>
    <hyperlink ref="A14" location="'tab6'!A1" display="Table 6—Soybeans: U.S. supply and disappearance, by crop year quarter, 2000/01–2022/23" xr:uid="{C06C5EFF-8747-4A95-895C-7865CFF96C33}"/>
    <hyperlink ref="A15" location="'tab7'!A1" display="Table 7—Soybean meal: U.S. supply and disappearance, by month, 2007/08–2021/22" xr:uid="{C818DAF6-637E-4225-B005-A794F3D80017}"/>
    <hyperlink ref="A16" location="'tab8'!A1" display="Table 8—Soybean oil: U.S. supply and disappearance, by month, 2007/08–2021/22" xr:uid="{600C73E8-9105-4CDC-A58D-3DD578B8D6C1}"/>
    <hyperlink ref="A19" location="'tab 9'!A1" display="Table 9—Soybeans: U.S. monthly value of products per bushel of soybeans processed and spot price spread, 1990/91–2021/22" xr:uid="{02DBF947-F9CE-4F67-BED8-A237C269D1F7}"/>
    <hyperlink ref="A22" location="'tab 10'!A1" display="Table 10—Peanuts: U.S. acreage planted, harvested, yield, production, and value, 1980–2022" xr:uid="{073E6321-482D-47CB-80ED-36905B846CB0}"/>
    <hyperlink ref="A23" location="'tab 11'!A1" display="Table 11—Peanuts (farmers' stock basis): U.S. supply, disappearance, and price, 1980/81–2022/23" xr:uid="{8BD215D0-2C7A-4343-996F-5B734F417C36}"/>
    <hyperlink ref="A27" location="'tab 13'!A1" display="Table 13—Peanuts: U.S. planted acreage, by State and region, 1980–2022" xr:uid="{5EE9996E-EB63-4DCC-921A-4A6E0A0622F3}"/>
    <hyperlink ref="A28" location="'tab 14'!A1" display="Table 14—Peanuts: U.S. harvested acreage, by State and region, 1980–2022" xr:uid="{A0F35D01-F1B6-413A-9D78-354B28EA15A5}"/>
    <hyperlink ref="A29" location="'tab 15'!A1" display="Table 15—Peanuts: U.S. production, by State and region, 1980–2022" xr:uid="{5C528B52-C651-4CAF-B8AC-2FA4B7257649}"/>
    <hyperlink ref="A30" location="'tab 16'!A1" display="Table 16—Peanuts: Yield per harvested acre, by State and region, 1980–2022" xr:uid="{F1E64A7F-11AF-4B97-97EC-104C5111FF81}"/>
    <hyperlink ref="A33" location="'tab 17'!A1" display="Table 17—Cottonseed: U.S. acreage planted, harvested, yield, production, and value, 1980–2022" xr:uid="{B698B017-F615-4B89-B627-16B1B1CC832D}"/>
    <hyperlink ref="A34" location="'tab 18'!A1" display="Table 18—Cottonseed: U.S. supply, disappearance, and price, 1980/81–2022/23" xr:uid="{D748F12F-1DA1-4FD8-9BC1-0559D89C7CA0}"/>
    <hyperlink ref="A35" location="'tab 19'!A1" display="Table 19—Cottonseed meal: U.S. supply, disappearance, and price, 1980/81–2022/23" xr:uid="{F18BE5C8-7EE5-41F7-B8EE-2BC6E8255333}"/>
    <hyperlink ref="A36" location="'tab 20'!A1" display="Table 20—Cottonseed oil: U.S. supply, disappearance, and price, 1980/81–2022/23" xr:uid="{99C3696A-E3E5-4899-AB8E-666268B18FF6}"/>
    <hyperlink ref="A39" location="'tab21'!A1" display="Table 21—Sunflowerseed: U.S. acreage planted, harvested, yield, production, and value, 1980–2022" xr:uid="{615D4693-4137-4103-9A07-498F51485410}"/>
    <hyperlink ref="A40" location="'tab22'!A1" display="Table 22—Sunflowerseed: U.S. supply, disappearance, and price, 1980/81–2022/23" xr:uid="{00F24798-AC4D-4405-9B14-C83EB7E24E74}"/>
    <hyperlink ref="A41" location="'tab23'!A1" display="Table 23—Sunflowerseed meal: U.S. supply, disappearance, and price, 1980/81–2022/23" xr:uid="{D6B30F05-83BA-4E6B-A08A-B67A1AED94BB}"/>
    <hyperlink ref="A42" location="'tab24'!A1" display="Table 24—Sunflowerseed oil: U.S. supply, disappearance, and price, 1980/81–2022/23" xr:uid="{C3E06B15-1206-4AC4-A2B5-640E6685E7F4}"/>
    <hyperlink ref="A45" location="'tab25'!A1" display="Table 25—Canola seed: U.S. acreage planted, harvested, yield, supply, disappearance, price, and value, 1991/92–2022/23" xr:uid="{E59FA73A-43B7-468C-9BB2-2F9A10AA55E1}"/>
    <hyperlink ref="A46" location="'tab26'!A1" display="Table 26—Canola oil: U.S. supply, disappearance, and price, 1991/92–2022/23" xr:uid="{6CF9B61D-CB8A-404D-A47C-700841528372}"/>
    <hyperlink ref="A47" location="'tab27'!A1" display="Table 27—Canola meal: U.S. supply, disappearance, and price, 1991/92–2022/23" xr:uid="{67C60770-D269-457A-A075-BA267C329D8F}"/>
    <hyperlink ref="A50" location="'tab28'!A1" display="Table 28—Flaxseed: U.S. acreage planted, harvested, yield, production, and value, 1980–2022" xr:uid="{4EAFDFCC-E904-409D-BC89-04DD1381B0A6}"/>
    <hyperlink ref="A51" location="'tab29'!A1" display="Table 29—Flaxseed: U.S. supply, disappearance, and price, 1980/81–2022/23" xr:uid="{5A7B03D8-4745-4E75-A710-8DDC676BDB73}"/>
    <hyperlink ref="A52" location="'tab30'!A1" display="Table 30—Linseed meal: U.S. supply, disappearance, and price, 1980/81–2022/23" xr:uid="{AFA3F2CB-B37A-419F-8FED-41891FA47372}"/>
    <hyperlink ref="A53" location="'tab31'!A1" display="Table 31—Linseed oil: U.S. supply, disappearance, and price, 1980/81–2022/23" xr:uid="{7C52CB17-DE7B-4DBB-AF14-C14971EBB584}"/>
    <hyperlink ref="A56" location="'tab32'!A1" display="Table 32—Edible fats and oils: U.S. supply and disappearance, 2006–2022" xr:uid="{07E8FC39-C82E-4F0E-BE4A-09BBC46A929B}"/>
    <hyperlink ref="A59" location="'tab33'!A1" display="Table 33—Corn oil: U.S. supply, disappearance, and price, 1980/81–2022/23" xr:uid="{9F888ED6-6D64-4FA7-83BC-B7BB4F998194}"/>
    <hyperlink ref="A62" location="'tab34(1)'!A1" display="Table 34—Prices: Farm, wholesale, and index numbers of wholesale prices, by month, 2013–2022" xr:uid="{C991EFCE-2FC7-4972-AA42-5C4274E4B949}"/>
    <hyperlink ref="A65" location="'tab35'!A1" display="Table 35—Lard: U.S. supply, disappearance, and price, 1980–2022" xr:uid="{15E41BDE-A4D3-4BBE-891D-0E628290E95C}"/>
    <hyperlink ref="A66" location="'tab36'!A1" display="Table 36—Edible tallow: U.S. supply, disappearance, and price, 1980–2022" xr:uid="{F5B59861-5DD9-4ECF-BC9B-8DD568A5DF6D}"/>
    <hyperlink ref="A69" location="'tab37'!A1" display="Table 37—Supply and use: U.S. soybeans, soybean meal, and soybean oil, major foreign exporters, importers, and world, 2019/20–2022/23" xr:uid="{C0212FDE-15A8-42F8-837E-C74530336A0E}"/>
    <hyperlink ref="A75" location="'tab41'!A1" display="Table 41—World oilseed supply and distribution, 2014/15–2022/23" xr:uid="{4EFACADB-BF0C-46B4-890C-B262CA495ACD}"/>
    <hyperlink ref="A76" location="'tab42'!A1" display="Table 42—World vegetable oils supply and distribution, 2014/15–2022/23" xr:uid="{E20B8637-FE70-48C8-A1C2-8AF96473E631}"/>
    <hyperlink ref="A77" location="'tab43'!A1" display="Table 43—World protein meal supply and distribution, 2014/15–2022/23" xr:uid="{154FB661-48BE-4754-95E6-23ADE3E96BEF}"/>
    <hyperlink ref="A11" location="'tab5'!A1" display="Table 5—Soybean oil: U.S. supply, disappearance, and price, 1980/81–2022/23" xr:uid="{DDB080A9-BA77-40C6-8281-BD84E8EFA5E5}"/>
    <hyperlink ref="A70" location="'tab38'!A1" display="Table 38—U.S. soybean exports by selected destinations (1,000 metric tons)" xr:uid="{5563B480-3DF4-4169-9625-39A8BD601AD2}"/>
    <hyperlink ref="A71" location="'tab39'!A1" display="Table 39—U.S. soybean meal exports by selected destinations (1,000 metric tons)" xr:uid="{D4A703B3-CFA5-4FC1-BEE3-250C4A44716F}"/>
    <hyperlink ref="A72" location="'tab40'!A1" display="Table 40—U.S. soybean oil exports by selected destinations (1,000 metric tons)" xr:uid="{06B9F77E-CEF1-4660-AEBE-2D95F17ECE0B}"/>
    <hyperlink ref="A24" location="'tab 12'!A1" display="Table 12—U.S. food uses of peanuts, shelled basis, 1980/81–2021/22" xr:uid="{E9B482F1-8EF2-45E4-882A-C71C080C4454}"/>
  </hyperlinks>
  <pageMargins left="0.75" right="0.75" top="1" bottom="1" header="0.5" footer="0.5"/>
  <pageSetup scale="65" orientation="portrait" r:id="rId1"/>
  <headerFooter alignWithMargins="0">
    <oddFooter>&amp;COil Crops Yearbook/OCS-2023
March 2023
Economic Research Service
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Q187"/>
  <sheetViews>
    <sheetView zoomScaleNormal="100" zoomScaleSheetLayoutView="100" workbookViewId="0">
      <pane ySplit="7" topLeftCell="A8" activePane="bottomLeft" state="frozen"/>
      <selection pane="bottomLeft"/>
    </sheetView>
  </sheetViews>
  <sheetFormatPr defaultRowHeight="11.25"/>
  <cols>
    <col min="1" max="1" width="13" customWidth="1"/>
    <col min="2" max="2" width="13.33203125" bestFit="1" customWidth="1"/>
    <col min="4" max="5" width="8.33203125" customWidth="1"/>
    <col min="7" max="7" width="8.33203125" customWidth="1"/>
    <col min="9" max="9" width="14.6640625" customWidth="1"/>
    <col min="11" max="11" width="10.83203125" customWidth="1"/>
    <col min="13" max="13" width="13.5" customWidth="1"/>
    <col min="14" max="14" width="11.6640625" customWidth="1"/>
    <col min="15" max="15" width="15.6640625" customWidth="1"/>
    <col min="17" max="17" width="12.6640625" bestFit="1" customWidth="1"/>
  </cols>
  <sheetData>
    <row r="1" spans="1:15">
      <c r="A1" s="227" t="s">
        <v>603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N2" s="3"/>
      <c r="O2" s="91" t="s">
        <v>74</v>
      </c>
    </row>
    <row r="3" spans="1:15">
      <c r="A3" t="s">
        <v>15</v>
      </c>
      <c r="N3" s="7" t="s">
        <v>141</v>
      </c>
      <c r="O3" s="7" t="s">
        <v>145</v>
      </c>
    </row>
    <row r="4" spans="1:15">
      <c r="A4" t="s">
        <v>59</v>
      </c>
      <c r="C4" s="9"/>
      <c r="D4" s="89"/>
      <c r="F4" s="9" t="s">
        <v>138</v>
      </c>
      <c r="G4" s="9"/>
      <c r="H4" s="9"/>
      <c r="I4" s="9"/>
      <c r="J4" s="9"/>
      <c r="K4" s="7" t="s">
        <v>2</v>
      </c>
      <c r="L4" s="88" t="s">
        <v>146</v>
      </c>
      <c r="M4" s="9"/>
      <c r="N4" s="7" t="s">
        <v>142</v>
      </c>
      <c r="O4" s="7" t="s">
        <v>134</v>
      </c>
    </row>
    <row r="5" spans="1:15">
      <c r="A5" t="s">
        <v>119</v>
      </c>
      <c r="B5" s="3"/>
      <c r="C5" s="4" t="s">
        <v>137</v>
      </c>
      <c r="D5" s="4"/>
      <c r="E5" s="3"/>
      <c r="F5" s="4" t="s">
        <v>133</v>
      </c>
      <c r="G5" s="4"/>
      <c r="H5" s="3"/>
      <c r="I5" s="4" t="s">
        <v>215</v>
      </c>
      <c r="J5" s="4"/>
      <c r="K5" s="7" t="s">
        <v>150</v>
      </c>
      <c r="L5" s="7" t="s">
        <v>140</v>
      </c>
      <c r="M5" s="7" t="s">
        <v>140</v>
      </c>
      <c r="N5" s="7" t="s">
        <v>143</v>
      </c>
      <c r="O5" s="7" t="s">
        <v>135</v>
      </c>
    </row>
    <row r="6" spans="1:15">
      <c r="A6" s="1"/>
      <c r="B6" s="9" t="s">
        <v>38</v>
      </c>
      <c r="C6" s="9" t="s">
        <v>147</v>
      </c>
      <c r="D6" s="9" t="s">
        <v>41</v>
      </c>
      <c r="E6" s="9" t="s">
        <v>38</v>
      </c>
      <c r="F6" s="9" t="s">
        <v>149</v>
      </c>
      <c r="G6" s="9" t="s">
        <v>41</v>
      </c>
      <c r="H6" s="9" t="s">
        <v>38</v>
      </c>
      <c r="I6" s="9" t="s">
        <v>216</v>
      </c>
      <c r="J6" s="89" t="s">
        <v>41</v>
      </c>
      <c r="K6" s="1"/>
      <c r="L6" s="9" t="s">
        <v>139</v>
      </c>
      <c r="M6" s="9" t="s">
        <v>534</v>
      </c>
      <c r="N6" s="9" t="s">
        <v>144</v>
      </c>
      <c r="O6" s="7" t="s">
        <v>136</v>
      </c>
    </row>
    <row r="7" spans="1:15" ht="12" customHeight="1">
      <c r="B7" s="150" t="s">
        <v>55</v>
      </c>
      <c r="C7" s="150" t="s">
        <v>148</v>
      </c>
      <c r="D7" s="150" t="s">
        <v>276</v>
      </c>
      <c r="E7" s="150" t="s">
        <v>55</v>
      </c>
      <c r="F7" s="156" t="s">
        <v>275</v>
      </c>
      <c r="G7" s="157"/>
      <c r="H7" s="150" t="s">
        <v>55</v>
      </c>
      <c r="I7" s="150" t="s">
        <v>355</v>
      </c>
      <c r="J7" s="158" t="s">
        <v>276</v>
      </c>
      <c r="K7" s="157" t="s">
        <v>276</v>
      </c>
      <c r="L7" s="156" t="s">
        <v>277</v>
      </c>
      <c r="M7" s="157"/>
      <c r="N7" s="159" t="s">
        <v>274</v>
      </c>
      <c r="O7" s="154"/>
    </row>
    <row r="8" spans="1:15" ht="12" customHeight="1">
      <c r="B8" s="7"/>
      <c r="C8" s="7"/>
      <c r="D8" s="7"/>
      <c r="E8" s="7"/>
      <c r="F8" s="74"/>
      <c r="G8" s="74"/>
      <c r="H8" s="7"/>
      <c r="I8" s="7"/>
      <c r="J8" s="7"/>
      <c r="K8" s="74"/>
      <c r="L8" s="74"/>
      <c r="M8" s="74"/>
      <c r="N8" s="74"/>
      <c r="O8" s="74"/>
    </row>
    <row r="9" spans="1:15">
      <c r="A9" t="s">
        <v>5</v>
      </c>
      <c r="B9" s="212">
        <v>11.226666666666665</v>
      </c>
      <c r="C9" s="212">
        <v>21.31</v>
      </c>
      <c r="D9" s="212">
        <f t="shared" ref="D9:D14" si="0">(B9*C9)/100</f>
        <v>2.392402666666666</v>
      </c>
      <c r="E9" s="212">
        <v>47.472499999999997</v>
      </c>
      <c r="F9" s="212">
        <v>168.49</v>
      </c>
      <c r="G9" s="210">
        <f t="shared" ref="G9:G19" si="1">E9*F9/2000</f>
        <v>3.9993207625</v>
      </c>
      <c r="H9" s="210" t="s">
        <v>229</v>
      </c>
      <c r="I9" s="349" t="s">
        <v>229</v>
      </c>
      <c r="J9" s="210" t="s">
        <v>229</v>
      </c>
      <c r="K9" s="212">
        <f t="shared" ref="K9:K14" si="2">+D9+G9</f>
        <v>6.3917234291666656</v>
      </c>
      <c r="L9" s="212">
        <f t="shared" ref="L9:L15" si="3">+D9/K9</f>
        <v>0.37429696281126179</v>
      </c>
      <c r="M9" s="212">
        <f t="shared" ref="M9:M15" si="4">+G9/K9</f>
        <v>0.62570303718873832</v>
      </c>
      <c r="N9" s="212">
        <v>5.9</v>
      </c>
      <c r="O9" s="213">
        <f t="shared" ref="O9:O18" si="5">+K9-N9</f>
        <v>0.49172342916666523</v>
      </c>
    </row>
    <row r="10" spans="1:15">
      <c r="A10" t="s">
        <v>6</v>
      </c>
      <c r="B10" s="212">
        <v>11.415833333333333</v>
      </c>
      <c r="C10" s="212">
        <v>19.309999999999999</v>
      </c>
      <c r="D10" s="212">
        <f t="shared" si="0"/>
        <v>2.2043974166666667</v>
      </c>
      <c r="E10" s="212">
        <v>47.507170961244562</v>
      </c>
      <c r="F10" s="212">
        <v>177.7</v>
      </c>
      <c r="G10" s="210">
        <f t="shared" si="1"/>
        <v>4.2210121399065796</v>
      </c>
      <c r="H10" s="210" t="s">
        <v>229</v>
      </c>
      <c r="I10" s="349" t="s">
        <v>229</v>
      </c>
      <c r="J10" s="210" t="s">
        <v>229</v>
      </c>
      <c r="K10" s="212">
        <f t="shared" si="2"/>
        <v>6.4254095565732463</v>
      </c>
      <c r="L10" s="212">
        <f t="shared" si="3"/>
        <v>0.34307500514290956</v>
      </c>
      <c r="M10" s="212">
        <f t="shared" si="4"/>
        <v>0.65692499485709044</v>
      </c>
      <c r="N10" s="212">
        <v>5.84</v>
      </c>
      <c r="O10" s="213">
        <f t="shared" si="5"/>
        <v>0.58540955657324645</v>
      </c>
    </row>
    <row r="11" spans="1:15" ht="10.15" customHeight="1">
      <c r="A11" t="s">
        <v>7</v>
      </c>
      <c r="B11" s="212">
        <v>10.845000000000001</v>
      </c>
      <c r="C11" s="212">
        <v>21.01</v>
      </c>
      <c r="D11" s="212">
        <f t="shared" si="0"/>
        <v>2.2785345000000006</v>
      </c>
      <c r="E11" s="210">
        <v>47.538416188866989</v>
      </c>
      <c r="F11" s="210">
        <v>180.8</v>
      </c>
      <c r="G11" s="210">
        <f t="shared" si="1"/>
        <v>4.2974728234735755</v>
      </c>
      <c r="H11" s="210" t="s">
        <v>229</v>
      </c>
      <c r="I11" s="349" t="s">
        <v>229</v>
      </c>
      <c r="J11" s="210" t="s">
        <v>229</v>
      </c>
      <c r="K11" s="212">
        <f t="shared" si="2"/>
        <v>6.5760073234735756</v>
      </c>
      <c r="L11" s="212">
        <f t="shared" si="3"/>
        <v>0.34649208675096699</v>
      </c>
      <c r="M11" s="212">
        <f t="shared" si="4"/>
        <v>0.65350791324903301</v>
      </c>
      <c r="N11" s="210">
        <v>5.95</v>
      </c>
      <c r="O11" s="213">
        <f t="shared" si="5"/>
        <v>0.62600732347357546</v>
      </c>
    </row>
    <row r="12" spans="1:15" ht="10.15" customHeight="1">
      <c r="A12" t="s">
        <v>8</v>
      </c>
      <c r="B12" s="212">
        <f>13861008/1275648</f>
        <v>10.86585641180012</v>
      </c>
      <c r="C12" s="212">
        <v>26.74</v>
      </c>
      <c r="D12" s="212">
        <f t="shared" si="0"/>
        <v>2.9055300045153518</v>
      </c>
      <c r="E12" s="210">
        <f>(30370.2*2000)/1275648</f>
        <v>47.615329620710412</v>
      </c>
      <c r="F12" s="210">
        <v>182.65</v>
      </c>
      <c r="G12" s="210">
        <f t="shared" si="1"/>
        <v>4.3484699776113782</v>
      </c>
      <c r="H12" s="210" t="s">
        <v>229</v>
      </c>
      <c r="I12" s="349" t="s">
        <v>229</v>
      </c>
      <c r="J12" s="210" t="s">
        <v>229</v>
      </c>
      <c r="K12" s="212">
        <f t="shared" si="2"/>
        <v>7.2539999821267305</v>
      </c>
      <c r="L12" s="212">
        <f t="shared" si="3"/>
        <v>0.40054177166726534</v>
      </c>
      <c r="M12" s="212">
        <f t="shared" si="4"/>
        <v>0.59945822833273454</v>
      </c>
      <c r="N12" s="212">
        <v>6.59</v>
      </c>
      <c r="O12" s="213">
        <f t="shared" si="5"/>
        <v>0.66399998212673061</v>
      </c>
    </row>
    <row r="13" spans="1:15">
      <c r="A13" t="s">
        <v>9</v>
      </c>
      <c r="B13" s="212">
        <f>15572418/1405156</f>
        <v>11.082341035443751</v>
      </c>
      <c r="C13" s="212">
        <v>27.5</v>
      </c>
      <c r="D13" s="212">
        <f t="shared" si="0"/>
        <v>3.0476437847470317</v>
      </c>
      <c r="E13" s="210">
        <f>(33250.7*2000)/1405156</f>
        <v>47.326702515592572</v>
      </c>
      <c r="F13" s="210">
        <v>151.77000000000001</v>
      </c>
      <c r="G13" s="210">
        <f t="shared" si="1"/>
        <v>3.5913868203957429</v>
      </c>
      <c r="H13" s="210" t="s">
        <v>229</v>
      </c>
      <c r="I13" s="349" t="s">
        <v>229</v>
      </c>
      <c r="J13" s="210" t="s">
        <v>229</v>
      </c>
      <c r="K13" s="212">
        <f t="shared" si="2"/>
        <v>6.639030605142775</v>
      </c>
      <c r="L13" s="212">
        <f t="shared" si="3"/>
        <v>0.45904951581127573</v>
      </c>
      <c r="M13" s="212">
        <f t="shared" si="4"/>
        <v>0.54095048418872427</v>
      </c>
      <c r="N13" s="212">
        <v>5.73</v>
      </c>
      <c r="O13" s="213">
        <f t="shared" si="5"/>
        <v>0.90903060514277456</v>
      </c>
    </row>
    <row r="14" spans="1:15">
      <c r="A14" t="s">
        <v>10</v>
      </c>
      <c r="B14" s="212">
        <f>(15275787*60)/(41086.224*2000)</f>
        <v>11.153948097055597</v>
      </c>
      <c r="C14" s="212">
        <v>24.9</v>
      </c>
      <c r="D14" s="212">
        <f t="shared" si="0"/>
        <v>2.7773330761668431</v>
      </c>
      <c r="E14" s="210">
        <f>(30333276+2325473)*60/41086224</f>
        <v>47.692991694734467</v>
      </c>
      <c r="F14" s="210">
        <v>217.27</v>
      </c>
      <c r="G14" s="210">
        <f t="shared" si="1"/>
        <v>5.1811281527574788</v>
      </c>
      <c r="H14" s="210" t="s">
        <v>229</v>
      </c>
      <c r="I14" s="349" t="s">
        <v>229</v>
      </c>
      <c r="J14" s="210" t="s">
        <v>229</v>
      </c>
      <c r="K14" s="212">
        <f t="shared" si="2"/>
        <v>7.958461228924322</v>
      </c>
      <c r="L14" s="212">
        <f t="shared" si="3"/>
        <v>0.34897865256575883</v>
      </c>
      <c r="M14" s="212">
        <f t="shared" si="4"/>
        <v>0.65102134743424112</v>
      </c>
      <c r="N14" s="212">
        <v>7.39</v>
      </c>
      <c r="O14" s="213">
        <f t="shared" si="5"/>
        <v>0.56846122892432227</v>
      </c>
    </row>
    <row r="15" spans="1:15">
      <c r="A15" t="s">
        <v>11</v>
      </c>
      <c r="B15" s="212">
        <f>(15664400*60)/(43078.871*2000)</f>
        <v>10.908642429371001</v>
      </c>
      <c r="C15" s="212">
        <v>22.6</v>
      </c>
      <c r="D15" s="212">
        <f t="shared" ref="D15:D22" si="6">(B15*C15)/100</f>
        <v>2.4653531890378466</v>
      </c>
      <c r="E15" s="210">
        <f>(31680021+2326505)*60/43078871</f>
        <v>47.364090855584401</v>
      </c>
      <c r="F15" s="210">
        <v>260.38</v>
      </c>
      <c r="G15" s="210">
        <f t="shared" si="1"/>
        <v>6.1663309884885331</v>
      </c>
      <c r="H15" s="210" t="s">
        <v>229</v>
      </c>
      <c r="I15" s="349" t="s">
        <v>229</v>
      </c>
      <c r="J15" s="210" t="s">
        <v>229</v>
      </c>
      <c r="K15" s="212">
        <f>D15+G15</f>
        <v>8.6316841775263793</v>
      </c>
      <c r="L15" s="212">
        <f t="shared" si="3"/>
        <v>0.28561670449628918</v>
      </c>
      <c r="M15" s="212">
        <f t="shared" si="4"/>
        <v>0.71438329550371094</v>
      </c>
      <c r="N15" s="212">
        <v>7.8</v>
      </c>
      <c r="O15" s="213">
        <f t="shared" si="5"/>
        <v>0.83168417752637946</v>
      </c>
    </row>
    <row r="16" spans="1:15">
      <c r="A16" t="s">
        <v>12</v>
      </c>
      <c r="B16" s="212">
        <f>(17963296*60)/(47909.41*2000)</f>
        <v>11.248288801719745</v>
      </c>
      <c r="C16" s="212">
        <v>25.65</v>
      </c>
      <c r="D16" s="212">
        <f t="shared" si="6"/>
        <v>2.8851860776411145</v>
      </c>
      <c r="E16" s="210">
        <f>(35243382+2613338)*60/47909410</f>
        <v>47.410377209821618</v>
      </c>
      <c r="F16" s="210">
        <v>186.55</v>
      </c>
      <c r="G16" s="210">
        <f t="shared" si="1"/>
        <v>4.422202934246112</v>
      </c>
      <c r="H16" s="210" t="s">
        <v>229</v>
      </c>
      <c r="I16" s="349" t="s">
        <v>229</v>
      </c>
      <c r="J16" s="210" t="s">
        <v>229</v>
      </c>
      <c r="K16" s="212">
        <f>D16+G16</f>
        <v>7.307389011887226</v>
      </c>
      <c r="L16" s="212">
        <f>D16/K16</f>
        <v>0.39483132387610204</v>
      </c>
      <c r="M16" s="212">
        <f>G16/K16</f>
        <v>0.60516867612389802</v>
      </c>
      <c r="N16" s="212">
        <v>6.64</v>
      </c>
      <c r="O16" s="213">
        <f t="shared" si="5"/>
        <v>0.66738901188722632</v>
      </c>
    </row>
    <row r="17" spans="1:15">
      <c r="A17" t="s">
        <v>13</v>
      </c>
      <c r="B17" s="212">
        <f>(17960000*60)/(47693.6*2000)</f>
        <v>11.297113239512219</v>
      </c>
      <c r="C17" s="212">
        <v>20.49</v>
      </c>
      <c r="D17" s="212">
        <f t="shared" si="6"/>
        <v>2.3147785027760537</v>
      </c>
      <c r="E17" s="210">
        <f>(35050200+2509215)*60/47693600</f>
        <v>47.250886911451431</v>
      </c>
      <c r="F17" s="210">
        <v>130.56</v>
      </c>
      <c r="G17" s="210">
        <f t="shared" si="1"/>
        <v>3.0845378975795494</v>
      </c>
      <c r="H17" s="210" t="s">
        <v>229</v>
      </c>
      <c r="I17" s="349" t="s">
        <v>229</v>
      </c>
      <c r="J17" s="210" t="s">
        <v>229</v>
      </c>
      <c r="K17" s="212">
        <f>D17+G17</f>
        <v>5.3993164003556036</v>
      </c>
      <c r="L17" s="212">
        <f>D17/K17</f>
        <v>0.42871695806224663</v>
      </c>
      <c r="M17" s="212">
        <f>G17/K17</f>
        <v>0.57128304193775326</v>
      </c>
      <c r="N17" s="212">
        <v>5</v>
      </c>
      <c r="O17" s="213">
        <f t="shared" si="5"/>
        <v>0.39931640035560356</v>
      </c>
    </row>
    <row r="18" spans="1:15">
      <c r="A18" t="s">
        <v>128</v>
      </c>
      <c r="B18" s="212">
        <f>(17887147*60)/(47319.5*2000)</f>
        <v>11.340238379526411</v>
      </c>
      <c r="C18" s="212">
        <v>15.81</v>
      </c>
      <c r="D18" s="212">
        <f t="shared" si="6"/>
        <v>1.7928916878031256</v>
      </c>
      <c r="E18" s="210">
        <f>(34950200+2719091)*60/47319500</f>
        <v>47.763764621350603</v>
      </c>
      <c r="F18" s="210">
        <v>158.04</v>
      </c>
      <c r="G18" s="210">
        <f t="shared" si="1"/>
        <v>3.7742926803791241</v>
      </c>
      <c r="H18" s="210" t="s">
        <v>229</v>
      </c>
      <c r="I18" s="349" t="s">
        <v>229</v>
      </c>
      <c r="J18" s="210" t="s">
        <v>229</v>
      </c>
      <c r="K18" s="212">
        <f>D18+G18</f>
        <v>5.5671843681822502</v>
      </c>
      <c r="L18" s="212">
        <f>G18/K18</f>
        <v>0.67795359930058763</v>
      </c>
      <c r="M18" s="212">
        <f>D18/K18</f>
        <v>0.32204640069941232</v>
      </c>
      <c r="N18" s="212">
        <v>4.9024999999999999</v>
      </c>
      <c r="O18" s="213">
        <f t="shared" si="5"/>
        <v>0.6646843681822503</v>
      </c>
    </row>
    <row r="19" spans="1:15">
      <c r="A19" t="s">
        <v>209</v>
      </c>
      <c r="B19" s="212">
        <f>(18433200*60)/(49189.1*2000)</f>
        <v>11.242246757919945</v>
      </c>
      <c r="C19" s="212">
        <v>13.99</v>
      </c>
      <c r="D19" s="212">
        <f t="shared" si="6"/>
        <v>1.5727903214330003</v>
      </c>
      <c r="E19" s="210">
        <f>(36703167+2694848)*60/49189100</f>
        <v>48.057006531934924</v>
      </c>
      <c r="F19" s="210">
        <v>165.6</v>
      </c>
      <c r="G19" s="210">
        <f t="shared" si="1"/>
        <v>3.9791201408442118</v>
      </c>
      <c r="H19" s="210" t="s">
        <v>229</v>
      </c>
      <c r="I19" s="349" t="s">
        <v>229</v>
      </c>
      <c r="J19" s="210" t="s">
        <v>229</v>
      </c>
      <c r="K19" s="212">
        <f>D19+G19</f>
        <v>5.5519104622772124</v>
      </c>
      <c r="L19" s="212">
        <f>'tab 9'!D19/K19</f>
        <v>0.28328812795512792</v>
      </c>
      <c r="M19" s="212">
        <f>'tab 9'!G19/K19</f>
        <v>0.71671187204487208</v>
      </c>
      <c r="N19" s="212">
        <v>4.7708333333333339</v>
      </c>
      <c r="O19" s="213">
        <f t="shared" ref="O19:O24" si="7">K19-N19</f>
        <v>0.78107712894387848</v>
      </c>
    </row>
    <row r="20" spans="1:15">
      <c r="A20" t="s">
        <v>210</v>
      </c>
      <c r="B20" s="212">
        <f>(18936905*60)/(50992.002*2000)</f>
        <v>11.141103069457834</v>
      </c>
      <c r="C20" s="212">
        <v>16.05</v>
      </c>
      <c r="D20" s="212">
        <f t="shared" si="6"/>
        <v>1.7881470426479824</v>
      </c>
      <c r="E20" s="210">
        <f>(37624201)*60/50992002</f>
        <v>44.270708571120622</v>
      </c>
      <c r="F20" s="210">
        <v>166.56</v>
      </c>
      <c r="G20" s="210">
        <f>E20*F20/2000</f>
        <v>3.6868646098029254</v>
      </c>
      <c r="H20" s="214">
        <f>(2833142*60)/50992002</f>
        <v>3.3336310270775407</v>
      </c>
      <c r="I20" s="350">
        <v>61.332500000000003</v>
      </c>
      <c r="J20" s="214">
        <f>H20*I20/2000</f>
        <v>0.10222996248411664</v>
      </c>
      <c r="K20" s="212">
        <f>D20+G20+J20</f>
        <v>5.5772416149350246</v>
      </c>
      <c r="L20" s="212">
        <f>D20/K20</f>
        <v>0.32061495020398439</v>
      </c>
      <c r="M20" s="212">
        <f>(+G20+J20)/K20</f>
        <v>0.67938504979601566</v>
      </c>
      <c r="N20" s="212">
        <v>4.7858333333333336</v>
      </c>
      <c r="O20" s="213">
        <f t="shared" si="7"/>
        <v>0.79140828160169097</v>
      </c>
    </row>
    <row r="21" spans="1:15">
      <c r="A21" t="s">
        <v>217</v>
      </c>
      <c r="B21" s="212">
        <f>(18406694*60)/(48463.925*2000)</f>
        <v>11.394058983047699</v>
      </c>
      <c r="C21" s="212">
        <v>21.8</v>
      </c>
      <c r="D21" s="212">
        <f t="shared" si="6"/>
        <v>2.4839048583043986</v>
      </c>
      <c r="E21" s="210">
        <f>(35460773*60)/48463925</f>
        <v>43.901652208317834</v>
      </c>
      <c r="F21" s="210">
        <v>178.87</v>
      </c>
      <c r="G21" s="210">
        <f>E21*F21/2000</f>
        <v>3.9263442652509055</v>
      </c>
      <c r="H21" s="214">
        <f>(2639934*60)/48463925</f>
        <v>3.2683287620637413</v>
      </c>
      <c r="I21" s="350">
        <v>66.002499999999998</v>
      </c>
      <c r="J21" s="214">
        <f>H21*I21/2000</f>
        <v>0.10785893455905604</v>
      </c>
      <c r="K21" s="212">
        <f>D21+G21+J21</f>
        <v>6.5181080581143602</v>
      </c>
      <c r="L21" s="212">
        <f>D21/K21</f>
        <v>0.38107758204655684</v>
      </c>
      <c r="M21" s="212">
        <f>(+G21+J21)/K21</f>
        <v>0.61892241795344305</v>
      </c>
      <c r="N21" s="212">
        <v>5.8975</v>
      </c>
      <c r="O21" s="213">
        <f t="shared" si="7"/>
        <v>0.62060805811436026</v>
      </c>
    </row>
    <row r="22" spans="1:15">
      <c r="A22" t="s">
        <v>221</v>
      </c>
      <c r="B22" s="212">
        <f>(17134534*60)/(45892.321*2000)</f>
        <v>11.200915726184343</v>
      </c>
      <c r="C22" s="212">
        <v>29.74</v>
      </c>
      <c r="D22" s="212">
        <f t="shared" si="6"/>
        <v>3.3311523369672233</v>
      </c>
      <c r="E22" s="210">
        <f>(33896303*60)/45892321</f>
        <v>44.316306861010581</v>
      </c>
      <c r="F22" s="210">
        <v>259.58999999999997</v>
      </c>
      <c r="G22" s="210">
        <f>E22*F22/2000</f>
        <v>5.7520350490248671</v>
      </c>
      <c r="H22" s="214">
        <f>(2578876*60)/45892321</f>
        <v>3.3716438094294685</v>
      </c>
      <c r="I22" s="350">
        <v>77.334999999999994</v>
      </c>
      <c r="J22" s="214">
        <f>H22*I22/2000</f>
        <v>0.13037303700111397</v>
      </c>
      <c r="K22" s="212">
        <f>D22+G22+J22</f>
        <v>9.2135604229932042</v>
      </c>
      <c r="L22" s="212">
        <f>D22/K22</f>
        <v>0.36154886754246018</v>
      </c>
      <c r="M22" s="212">
        <f>(+G22+J22)/K22</f>
        <v>0.63845113245753982</v>
      </c>
      <c r="N22" s="212">
        <v>8.2191666666666663</v>
      </c>
      <c r="O22" s="213">
        <f t="shared" si="7"/>
        <v>0.99439375632653793</v>
      </c>
    </row>
    <row r="23" spans="1:15">
      <c r="A23" t="s">
        <v>222</v>
      </c>
      <c r="B23" s="212">
        <f>(19223995*60)/(50897.425*2000)</f>
        <v>11.331022148959402</v>
      </c>
      <c r="C23" s="212">
        <v>23.24</v>
      </c>
      <c r="D23" s="212">
        <f>(B23*C23)/100</f>
        <v>2.6333295474181648</v>
      </c>
      <c r="E23" s="210">
        <f>(37548458*60)/50897425</f>
        <v>44.263682887690294</v>
      </c>
      <c r="F23" s="210">
        <v>182.91333333333333</v>
      </c>
      <c r="G23" s="210">
        <f>E23*F23/2000</f>
        <v>4.048208891298529</v>
      </c>
      <c r="H23" s="214">
        <f>(2895378*60)/50897425</f>
        <v>3.4131919247388254</v>
      </c>
      <c r="I23" s="350">
        <v>56.531666666666666</v>
      </c>
      <c r="J23" s="214">
        <f>H23*I23/2000</f>
        <v>9.6476714079346854E-2</v>
      </c>
      <c r="K23" s="212">
        <f>D23+G23+J23</f>
        <v>6.7780151527960406</v>
      </c>
      <c r="L23" s="212">
        <f>D23/K23</f>
        <v>0.38851042496295896</v>
      </c>
      <c r="M23" s="212">
        <f>(+G23+J23)/K23</f>
        <v>0.61148957503704104</v>
      </c>
      <c r="N23" s="212">
        <v>5.9833333333333334</v>
      </c>
      <c r="O23" s="213">
        <f t="shared" si="7"/>
        <v>0.79468181946270722</v>
      </c>
    </row>
    <row r="24" spans="1:15">
      <c r="A24" t="s">
        <v>225</v>
      </c>
      <c r="B24" s="212">
        <f>(20237322*60)/(52165.552*2000)</f>
        <v>11.63832523041259</v>
      </c>
      <c r="C24" s="212">
        <v>23.38</v>
      </c>
      <c r="D24" s="212">
        <f>(B24*C24)/100</f>
        <v>2.7210404388704639</v>
      </c>
      <c r="E24" s="210">
        <f>(38111108*60)/52165552</f>
        <v>43.834798872635339</v>
      </c>
      <c r="F24" s="210">
        <v>174.71</v>
      </c>
      <c r="G24" s="210">
        <f>E24*F24/2000</f>
        <v>3.8291888555190603</v>
      </c>
      <c r="H24" s="214">
        <f>(2935377*60)/52165552</f>
        <v>3.3762246012464319</v>
      </c>
      <c r="I24" s="350">
        <v>68.989999999999995</v>
      </c>
      <c r="J24" s="214">
        <f>H24*I24/2000</f>
        <v>0.11646286761999566</v>
      </c>
      <c r="K24" s="212">
        <f>D24+G24+J24</f>
        <v>6.6666921620095199</v>
      </c>
      <c r="L24" s="212">
        <f>D24/K24</f>
        <v>0.40815450492471356</v>
      </c>
      <c r="M24" s="212">
        <f>(+G24+J24)/K24</f>
        <v>0.59184549507528639</v>
      </c>
      <c r="N24" s="212">
        <v>5.7</v>
      </c>
      <c r="O24" s="213">
        <f t="shared" si="7"/>
        <v>0.96669216200951968</v>
      </c>
    </row>
    <row r="25" spans="1:15">
      <c r="A25" t="s">
        <v>227</v>
      </c>
      <c r="B25" s="212">
        <f>(20487823*60)/(54184.483*2000)</f>
        <v>11.343370942563022</v>
      </c>
      <c r="C25" s="212">
        <v>29.905833333333337</v>
      </c>
      <c r="D25" s="212">
        <f t="shared" ref="D25" si="8">(B25*C25)/100</f>
        <v>3.3923296084646601</v>
      </c>
      <c r="E25" s="210">
        <f>(39758166*60)/54184483</f>
        <v>44.025333968767406</v>
      </c>
      <c r="F25" s="212">
        <v>198.31000000000003</v>
      </c>
      <c r="G25" s="210">
        <f t="shared" ref="G25" si="9">E25*F25/2000</f>
        <v>4.3653319896731331</v>
      </c>
      <c r="H25" s="214">
        <f>(3118614*60)/54184483</f>
        <v>3.4533288801519064</v>
      </c>
      <c r="I25" s="350">
        <v>96.722500000000011</v>
      </c>
      <c r="J25" s="214">
        <f t="shared" ref="J25" si="10">H25*I25/2000</f>
        <v>0.16700730130524641</v>
      </c>
      <c r="K25" s="212">
        <f t="shared" ref="K25" si="11">D25+G25+J25</f>
        <v>7.9246688994430396</v>
      </c>
      <c r="L25" s="212">
        <f t="shared" ref="L25" si="12">D25/K25</f>
        <v>0.42807209380105199</v>
      </c>
      <c r="M25" s="212">
        <f t="shared" ref="M25" si="13">(+G25+J25)/K25</f>
        <v>0.57192790619894807</v>
      </c>
      <c r="N25" s="212">
        <v>7.0374999999999988</v>
      </c>
      <c r="O25" s="213">
        <f t="shared" ref="O25" si="14">K25-N25</f>
        <v>0.88716889944304089</v>
      </c>
    </row>
    <row r="26" spans="1:15">
      <c r="B26" s="212"/>
      <c r="C26" s="212"/>
      <c r="D26" s="212"/>
      <c r="E26" s="210"/>
      <c r="F26" s="212"/>
      <c r="G26" s="210"/>
      <c r="H26" s="214"/>
      <c r="I26" s="214"/>
      <c r="J26" s="214"/>
      <c r="K26" s="212"/>
      <c r="L26" s="212"/>
      <c r="M26" s="212"/>
      <c r="N26" s="212"/>
      <c r="O26" s="213"/>
    </row>
    <row r="27" spans="1:15">
      <c r="A27" t="s">
        <v>230</v>
      </c>
      <c r="B27" s="212"/>
      <c r="C27" s="212"/>
      <c r="D27" s="212"/>
      <c r="E27" s="210"/>
      <c r="F27" s="212"/>
      <c r="G27" s="210"/>
      <c r="H27" s="214"/>
      <c r="I27" s="214"/>
      <c r="J27" s="214"/>
      <c r="K27" s="212"/>
      <c r="L27" s="212"/>
      <c r="M27" s="212"/>
      <c r="N27" s="212"/>
      <c r="O27" s="213"/>
    </row>
    <row r="28" spans="1:15">
      <c r="A28" t="s">
        <v>382</v>
      </c>
      <c r="B28" s="212">
        <f>(1678000*60)/(4420.104*2000)</f>
        <v>11.388872298027376</v>
      </c>
      <c r="C28" s="212">
        <v>36.89</v>
      </c>
      <c r="D28" s="212">
        <f t="shared" ref="D28:D40" si="15">(B28*C28)/100</f>
        <v>4.2013549907422991</v>
      </c>
      <c r="E28" s="210">
        <f>(3228802*60)/4420104</f>
        <v>43.828860135417628</v>
      </c>
      <c r="F28" s="212">
        <v>254.41</v>
      </c>
      <c r="G28" s="210">
        <f t="shared" ref="G28:G40" si="16">E28*F28/2000</f>
        <v>5.5752501535257988</v>
      </c>
      <c r="H28" s="214">
        <f>(261418*60)/4420104</f>
        <v>3.5485771375515145</v>
      </c>
      <c r="I28" s="214">
        <v>108.16</v>
      </c>
      <c r="J28" s="214">
        <f t="shared" ref="J28:J54" si="17">H28*I28/2000</f>
        <v>0.1919070515987859</v>
      </c>
      <c r="K28" s="212">
        <f t="shared" ref="K28:K40" si="18">D28+G28+J28</f>
        <v>9.9685121958668841</v>
      </c>
      <c r="L28" s="212">
        <f t="shared" ref="L28:L40" si="19">D28/K28</f>
        <v>0.42146259222958599</v>
      </c>
      <c r="M28" s="212">
        <f t="shared" ref="M28:M40" si="20">(+G28+J28)/K28</f>
        <v>0.57853740777041407</v>
      </c>
      <c r="N28" s="212">
        <v>9.07</v>
      </c>
      <c r="O28" s="213">
        <f t="shared" ref="O28:O40" si="21">K28-N28</f>
        <v>0.8985121958668838</v>
      </c>
    </row>
    <row r="29" spans="1:15">
      <c r="A29" t="s">
        <v>383</v>
      </c>
      <c r="B29" s="212">
        <f>(1868608.08*60)/(4912.37913*2000)</f>
        <v>11.411627831746774</v>
      </c>
      <c r="C29" s="212">
        <v>38.1</v>
      </c>
      <c r="D29" s="212">
        <f t="shared" si="15"/>
        <v>4.347830203895521</v>
      </c>
      <c r="E29" s="210">
        <f>(3587555.09*60)/4912379.13</f>
        <v>43.818544884991397</v>
      </c>
      <c r="F29" s="212">
        <v>260.55</v>
      </c>
      <c r="G29" s="210">
        <f t="shared" si="16"/>
        <v>5.7084609348922539</v>
      </c>
      <c r="H29" s="214">
        <f>(281923.17*60)/4912379.13</f>
        <v>3.4434211514126352</v>
      </c>
      <c r="I29" s="214">
        <v>122.07</v>
      </c>
      <c r="J29" s="214">
        <f t="shared" si="17"/>
        <v>0.21016920997647018</v>
      </c>
      <c r="K29" s="212">
        <f t="shared" si="18"/>
        <v>10.266460348764245</v>
      </c>
      <c r="L29" s="212">
        <f t="shared" si="19"/>
        <v>0.42349846550752629</v>
      </c>
      <c r="M29" s="212">
        <f t="shared" si="20"/>
        <v>0.57650153449247377</v>
      </c>
      <c r="N29" s="212">
        <v>9.44</v>
      </c>
      <c r="O29" s="213">
        <f t="shared" si="21"/>
        <v>0.82646034876424501</v>
      </c>
    </row>
    <row r="30" spans="1:15">
      <c r="A30" t="s">
        <v>384</v>
      </c>
      <c r="B30" s="212">
        <f>(1805433.7*60)/(4688.4612*2000)</f>
        <v>11.552406789673336</v>
      </c>
      <c r="C30" s="212">
        <v>42.68</v>
      </c>
      <c r="D30" s="212">
        <f t="shared" si="15"/>
        <v>4.9305672178325795</v>
      </c>
      <c r="E30" s="210">
        <f>(3434182.7*60)/4688461.2</f>
        <v>43.948526650919071</v>
      </c>
      <c r="F30" s="212">
        <v>280.76</v>
      </c>
      <c r="G30" s="210">
        <f t="shared" si="16"/>
        <v>6.1694941712560194</v>
      </c>
      <c r="H30" s="214">
        <f>(275259.8*60)/4688461.2</f>
        <v>3.522603109096861</v>
      </c>
      <c r="I30" s="214">
        <v>126.25</v>
      </c>
      <c r="J30" s="214">
        <f t="shared" si="17"/>
        <v>0.22236432126173936</v>
      </c>
      <c r="K30" s="212">
        <f t="shared" si="18"/>
        <v>11.322425710350338</v>
      </c>
      <c r="L30" s="212">
        <f t="shared" si="19"/>
        <v>0.43546916040485267</v>
      </c>
      <c r="M30" s="212">
        <f t="shared" si="20"/>
        <v>0.56453083959514738</v>
      </c>
      <c r="N30" s="212">
        <v>10.32</v>
      </c>
      <c r="O30" s="213">
        <f t="shared" si="21"/>
        <v>1.0024257103503373</v>
      </c>
    </row>
    <row r="31" spans="1:15">
      <c r="A31" t="s">
        <v>385</v>
      </c>
      <c r="B31" s="212">
        <f>(1879439.8*60)/(4921.75985*2000)</f>
        <v>11.455901083836912</v>
      </c>
      <c r="C31" s="212">
        <v>45.16</v>
      </c>
      <c r="D31" s="212">
        <f t="shared" si="15"/>
        <v>5.1734849294607486</v>
      </c>
      <c r="E31" s="210">
        <f>(3604532.75*60)/4921759.85</f>
        <v>43.941998714138812</v>
      </c>
      <c r="F31" s="212">
        <v>314.77999999999997</v>
      </c>
      <c r="G31" s="210">
        <f t="shared" si="16"/>
        <v>6.916031177618307</v>
      </c>
      <c r="H31" s="214">
        <f>(283007.2*60)/4921759.85</f>
        <v>3.4500732497137179</v>
      </c>
      <c r="I31" s="214">
        <v>135.79</v>
      </c>
      <c r="J31" s="214">
        <f t="shared" si="17"/>
        <v>0.23424272328931287</v>
      </c>
      <c r="K31" s="212">
        <f t="shared" si="18"/>
        <v>12.323758830368369</v>
      </c>
      <c r="L31" s="212">
        <f t="shared" si="19"/>
        <v>0.41979764458812507</v>
      </c>
      <c r="M31" s="212">
        <f t="shared" si="20"/>
        <v>0.58020235541187481</v>
      </c>
      <c r="N31" s="212">
        <v>11.23</v>
      </c>
      <c r="O31" s="213">
        <f t="shared" si="21"/>
        <v>1.093758830368369</v>
      </c>
    </row>
    <row r="32" spans="1:15">
      <c r="A32" t="s">
        <v>386</v>
      </c>
      <c r="B32" s="212">
        <f>(1845226.93*60)/(4814.018*2000)</f>
        <v>11.499086189540629</v>
      </c>
      <c r="C32" s="212">
        <v>49.77</v>
      </c>
      <c r="D32" s="212">
        <f t="shared" si="15"/>
        <v>5.7230951965343717</v>
      </c>
      <c r="E32" s="210">
        <f>(3515103.39*60)/4814018</f>
        <v>43.810846448850008</v>
      </c>
      <c r="F32" s="212">
        <v>331.28</v>
      </c>
      <c r="G32" s="210">
        <f t="shared" si="16"/>
        <v>7.2568286057875149</v>
      </c>
      <c r="H32" s="214">
        <f>(276075.02*60)/4814018</f>
        <v>3.4408889206479913</v>
      </c>
      <c r="I32" s="214">
        <v>136.6</v>
      </c>
      <c r="J32" s="214">
        <f t="shared" si="17"/>
        <v>0.2350127132802578</v>
      </c>
      <c r="K32" s="212">
        <f t="shared" si="18"/>
        <v>13.214936515602144</v>
      </c>
      <c r="L32" s="212">
        <f t="shared" si="19"/>
        <v>0.4330777669478344</v>
      </c>
      <c r="M32" s="212">
        <f t="shared" si="20"/>
        <v>0.56692223305216571</v>
      </c>
      <c r="N32" s="212">
        <v>12.16</v>
      </c>
      <c r="O32" s="213">
        <f t="shared" si="21"/>
        <v>1.0549365156021437</v>
      </c>
    </row>
    <row r="33" spans="1:15">
      <c r="A33" t="s">
        <v>387</v>
      </c>
      <c r="B33" s="212">
        <f>(1687694.5*60)/(4395.339*2000)</f>
        <v>11.519210463629769</v>
      </c>
      <c r="C33" s="212">
        <v>56.68</v>
      </c>
      <c r="D33" s="212">
        <f t="shared" si="15"/>
        <v>6.5290884907853526</v>
      </c>
      <c r="E33" s="210">
        <f>(3223901.3*60)/4395339</f>
        <v>44.008909892957064</v>
      </c>
      <c r="F33" s="212">
        <v>345.87</v>
      </c>
      <c r="G33" s="210">
        <f t="shared" si="16"/>
        <v>7.61068083233853</v>
      </c>
      <c r="H33" s="214">
        <f>(249761.85*60)/4395339</f>
        <v>3.4094551068757153</v>
      </c>
      <c r="I33" s="214">
        <v>139.94999999999999</v>
      </c>
      <c r="J33" s="214">
        <f t="shared" si="17"/>
        <v>0.23857662110362815</v>
      </c>
      <c r="K33" s="212">
        <f t="shared" si="18"/>
        <v>14.37834594422751</v>
      </c>
      <c r="L33" s="212">
        <f t="shared" si="19"/>
        <v>0.45409176522189554</v>
      </c>
      <c r="M33" s="212">
        <f t="shared" si="20"/>
        <v>0.54590823477810446</v>
      </c>
      <c r="N33" s="212">
        <v>13.35</v>
      </c>
      <c r="O33" s="213">
        <f t="shared" si="21"/>
        <v>1.0283459442275102</v>
      </c>
    </row>
    <row r="34" spans="1:15">
      <c r="A34" t="s">
        <v>388</v>
      </c>
      <c r="B34" s="212">
        <f>(1827761.46*60)/(4678.746*2000)</f>
        <v>11.719559856423066</v>
      </c>
      <c r="C34" s="212">
        <v>57.27</v>
      </c>
      <c r="D34" s="212">
        <f t="shared" si="15"/>
        <v>6.71179192977349</v>
      </c>
      <c r="E34" s="210">
        <f>(3428232.47*60)/4678746</f>
        <v>43.963478290977974</v>
      </c>
      <c r="F34" s="212">
        <v>331.57</v>
      </c>
      <c r="G34" s="210">
        <f t="shared" si="16"/>
        <v>7.2884852484697831</v>
      </c>
      <c r="H34" s="214">
        <f>(272873.47*60)/4678746</f>
        <v>3.4993154576033834</v>
      </c>
      <c r="I34" s="214">
        <v>149.93</v>
      </c>
      <c r="J34" s="214">
        <f t="shared" si="17"/>
        <v>0.26232618327923762</v>
      </c>
      <c r="K34" s="212">
        <f t="shared" si="18"/>
        <v>14.26260336152251</v>
      </c>
      <c r="L34" s="212">
        <f t="shared" si="19"/>
        <v>0.47058673368709714</v>
      </c>
      <c r="M34" s="212">
        <f t="shared" si="20"/>
        <v>0.52941326631290286</v>
      </c>
      <c r="N34" s="212">
        <v>13.12</v>
      </c>
      <c r="O34" s="213">
        <f t="shared" si="21"/>
        <v>1.1426033615225109</v>
      </c>
    </row>
    <row r="35" spans="1:15">
      <c r="A35" t="s">
        <v>389</v>
      </c>
      <c r="B35" s="212">
        <f>(1707011.36*60)/(4423.512*2000)</f>
        <v>11.576851334414828</v>
      </c>
      <c r="C35" s="212">
        <v>56.58</v>
      </c>
      <c r="D35" s="212">
        <f t="shared" si="15"/>
        <v>6.5501824850119093</v>
      </c>
      <c r="E35" s="210">
        <f>(3245843.7*60)/4423512</f>
        <v>44.026244757559155</v>
      </c>
      <c r="F35" s="212">
        <v>329.94</v>
      </c>
      <c r="G35" s="210">
        <f t="shared" si="16"/>
        <v>7.2630095976545332</v>
      </c>
      <c r="H35" s="214">
        <f>(254800.26*60)/4423512</f>
        <v>3.4560809601059073</v>
      </c>
      <c r="I35" s="214">
        <v>141.11000000000001</v>
      </c>
      <c r="J35" s="214">
        <f t="shared" si="17"/>
        <v>0.24384379214027233</v>
      </c>
      <c r="K35" s="212">
        <f t="shared" si="18"/>
        <v>14.057035874806715</v>
      </c>
      <c r="L35" s="212">
        <f t="shared" si="19"/>
        <v>0.46597181250360681</v>
      </c>
      <c r="M35" s="212">
        <f t="shared" si="20"/>
        <v>0.53402818749639314</v>
      </c>
      <c r="N35" s="212">
        <v>12.92</v>
      </c>
      <c r="O35" s="213">
        <f t="shared" si="21"/>
        <v>1.1370358748067151</v>
      </c>
    </row>
    <row r="36" spans="1:15">
      <c r="A36" t="s">
        <v>390</v>
      </c>
      <c r="B36" s="212">
        <f>(1756417.8*60)/(4578.147*2000)</f>
        <v>11.509576691180952</v>
      </c>
      <c r="C36" s="212">
        <v>58.27</v>
      </c>
      <c r="D36" s="212">
        <f t="shared" si="15"/>
        <v>6.7066303379511405</v>
      </c>
      <c r="E36" s="210">
        <f>(3366876.6*60)/4578147</f>
        <v>44.125406196000263</v>
      </c>
      <c r="F36" s="212">
        <v>325.48</v>
      </c>
      <c r="G36" s="210">
        <f t="shared" si="16"/>
        <v>7.1809686043370826</v>
      </c>
      <c r="H36" s="214">
        <f>(266890.9*60)/4578147</f>
        <v>3.4978024952016615</v>
      </c>
      <c r="I36" s="214">
        <v>111.43</v>
      </c>
      <c r="J36" s="214">
        <f t="shared" si="17"/>
        <v>0.19488006602016059</v>
      </c>
      <c r="K36" s="212">
        <f t="shared" si="18"/>
        <v>14.082479008308384</v>
      </c>
      <c r="L36" s="212">
        <f t="shared" si="19"/>
        <v>0.47623932789066192</v>
      </c>
      <c r="M36" s="212">
        <f t="shared" si="20"/>
        <v>0.52376067210933797</v>
      </c>
      <c r="N36" s="212">
        <v>13.24</v>
      </c>
      <c r="O36" s="213">
        <f t="shared" si="21"/>
        <v>0.84247900830838418</v>
      </c>
    </row>
    <row r="37" spans="1:15">
      <c r="A37" t="s">
        <v>392</v>
      </c>
      <c r="B37" s="212">
        <f>(1632790.52*60)/(4231.453*2000)</f>
        <v>11.576098233869075</v>
      </c>
      <c r="C37" s="212">
        <v>62.43</v>
      </c>
      <c r="D37" s="212">
        <f t="shared" si="15"/>
        <v>7.2269581274044636</v>
      </c>
      <c r="E37" s="210">
        <f>(3098019.28*60)/4231453</f>
        <v>43.92844651707108</v>
      </c>
      <c r="F37" s="212">
        <v>390.72</v>
      </c>
      <c r="G37" s="210">
        <f t="shared" si="16"/>
        <v>8.5818613115750075</v>
      </c>
      <c r="H37" s="214">
        <f>(254251.66*60)/4231453</f>
        <v>3.6051681538232847</v>
      </c>
      <c r="I37" s="214">
        <v>125.48</v>
      </c>
      <c r="J37" s="214">
        <f t="shared" si="17"/>
        <v>0.22618824997087289</v>
      </c>
      <c r="K37" s="212">
        <f t="shared" si="18"/>
        <v>16.035007688950344</v>
      </c>
      <c r="L37" s="212">
        <f t="shared" si="19"/>
        <v>0.45069876283155946</v>
      </c>
      <c r="M37" s="212">
        <f t="shared" si="20"/>
        <v>0.54930123716844048</v>
      </c>
      <c r="N37" s="212">
        <v>14.99</v>
      </c>
      <c r="O37" s="213">
        <f t="shared" si="21"/>
        <v>1.0450076889503439</v>
      </c>
    </row>
    <row r="38" spans="1:15">
      <c r="A38" t="s">
        <v>393</v>
      </c>
      <c r="B38" s="212">
        <f>(1616379.28*60)/(4179.457*2000)</f>
        <v>11.602315420400304</v>
      </c>
      <c r="C38" s="212">
        <v>60.54</v>
      </c>
      <c r="D38" s="212">
        <f t="shared" si="15"/>
        <v>7.0240417555103445</v>
      </c>
      <c r="E38" s="210">
        <f>(3072369.6*60)/4179457</f>
        <v>44.106728697053228</v>
      </c>
      <c r="F38" s="212">
        <v>412.25</v>
      </c>
      <c r="G38" s="210">
        <f t="shared" si="16"/>
        <v>9.0914994526800967</v>
      </c>
      <c r="H38" s="214">
        <f>(243909.6*60)/4179457</f>
        <v>3.5015496032140061</v>
      </c>
      <c r="I38" s="214">
        <v>152.02000000000001</v>
      </c>
      <c r="J38" s="214">
        <f t="shared" si="17"/>
        <v>0.26615278534029663</v>
      </c>
      <c r="K38" s="212">
        <f t="shared" si="18"/>
        <v>16.381693993530739</v>
      </c>
      <c r="L38" s="212">
        <f t="shared" si="19"/>
        <v>0.42877383488448717</v>
      </c>
      <c r="M38" s="212">
        <f t="shared" si="20"/>
        <v>0.57122616511551272</v>
      </c>
      <c r="N38" s="212">
        <v>15.16</v>
      </c>
      <c r="O38" s="213">
        <f t="shared" si="21"/>
        <v>1.2216939935307387</v>
      </c>
    </row>
    <row r="39" spans="1:15">
      <c r="A39" t="s">
        <v>394</v>
      </c>
      <c r="B39" s="212">
        <f>(1507544.65*60)/(3858.844*2000)</f>
        <v>11.720178245091017</v>
      </c>
      <c r="C39" s="212">
        <v>50.78</v>
      </c>
      <c r="D39" s="212">
        <f t="shared" si="15"/>
        <v>5.9515065128572182</v>
      </c>
      <c r="E39" s="210">
        <f>(2821738*60)/3858844</f>
        <v>43.874352008010689</v>
      </c>
      <c r="F39" s="212">
        <v>355.35</v>
      </c>
      <c r="G39" s="210">
        <f t="shared" si="16"/>
        <v>7.7953754930232995</v>
      </c>
      <c r="H39" s="214">
        <f>(230645.05*60)/3858844</f>
        <v>3.5862302285347631</v>
      </c>
      <c r="I39" s="214">
        <v>152.62</v>
      </c>
      <c r="J39" s="214">
        <f t="shared" si="17"/>
        <v>0.27366522873948773</v>
      </c>
      <c r="K39" s="212">
        <f t="shared" si="18"/>
        <v>14.020547234620006</v>
      </c>
      <c r="L39" s="212">
        <f t="shared" si="19"/>
        <v>0.42448460914289843</v>
      </c>
      <c r="M39" s="212">
        <f t="shared" si="20"/>
        <v>0.57551539085710157</v>
      </c>
      <c r="N39" s="212">
        <v>12.88</v>
      </c>
      <c r="O39" s="213">
        <f t="shared" si="21"/>
        <v>1.140547234620005</v>
      </c>
    </row>
    <row r="40" spans="1:15">
      <c r="A40" t="s">
        <v>395</v>
      </c>
      <c r="B40" s="212">
        <f>(20812308.08*60)/(54102.22018*2000)</f>
        <v>11.540547510299973</v>
      </c>
      <c r="C40" s="212">
        <f>AVERAGE(C28:C39)</f>
        <v>51.262499999999996</v>
      </c>
      <c r="D40" s="212">
        <f t="shared" si="15"/>
        <v>5.9159731674675236</v>
      </c>
      <c r="E40" s="210">
        <f>(39627156.88*60)/54102220.18</f>
        <v>43.946984151288859</v>
      </c>
      <c r="F40" s="212">
        <f>AVERAGE(F28:F39)</f>
        <v>327.74666666666673</v>
      </c>
      <c r="G40" s="210">
        <f t="shared" si="16"/>
        <v>7.2017387828188779</v>
      </c>
      <c r="H40" s="214">
        <f>(3150815.98*60)/54102220.18</f>
        <v>3.4942920673315707</v>
      </c>
      <c r="I40" s="214">
        <f>AVERAGE(I28:I39)</f>
        <v>133.45083333333335</v>
      </c>
      <c r="J40" s="214">
        <f t="shared" si="17"/>
        <v>0.23315809414772712</v>
      </c>
      <c r="K40" s="212">
        <f t="shared" si="18"/>
        <v>13.35087004443413</v>
      </c>
      <c r="L40" s="212">
        <f t="shared" si="19"/>
        <v>0.4431151788443814</v>
      </c>
      <c r="M40" s="212">
        <f t="shared" si="20"/>
        <v>0.55688482115561855</v>
      </c>
      <c r="N40" s="212">
        <f>AVERAGE(N28:N39)</f>
        <v>12.323333333333332</v>
      </c>
      <c r="O40" s="213">
        <f t="shared" si="21"/>
        <v>1.0275367111007974</v>
      </c>
    </row>
    <row r="41" spans="1:15">
      <c r="A41" t="s">
        <v>231</v>
      </c>
      <c r="B41" s="212"/>
      <c r="C41" s="212"/>
      <c r="D41" s="212"/>
      <c r="E41" s="210"/>
      <c r="F41" s="212"/>
      <c r="G41" s="210"/>
      <c r="H41" s="214"/>
      <c r="I41" s="214"/>
      <c r="J41" s="214"/>
      <c r="K41" s="212"/>
      <c r="L41" s="212"/>
      <c r="M41" s="212"/>
      <c r="N41" s="212"/>
      <c r="O41" s="213"/>
    </row>
    <row r="42" spans="1:15">
      <c r="A42" t="s">
        <v>382</v>
      </c>
      <c r="B42" s="212">
        <f>(1445522.7*60)/(3770.688*2000)</f>
        <v>11.500734348744844</v>
      </c>
      <c r="C42" s="212">
        <v>46.09</v>
      </c>
      <c r="D42" s="212">
        <f t="shared" ref="D42:D54" si="22">(B42*C42)/100</f>
        <v>5.3006884613364988</v>
      </c>
      <c r="E42" s="210">
        <f>(2772830.3*60)/3770688</f>
        <v>44.121873249656296</v>
      </c>
      <c r="F42" s="212">
        <v>352.7</v>
      </c>
      <c r="G42" s="210">
        <f>E42*F42/2000</f>
        <v>7.7808923475768879</v>
      </c>
      <c r="H42" s="214">
        <f>(223493.3*60)/3770688</f>
        <v>3.5562735500789247</v>
      </c>
      <c r="I42" s="214">
        <v>152.62</v>
      </c>
      <c r="J42" s="214">
        <f t="shared" si="17"/>
        <v>0.27137923460652275</v>
      </c>
      <c r="K42" s="212">
        <f t="shared" ref="K42:K54" si="23">D42+G42+J42</f>
        <v>13.352960043519909</v>
      </c>
      <c r="L42" s="212">
        <f t="shared" ref="L42:L54" si="24">D42/K42</f>
        <v>0.3969672974427032</v>
      </c>
      <c r="M42" s="212">
        <f t="shared" ref="M42:M54" si="25">(+G42+J42)/K42</f>
        <v>0.6030327025572968</v>
      </c>
      <c r="N42" s="212">
        <v>11.4</v>
      </c>
      <c r="O42" s="213">
        <f t="shared" ref="O42:O54" si="26">K42-N42</f>
        <v>1.9529600435199086</v>
      </c>
    </row>
    <row r="43" spans="1:15">
      <c r="A43" t="s">
        <v>383</v>
      </c>
      <c r="B43" s="212">
        <f>(1715917.39*60)/(4501.479*2000)</f>
        <v>11.435690736311331</v>
      </c>
      <c r="C43" s="212">
        <v>35.5</v>
      </c>
      <c r="D43" s="212">
        <f t="shared" si="22"/>
        <v>4.0596702113905225</v>
      </c>
      <c r="E43" s="210">
        <f>(3267431.29*60)/4501479</f>
        <v>43.551436627828323</v>
      </c>
      <c r="F43" s="212">
        <v>260.66000000000003</v>
      </c>
      <c r="G43" s="210">
        <f t="shared" ref="G43:G54" si="27">E43*F43/2000</f>
        <v>5.6760587357048662</v>
      </c>
      <c r="H43" s="214">
        <f>(252014.93*60)/4501479</f>
        <v>3.3590950440955072</v>
      </c>
      <c r="I43" s="214">
        <v>145.22</v>
      </c>
      <c r="J43" s="214">
        <f t="shared" si="17"/>
        <v>0.2439038911517748</v>
      </c>
      <c r="K43" s="212">
        <f t="shared" si="23"/>
        <v>9.9796328382471629</v>
      </c>
      <c r="L43" s="212">
        <f t="shared" si="24"/>
        <v>0.40679554821212932</v>
      </c>
      <c r="M43" s="212">
        <f t="shared" si="25"/>
        <v>0.59320445178787073</v>
      </c>
      <c r="N43" s="212">
        <v>9.0299999999999994</v>
      </c>
      <c r="O43" s="213">
        <f t="shared" si="26"/>
        <v>0.94963283824716349</v>
      </c>
    </row>
    <row r="44" spans="1:15">
      <c r="A44" t="s">
        <v>384</v>
      </c>
      <c r="B44" s="212">
        <f>(1622851*60)/(4340.495*2000)</f>
        <v>11.216584744366713</v>
      </c>
      <c r="C44" s="212">
        <v>31.55</v>
      </c>
      <c r="D44" s="212">
        <f t="shared" si="22"/>
        <v>3.5388324868476979</v>
      </c>
      <c r="E44" s="210">
        <f>(3158033*60)/4340495</f>
        <v>43.654463373417087</v>
      </c>
      <c r="F44" s="212">
        <v>267.37</v>
      </c>
      <c r="G44" s="210">
        <f t="shared" si="27"/>
        <v>5.8359469360752634</v>
      </c>
      <c r="H44" s="214">
        <f>(255442*60)/4340495</f>
        <v>3.531053485835141</v>
      </c>
      <c r="I44" s="214">
        <v>131.11000000000001</v>
      </c>
      <c r="J44" s="214">
        <f t="shared" si="17"/>
        <v>0.23147821126392271</v>
      </c>
      <c r="K44" s="212">
        <f t="shared" si="23"/>
        <v>9.6062576341868837</v>
      </c>
      <c r="L44" s="212">
        <f t="shared" si="24"/>
        <v>0.36838825499054401</v>
      </c>
      <c r="M44" s="212">
        <f t="shared" si="25"/>
        <v>0.63161174500945605</v>
      </c>
      <c r="N44" s="212">
        <v>8.93</v>
      </c>
      <c r="O44" s="213">
        <f t="shared" si="26"/>
        <v>0.676257634186884</v>
      </c>
    </row>
    <row r="45" spans="1:15">
      <c r="A45" t="s">
        <v>385</v>
      </c>
      <c r="B45" s="212">
        <f>(1596985.45*60)/(4240.383*2000)</f>
        <v>11.29840476673923</v>
      </c>
      <c r="C45" s="212">
        <v>29.3</v>
      </c>
      <c r="D45" s="212">
        <f t="shared" si="22"/>
        <v>3.3104325966545947</v>
      </c>
      <c r="E45" s="210">
        <f>(3101798.75*60)/4240383</f>
        <v>43.889413998688326</v>
      </c>
      <c r="F45" s="212">
        <v>268.24</v>
      </c>
      <c r="G45" s="210">
        <f t="shared" si="27"/>
        <v>5.8864482055040792</v>
      </c>
      <c r="H45" s="214">
        <f>(244153.55*60)/4240383</f>
        <v>3.4546910031475933</v>
      </c>
      <c r="I45" s="214">
        <v>119.88</v>
      </c>
      <c r="J45" s="214">
        <f t="shared" si="17"/>
        <v>0.20707417872866674</v>
      </c>
      <c r="K45" s="212">
        <f t="shared" si="23"/>
        <v>9.4039549808873399</v>
      </c>
      <c r="L45" s="212">
        <f t="shared" si="24"/>
        <v>0.35202556832553322</v>
      </c>
      <c r="M45" s="212">
        <f t="shared" si="25"/>
        <v>0.64797443167446689</v>
      </c>
      <c r="N45" s="212">
        <v>8.68</v>
      </c>
      <c r="O45" s="213">
        <f t="shared" si="26"/>
        <v>0.72395498088734023</v>
      </c>
    </row>
    <row r="46" spans="1:15">
      <c r="A46" t="s">
        <v>386</v>
      </c>
      <c r="B46" s="212">
        <f>(1615580*60)/(4357.003*2000)</f>
        <v>11.124022636661026</v>
      </c>
      <c r="C46" s="212">
        <v>32.159999999999997</v>
      </c>
      <c r="D46" s="212">
        <f t="shared" si="22"/>
        <v>3.5774856799501857</v>
      </c>
      <c r="E46" s="210">
        <f>(3185208*60)/4357003</f>
        <v>43.863288595394586</v>
      </c>
      <c r="F46" s="212">
        <v>306.85000000000002</v>
      </c>
      <c r="G46" s="210">
        <f t="shared" si="27"/>
        <v>6.7297250527484147</v>
      </c>
      <c r="H46" s="214">
        <f>(254614*60)/4357003</f>
        <v>3.506272545600726</v>
      </c>
      <c r="I46" s="214">
        <v>111.38</v>
      </c>
      <c r="J46" s="214">
        <f t="shared" si="17"/>
        <v>0.19526431806450442</v>
      </c>
      <c r="K46" s="212">
        <f t="shared" si="23"/>
        <v>10.502475050763104</v>
      </c>
      <c r="L46" s="212">
        <f t="shared" si="24"/>
        <v>0.34063262827653634</v>
      </c>
      <c r="M46" s="212">
        <f t="shared" si="25"/>
        <v>0.65936737172346371</v>
      </c>
      <c r="N46" s="212">
        <v>9.91</v>
      </c>
      <c r="O46" s="213">
        <f t="shared" si="26"/>
        <v>0.59247505076310425</v>
      </c>
    </row>
    <row r="47" spans="1:15">
      <c r="A47" t="s">
        <v>387</v>
      </c>
      <c r="B47" s="212">
        <f>(1536526*60)/(4062.132*2000)</f>
        <v>11.347681463822447</v>
      </c>
      <c r="C47" s="212">
        <v>28.93</v>
      </c>
      <c r="D47" s="212">
        <f t="shared" si="22"/>
        <v>3.2828842474838336</v>
      </c>
      <c r="E47" s="210">
        <f>(2972827*60)/4062132</f>
        <v>43.910345601767744</v>
      </c>
      <c r="F47" s="212">
        <v>297.42</v>
      </c>
      <c r="G47" s="210">
        <f t="shared" si="27"/>
        <v>6.5299074944388815</v>
      </c>
      <c r="H47" s="214">
        <f>(230916*60)/4062132</f>
        <v>3.410760654749772</v>
      </c>
      <c r="I47" s="214">
        <v>101.05</v>
      </c>
      <c r="J47" s="214">
        <f t="shared" si="17"/>
        <v>0.17232868208123223</v>
      </c>
      <c r="K47" s="212">
        <f t="shared" si="23"/>
        <v>9.9851204240039486</v>
      </c>
      <c r="L47" s="212">
        <f t="shared" si="24"/>
        <v>0.32877763192438542</v>
      </c>
      <c r="M47" s="212">
        <f t="shared" si="25"/>
        <v>0.67122236807561453</v>
      </c>
      <c r="N47" s="212">
        <v>9.3800000000000008</v>
      </c>
      <c r="O47" s="213">
        <f t="shared" si="26"/>
        <v>0.60512042400394783</v>
      </c>
    </row>
    <row r="48" spans="1:15">
      <c r="A48" t="s">
        <v>388</v>
      </c>
      <c r="B48" s="212">
        <f>(1636431*60)/(4332.515*2000)</f>
        <v>11.331277560493154</v>
      </c>
      <c r="C48" s="212">
        <v>28.23</v>
      </c>
      <c r="D48" s="212">
        <f t="shared" si="22"/>
        <v>3.1988196553272172</v>
      </c>
      <c r="E48" s="210">
        <f>(3171612*60)/4332515</f>
        <v>43.92292236726243</v>
      </c>
      <c r="F48" s="212">
        <v>292.22000000000003</v>
      </c>
      <c r="G48" s="210">
        <f t="shared" si="27"/>
        <v>6.4175781870807143</v>
      </c>
      <c r="H48" s="214">
        <f>(253799*60)/4332515</f>
        <v>3.514803757171066</v>
      </c>
      <c r="I48" s="214">
        <v>90.8</v>
      </c>
      <c r="J48" s="214">
        <f t="shared" si="17"/>
        <v>0.1595720905755664</v>
      </c>
      <c r="K48" s="212">
        <f t="shared" si="23"/>
        <v>9.7759699329834966</v>
      </c>
      <c r="L48" s="212">
        <f t="shared" si="24"/>
        <v>0.32721250957765374</v>
      </c>
      <c r="M48" s="212">
        <f t="shared" si="25"/>
        <v>0.67278749042234642</v>
      </c>
      <c r="N48" s="212">
        <v>9.17</v>
      </c>
      <c r="O48" s="213">
        <f t="shared" si="26"/>
        <v>0.60596993298349666</v>
      </c>
    </row>
    <row r="49" spans="1:15">
      <c r="A49" t="s">
        <v>389</v>
      </c>
      <c r="B49" s="212">
        <f>(1595908*60)/(4208.212*2000)</f>
        <v>11.377097921872757</v>
      </c>
      <c r="C49" s="212">
        <v>32.76</v>
      </c>
      <c r="D49" s="212">
        <f t="shared" si="22"/>
        <v>3.7271372792055151</v>
      </c>
      <c r="E49" s="210">
        <f>(3091967*60)/4208212</f>
        <v>44.084760938850039</v>
      </c>
      <c r="F49" s="212">
        <v>324.27</v>
      </c>
      <c r="G49" s="210">
        <f t="shared" si="27"/>
        <v>7.1476827148204505</v>
      </c>
      <c r="H49" s="214">
        <f>(243220*60)/4208212</f>
        <v>3.4677910713623743</v>
      </c>
      <c r="I49" s="214">
        <v>81.67</v>
      </c>
      <c r="J49" s="214">
        <f t="shared" si="17"/>
        <v>0.14160724839908256</v>
      </c>
      <c r="K49" s="212">
        <f t="shared" si="23"/>
        <v>11.016427242425049</v>
      </c>
      <c r="L49" s="212">
        <f t="shared" si="24"/>
        <v>0.33832541142304673</v>
      </c>
      <c r="M49" s="212">
        <f t="shared" si="25"/>
        <v>0.66167458857695316</v>
      </c>
      <c r="N49" s="212">
        <v>10.25</v>
      </c>
      <c r="O49" s="213">
        <f t="shared" si="26"/>
        <v>0.76642724242504912</v>
      </c>
    </row>
    <row r="50" spans="1:15">
      <c r="A50" t="s">
        <v>390</v>
      </c>
      <c r="B50" s="212">
        <f>(1684227*60)/(4387.378*2000)</f>
        <v>11.516402279447998</v>
      </c>
      <c r="C50" s="212">
        <v>36.06</v>
      </c>
      <c r="D50" s="212">
        <f t="shared" si="22"/>
        <v>4.1528146619689483</v>
      </c>
      <c r="E50" s="210">
        <f>(3246859*60)/4387378</f>
        <v>44.402725272360847</v>
      </c>
      <c r="F50" s="212">
        <v>380.37</v>
      </c>
      <c r="G50" s="210">
        <f t="shared" si="27"/>
        <v>8.4447323059239476</v>
      </c>
      <c r="H50" s="214">
        <f>(255913*60)/4387378</f>
        <v>3.4997622725919673</v>
      </c>
      <c r="I50" s="214">
        <v>87.63</v>
      </c>
      <c r="J50" s="214">
        <f t="shared" si="17"/>
        <v>0.15334208397361704</v>
      </c>
      <c r="K50" s="212">
        <f t="shared" si="23"/>
        <v>12.750889051866514</v>
      </c>
      <c r="L50" s="212">
        <f t="shared" si="24"/>
        <v>0.32568824378258132</v>
      </c>
      <c r="M50" s="212">
        <f t="shared" si="25"/>
        <v>0.67431175621741868</v>
      </c>
      <c r="N50" s="212">
        <v>11.66</v>
      </c>
      <c r="O50" s="213">
        <f t="shared" si="26"/>
        <v>1.0908890518665135</v>
      </c>
    </row>
    <row r="51" spans="1:15">
      <c r="A51" t="s">
        <v>392</v>
      </c>
      <c r="B51" s="212">
        <f>(1604322*60)/(4202.869*2000)</f>
        <v>11.451620309840731</v>
      </c>
      <c r="C51" s="212">
        <v>35.659999999999997</v>
      </c>
      <c r="D51" s="212">
        <f t="shared" si="22"/>
        <v>4.0836478024892049</v>
      </c>
      <c r="E51" s="210">
        <f>(3082209*60)/4202869</f>
        <v>44.001499927787421</v>
      </c>
      <c r="F51" s="212">
        <v>418.47</v>
      </c>
      <c r="G51" s="210">
        <f t="shared" si="27"/>
        <v>9.2066538373906024</v>
      </c>
      <c r="H51" s="214">
        <f>(241001*60)/4202869</f>
        <v>3.4405212249061297</v>
      </c>
      <c r="I51" s="214">
        <v>82.61</v>
      </c>
      <c r="J51" s="214">
        <f t="shared" si="17"/>
        <v>0.14211072919474768</v>
      </c>
      <c r="K51" s="212">
        <f t="shared" si="23"/>
        <v>13.432412369074555</v>
      </c>
      <c r="L51" s="212">
        <f t="shared" si="24"/>
        <v>0.30401447560461947</v>
      </c>
      <c r="M51" s="212">
        <f t="shared" si="25"/>
        <v>0.69598552439538053</v>
      </c>
      <c r="N51" s="212">
        <v>12.37</v>
      </c>
      <c r="O51" s="213">
        <f t="shared" si="26"/>
        <v>1.0624123690745559</v>
      </c>
    </row>
    <row r="52" spans="1:15">
      <c r="A52" t="s">
        <v>393</v>
      </c>
      <c r="B52" s="212">
        <f>(1469173*60)/(3863.629*2000)</f>
        <v>11.407717977062497</v>
      </c>
      <c r="C52" s="212">
        <v>31.08</v>
      </c>
      <c r="D52" s="212">
        <f t="shared" si="22"/>
        <v>3.5455187472710237</v>
      </c>
      <c r="E52" s="210">
        <f>(2836244*60)/3881091</f>
        <v>43.847114123322541</v>
      </c>
      <c r="F52" s="212">
        <v>373.18</v>
      </c>
      <c r="G52" s="210">
        <f t="shared" si="27"/>
        <v>8.1814330242707527</v>
      </c>
      <c r="H52" s="214">
        <f>(230471*60)/3881091</f>
        <v>3.5629826767782564</v>
      </c>
      <c r="I52" s="214">
        <v>84.66</v>
      </c>
      <c r="J52" s="214">
        <f t="shared" si="17"/>
        <v>0.15082105670802357</v>
      </c>
      <c r="K52" s="212">
        <f t="shared" si="23"/>
        <v>11.8777728282498</v>
      </c>
      <c r="L52" s="212">
        <f t="shared" si="24"/>
        <v>0.29850029955434493</v>
      </c>
      <c r="M52" s="212">
        <f t="shared" si="25"/>
        <v>0.70149970044565513</v>
      </c>
      <c r="N52" s="212">
        <v>10.96</v>
      </c>
      <c r="O52" s="213">
        <f t="shared" si="26"/>
        <v>0.91777282824979878</v>
      </c>
    </row>
    <row r="53" spans="1:15">
      <c r="A53" t="s">
        <v>394</v>
      </c>
      <c r="B53" s="212">
        <f>(1368606*60)/(3592.845*2000)</f>
        <v>11.427762678323168</v>
      </c>
      <c r="C53" s="212">
        <v>33.69</v>
      </c>
      <c r="D53" s="212">
        <f>(B53*C53)/100</f>
        <v>3.8500132463270749</v>
      </c>
      <c r="E53" s="210">
        <f>(2629112*60)/3592845</f>
        <v>43.905796103088221</v>
      </c>
      <c r="F53" s="212">
        <v>405.27</v>
      </c>
      <c r="G53" s="210">
        <f>E53*F53/2000</f>
        <v>8.8968509933492808</v>
      </c>
      <c r="H53" s="214">
        <f>(215817*60)/3592845</f>
        <v>3.6041131749351836</v>
      </c>
      <c r="I53" s="214">
        <v>97.33</v>
      </c>
      <c r="J53" s="214">
        <f t="shared" si="17"/>
        <v>0.17539416765822072</v>
      </c>
      <c r="K53" s="212">
        <f t="shared" si="23"/>
        <v>12.922258407334576</v>
      </c>
      <c r="L53" s="212">
        <f t="shared" si="24"/>
        <v>0.29793656224532983</v>
      </c>
      <c r="M53" s="212">
        <f t="shared" si="25"/>
        <v>0.70206343775467017</v>
      </c>
      <c r="N53" s="212">
        <v>11.36</v>
      </c>
      <c r="O53" s="213">
        <f t="shared" si="26"/>
        <v>1.5622584073345767</v>
      </c>
    </row>
    <row r="54" spans="1:15">
      <c r="A54" t="s">
        <v>395</v>
      </c>
      <c r="B54" s="212">
        <f>(18892049.54*60)/(49877.09*2000)</f>
        <v>11.363162650427279</v>
      </c>
      <c r="C54" s="212">
        <f>AVERAGE(C42:C53)</f>
        <v>33.417499999999997</v>
      </c>
      <c r="D54" s="212">
        <f t="shared" si="22"/>
        <v>3.7972848787065359</v>
      </c>
      <c r="E54" s="210">
        <f>(36516131.34*60)/49877090</f>
        <v>43.927339794683292</v>
      </c>
      <c r="F54" s="212">
        <f>AVERAGE(F42:F53)</f>
        <v>328.91833333333335</v>
      </c>
      <c r="G54" s="210">
        <f t="shared" si="27"/>
        <v>7.2242536965171196</v>
      </c>
      <c r="H54" s="214">
        <f>(2900854.78*60)/49877090</f>
        <v>3.4896038802584508</v>
      </c>
      <c r="I54" s="214">
        <f>AVERAGE(I42:I53)</f>
        <v>107.16333333333331</v>
      </c>
      <c r="J54" s="214">
        <f t="shared" si="17"/>
        <v>0.18697879191071484</v>
      </c>
      <c r="K54" s="212">
        <f t="shared" si="23"/>
        <v>11.20851736713437</v>
      </c>
      <c r="L54" s="212">
        <f t="shared" si="24"/>
        <v>0.33878565329621024</v>
      </c>
      <c r="M54" s="212">
        <f t="shared" si="25"/>
        <v>0.66121434670378976</v>
      </c>
      <c r="N54" s="212">
        <f>AVERAGE(N42:N53)</f>
        <v>10.258333333333335</v>
      </c>
      <c r="O54" s="213">
        <f t="shared" si="26"/>
        <v>0.950184033801035</v>
      </c>
    </row>
    <row r="55" spans="1:15">
      <c r="A55" s="52" t="s">
        <v>234</v>
      </c>
      <c r="B55" s="212"/>
      <c r="C55" s="212"/>
      <c r="D55" s="212"/>
      <c r="E55" s="210"/>
      <c r="F55" s="212"/>
      <c r="G55" s="210"/>
      <c r="H55" s="214"/>
      <c r="I55" s="214"/>
      <c r="J55" s="214"/>
      <c r="K55" s="212"/>
      <c r="L55" s="212"/>
      <c r="M55" s="212"/>
      <c r="N55" s="212"/>
      <c r="O55" s="213"/>
    </row>
    <row r="56" spans="1:15">
      <c r="A56" t="s">
        <v>382</v>
      </c>
      <c r="B56" s="214">
        <f>(1299919*60)/(3399.751*2000)</f>
        <v>11.470713590495304</v>
      </c>
      <c r="C56" s="212">
        <v>30.96</v>
      </c>
      <c r="D56" s="212">
        <f t="shared" ref="D56:D66" si="28">(B56*C56)/100</f>
        <v>3.5513329276173464</v>
      </c>
      <c r="E56" s="214">
        <f>(2482657*60)/3399751</f>
        <v>43.814802907624703</v>
      </c>
      <c r="F56" s="212">
        <v>379.68</v>
      </c>
      <c r="G56" s="210">
        <f>E56*F56/2000</f>
        <v>8.3178021839834742</v>
      </c>
      <c r="H56" s="214">
        <f>(200877*60)/3399751</f>
        <v>3.5451478652407191</v>
      </c>
      <c r="I56" s="214">
        <v>96.67</v>
      </c>
      <c r="J56" s="214">
        <f t="shared" ref="J56:J68" si="29">H56*I56/2000</f>
        <v>0.17135472206641017</v>
      </c>
      <c r="K56" s="212">
        <f t="shared" ref="K56:K68" si="30">D56+G56+J56</f>
        <v>12.04048983366723</v>
      </c>
      <c r="L56" s="212">
        <f t="shared" ref="L56:L68" si="31">D56/K56</f>
        <v>0.29494920694066978</v>
      </c>
      <c r="M56" s="212">
        <f t="shared" ref="M56:M68" si="32">(+G56+J56)/K56</f>
        <v>0.70505079305933016</v>
      </c>
      <c r="N56" s="212">
        <v>10.119999999999999</v>
      </c>
      <c r="O56" s="213">
        <f t="shared" ref="O56:O68" si="33">K56-N56</f>
        <v>1.9204898336672311</v>
      </c>
    </row>
    <row r="57" spans="1:15">
      <c r="A57" t="s">
        <v>383</v>
      </c>
      <c r="B57" s="214">
        <f>(1825200*60)/(4891.5*2000)</f>
        <v>11.19411223551058</v>
      </c>
      <c r="C57" s="212">
        <v>33.15</v>
      </c>
      <c r="D57" s="212">
        <f t="shared" si="28"/>
        <v>3.7108482060717574</v>
      </c>
      <c r="E57" s="214">
        <f>(3578656*60)/4891500</f>
        <v>43.896424409690276</v>
      </c>
      <c r="F57" s="212">
        <v>325.69</v>
      </c>
      <c r="G57" s="210">
        <f t="shared" ref="G57:G66" si="34">E57*F57/2000</f>
        <v>7.1483132329960126</v>
      </c>
      <c r="H57" s="214">
        <f>(267000*60)/4891500</f>
        <v>3.2750689972401106</v>
      </c>
      <c r="I57" s="214">
        <v>91.36</v>
      </c>
      <c r="J57" s="214">
        <f t="shared" si="29"/>
        <v>0.14960515179392825</v>
      </c>
      <c r="K57" s="212">
        <f t="shared" si="30"/>
        <v>11.008766590861697</v>
      </c>
      <c r="L57" s="212">
        <f t="shared" si="31"/>
        <v>0.33708119574013928</v>
      </c>
      <c r="M57" s="212">
        <f t="shared" si="32"/>
        <v>0.66291880425986083</v>
      </c>
      <c r="N57" s="212">
        <v>9.7799999999999994</v>
      </c>
      <c r="O57" s="213">
        <f t="shared" si="33"/>
        <v>1.2287665908616976</v>
      </c>
    </row>
    <row r="58" spans="1:15">
      <c r="A58" t="s">
        <v>384</v>
      </c>
      <c r="B58" s="214">
        <f>(1853955*60)/(5060.619*2000)</f>
        <v>10.99048357523062</v>
      </c>
      <c r="C58" s="212">
        <v>36.590000000000003</v>
      </c>
      <c r="D58" s="212">
        <f t="shared" si="28"/>
        <v>4.0214179401768844</v>
      </c>
      <c r="E58" s="214">
        <f>(3696360*60)/5060619</f>
        <v>43.824994531301407</v>
      </c>
      <c r="F58" s="212">
        <v>328.18</v>
      </c>
      <c r="G58" s="210">
        <f t="shared" si="34"/>
        <v>7.1912433526412478</v>
      </c>
      <c r="H58" s="214">
        <f>(280185*60)/5060619</f>
        <v>3.3219453983791309</v>
      </c>
      <c r="I58" s="214">
        <v>86.97</v>
      </c>
      <c r="J58" s="214">
        <f t="shared" si="29"/>
        <v>0.14445479564851649</v>
      </c>
      <c r="K58" s="212">
        <f t="shared" si="30"/>
        <v>11.35711608846665</v>
      </c>
      <c r="L58" s="212">
        <f t="shared" si="31"/>
        <v>0.35408794881129235</v>
      </c>
      <c r="M58" s="212">
        <f t="shared" si="32"/>
        <v>0.64591205118870743</v>
      </c>
      <c r="N58" s="212">
        <v>10.09</v>
      </c>
      <c r="O58" s="213">
        <f t="shared" si="33"/>
        <v>1.2671160884666506</v>
      </c>
    </row>
    <row r="59" spans="1:15">
      <c r="A59" t="s">
        <v>385</v>
      </c>
      <c r="B59" s="214">
        <f>(1898259*60)/(5194.127*2000)</f>
        <v>10.963877086563343</v>
      </c>
      <c r="C59" s="212">
        <v>36.81</v>
      </c>
      <c r="D59" s="212">
        <f t="shared" si="28"/>
        <v>4.0358031555639666</v>
      </c>
      <c r="E59" s="214">
        <f>(3785027*60)/5194127</f>
        <v>43.722769966926109</v>
      </c>
      <c r="F59" s="212">
        <v>333.93</v>
      </c>
      <c r="G59" s="210">
        <f t="shared" si="34"/>
        <v>7.3001722875278183</v>
      </c>
      <c r="H59" s="214">
        <f>(291062*60)/5194127</f>
        <v>3.3622050442740425</v>
      </c>
      <c r="I59" s="214">
        <v>83.52</v>
      </c>
      <c r="J59" s="214">
        <f t="shared" si="29"/>
        <v>0.14040568264888401</v>
      </c>
      <c r="K59" s="212">
        <f t="shared" si="30"/>
        <v>11.476381125740669</v>
      </c>
      <c r="L59" s="212">
        <f t="shared" si="31"/>
        <v>0.3516616528630232</v>
      </c>
      <c r="M59" s="212">
        <f t="shared" si="32"/>
        <v>0.6483383471369768</v>
      </c>
      <c r="N59" s="212">
        <v>10.33</v>
      </c>
      <c r="O59" s="213">
        <f t="shared" si="33"/>
        <v>1.1463811257406693</v>
      </c>
    </row>
    <row r="60" spans="1:15">
      <c r="A60" t="s">
        <v>386</v>
      </c>
      <c r="B60" s="214">
        <f>(1844855.74*60)/(5016.4272*2000)</f>
        <v>11.032886553202646</v>
      </c>
      <c r="C60" s="212">
        <v>34.880000000000003</v>
      </c>
      <c r="D60" s="212">
        <f t="shared" si="28"/>
        <v>3.8482708297570833</v>
      </c>
      <c r="E60" s="214">
        <f>(3656432.96*60)/5016427.2</f>
        <v>43.733511691348774</v>
      </c>
      <c r="F60" s="212">
        <v>314.23</v>
      </c>
      <c r="G60" s="210">
        <f t="shared" si="34"/>
        <v>6.8711906893862631</v>
      </c>
      <c r="H60" s="214">
        <f>(276801*60)/5015716</f>
        <v>3.311204222886623</v>
      </c>
      <c r="I60" s="214">
        <v>97.5</v>
      </c>
      <c r="J60" s="214">
        <f t="shared" si="29"/>
        <v>0.16142120586572287</v>
      </c>
      <c r="K60" s="212">
        <f t="shared" si="30"/>
        <v>10.880882725009069</v>
      </c>
      <c r="L60" s="212">
        <f t="shared" si="31"/>
        <v>0.35367266857054336</v>
      </c>
      <c r="M60" s="212">
        <f t="shared" si="32"/>
        <v>0.64632733142945664</v>
      </c>
      <c r="N60" s="212">
        <v>9.84</v>
      </c>
      <c r="O60" s="213">
        <f t="shared" si="33"/>
        <v>1.0408827250090695</v>
      </c>
    </row>
    <row r="61" spans="1:15">
      <c r="A61" t="s">
        <v>387</v>
      </c>
      <c r="B61" s="214">
        <f>(1690098*60)/(4615.692*2000)</f>
        <v>10.984905405300006</v>
      </c>
      <c r="C61" s="212">
        <v>34.69</v>
      </c>
      <c r="D61" s="212">
        <f t="shared" si="28"/>
        <v>3.8106636850985716</v>
      </c>
      <c r="E61" s="214">
        <f>(3375214*60)/4615692</f>
        <v>43.874859934328377</v>
      </c>
      <c r="F61" s="212">
        <v>295.79000000000002</v>
      </c>
      <c r="G61" s="210">
        <f t="shared" si="34"/>
        <v>6.4888724099874961</v>
      </c>
      <c r="H61" s="214">
        <f>(260295*60)/4615692</f>
        <v>3.3836096515972036</v>
      </c>
      <c r="I61" s="214">
        <v>101.71</v>
      </c>
      <c r="J61" s="214">
        <f t="shared" si="29"/>
        <v>0.1720734688319758</v>
      </c>
      <c r="K61" s="212">
        <f t="shared" si="30"/>
        <v>10.471609563918044</v>
      </c>
      <c r="L61" s="212">
        <f t="shared" si="31"/>
        <v>0.36390429397109592</v>
      </c>
      <c r="M61" s="212">
        <f t="shared" si="32"/>
        <v>0.63609570602890408</v>
      </c>
      <c r="N61" s="212">
        <v>9.44</v>
      </c>
      <c r="O61" s="213">
        <f t="shared" si="33"/>
        <v>1.0316095639180443</v>
      </c>
    </row>
    <row r="62" spans="1:15">
      <c r="A62" t="s">
        <v>388</v>
      </c>
      <c r="B62" s="214">
        <f>(1727705.71*60)/(4681.65478*2000)</f>
        <v>11.071122014682166</v>
      </c>
      <c r="C62" s="212">
        <v>36.39</v>
      </c>
      <c r="D62" s="212">
        <f t="shared" si="28"/>
        <v>4.0287813011428399</v>
      </c>
      <c r="E62" s="214">
        <f>(3415264.38*60)/4681654.78</f>
        <v>43.769964345811928</v>
      </c>
      <c r="F62" s="212">
        <v>277.61</v>
      </c>
      <c r="G62" s="210">
        <f t="shared" si="34"/>
        <v>6.0754899010204255</v>
      </c>
      <c r="H62" s="214">
        <f>(264751*60)/4684315</f>
        <v>3.3911169509309258</v>
      </c>
      <c r="I62" s="214">
        <v>90.65</v>
      </c>
      <c r="J62" s="214">
        <f t="shared" si="29"/>
        <v>0.15370237580094423</v>
      </c>
      <c r="K62" s="212">
        <f t="shared" si="30"/>
        <v>10.25797357796421</v>
      </c>
      <c r="L62" s="212">
        <f t="shared" si="31"/>
        <v>0.39274631295573964</v>
      </c>
      <c r="M62" s="212">
        <f t="shared" si="32"/>
        <v>0.6072536870442603</v>
      </c>
      <c r="N62" s="212">
        <v>9.49</v>
      </c>
      <c r="O62" s="213">
        <f t="shared" si="33"/>
        <v>0.7679735779642094</v>
      </c>
    </row>
    <row r="63" spans="1:15">
      <c r="A63" t="s">
        <v>389</v>
      </c>
      <c r="B63" s="214">
        <f>(1518120.3*60)/(4093.78492*2000)</f>
        <v>11.125061499322735</v>
      </c>
      <c r="C63" s="212">
        <v>37.11</v>
      </c>
      <c r="D63" s="212">
        <f t="shared" si="28"/>
        <v>4.1285103223986672</v>
      </c>
      <c r="E63" s="214">
        <f>(2981511.76*60)/4093784.92</f>
        <v>43.698120222691131</v>
      </c>
      <c r="F63" s="212">
        <v>291.20999999999998</v>
      </c>
      <c r="G63" s="210">
        <f t="shared" si="34"/>
        <v>6.3626647950249415</v>
      </c>
      <c r="H63" s="214">
        <f>(230496*60)/4096412</f>
        <v>3.3760666651694216</v>
      </c>
      <c r="I63" s="214">
        <v>82.74</v>
      </c>
      <c r="J63" s="214">
        <f t="shared" si="29"/>
        <v>0.13966787793805896</v>
      </c>
      <c r="K63" s="212">
        <f t="shared" si="30"/>
        <v>10.630842995361668</v>
      </c>
      <c r="L63" s="212">
        <f t="shared" si="31"/>
        <v>0.3883521113236244</v>
      </c>
      <c r="M63" s="212">
        <f t="shared" si="32"/>
        <v>0.61164788867637565</v>
      </c>
      <c r="N63" s="212">
        <v>9.75</v>
      </c>
      <c r="O63" s="213">
        <f t="shared" si="33"/>
        <v>0.8808429953616681</v>
      </c>
    </row>
    <row r="64" spans="1:15">
      <c r="A64" t="s">
        <v>390</v>
      </c>
      <c r="B64" s="214">
        <f>(1481564.85*60)/(3988.61645*2000)</f>
        <v>11.143449378292566</v>
      </c>
      <c r="C64" s="212">
        <v>35.409999999999997</v>
      </c>
      <c r="D64" s="212">
        <f t="shared" si="28"/>
        <v>3.9458954248533975</v>
      </c>
      <c r="E64" s="214">
        <f>(2921012.2*60)/3988616.45</f>
        <v>43.940231956873163</v>
      </c>
      <c r="F64" s="212">
        <v>287.85000000000002</v>
      </c>
      <c r="G64" s="210">
        <f t="shared" si="34"/>
        <v>6.3240978843929705</v>
      </c>
      <c r="H64" s="214">
        <f>(223450*60)/3988616</f>
        <v>3.3613163062074665</v>
      </c>
      <c r="I64" s="214">
        <v>77.63</v>
      </c>
      <c r="J64" s="214">
        <f t="shared" si="29"/>
        <v>0.13046949242544281</v>
      </c>
      <c r="K64" s="212">
        <f t="shared" si="30"/>
        <v>10.400462801671811</v>
      </c>
      <c r="L64" s="212">
        <f t="shared" si="31"/>
        <v>0.37939613843137049</v>
      </c>
      <c r="M64" s="212">
        <f t="shared" si="32"/>
        <v>0.62060386156862957</v>
      </c>
      <c r="N64" s="212">
        <v>9.5500000000000007</v>
      </c>
      <c r="O64" s="213">
        <f t="shared" si="33"/>
        <v>0.8504628016718101</v>
      </c>
    </row>
    <row r="65" spans="1:15">
      <c r="A65" t="s">
        <v>392</v>
      </c>
      <c r="B65" s="214">
        <f>(1442238.9*60)/(3884.29876*2000)</f>
        <v>11.138990503397839</v>
      </c>
      <c r="C65" s="212">
        <v>34.47</v>
      </c>
      <c r="D65" s="212">
        <f t="shared" si="28"/>
        <v>3.839610026521235</v>
      </c>
      <c r="E65" s="214">
        <f>(2839787.64*60)/3884298.76</f>
        <v>43.865641890017756</v>
      </c>
      <c r="F65" s="212">
        <v>305.77999999999997</v>
      </c>
      <c r="G65" s="210">
        <f t="shared" si="34"/>
        <v>6.7066179885648145</v>
      </c>
      <c r="H65" s="214">
        <f>(216275*60)/3875035</f>
        <v>3.3487439468288676</v>
      </c>
      <c r="I65" s="214">
        <v>79.319999999999993</v>
      </c>
      <c r="J65" s="214">
        <f t="shared" si="29"/>
        <v>0.13281118493123287</v>
      </c>
      <c r="K65" s="212">
        <f t="shared" si="30"/>
        <v>10.679039200017282</v>
      </c>
      <c r="L65" s="212">
        <f t="shared" si="31"/>
        <v>0.35954639313572528</v>
      </c>
      <c r="M65" s="212">
        <f t="shared" si="32"/>
        <v>0.64045360686427477</v>
      </c>
      <c r="N65" s="212">
        <v>9.5500000000000007</v>
      </c>
      <c r="O65" s="213">
        <f t="shared" si="33"/>
        <v>1.1290392000172815</v>
      </c>
    </row>
    <row r="66" spans="1:15">
      <c r="A66" t="s">
        <v>393</v>
      </c>
      <c r="B66" s="214">
        <f>(1440451.02*60)/(3880.92194*2000)</f>
        <v>11.134862094134261</v>
      </c>
      <c r="C66" s="212">
        <v>35.07</v>
      </c>
      <c r="D66" s="212">
        <f t="shared" si="28"/>
        <v>3.9049961364128851</v>
      </c>
      <c r="E66" s="214">
        <f>(2837937.16*60)/3880921.94</f>
        <v>43.875200849826939</v>
      </c>
      <c r="F66" s="212">
        <v>325.56</v>
      </c>
      <c r="G66" s="210">
        <f t="shared" si="34"/>
        <v>7.1420051943348293</v>
      </c>
      <c r="H66" s="214">
        <f>(218170*60)/3880922</f>
        <v>3.3729613736117345</v>
      </c>
      <c r="I66" s="214">
        <v>82.38</v>
      </c>
      <c r="J66" s="214">
        <f t="shared" si="29"/>
        <v>0.13893227897906735</v>
      </c>
      <c r="K66" s="212">
        <f t="shared" si="30"/>
        <v>11.185933609726783</v>
      </c>
      <c r="L66" s="212">
        <f t="shared" si="31"/>
        <v>0.34909881219188327</v>
      </c>
      <c r="M66" s="212">
        <f t="shared" si="32"/>
        <v>0.65090118780811657</v>
      </c>
      <c r="N66" s="212">
        <v>10.3</v>
      </c>
      <c r="O66" s="213">
        <f t="shared" si="33"/>
        <v>0.88593360972678248</v>
      </c>
    </row>
    <row r="67" spans="1:15">
      <c r="A67" t="s">
        <v>394</v>
      </c>
      <c r="B67" s="214">
        <f>(1418447.8*60)/(3843.195*2000)</f>
        <v>11.072410845663569</v>
      </c>
      <c r="C67" s="212">
        <v>37.57</v>
      </c>
      <c r="D67" s="212">
        <f>(B67*C67)/100</f>
        <v>4.1599047547158028</v>
      </c>
      <c r="E67" s="214">
        <f>(2806180.9*60)/3843195</f>
        <v>43.810125169292739</v>
      </c>
      <c r="F67" s="212">
        <v>331.76</v>
      </c>
      <c r="G67" s="210">
        <f>E67*F67/2000</f>
        <v>7.2672235630822799</v>
      </c>
      <c r="H67" s="214">
        <f>(224409*60)/3843195</f>
        <v>3.5034756237973874</v>
      </c>
      <c r="I67" s="214">
        <v>92.75</v>
      </c>
      <c r="J67" s="214">
        <f t="shared" si="29"/>
        <v>0.16247368205360385</v>
      </c>
      <c r="K67" s="212">
        <f t="shared" si="30"/>
        <v>11.589601999851686</v>
      </c>
      <c r="L67" s="212">
        <f t="shared" si="31"/>
        <v>0.35893422006804354</v>
      </c>
      <c r="M67" s="212">
        <f t="shared" si="32"/>
        <v>0.64106577993195657</v>
      </c>
      <c r="N67" s="212">
        <v>10.66</v>
      </c>
      <c r="O67" s="213">
        <f t="shared" si="33"/>
        <v>0.92960199985168579</v>
      </c>
    </row>
    <row r="68" spans="1:15">
      <c r="A68" t="s">
        <v>395</v>
      </c>
      <c r="B68" s="214">
        <f>(19440815.32*60)/(52550.58805*2000)</f>
        <v>11.098343163069515</v>
      </c>
      <c r="C68" s="212">
        <f>AVERAGE(C56:C67)</f>
        <v>35.258333333333333</v>
      </c>
      <c r="D68" s="212">
        <f>(B68*C68)/100</f>
        <v>3.9130908269122595</v>
      </c>
      <c r="E68" s="214">
        <f>(38376041*60)/52550588.05</f>
        <v>43.81611215861551</v>
      </c>
      <c r="F68" s="212">
        <f>AVERAGE(F56:F67)</f>
        <v>316.43916666666661</v>
      </c>
      <c r="G68" s="210">
        <f>E68*F68/2000</f>
        <v>6.9325670090227449</v>
      </c>
      <c r="H68" s="214">
        <f>(2953771*60)/52545900</f>
        <v>3.3727895040336162</v>
      </c>
      <c r="I68" s="214">
        <f>AVERAGE(I56:I67)</f>
        <v>88.59999999999998</v>
      </c>
      <c r="J68" s="214">
        <f t="shared" si="29"/>
        <v>0.14941457502868918</v>
      </c>
      <c r="K68" s="212">
        <f t="shared" si="30"/>
        <v>10.995072410963694</v>
      </c>
      <c r="L68" s="212">
        <f t="shared" si="31"/>
        <v>0.35589495736384019</v>
      </c>
      <c r="M68" s="212">
        <f t="shared" si="32"/>
        <v>0.64410504263615975</v>
      </c>
      <c r="N68" s="212">
        <f>AVERAGE(N56:N67)</f>
        <v>9.9083333333333314</v>
      </c>
      <c r="O68" s="213">
        <f t="shared" si="33"/>
        <v>1.0867390776303623</v>
      </c>
    </row>
    <row r="69" spans="1:15">
      <c r="A69" s="52" t="s">
        <v>236</v>
      </c>
      <c r="B69" s="212"/>
      <c r="C69" s="212"/>
      <c r="D69" s="212"/>
      <c r="E69" s="210"/>
      <c r="F69" s="212"/>
      <c r="G69" s="210"/>
      <c r="H69" s="214"/>
      <c r="I69" s="214"/>
      <c r="J69" s="214"/>
      <c r="K69" s="212"/>
      <c r="L69" s="212"/>
      <c r="M69" s="212"/>
      <c r="N69" s="212"/>
      <c r="O69" s="213"/>
    </row>
    <row r="70" spans="1:15">
      <c r="A70" t="s">
        <v>382</v>
      </c>
      <c r="B70" s="214">
        <f>(1474417.2*60)/(3910.8754*2000)</f>
        <v>11.310131741860147</v>
      </c>
      <c r="C70" s="212">
        <v>39.21</v>
      </c>
      <c r="D70" s="212">
        <f t="shared" ref="D70:D80" si="35">(B70*C70)/100</f>
        <v>4.4347026559833633</v>
      </c>
      <c r="E70" s="214">
        <f>(2836038.5*60)/3910875.4</f>
        <v>43.510031027835865</v>
      </c>
      <c r="F70" s="212">
        <v>317.64999999999998</v>
      </c>
      <c r="G70" s="210">
        <f>E70*F70/2000</f>
        <v>6.9104806779960306</v>
      </c>
      <c r="H70" s="214">
        <f>(223644.7*60)/3910875.4</f>
        <v>3.4311197948162708</v>
      </c>
      <c r="I70" s="214">
        <v>113.52</v>
      </c>
      <c r="J70" s="214">
        <f t="shared" ref="J70:J82" si="36">H70*I70/2000</f>
        <v>0.19475035955377151</v>
      </c>
      <c r="K70" s="212">
        <f t="shared" ref="K70:K82" si="37">D70+G70+J70</f>
        <v>11.539933693533165</v>
      </c>
      <c r="L70" s="212">
        <f t="shared" ref="L70:L82" si="38">D70/K70</f>
        <v>0.38429186629282935</v>
      </c>
      <c r="M70" s="212">
        <f t="shared" ref="M70:M82" si="39">(+G70+J70)/K70</f>
        <v>0.6157081337071707</v>
      </c>
      <c r="N70" s="212">
        <v>10.65</v>
      </c>
      <c r="O70" s="213">
        <f t="shared" ref="O70:O96" si="40">K70-N70</f>
        <v>0.88993369353316432</v>
      </c>
    </row>
    <row r="71" spans="1:15">
      <c r="A71" t="s">
        <v>383</v>
      </c>
      <c r="B71" s="214">
        <f>(1790543.39*60)/(4716.39359*2000)</f>
        <v>11.389274596143279</v>
      </c>
      <c r="C71" s="212">
        <v>44.02</v>
      </c>
      <c r="D71" s="212">
        <f t="shared" si="35"/>
        <v>5.0135586772222718</v>
      </c>
      <c r="E71" s="214">
        <f>(3475802.73*60)/4716393.59</f>
        <v>44.21771843685336</v>
      </c>
      <c r="F71" s="212">
        <v>321.92</v>
      </c>
      <c r="G71" s="210">
        <f t="shared" ref="G71:G80" si="41">E71*F71/2000</f>
        <v>7.1172839595959179</v>
      </c>
      <c r="H71" s="214">
        <f>(262267.37*60)/4716393.59</f>
        <v>3.3364565318222308</v>
      </c>
      <c r="I71" s="214">
        <v>140.47999999999999</v>
      </c>
      <c r="J71" s="214">
        <f t="shared" si="36"/>
        <v>0.23435270679519349</v>
      </c>
      <c r="K71" s="212">
        <f t="shared" si="37"/>
        <v>12.365195343613385</v>
      </c>
      <c r="L71" s="212">
        <f t="shared" si="38"/>
        <v>0.40545729670269798</v>
      </c>
      <c r="M71" s="212">
        <f t="shared" si="39"/>
        <v>0.59454270329730186</v>
      </c>
      <c r="N71" s="212">
        <v>11.48</v>
      </c>
      <c r="O71" s="213">
        <f t="shared" si="40"/>
        <v>0.88519534361338437</v>
      </c>
    </row>
    <row r="72" spans="1:15">
      <c r="A72" t="s">
        <v>384</v>
      </c>
      <c r="B72" s="214">
        <f>(1771201.2*60)/(4651.751*2000)</f>
        <v>11.422803155198977</v>
      </c>
      <c r="C72" s="212">
        <v>47.62</v>
      </c>
      <c r="D72" s="212">
        <f t="shared" si="35"/>
        <v>5.4395388625057528</v>
      </c>
      <c r="E72" s="214">
        <f>(3447649.3*60)/4651751</f>
        <v>44.469052191314624</v>
      </c>
      <c r="F72" s="212">
        <v>341.78</v>
      </c>
      <c r="G72" s="210">
        <f t="shared" si="41"/>
        <v>7.5993163289737558</v>
      </c>
      <c r="H72" s="214">
        <f>(272399.8*60)/4651751</f>
        <v>3.5135130835678865</v>
      </c>
      <c r="I72" s="214">
        <v>157.38</v>
      </c>
      <c r="J72" s="214">
        <f t="shared" si="36"/>
        <v>0.27647834454595699</v>
      </c>
      <c r="K72" s="212">
        <f t="shared" si="37"/>
        <v>13.315333536025467</v>
      </c>
      <c r="L72" s="212">
        <f t="shared" si="38"/>
        <v>0.40851690630120086</v>
      </c>
      <c r="M72" s="212">
        <f t="shared" si="39"/>
        <v>0.59148309369879914</v>
      </c>
      <c r="N72" s="212">
        <v>12.52</v>
      </c>
      <c r="O72" s="213">
        <f t="shared" si="40"/>
        <v>0.79533353602546697</v>
      </c>
    </row>
    <row r="73" spans="1:15">
      <c r="A73" t="s">
        <v>385</v>
      </c>
      <c r="B73" s="214">
        <f>(1731506.15*60)/(4570.40185*2000)</f>
        <v>11.365561761270509</v>
      </c>
      <c r="C73" s="212">
        <v>51.51</v>
      </c>
      <c r="D73" s="212">
        <f t="shared" si="35"/>
        <v>5.8544008632304392</v>
      </c>
      <c r="E73" s="214">
        <f>(3397763.35*60)/4570401.85</f>
        <v>44.60566219138915</v>
      </c>
      <c r="F73" s="212">
        <v>351.93</v>
      </c>
      <c r="G73" s="210">
        <f t="shared" si="41"/>
        <v>7.8490353475077921</v>
      </c>
      <c r="H73" s="214">
        <f>(277780.5*60)/4570401.85</f>
        <v>3.6466880915515123</v>
      </c>
      <c r="I73" s="214">
        <v>155</v>
      </c>
      <c r="J73" s="214">
        <f t="shared" si="36"/>
        <v>0.28261832709524221</v>
      </c>
      <c r="K73" s="212">
        <f t="shared" si="37"/>
        <v>13.986054537833475</v>
      </c>
      <c r="L73" s="212">
        <f t="shared" si="38"/>
        <v>0.41858844804256867</v>
      </c>
      <c r="M73" s="212">
        <f t="shared" si="39"/>
        <v>0.58141155195743133</v>
      </c>
      <c r="N73" s="212">
        <v>13.11</v>
      </c>
      <c r="O73" s="213">
        <f t="shared" si="40"/>
        <v>0.87605453783347542</v>
      </c>
    </row>
    <row r="74" spans="1:15">
      <c r="A74" t="s">
        <v>386</v>
      </c>
      <c r="B74" s="214">
        <f>(1722940*60)/(4475.043*2000)</f>
        <v>11.550324767829046</v>
      </c>
      <c r="C74" s="212">
        <v>53.84</v>
      </c>
      <c r="D74" s="212">
        <f t="shared" si="35"/>
        <v>6.2186948549991587</v>
      </c>
      <c r="E74" s="214">
        <f>(3298360*60)/4475043</f>
        <v>44.223396289152973</v>
      </c>
      <c r="F74" s="212">
        <v>368.54</v>
      </c>
      <c r="G74" s="210">
        <f t="shared" si="41"/>
        <v>8.1490452342022195</v>
      </c>
      <c r="H74" s="214">
        <f>(271099*60)/4475043</f>
        <v>3.6348120006891556</v>
      </c>
      <c r="I74" s="214">
        <v>157.5</v>
      </c>
      <c r="J74" s="214">
        <f t="shared" si="36"/>
        <v>0.28624144505427102</v>
      </c>
      <c r="K74" s="212">
        <f t="shared" si="37"/>
        <v>14.653981534255649</v>
      </c>
      <c r="L74" s="212">
        <f t="shared" si="38"/>
        <v>0.42436895668676289</v>
      </c>
      <c r="M74" s="212">
        <f t="shared" si="39"/>
        <v>0.57563104331323711</v>
      </c>
      <c r="N74" s="212">
        <v>13.78</v>
      </c>
      <c r="O74" s="213">
        <f t="shared" si="40"/>
        <v>0.87398153425565006</v>
      </c>
    </row>
    <row r="75" spans="1:15">
      <c r="A75" t="s">
        <v>387</v>
      </c>
      <c r="B75" s="214">
        <f>(1500030*60)/(3882.405*2000)</f>
        <v>11.590985484512821</v>
      </c>
      <c r="C75" s="212">
        <v>54.21</v>
      </c>
      <c r="D75" s="212">
        <f t="shared" si="35"/>
        <v>6.2834732311544004</v>
      </c>
      <c r="E75" s="214">
        <f>(2889211*60)/3882405</f>
        <v>44.650844000046362</v>
      </c>
      <c r="F75" s="212">
        <v>358.59</v>
      </c>
      <c r="G75" s="210">
        <f t="shared" si="41"/>
        <v>8.0056730749883123</v>
      </c>
      <c r="H75" s="214">
        <f>(236939*60)/3882405</f>
        <v>3.6617354449110797</v>
      </c>
      <c r="I75" s="214">
        <v>156.97</v>
      </c>
      <c r="J75" s="214">
        <f t="shared" si="36"/>
        <v>0.28739130639384608</v>
      </c>
      <c r="K75" s="212">
        <f t="shared" si="37"/>
        <v>14.576537612536558</v>
      </c>
      <c r="L75" s="212">
        <f t="shared" si="38"/>
        <v>0.43106761003040228</v>
      </c>
      <c r="M75" s="212">
        <f t="shared" si="39"/>
        <v>0.56893238996959772</v>
      </c>
      <c r="N75" s="212">
        <v>13.86</v>
      </c>
      <c r="O75" s="213">
        <f t="shared" si="40"/>
        <v>0.71653761253655901</v>
      </c>
    </row>
    <row r="76" spans="1:15">
      <c r="A76" t="s">
        <v>388</v>
      </c>
      <c r="B76" s="214">
        <f>(1623774*60)/(4208.023*2000)</f>
        <v>11.57627227797947</v>
      </c>
      <c r="C76" s="212">
        <v>54.07</v>
      </c>
      <c r="D76" s="212">
        <f t="shared" si="35"/>
        <v>6.2592904207034996</v>
      </c>
      <c r="E76" s="214">
        <f>(3111911*60)/4208023</f>
        <v>44.371112040024499</v>
      </c>
      <c r="F76" s="212">
        <v>345.43</v>
      </c>
      <c r="G76" s="210">
        <f t="shared" si="41"/>
        <v>7.6635566159928308</v>
      </c>
      <c r="H76" s="214">
        <f>(259694*60)/4208023</f>
        <v>3.7028409778178495</v>
      </c>
      <c r="I76" s="214">
        <v>157.16999999999999</v>
      </c>
      <c r="J76" s="214">
        <f t="shared" si="36"/>
        <v>0.29098775824181572</v>
      </c>
      <c r="K76" s="212">
        <f t="shared" si="37"/>
        <v>14.213834794938146</v>
      </c>
      <c r="L76" s="212">
        <f t="shared" si="38"/>
        <v>0.44036605961767394</v>
      </c>
      <c r="M76" s="212">
        <f t="shared" si="39"/>
        <v>0.55963394038232606</v>
      </c>
      <c r="N76" s="212">
        <v>13.5</v>
      </c>
      <c r="O76" s="213">
        <f t="shared" si="40"/>
        <v>0.71383479493814583</v>
      </c>
    </row>
    <row r="77" spans="1:15">
      <c r="A77" t="s">
        <v>389</v>
      </c>
      <c r="B77" s="214">
        <f>(1504598*60)/(3839.636*2000)</f>
        <v>11.755786225569299</v>
      </c>
      <c r="C77" s="212">
        <v>56.65</v>
      </c>
      <c r="D77" s="212">
        <f t="shared" si="35"/>
        <v>6.6596528967850075</v>
      </c>
      <c r="E77" s="214">
        <f>(2873217*60)/3839636</f>
        <v>44.898271606996083</v>
      </c>
      <c r="F77" s="212">
        <v>335.87</v>
      </c>
      <c r="G77" s="210">
        <f t="shared" si="41"/>
        <v>7.5399912423208875</v>
      </c>
      <c r="H77" s="214">
        <f>(239721*60)/3839636</f>
        <v>3.7459957141770732</v>
      </c>
      <c r="I77" s="214">
        <v>159.63</v>
      </c>
      <c r="J77" s="214">
        <f t="shared" si="36"/>
        <v>0.29898664792704305</v>
      </c>
      <c r="K77" s="212">
        <f t="shared" si="37"/>
        <v>14.498630787032939</v>
      </c>
      <c r="L77" s="212">
        <f t="shared" si="38"/>
        <v>0.45932978048804202</v>
      </c>
      <c r="M77" s="212">
        <f t="shared" si="39"/>
        <v>0.54067021951195793</v>
      </c>
      <c r="N77" s="212">
        <v>13.64</v>
      </c>
      <c r="O77" s="213">
        <f t="shared" si="40"/>
        <v>0.85863078703293816</v>
      </c>
    </row>
    <row r="78" spans="1:15">
      <c r="A78" t="s">
        <v>390</v>
      </c>
      <c r="B78" s="214">
        <f>(1491195*60)/(3841.157*2000)</f>
        <v>11.646451837297981</v>
      </c>
      <c r="C78" s="212">
        <v>56.09</v>
      </c>
      <c r="D78" s="212">
        <f t="shared" si="35"/>
        <v>6.5324948355404375</v>
      </c>
      <c r="E78" s="214">
        <f>(2865776*60)/3841157</f>
        <v>44.764262434469615</v>
      </c>
      <c r="F78" s="212">
        <v>342.3</v>
      </c>
      <c r="G78" s="210">
        <f t="shared" si="41"/>
        <v>7.6614035156594742</v>
      </c>
      <c r="H78" s="214">
        <f>(234746*60)/3841157</f>
        <v>3.6668014350884381</v>
      </c>
      <c r="I78" s="214">
        <v>164.86</v>
      </c>
      <c r="J78" s="214">
        <f t="shared" si="36"/>
        <v>0.30225444229433995</v>
      </c>
      <c r="K78" s="212">
        <f t="shared" si="37"/>
        <v>14.496152793494252</v>
      </c>
      <c r="L78" s="212">
        <f t="shared" si="38"/>
        <v>0.45063645013952702</v>
      </c>
      <c r="M78" s="212">
        <f t="shared" si="39"/>
        <v>0.54936354986047298</v>
      </c>
      <c r="N78" s="212">
        <v>13.68</v>
      </c>
      <c r="O78" s="213">
        <f t="shared" si="40"/>
        <v>0.81615279349425229</v>
      </c>
    </row>
    <row r="79" spans="1:15">
      <c r="A79" t="s">
        <v>392</v>
      </c>
      <c r="B79" s="214">
        <f>(1437997*60)/(3708.711*2000)</f>
        <v>11.632049518013131</v>
      </c>
      <c r="C79" s="212">
        <v>55.68</v>
      </c>
      <c r="D79" s="212">
        <f t="shared" si="35"/>
        <v>6.4767251716297123</v>
      </c>
      <c r="E79" s="214">
        <f>(2746586*60)/3708711</f>
        <v>44.434618928247581</v>
      </c>
      <c r="F79" s="212">
        <v>347.45</v>
      </c>
      <c r="G79" s="210">
        <f t="shared" si="41"/>
        <v>7.7194041733098109</v>
      </c>
      <c r="H79" s="214">
        <f>(226906*60)/3708711</f>
        <v>3.670914234082947</v>
      </c>
      <c r="I79" s="214">
        <v>175.34</v>
      </c>
      <c r="J79" s="214">
        <f t="shared" si="36"/>
        <v>0.32182905090205194</v>
      </c>
      <c r="K79" s="212">
        <f t="shared" si="37"/>
        <v>14.517958395841575</v>
      </c>
      <c r="L79" s="212">
        <f t="shared" si="38"/>
        <v>0.44611817963914685</v>
      </c>
      <c r="M79" s="212">
        <f t="shared" si="39"/>
        <v>0.55388182036085321</v>
      </c>
      <c r="N79" s="212">
        <v>13.82</v>
      </c>
      <c r="O79" s="213">
        <f t="shared" si="40"/>
        <v>0.69795839584157449</v>
      </c>
    </row>
    <row r="80" spans="1:15">
      <c r="A80" t="s">
        <v>393</v>
      </c>
      <c r="B80" s="214">
        <f>(1504674*60)/(3886.8813*2000)</f>
        <v>11.613480452824737</v>
      </c>
      <c r="C80" s="212">
        <v>55.16</v>
      </c>
      <c r="D80" s="212">
        <f t="shared" si="35"/>
        <v>6.4059958177781242</v>
      </c>
      <c r="E80" s="214">
        <f>(2857622*60)/3886881</f>
        <v>44.111800695724924</v>
      </c>
      <c r="F80" s="212">
        <v>346.52</v>
      </c>
      <c r="G80" s="210">
        <f t="shared" si="41"/>
        <v>7.6428105885413</v>
      </c>
      <c r="H80" s="214">
        <f>(239432*60)/3886881</f>
        <v>3.6960020129250162</v>
      </c>
      <c r="I80" s="214">
        <v>189.5</v>
      </c>
      <c r="J80" s="214">
        <f t="shared" si="36"/>
        <v>0.35019619072464531</v>
      </c>
      <c r="K80" s="212">
        <f t="shared" si="37"/>
        <v>14.39900259704407</v>
      </c>
      <c r="L80" s="212">
        <f t="shared" si="38"/>
        <v>0.44489163569518297</v>
      </c>
      <c r="M80" s="212">
        <f t="shared" si="39"/>
        <v>0.55510836430481691</v>
      </c>
      <c r="N80" s="212">
        <v>13.84</v>
      </c>
      <c r="O80" s="213">
        <f t="shared" si="40"/>
        <v>0.55900259704407063</v>
      </c>
    </row>
    <row r="81" spans="1:15">
      <c r="A81" t="s">
        <v>394</v>
      </c>
      <c r="B81" s="214">
        <f>(1458750)/125000</f>
        <v>11.67</v>
      </c>
      <c r="C81" s="212">
        <v>54.39</v>
      </c>
      <c r="D81" s="212">
        <f>(B81*C81)/100</f>
        <v>6.3473130000000006</v>
      </c>
      <c r="E81" s="214">
        <f>(2779375*2)/125000</f>
        <v>44.47</v>
      </c>
      <c r="F81" s="212">
        <v>349.6</v>
      </c>
      <c r="G81" s="210">
        <f>E81*F81/2000</f>
        <v>7.7733560000000006</v>
      </c>
      <c r="H81" s="214">
        <f>(222525*2)/125000</f>
        <v>3.5604</v>
      </c>
      <c r="I81" s="214">
        <v>216.3</v>
      </c>
      <c r="J81" s="214">
        <f t="shared" si="36"/>
        <v>0.38505726000000007</v>
      </c>
      <c r="K81" s="212">
        <f t="shared" si="37"/>
        <v>14.505726260000001</v>
      </c>
      <c r="L81" s="212">
        <f t="shared" si="38"/>
        <v>0.4375729202544596</v>
      </c>
      <c r="M81" s="212">
        <f t="shared" si="39"/>
        <v>0.56242707974554051</v>
      </c>
      <c r="N81" s="212">
        <v>13.81</v>
      </c>
      <c r="O81" s="213">
        <f t="shared" si="40"/>
        <v>0.69572626000000071</v>
      </c>
    </row>
    <row r="82" spans="1:15">
      <c r="A82" t="s">
        <v>395</v>
      </c>
      <c r="B82" s="214">
        <f>(19011625.94*60)/(49441.27784*2000)</f>
        <v>11.535882629201883</v>
      </c>
      <c r="C82" s="212">
        <f>AVERAGE(C70:C81)</f>
        <v>51.870833333333316</v>
      </c>
      <c r="D82" s="212">
        <f>(B82*C82)/100</f>
        <v>5.9837584521222569</v>
      </c>
      <c r="E82" s="214">
        <f>(36579311.88*60)/49441277.84</f>
        <v>44.391221438543631</v>
      </c>
      <c r="F82" s="212">
        <f>AVERAGE(F70:F81)</f>
        <v>343.96499999999997</v>
      </c>
      <c r="G82" s="210">
        <f>E82*F82/2000</f>
        <v>7.6345132410543295</v>
      </c>
      <c r="H82" s="214">
        <f>(2967154.37*60)/49441277.84</f>
        <v>3.6008224297141265</v>
      </c>
      <c r="I82" s="214">
        <f>AVERAGE(I70:I81)</f>
        <v>161.97083333333333</v>
      </c>
      <c r="J82" s="214">
        <f t="shared" si="36"/>
        <v>0.29161410481307759</v>
      </c>
      <c r="K82" s="212">
        <f t="shared" si="37"/>
        <v>13.909885797989665</v>
      </c>
      <c r="L82" s="212">
        <f t="shared" si="38"/>
        <v>0.43018027171632589</v>
      </c>
      <c r="M82" s="212">
        <f t="shared" si="39"/>
        <v>0.569819728283674</v>
      </c>
      <c r="N82" s="212">
        <f>AVERAGE(N70:N81)</f>
        <v>13.140833333333333</v>
      </c>
      <c r="O82" s="213">
        <f t="shared" si="40"/>
        <v>0.76905246465633148</v>
      </c>
    </row>
    <row r="83" spans="1:15">
      <c r="A83" s="52" t="s">
        <v>260</v>
      </c>
      <c r="B83" s="214"/>
      <c r="C83" s="212"/>
      <c r="D83" s="212"/>
      <c r="E83" s="214"/>
      <c r="F83" s="212"/>
      <c r="G83" s="210"/>
      <c r="H83" s="214"/>
      <c r="I83" s="214"/>
      <c r="J83" s="214"/>
      <c r="K83" s="212"/>
      <c r="L83" s="212"/>
      <c r="M83" s="212"/>
      <c r="N83" s="214"/>
      <c r="O83" s="213"/>
    </row>
    <row r="84" spans="1:15">
      <c r="A84" t="s">
        <v>382</v>
      </c>
      <c r="B84" s="214">
        <f>(1531282)/(4036896*2/60)</f>
        <v>11.379649116548951</v>
      </c>
      <c r="C84" s="212">
        <v>26.43</v>
      </c>
      <c r="D84" s="212">
        <f t="shared" ref="D84:D94" si="42">(B84*C84)/100</f>
        <v>3.0076412615038874</v>
      </c>
      <c r="E84" s="214">
        <f>2974159/(4036896)*60</f>
        <v>44.204641387838578</v>
      </c>
      <c r="F84" s="212">
        <v>333.62</v>
      </c>
      <c r="G84" s="210">
        <f>E84*F84/2000</f>
        <v>7.3737762299053529</v>
      </c>
      <c r="H84" s="214">
        <f>(200994/4036896)*60</f>
        <v>2.9873546407933222</v>
      </c>
      <c r="I84" s="214">
        <v>137.86000000000001</v>
      </c>
      <c r="J84" s="214">
        <f t="shared" ref="J84:J96" si="43">H84*I84/2000</f>
        <v>0.20591835538988371</v>
      </c>
      <c r="K84" s="212">
        <f t="shared" ref="K84:K96" si="44">D84+G84+J84</f>
        <v>10.587335846799125</v>
      </c>
      <c r="L84" s="212">
        <f t="shared" ref="L84:L96" si="45">D84/K84</f>
        <v>0.28407913992954037</v>
      </c>
      <c r="M84" s="212">
        <f t="shared" ref="M84:M96" si="46">(+G84+J84)/K84</f>
        <v>0.71592086007045952</v>
      </c>
      <c r="N84" s="212">
        <v>8.91</v>
      </c>
      <c r="O84" s="213">
        <f t="shared" si="40"/>
        <v>1.6773358467991244</v>
      </c>
    </row>
    <row r="85" spans="1:15">
      <c r="A85" t="s">
        <v>383</v>
      </c>
      <c r="B85" s="214">
        <f>1962937/(5104010*2/60)</f>
        <v>11.537616501535068</v>
      </c>
      <c r="C85" s="212">
        <v>27.14</v>
      </c>
      <c r="D85" s="212">
        <f t="shared" si="42"/>
        <v>3.1313091185166173</v>
      </c>
      <c r="E85" s="214">
        <f>3742412/(5104010)*60</f>
        <v>43.993785278633858</v>
      </c>
      <c r="F85" s="212">
        <v>327.97</v>
      </c>
      <c r="G85" s="210">
        <f t="shared" ref="G85:G94" si="47">E85*F85/2000</f>
        <v>7.2143208789167739</v>
      </c>
      <c r="H85" s="214">
        <f>(258909/5104010)*60</f>
        <v>3.0435951340220728</v>
      </c>
      <c r="I85" s="214">
        <v>166.79</v>
      </c>
      <c r="J85" s="214">
        <f t="shared" si="43"/>
        <v>0.25382061620177077</v>
      </c>
      <c r="K85" s="212">
        <f t="shared" si="44"/>
        <v>10.599450613635163</v>
      </c>
      <c r="L85" s="212">
        <f t="shared" si="45"/>
        <v>0.2954218320040562</v>
      </c>
      <c r="M85" s="212">
        <f t="shared" si="46"/>
        <v>0.70457816799594375</v>
      </c>
      <c r="N85" s="212">
        <v>8.93</v>
      </c>
      <c r="O85" s="213">
        <f t="shared" si="40"/>
        <v>1.6694506136351634</v>
      </c>
    </row>
    <row r="86" spans="1:15">
      <c r="A86" t="s">
        <v>384</v>
      </c>
      <c r="B86" s="214">
        <f>1901853/(4973534*2/60)</f>
        <v>11.471840747444372</v>
      </c>
      <c r="C86" s="212">
        <v>26.42</v>
      </c>
      <c r="D86" s="212">
        <f t="shared" si="42"/>
        <v>3.0308603254748032</v>
      </c>
      <c r="E86" s="214">
        <f>3655750/(4973534)*60</f>
        <v>44.10244305156052</v>
      </c>
      <c r="F86" s="212">
        <v>308.60000000000002</v>
      </c>
      <c r="G86" s="210">
        <f t="shared" si="47"/>
        <v>6.8050069628557885</v>
      </c>
      <c r="H86" s="214">
        <f>(251965/4973534)*60</f>
        <v>3.0396695790156456</v>
      </c>
      <c r="I86" s="214">
        <v>139.03</v>
      </c>
      <c r="J86" s="214">
        <f t="shared" si="43"/>
        <v>0.21130263078527262</v>
      </c>
      <c r="K86" s="212">
        <f t="shared" si="44"/>
        <v>10.047169919115865</v>
      </c>
      <c r="L86" s="212">
        <f t="shared" si="45"/>
        <v>0.30166309019102511</v>
      </c>
      <c r="M86" s="212">
        <f t="shared" si="46"/>
        <v>0.69833690980897489</v>
      </c>
      <c r="N86" s="212">
        <v>8.83</v>
      </c>
      <c r="O86" s="213">
        <f t="shared" si="40"/>
        <v>1.2171699191158645</v>
      </c>
    </row>
    <row r="87" spans="1:15">
      <c r="A87" t="s">
        <v>385</v>
      </c>
      <c r="B87" s="214">
        <f>1929027/(5011324*2/60)</f>
        <v>11.548008071320075</v>
      </c>
      <c r="C87" s="212">
        <v>29.72</v>
      </c>
      <c r="D87" s="212">
        <f t="shared" si="42"/>
        <v>3.4320679987963261</v>
      </c>
      <c r="E87" s="214">
        <f>3669213/(5011324)*60</f>
        <v>43.931060933198495</v>
      </c>
      <c r="F87" s="212">
        <v>289.77999999999997</v>
      </c>
      <c r="G87" s="210">
        <f t="shared" si="47"/>
        <v>6.365171418611129</v>
      </c>
      <c r="H87" s="214">
        <f>(262266/5011324)*60</f>
        <v>3.1400803460323061</v>
      </c>
      <c r="I87" s="214">
        <v>120</v>
      </c>
      <c r="J87" s="214">
        <f t="shared" si="43"/>
        <v>0.18840482076193837</v>
      </c>
      <c r="K87" s="212">
        <f t="shared" si="44"/>
        <v>9.9856442381693942</v>
      </c>
      <c r="L87" s="212">
        <f t="shared" si="45"/>
        <v>0.34370020771193682</v>
      </c>
      <c r="M87" s="212">
        <f t="shared" si="46"/>
        <v>0.65629979228806312</v>
      </c>
      <c r="N87" s="212">
        <v>8.9</v>
      </c>
      <c r="O87" s="213">
        <f t="shared" si="40"/>
        <v>1.0856442381693938</v>
      </c>
    </row>
    <row r="88" spans="1:15">
      <c r="A88" t="s">
        <v>386</v>
      </c>
      <c r="B88" s="214">
        <f>1864887/(4814044*2/60)</f>
        <v>11.621541057788422</v>
      </c>
      <c r="C88" s="212">
        <v>28.89</v>
      </c>
      <c r="D88" s="212">
        <f t="shared" si="42"/>
        <v>3.3574632115950749</v>
      </c>
      <c r="E88" s="214">
        <f>3539791/(4814044)*60</f>
        <v>44.118304693517544</v>
      </c>
      <c r="F88" s="212">
        <v>279.56</v>
      </c>
      <c r="G88" s="210">
        <f t="shared" si="47"/>
        <v>6.1668566300598826</v>
      </c>
      <c r="H88" s="214">
        <f>(256884/4814044)*60</f>
        <v>3.2016824108795019</v>
      </c>
      <c r="I88" s="214">
        <v>108.13</v>
      </c>
      <c r="J88" s="214">
        <f t="shared" si="43"/>
        <v>0.17309895954420026</v>
      </c>
      <c r="K88" s="212">
        <f t="shared" si="44"/>
        <v>9.6974188011991576</v>
      </c>
      <c r="L88" s="212">
        <f t="shared" si="45"/>
        <v>0.3462223587971574</v>
      </c>
      <c r="M88" s="212">
        <f t="shared" si="46"/>
        <v>0.65377764120284254</v>
      </c>
      <c r="N88" s="212">
        <v>8.81</v>
      </c>
      <c r="O88" s="213">
        <f t="shared" si="40"/>
        <v>0.88741880119915706</v>
      </c>
    </row>
    <row r="89" spans="1:15">
      <c r="A89" t="s">
        <v>387</v>
      </c>
      <c r="B89" s="214">
        <f>1795866/(4638663*2/60)</f>
        <v>11.614549278531335</v>
      </c>
      <c r="C89" s="212">
        <v>29.79</v>
      </c>
      <c r="D89" s="212">
        <f t="shared" si="42"/>
        <v>3.4599742300744847</v>
      </c>
      <c r="E89" s="214">
        <f>3425236/(4638663)*60</f>
        <v>44.304611048485306</v>
      </c>
      <c r="F89" s="212">
        <v>273.61</v>
      </c>
      <c r="G89" s="210">
        <f t="shared" si="47"/>
        <v>6.0610923144880324</v>
      </c>
      <c r="H89" s="214">
        <f>(241078/4638663)*60</f>
        <v>3.1182864545236417</v>
      </c>
      <c r="I89" s="214">
        <v>109.15</v>
      </c>
      <c r="J89" s="214">
        <f t="shared" si="43"/>
        <v>0.17018048325562776</v>
      </c>
      <c r="K89" s="212">
        <f t="shared" si="44"/>
        <v>9.6912470278181448</v>
      </c>
      <c r="L89" s="212">
        <f t="shared" si="45"/>
        <v>0.35702053823856061</v>
      </c>
      <c r="M89" s="212">
        <f t="shared" si="46"/>
        <v>0.64297946176143939</v>
      </c>
      <c r="N89" s="212">
        <v>8.82</v>
      </c>
      <c r="O89" s="213">
        <f t="shared" si="40"/>
        <v>0.87124702781814456</v>
      </c>
    </row>
    <row r="90" spans="1:15">
      <c r="A90" t="s">
        <v>388</v>
      </c>
      <c r="B90" s="214">
        <f>1943537/(4991626*2/60)</f>
        <v>11.680784978682297</v>
      </c>
      <c r="C90" s="212">
        <v>30.86</v>
      </c>
      <c r="D90" s="212">
        <f t="shared" si="42"/>
        <v>3.6046902444213567</v>
      </c>
      <c r="E90" s="214">
        <f>3677248/(4991626)*60</f>
        <v>44.201003841233302</v>
      </c>
      <c r="F90" s="212">
        <v>276.22000000000003</v>
      </c>
      <c r="G90" s="210">
        <f t="shared" si="47"/>
        <v>6.1046006405127322</v>
      </c>
      <c r="H90" s="214">
        <f>(260298/4991626)*60</f>
        <v>3.1288161412734046</v>
      </c>
      <c r="I90" s="214">
        <v>104.2</v>
      </c>
      <c r="J90" s="214">
        <f t="shared" si="43"/>
        <v>0.1630113209603444</v>
      </c>
      <c r="K90" s="212">
        <f t="shared" si="44"/>
        <v>9.8723022058944316</v>
      </c>
      <c r="L90" s="212">
        <f t="shared" si="45"/>
        <v>0.36513167539270758</v>
      </c>
      <c r="M90" s="212">
        <f t="shared" si="46"/>
        <v>0.63486832460729259</v>
      </c>
      <c r="N90" s="212">
        <v>8.9600000000000009</v>
      </c>
      <c r="O90" s="213">
        <f t="shared" si="40"/>
        <v>0.91230220589443078</v>
      </c>
    </row>
    <row r="91" spans="1:15">
      <c r="A91" t="s">
        <v>389</v>
      </c>
      <c r="B91" s="214">
        <f>1840263/(4745090*2/60)</f>
        <v>11.63474033158486</v>
      </c>
      <c r="C91" s="212">
        <v>32.450000000000003</v>
      </c>
      <c r="D91" s="212">
        <f t="shared" si="42"/>
        <v>3.7754732375992877</v>
      </c>
      <c r="E91" s="214">
        <f>3502911/(4745090)*60</f>
        <v>44.293081901502397</v>
      </c>
      <c r="F91" s="212">
        <v>303.81</v>
      </c>
      <c r="G91" s="210">
        <f t="shared" si="47"/>
        <v>6.7283406062477216</v>
      </c>
      <c r="H91" s="214">
        <f>(243761/4745090)*60</f>
        <v>3.0822724121144169</v>
      </c>
      <c r="I91" s="214">
        <v>88.21</v>
      </c>
      <c r="J91" s="214">
        <f t="shared" si="43"/>
        <v>0.13594362473630636</v>
      </c>
      <c r="K91" s="212">
        <f t="shared" si="44"/>
        <v>10.639757468583316</v>
      </c>
      <c r="L91" s="212">
        <f t="shared" si="45"/>
        <v>0.35484579876443295</v>
      </c>
      <c r="M91" s="212">
        <f t="shared" si="46"/>
        <v>0.6451542012355671</v>
      </c>
      <c r="N91" s="212">
        <v>9.61</v>
      </c>
      <c r="O91" s="213">
        <f t="shared" si="40"/>
        <v>1.0297574685833162</v>
      </c>
    </row>
    <row r="92" spans="1:15">
      <c r="A92" t="s">
        <v>390</v>
      </c>
      <c r="B92" s="214">
        <f>1876184/(4825833*2/60)</f>
        <v>11.663379151329936</v>
      </c>
      <c r="C92" s="212">
        <v>30.76</v>
      </c>
      <c r="D92" s="212">
        <f t="shared" si="42"/>
        <v>3.5876554269490883</v>
      </c>
      <c r="E92" s="214">
        <f>3561181/(4825833)*60</f>
        <v>44.276472061921744</v>
      </c>
      <c r="F92" s="212">
        <v>376.35</v>
      </c>
      <c r="G92" s="210">
        <f t="shared" si="47"/>
        <v>8.331725130252126</v>
      </c>
      <c r="H92" s="214">
        <f>(246358/4825833)*60</f>
        <v>3.0629903687094018</v>
      </c>
      <c r="I92" s="214">
        <v>89.76</v>
      </c>
      <c r="J92" s="214">
        <f t="shared" si="43"/>
        <v>0.13746700774767798</v>
      </c>
      <c r="K92" s="212">
        <f t="shared" si="44"/>
        <v>12.056847564948892</v>
      </c>
      <c r="L92" s="212">
        <f t="shared" si="45"/>
        <v>0.29756164765481102</v>
      </c>
      <c r="M92" s="212">
        <f t="shared" si="46"/>
        <v>0.70243835234518892</v>
      </c>
      <c r="N92" s="212">
        <v>10.49</v>
      </c>
      <c r="O92" s="213">
        <f t="shared" si="40"/>
        <v>1.5668475649488922</v>
      </c>
    </row>
    <row r="93" spans="1:15">
      <c r="A93" t="s">
        <v>392</v>
      </c>
      <c r="B93" s="214">
        <f>1787234/(4623752*2/60)</f>
        <v>11.595998228278678</v>
      </c>
      <c r="C93" s="212">
        <v>30.35</v>
      </c>
      <c r="D93" s="212">
        <f t="shared" si="42"/>
        <v>3.5193854622825791</v>
      </c>
      <c r="E93" s="214">
        <f>3411099/(4623752)*60</f>
        <v>44.264039247779728</v>
      </c>
      <c r="F93" s="212">
        <v>408.57</v>
      </c>
      <c r="G93" s="210">
        <f t="shared" si="47"/>
        <v>9.0424792577326816</v>
      </c>
      <c r="H93" s="214">
        <f>(235294/4623752)*60</f>
        <v>3.053286594955785</v>
      </c>
      <c r="I93" s="214">
        <v>93.07</v>
      </c>
      <c r="J93" s="214">
        <f t="shared" si="43"/>
        <v>0.14208469169626745</v>
      </c>
      <c r="K93" s="212">
        <f t="shared" si="44"/>
        <v>12.703949411711529</v>
      </c>
      <c r="L93" s="212">
        <f t="shared" si="45"/>
        <v>0.27703081523908812</v>
      </c>
      <c r="M93" s="212">
        <f t="shared" si="46"/>
        <v>0.72296918476091176</v>
      </c>
      <c r="N93" s="212">
        <v>11.4</v>
      </c>
      <c r="O93" s="213">
        <f t="shared" si="40"/>
        <v>1.3039494117115282</v>
      </c>
    </row>
    <row r="94" spans="1:15">
      <c r="A94" t="s">
        <v>393</v>
      </c>
      <c r="B94" s="214">
        <f>1789356/(4603543*2/60)</f>
        <v>11.660731745092857</v>
      </c>
      <c r="C94" s="212">
        <v>28.75</v>
      </c>
      <c r="D94" s="212">
        <f t="shared" si="42"/>
        <v>3.3524603767141965</v>
      </c>
      <c r="E94" s="214">
        <f>3403386/(4603543)*60</f>
        <v>44.357826135218026</v>
      </c>
      <c r="F94" s="212">
        <v>371.49</v>
      </c>
      <c r="G94" s="210">
        <f t="shared" si="47"/>
        <v>8.2392444154860733</v>
      </c>
      <c r="H94" s="214">
        <f>(240805/4603543)*60</f>
        <v>3.1385174418920383</v>
      </c>
      <c r="I94" s="214">
        <v>93.5</v>
      </c>
      <c r="J94" s="214">
        <f t="shared" si="43"/>
        <v>0.14672569040845279</v>
      </c>
      <c r="K94" s="212">
        <f t="shared" si="44"/>
        <v>11.738430482608722</v>
      </c>
      <c r="L94" s="212">
        <f t="shared" si="45"/>
        <v>0.28559698689540253</v>
      </c>
      <c r="M94" s="212">
        <f t="shared" si="46"/>
        <v>0.71440301310459753</v>
      </c>
      <c r="N94" s="212">
        <v>10.59</v>
      </c>
      <c r="O94" s="213">
        <f t="shared" si="40"/>
        <v>1.1484304826087222</v>
      </c>
    </row>
    <row r="95" spans="1:15">
      <c r="A95" t="s">
        <v>394</v>
      </c>
      <c r="B95" s="214">
        <f>1642478/(4218789*2/60)</f>
        <v>11.679735582888835</v>
      </c>
      <c r="C95" s="212">
        <v>31.21</v>
      </c>
      <c r="D95" s="212">
        <f>(B95*C95)/100</f>
        <v>3.6452454754196055</v>
      </c>
      <c r="E95" s="214">
        <f>3111301/(4218789)*60</f>
        <v>44.24920516290338</v>
      </c>
      <c r="F95" s="212">
        <v>340.8</v>
      </c>
      <c r="G95" s="210">
        <f>E95*F95/2000</f>
        <v>7.5400645597587364</v>
      </c>
      <c r="H95" s="214">
        <f>(217058/4218789)*60</f>
        <v>3.0870185733394107</v>
      </c>
      <c r="I95" s="214">
        <v>106.52</v>
      </c>
      <c r="J95" s="214">
        <f t="shared" si="43"/>
        <v>0.16441460921605702</v>
      </c>
      <c r="K95" s="212">
        <f t="shared" si="44"/>
        <v>11.349724644394399</v>
      </c>
      <c r="L95" s="212">
        <f t="shared" si="45"/>
        <v>0.32117479407044319</v>
      </c>
      <c r="M95" s="212">
        <f t="shared" si="46"/>
        <v>0.67882520592955675</v>
      </c>
      <c r="N95" s="212">
        <v>10.24</v>
      </c>
      <c r="O95" s="213">
        <f t="shared" si="40"/>
        <v>1.1097246443943991</v>
      </c>
    </row>
    <row r="96" spans="1:15">
      <c r="A96" t="s">
        <v>395</v>
      </c>
      <c r="B96" s="214">
        <f>(21864904)/(56587104*2/60)</f>
        <v>11.591812862520761</v>
      </c>
      <c r="C96" s="212">
        <f>AVERAGE(C84:C95)</f>
        <v>29.397499999999997</v>
      </c>
      <c r="D96" s="212">
        <f>(B96*C96)/100</f>
        <v>3.4077031862595408</v>
      </c>
      <c r="E96" s="214">
        <f>41673687/(56587104)*60</f>
        <v>44.187121150430315</v>
      </c>
      <c r="F96" s="212">
        <f>AVERAGE(F84:F95)</f>
        <v>324.19833333333332</v>
      </c>
      <c r="G96" s="210">
        <f>E96*F96/2000</f>
        <v>7.1626955158837955</v>
      </c>
      <c r="H96" s="214">
        <f>2915670/(56587104)*60</f>
        <v>3.0915206404625337</v>
      </c>
      <c r="I96" s="214">
        <f>AVERAGE(I84:I95)</f>
        <v>113.01833333333333</v>
      </c>
      <c r="J96" s="214">
        <f t="shared" si="43"/>
        <v>0.1746992551253374</v>
      </c>
      <c r="K96" s="212">
        <f t="shared" si="44"/>
        <v>10.745097957268674</v>
      </c>
      <c r="L96" s="212">
        <f t="shared" si="45"/>
        <v>0.31714026245375937</v>
      </c>
      <c r="M96" s="212">
        <f t="shared" si="46"/>
        <v>0.68285973754624052</v>
      </c>
      <c r="N96" s="212">
        <f>AVERAGE(N84:N95)</f>
        <v>9.5408333333333335</v>
      </c>
      <c r="O96" s="213">
        <f t="shared" si="40"/>
        <v>1.2042646239353409</v>
      </c>
    </row>
    <row r="97" spans="1:15">
      <c r="A97" s="52" t="s">
        <v>262</v>
      </c>
      <c r="B97" s="214"/>
      <c r="C97" s="212"/>
      <c r="D97" s="212"/>
      <c r="E97" s="214"/>
      <c r="F97" s="212"/>
      <c r="G97" s="210"/>
      <c r="H97" s="214"/>
      <c r="I97" s="214"/>
      <c r="J97" s="214"/>
      <c r="K97" s="212"/>
      <c r="L97" s="212"/>
      <c r="M97" s="212"/>
      <c r="N97" s="214"/>
      <c r="O97" s="213"/>
    </row>
    <row r="98" spans="1:15">
      <c r="A98" t="s">
        <v>382</v>
      </c>
      <c r="B98" s="214">
        <f>(1616609)/(4148008*2/60)</f>
        <v>11.691942252763255</v>
      </c>
      <c r="C98" s="212">
        <v>31.99</v>
      </c>
      <c r="D98" s="212">
        <f t="shared" ref="D98:D108" si="48">(B98*C98)/100</f>
        <v>3.7402523266589651</v>
      </c>
      <c r="E98" s="214">
        <v>44.006400180520387</v>
      </c>
      <c r="F98" s="212">
        <v>337.95</v>
      </c>
      <c r="G98" s="210">
        <f>E98*F98/2000</f>
        <v>7.4359814705034326</v>
      </c>
      <c r="H98" s="214">
        <v>3.1119949624012295</v>
      </c>
      <c r="I98" s="214">
        <v>106.43</v>
      </c>
      <c r="J98" s="214">
        <f t="shared" ref="J98:J110" si="49">H98*I98/2000</f>
        <v>0.16560481192418144</v>
      </c>
      <c r="K98" s="212">
        <f t="shared" ref="K98:K110" si="50">D98+G98+J98</f>
        <v>11.341838609086579</v>
      </c>
      <c r="L98" s="212">
        <f t="shared" ref="L98:L110" si="51">D98/K98</f>
        <v>0.32977477951964862</v>
      </c>
      <c r="M98" s="212">
        <f t="shared" ref="M98:M110" si="52">(+G98+J98)/K98</f>
        <v>0.67022522048035127</v>
      </c>
      <c r="N98" s="212">
        <v>9.76</v>
      </c>
      <c r="O98" s="213">
        <f t="shared" ref="O98:O110" si="53">K98-N98</f>
        <v>1.5818386090865797</v>
      </c>
    </row>
    <row r="99" spans="1:15">
      <c r="A99" t="s">
        <v>383</v>
      </c>
      <c r="B99" s="214">
        <f>(2028518)/(5276415*2/60)</f>
        <v>11.533501439898112</v>
      </c>
      <c r="C99" s="212">
        <v>33.86</v>
      </c>
      <c r="D99" s="212">
        <f t="shared" si="48"/>
        <v>3.9052435875495006</v>
      </c>
      <c r="E99" s="214">
        <v>43.553719713100655</v>
      </c>
      <c r="F99" s="212">
        <v>323.27</v>
      </c>
      <c r="G99" s="210">
        <f t="shared" ref="G99:G108" si="54">E99*F99/2000</f>
        <v>7.0398054858270243</v>
      </c>
      <c r="H99" s="214">
        <v>3.1148080657037025</v>
      </c>
      <c r="I99" s="214">
        <v>109.88</v>
      </c>
      <c r="J99" s="214">
        <f t="shared" si="49"/>
        <v>0.17112755512976141</v>
      </c>
      <c r="K99" s="212">
        <f t="shared" si="50"/>
        <v>11.116176628506286</v>
      </c>
      <c r="L99" s="212">
        <f t="shared" si="51"/>
        <v>0.35131176105414763</v>
      </c>
      <c r="M99" s="212">
        <f t="shared" si="52"/>
        <v>0.64868823894585237</v>
      </c>
      <c r="N99" s="212">
        <v>9.56</v>
      </c>
      <c r="O99" s="213">
        <f t="shared" si="53"/>
        <v>1.5561766285062859</v>
      </c>
    </row>
    <row r="100" spans="1:15">
      <c r="A100" t="s">
        <v>384</v>
      </c>
      <c r="B100" s="214">
        <f>(1961256)/(5122038*2/60)</f>
        <v>11.487161946084742</v>
      </c>
      <c r="C100" s="212">
        <v>34.520000000000003</v>
      </c>
      <c r="D100" s="212">
        <f t="shared" si="48"/>
        <v>3.9653683037884533</v>
      </c>
      <c r="E100" s="214">
        <v>43.800061616098901</v>
      </c>
      <c r="F100" s="212">
        <v>322.41000000000003</v>
      </c>
      <c r="G100" s="210">
        <f t="shared" si="54"/>
        <v>7.0607889328232236</v>
      </c>
      <c r="H100" s="214">
        <v>3.2027954497799507</v>
      </c>
      <c r="I100" s="214">
        <v>105.26</v>
      </c>
      <c r="J100" s="214">
        <f t="shared" si="49"/>
        <v>0.16856312452191882</v>
      </c>
      <c r="K100" s="212">
        <f t="shared" si="50"/>
        <v>11.194720361133596</v>
      </c>
      <c r="L100" s="212">
        <f>D100/K100</f>
        <v>0.35421771834119431</v>
      </c>
      <c r="M100" s="212">
        <f>(+G100+J100)/K100</f>
        <v>0.64578228165880569</v>
      </c>
      <c r="N100" s="212">
        <v>9.94</v>
      </c>
      <c r="O100" s="213">
        <f t="shared" si="53"/>
        <v>1.2547203611335966</v>
      </c>
    </row>
    <row r="101" spans="1:15">
      <c r="A101" t="s">
        <v>385</v>
      </c>
      <c r="B101" s="214">
        <f>(1950176)/(5071493*2/60)</f>
        <v>11.536105837077958</v>
      </c>
      <c r="C101" s="212">
        <v>35.57</v>
      </c>
      <c r="D101" s="212">
        <f t="shared" si="48"/>
        <v>4.1033928462486298</v>
      </c>
      <c r="E101" s="214">
        <v>43.663686413448659</v>
      </c>
      <c r="F101" s="212">
        <v>321.02</v>
      </c>
      <c r="G101" s="210">
        <f t="shared" si="54"/>
        <v>7.0084583062226438</v>
      </c>
      <c r="H101" s="214">
        <v>3.2354850928513557</v>
      </c>
      <c r="I101" s="214">
        <v>113.45</v>
      </c>
      <c r="J101" s="214">
        <f t="shared" si="49"/>
        <v>0.18353289189199315</v>
      </c>
      <c r="K101" s="212">
        <f t="shared" si="50"/>
        <v>11.295384044363267</v>
      </c>
      <c r="L101" s="212">
        <f t="shared" si="51"/>
        <v>0.36328050734108019</v>
      </c>
      <c r="M101" s="212">
        <f t="shared" si="52"/>
        <v>0.63671949265891969</v>
      </c>
      <c r="N101" s="212">
        <v>10.16</v>
      </c>
      <c r="O101" s="213">
        <f t="shared" si="53"/>
        <v>1.135384044363267</v>
      </c>
    </row>
    <row r="102" spans="1:15">
      <c r="A102" t="s">
        <v>386</v>
      </c>
      <c r="B102" s="214">
        <f>(1982893)/(5139706*2/60)</f>
        <v>11.573967460395595</v>
      </c>
      <c r="C102" s="212">
        <v>33.58</v>
      </c>
      <c r="D102" s="212">
        <f t="shared" si="48"/>
        <v>3.8865382732008409</v>
      </c>
      <c r="E102" s="214">
        <v>43.933777812124575</v>
      </c>
      <c r="F102" s="212">
        <v>332.34</v>
      </c>
      <c r="G102" s="210">
        <f t="shared" si="54"/>
        <v>7.3004758590407404</v>
      </c>
      <c r="H102" s="214">
        <v>3.05264193228841</v>
      </c>
      <c r="I102" s="214">
        <v>159.25</v>
      </c>
      <c r="J102" s="214">
        <f t="shared" si="49"/>
        <v>0.24306661385846465</v>
      </c>
      <c r="K102" s="212">
        <f t="shared" si="50"/>
        <v>11.430080746100046</v>
      </c>
      <c r="L102" s="212">
        <f t="shared" si="51"/>
        <v>0.34002719311733043</v>
      </c>
      <c r="M102" s="212">
        <f t="shared" si="52"/>
        <v>0.65997280688266946</v>
      </c>
      <c r="N102" s="212">
        <v>10.26</v>
      </c>
      <c r="O102" s="213">
        <f t="shared" si="53"/>
        <v>1.1700807461000462</v>
      </c>
    </row>
    <row r="103" spans="1:15">
      <c r="A103" t="s">
        <v>387</v>
      </c>
      <c r="B103" s="214">
        <f>(1757030)/(4542336*2/60)</f>
        <v>11.60435951897878</v>
      </c>
      <c r="C103" s="212">
        <v>32</v>
      </c>
      <c r="D103" s="212">
        <f t="shared" si="48"/>
        <v>3.7133950460732099</v>
      </c>
      <c r="E103" s="214">
        <v>43.999622082396634</v>
      </c>
      <c r="F103" s="212">
        <v>334.42</v>
      </c>
      <c r="G103" s="210">
        <f t="shared" si="54"/>
        <v>7.3571768083975408</v>
      </c>
      <c r="H103" s="214">
        <v>3.011292495863215</v>
      </c>
      <c r="I103" s="214">
        <v>142.5</v>
      </c>
      <c r="J103" s="214">
        <f t="shared" si="49"/>
        <v>0.21455459033025406</v>
      </c>
      <c r="K103" s="212">
        <f t="shared" si="50"/>
        <v>11.285126444801005</v>
      </c>
      <c r="L103" s="212">
        <f t="shared" si="51"/>
        <v>0.32905214347721823</v>
      </c>
      <c r="M103" s="212">
        <f t="shared" si="52"/>
        <v>0.67094785652278177</v>
      </c>
      <c r="N103" s="212">
        <v>10.26</v>
      </c>
      <c r="O103" s="213">
        <f t="shared" si="53"/>
        <v>1.0251264448010051</v>
      </c>
    </row>
    <row r="104" spans="1:15">
      <c r="A104" t="s">
        <v>388</v>
      </c>
      <c r="B104" s="214">
        <f>(1865466)/(4822961*2/60)</f>
        <v>11.603655928380926</v>
      </c>
      <c r="C104" s="212">
        <v>30.86</v>
      </c>
      <c r="D104" s="212">
        <f t="shared" si="48"/>
        <v>3.5808882194983536</v>
      </c>
      <c r="E104" s="214">
        <v>43.898686930891586</v>
      </c>
      <c r="F104" s="212">
        <v>320.33999999999997</v>
      </c>
      <c r="G104" s="210">
        <f t="shared" si="54"/>
        <v>7.0312526857209052</v>
      </c>
      <c r="H104" s="214">
        <v>3.0425295392633247</v>
      </c>
      <c r="I104" s="214">
        <v>113.37</v>
      </c>
      <c r="J104" s="214">
        <f t="shared" si="49"/>
        <v>0.17246578693314157</v>
      </c>
      <c r="K104" s="212">
        <f t="shared" si="50"/>
        <v>10.784606692152401</v>
      </c>
      <c r="L104" s="212">
        <f t="shared" si="51"/>
        <v>0.33203697841888352</v>
      </c>
      <c r="M104" s="212">
        <f t="shared" si="52"/>
        <v>0.66796302158111642</v>
      </c>
      <c r="N104" s="212">
        <v>9.86</v>
      </c>
      <c r="O104" s="213">
        <f t="shared" si="53"/>
        <v>0.92460669215240188</v>
      </c>
    </row>
    <row r="105" spans="1:15">
      <c r="A105" t="s">
        <v>389</v>
      </c>
      <c r="B105" s="214">
        <f>(1737775)/(4509463*2/60)</f>
        <v>11.560855472148237</v>
      </c>
      <c r="C105" s="212">
        <v>29.57</v>
      </c>
      <c r="D105" s="212">
        <f t="shared" si="48"/>
        <v>3.4185449631142335</v>
      </c>
      <c r="E105" s="214">
        <v>43.917273141258683</v>
      </c>
      <c r="F105" s="212">
        <v>305.67</v>
      </c>
      <c r="G105" s="210">
        <f t="shared" si="54"/>
        <v>6.7120964405442711</v>
      </c>
      <c r="H105" s="214">
        <v>2.9599996082713504</v>
      </c>
      <c r="I105" s="214">
        <v>107.89</v>
      </c>
      <c r="J105" s="214">
        <f t="shared" si="49"/>
        <v>0.15967717886819802</v>
      </c>
      <c r="K105" s="212">
        <f t="shared" si="50"/>
        <v>10.290318582526703</v>
      </c>
      <c r="L105" s="212">
        <f t="shared" si="51"/>
        <v>0.33220982768395863</v>
      </c>
      <c r="M105" s="212">
        <f t="shared" si="52"/>
        <v>0.66779017231604132</v>
      </c>
      <c r="N105" s="212">
        <v>9.3699999999999992</v>
      </c>
      <c r="O105" s="213">
        <f t="shared" si="53"/>
        <v>0.92031858252670418</v>
      </c>
    </row>
    <row r="106" spans="1:15">
      <c r="A106" t="s">
        <v>390</v>
      </c>
      <c r="B106" s="214">
        <f>(1839342)/(4739387*2/60)</f>
        <v>11.642910781499801</v>
      </c>
      <c r="C106" s="212">
        <v>30.6</v>
      </c>
      <c r="D106" s="212">
        <f t="shared" si="48"/>
        <v>3.5627306991389389</v>
      </c>
      <c r="E106" s="214">
        <v>44.200503821899851</v>
      </c>
      <c r="F106" s="212">
        <v>307.63</v>
      </c>
      <c r="G106" s="210">
        <f t="shared" si="54"/>
        <v>6.7987004953655248</v>
      </c>
      <c r="H106" s="214">
        <v>3.0431249674143457</v>
      </c>
      <c r="I106" s="214">
        <v>107</v>
      </c>
      <c r="J106" s="214">
        <f t="shared" si="49"/>
        <v>0.1628071857566675</v>
      </c>
      <c r="K106" s="212">
        <f t="shared" si="50"/>
        <v>10.524238380261131</v>
      </c>
      <c r="L106" s="212">
        <f t="shared" si="51"/>
        <v>0.33852622588073106</v>
      </c>
      <c r="M106" s="212">
        <f t="shared" si="52"/>
        <v>0.661473774119269</v>
      </c>
      <c r="N106" s="212">
        <v>9.49</v>
      </c>
      <c r="O106" s="213">
        <f t="shared" si="53"/>
        <v>1.0342383802611312</v>
      </c>
    </row>
    <row r="107" spans="1:15">
      <c r="A107" t="s">
        <v>392</v>
      </c>
      <c r="B107" s="214">
        <f>(1735608)/(4446863*2/60)</f>
        <v>11.708982264576175</v>
      </c>
      <c r="C107" s="212">
        <v>30.74</v>
      </c>
      <c r="D107" s="212">
        <f t="shared" si="48"/>
        <v>3.5993411481307156</v>
      </c>
      <c r="E107" s="214">
        <v>44.099361729830669</v>
      </c>
      <c r="F107" s="212">
        <v>300.72000000000003</v>
      </c>
      <c r="G107" s="210">
        <f t="shared" si="54"/>
        <v>6.6307800296973403</v>
      </c>
      <c r="H107" s="214">
        <v>2.9836313823924865</v>
      </c>
      <c r="I107" s="214">
        <v>103.25</v>
      </c>
      <c r="J107" s="214">
        <f t="shared" si="49"/>
        <v>0.15402997011601213</v>
      </c>
      <c r="K107" s="212">
        <f t="shared" si="50"/>
        <v>10.384151147944069</v>
      </c>
      <c r="L107" s="212">
        <f t="shared" si="51"/>
        <v>0.34661871700927038</v>
      </c>
      <c r="M107" s="212">
        <f t="shared" si="52"/>
        <v>0.65338128299072951</v>
      </c>
      <c r="N107" s="212">
        <v>9.23</v>
      </c>
      <c r="O107" s="213">
        <f t="shared" si="53"/>
        <v>1.1541511479440683</v>
      </c>
    </row>
    <row r="108" spans="1:15">
      <c r="A108" t="s">
        <v>393</v>
      </c>
      <c r="B108" s="214">
        <f>(1801376)/(4668680*2/60)</f>
        <v>11.575280379036474</v>
      </c>
      <c r="C108" s="212">
        <v>32.82</v>
      </c>
      <c r="D108" s="212">
        <f t="shared" si="48"/>
        <v>3.7990070203997708</v>
      </c>
      <c r="E108" s="214">
        <v>43.703813497605324</v>
      </c>
      <c r="F108" s="212">
        <v>326.04000000000002</v>
      </c>
      <c r="G108" s="210">
        <f t="shared" si="54"/>
        <v>7.1245956763796201</v>
      </c>
      <c r="H108" s="214">
        <v>3.0513806900451521</v>
      </c>
      <c r="I108" s="214">
        <v>107.4</v>
      </c>
      <c r="J108" s="214">
        <f t="shared" si="49"/>
        <v>0.16385914305542468</v>
      </c>
      <c r="K108" s="212">
        <f t="shared" si="50"/>
        <v>11.087461839834814</v>
      </c>
      <c r="L108" s="212">
        <f t="shared" si="51"/>
        <v>0.34263991843027347</v>
      </c>
      <c r="M108" s="212">
        <f t="shared" si="52"/>
        <v>0.65736008156972658</v>
      </c>
      <c r="N108" s="212">
        <v>9.91</v>
      </c>
      <c r="O108" s="213">
        <f t="shared" si="53"/>
        <v>1.1774618398348142</v>
      </c>
    </row>
    <row r="109" spans="1:15">
      <c r="A109" t="s">
        <v>394</v>
      </c>
      <c r="B109" s="214">
        <f>(1762207)/(4548592*2/60)</f>
        <v>11.622543855329297</v>
      </c>
      <c r="C109" s="212">
        <v>33.17</v>
      </c>
      <c r="D109" s="212">
        <f>(B109*C109)/100</f>
        <v>3.8551977968127282</v>
      </c>
      <c r="E109" s="214">
        <v>43.78262548058828</v>
      </c>
      <c r="F109" s="212">
        <v>301.05</v>
      </c>
      <c r="G109" s="210">
        <f>E109*F109/2000</f>
        <v>6.5903797004655509</v>
      </c>
      <c r="H109" s="214">
        <v>3.1305159926412394</v>
      </c>
      <c r="I109" s="214">
        <v>111.5</v>
      </c>
      <c r="J109" s="214">
        <f t="shared" si="49"/>
        <v>0.1745262665897491</v>
      </c>
      <c r="K109" s="212">
        <f t="shared" si="50"/>
        <v>10.620103763868029</v>
      </c>
      <c r="L109" s="212">
        <f t="shared" si="51"/>
        <v>0.36300942839456751</v>
      </c>
      <c r="M109" s="212">
        <f t="shared" si="52"/>
        <v>0.63699057160543238</v>
      </c>
      <c r="N109" s="212">
        <v>9.39</v>
      </c>
      <c r="O109" s="213">
        <f t="shared" si="53"/>
        <v>1.2301037638680281</v>
      </c>
    </row>
    <row r="110" spans="1:15">
      <c r="A110" t="s">
        <v>395</v>
      </c>
      <c r="B110" s="214">
        <f>(22038256)/(57035942*2/60)</f>
        <v>11.591772780749373</v>
      </c>
      <c r="C110" s="212">
        <f>AVERAGE(C98:C109)</f>
        <v>32.440000000000005</v>
      </c>
      <c r="D110" s="212">
        <f>(B110*C110)/100</f>
        <v>3.7603710900750973</v>
      </c>
      <c r="E110" s="214">
        <v>43.872854997955756</v>
      </c>
      <c r="F110" s="212">
        <f>AVERAGE(F98:F109)</f>
        <v>319.40500000000003</v>
      </c>
      <c r="G110" s="210">
        <f>E110*F110/2000</f>
        <v>7.0066046253110299</v>
      </c>
      <c r="H110" s="214">
        <v>3.0810020981893329</v>
      </c>
      <c r="I110" s="214">
        <v>115.59833333333334</v>
      </c>
      <c r="J110" s="214">
        <f t="shared" si="49"/>
        <v>0.17807935377359496</v>
      </c>
      <c r="K110" s="212">
        <f t="shared" si="50"/>
        <v>10.945055069159723</v>
      </c>
      <c r="L110" s="212">
        <f t="shared" si="51"/>
        <v>0.34356803746660269</v>
      </c>
      <c r="M110" s="212">
        <f t="shared" si="52"/>
        <v>0.6564319625333972</v>
      </c>
      <c r="N110" s="212">
        <v>9.7658333333333331</v>
      </c>
      <c r="O110" s="213">
        <f t="shared" si="53"/>
        <v>1.1792217358263901</v>
      </c>
    </row>
    <row r="111" spans="1:15">
      <c r="A111" s="52" t="s">
        <v>270</v>
      </c>
      <c r="B111" s="214"/>
      <c r="C111" s="212"/>
      <c r="D111" s="212"/>
      <c r="E111" s="214"/>
      <c r="F111" s="212"/>
      <c r="G111" s="210"/>
      <c r="H111" s="214"/>
      <c r="I111" s="214"/>
      <c r="J111" s="214"/>
      <c r="K111" s="212"/>
      <c r="L111" s="212"/>
      <c r="M111" s="212"/>
      <c r="N111" s="212"/>
      <c r="O111" s="213"/>
    </row>
    <row r="112" spans="1:15">
      <c r="A112" t="s">
        <v>382</v>
      </c>
      <c r="B112" s="214">
        <f>(1701762)/(4361207*2/60)</f>
        <v>11.706130894497784</v>
      </c>
      <c r="C112" s="212">
        <v>33.28</v>
      </c>
      <c r="D112" s="212">
        <f t="shared" ref="D112:D124" si="55">(B112*C112)/100</f>
        <v>3.8958003616888628</v>
      </c>
      <c r="E112" s="214">
        <f>3188771/(4361207)*60</f>
        <v>43.870024972444554</v>
      </c>
      <c r="F112" s="212">
        <v>307.7</v>
      </c>
      <c r="G112" s="210">
        <f t="shared" ref="G112:G124" si="56">E112*F112/2000</f>
        <v>6.7494033420105941</v>
      </c>
      <c r="H112" s="214">
        <f>(219873/4361207)*60</f>
        <v>3.0249378211123661</v>
      </c>
      <c r="I112" s="214">
        <v>114.2</v>
      </c>
      <c r="J112" s="214">
        <f t="shared" ref="J112:J124" si="57">H112*I112/2000</f>
        <v>0.1727239495855161</v>
      </c>
      <c r="K112" s="212">
        <f t="shared" ref="K112:K124" si="58">D112+G112+J112</f>
        <v>10.817927653284972</v>
      </c>
      <c r="L112" s="212">
        <f t="shared" ref="L112:L124" si="59">D112/K112</f>
        <v>0.36012446066838544</v>
      </c>
      <c r="M112" s="212">
        <f t="shared" ref="M112:M124" si="60">(+G112+J112)/K112</f>
        <v>0.63987553933161467</v>
      </c>
      <c r="N112" s="212">
        <v>9.5</v>
      </c>
      <c r="O112" s="213">
        <f t="shared" ref="O112:O124" si="61">K112-N112</f>
        <v>1.317927653284972</v>
      </c>
    </row>
    <row r="113" spans="1:15">
      <c r="A113" t="s">
        <v>383</v>
      </c>
      <c r="B113" s="214">
        <f>(2016888)/(5277397*2/60)</f>
        <v>11.465243187124258</v>
      </c>
      <c r="C113" s="212">
        <v>32.35</v>
      </c>
      <c r="D113" s="212">
        <f t="shared" si="55"/>
        <v>3.7090061710346975</v>
      </c>
      <c r="E113" s="214">
        <f>3847770/(5277397)*60</f>
        <v>43.74622564874312</v>
      </c>
      <c r="F113" s="212">
        <v>315.23</v>
      </c>
      <c r="G113" s="210">
        <f t="shared" si="56"/>
        <v>6.8950613556266473</v>
      </c>
      <c r="H113" s="214">
        <f>(276055/5277397)*60</f>
        <v>3.138535910790869</v>
      </c>
      <c r="I113" s="214">
        <v>117.02</v>
      </c>
      <c r="J113" s="214">
        <f t="shared" si="57"/>
        <v>0.18363573614037376</v>
      </c>
      <c r="K113" s="212">
        <f t="shared" si="58"/>
        <v>10.787703262801719</v>
      </c>
      <c r="L113" s="212">
        <f t="shared" si="59"/>
        <v>0.34381796390563829</v>
      </c>
      <c r="M113" s="212">
        <f t="shared" si="60"/>
        <v>0.65618203609436165</v>
      </c>
      <c r="N113" s="212">
        <v>9.4700000000000006</v>
      </c>
      <c r="O113" s="213">
        <f t="shared" si="61"/>
        <v>1.317703262801718</v>
      </c>
    </row>
    <row r="114" spans="1:15">
      <c r="A114" t="s">
        <v>384</v>
      </c>
      <c r="B114" s="214">
        <f>(1977005)/(5200462*2/60)</f>
        <v>11.40478480565765</v>
      </c>
      <c r="C114" s="212">
        <v>33.43</v>
      </c>
      <c r="D114" s="212">
        <f t="shared" si="55"/>
        <v>3.8126195605313522</v>
      </c>
      <c r="E114" s="214">
        <f>3829140/(5200462)*60</f>
        <v>44.178459529172599</v>
      </c>
      <c r="F114" s="212">
        <v>313.52</v>
      </c>
      <c r="G114" s="210">
        <f t="shared" si="56"/>
        <v>6.9254153157930958</v>
      </c>
      <c r="H114" s="214">
        <f>(272552/5200462)*60</f>
        <v>3.1445513879343796</v>
      </c>
      <c r="I114" s="214">
        <v>114.8</v>
      </c>
      <c r="J114" s="214">
        <f t="shared" si="57"/>
        <v>0.18049724966743338</v>
      </c>
      <c r="K114" s="212">
        <f t="shared" si="58"/>
        <v>10.918532125991883</v>
      </c>
      <c r="L114" s="212">
        <f t="shared" si="59"/>
        <v>0.34918792348060235</v>
      </c>
      <c r="M114" s="212">
        <f t="shared" si="60"/>
        <v>0.65081207651939754</v>
      </c>
      <c r="N114" s="212">
        <v>9.6999999999999993</v>
      </c>
      <c r="O114" s="213">
        <f t="shared" si="61"/>
        <v>1.2185321259918833</v>
      </c>
    </row>
    <row r="115" spans="1:15">
      <c r="A115" t="s">
        <v>385</v>
      </c>
      <c r="B115" s="214">
        <f>(2015256)/(5290215*2/60)</f>
        <v>11.42820849436176</v>
      </c>
      <c r="C115" s="212">
        <v>32.270000000000003</v>
      </c>
      <c r="D115" s="212">
        <f t="shared" si="55"/>
        <v>3.6878828811305402</v>
      </c>
      <c r="E115" s="214">
        <f>3904161/(5290215)*60</f>
        <v>44.279799592266102</v>
      </c>
      <c r="F115" s="212">
        <v>319.22000000000003</v>
      </c>
      <c r="G115" s="210">
        <f t="shared" si="56"/>
        <v>7.0674988129215937</v>
      </c>
      <c r="H115" s="214">
        <f>(268856/5290215)*60</f>
        <v>3.0492824960800271</v>
      </c>
      <c r="I115" s="214">
        <v>123.13</v>
      </c>
      <c r="J115" s="214">
        <f t="shared" si="57"/>
        <v>0.18772907687116686</v>
      </c>
      <c r="K115" s="212">
        <f t="shared" si="58"/>
        <v>10.943110770923299</v>
      </c>
      <c r="L115" s="212">
        <f t="shared" si="59"/>
        <v>0.33700498499289006</v>
      </c>
      <c r="M115" s="212">
        <f t="shared" si="60"/>
        <v>0.66299501500711011</v>
      </c>
      <c r="N115" s="212">
        <v>9.6</v>
      </c>
      <c r="O115" s="213">
        <f t="shared" si="61"/>
        <v>1.3431107709232997</v>
      </c>
    </row>
    <row r="116" spans="1:15">
      <c r="A116" t="s">
        <v>386</v>
      </c>
      <c r="B116" s="214">
        <f>(1995589)/(5239827*2/60)</f>
        <v>11.42550507869821</v>
      </c>
      <c r="C116" s="212">
        <v>31.61</v>
      </c>
      <c r="D116" s="212">
        <f t="shared" si="55"/>
        <v>3.6116021553765041</v>
      </c>
      <c r="E116" s="214">
        <f>3859849/(5239827)*60</f>
        <v>44.198203490306071</v>
      </c>
      <c r="F116" s="212">
        <v>322.60000000000002</v>
      </c>
      <c r="G116" s="210">
        <f t="shared" si="56"/>
        <v>7.1291702229863692</v>
      </c>
      <c r="H116" s="214">
        <f>(268466/5239827)*60</f>
        <v>3.0741396614811904</v>
      </c>
      <c r="I116" s="214">
        <v>131.21</v>
      </c>
      <c r="J116" s="214">
        <f t="shared" si="57"/>
        <v>0.20167893249147351</v>
      </c>
      <c r="K116" s="212">
        <f t="shared" si="58"/>
        <v>10.942451310854347</v>
      </c>
      <c r="L116" s="212">
        <f t="shared" si="59"/>
        <v>0.33005421297090726</v>
      </c>
      <c r="M116" s="212">
        <f t="shared" si="60"/>
        <v>0.66994578702909269</v>
      </c>
      <c r="N116" s="212">
        <v>9.6300000000000008</v>
      </c>
      <c r="O116" s="213">
        <f t="shared" si="61"/>
        <v>1.3124513108543461</v>
      </c>
    </row>
    <row r="117" spans="1:15">
      <c r="A117" t="s">
        <v>387</v>
      </c>
      <c r="B117" s="214">
        <f>(1889841)/(4948772*2/60)</f>
        <v>11.456423937089847</v>
      </c>
      <c r="C117" s="212">
        <v>30.63</v>
      </c>
      <c r="D117" s="212">
        <f t="shared" si="55"/>
        <v>3.5091026519306201</v>
      </c>
      <c r="E117" s="214">
        <f>3651786/(4948772)*60</f>
        <v>44.275056519071804</v>
      </c>
      <c r="F117" s="212">
        <v>362.85</v>
      </c>
      <c r="G117" s="210">
        <f t="shared" si="56"/>
        <v>8.0326021289726022</v>
      </c>
      <c r="H117" s="214">
        <f>(247786/4948772)*60</f>
        <v>3.0042119539958598</v>
      </c>
      <c r="I117" s="214">
        <v>143.68</v>
      </c>
      <c r="J117" s="214">
        <f t="shared" si="57"/>
        <v>0.21582258677506258</v>
      </c>
      <c r="K117" s="212">
        <f t="shared" si="58"/>
        <v>11.757527367678286</v>
      </c>
      <c r="L117" s="212">
        <f t="shared" si="59"/>
        <v>0.29845583532956294</v>
      </c>
      <c r="M117" s="212">
        <f t="shared" si="60"/>
        <v>0.70154416467043701</v>
      </c>
      <c r="N117" s="212">
        <v>9.99</v>
      </c>
      <c r="O117" s="213">
        <f t="shared" si="61"/>
        <v>1.7675273676782854</v>
      </c>
    </row>
    <row r="118" spans="1:15">
      <c r="A118" t="s">
        <v>388</v>
      </c>
      <c r="B118" s="214">
        <f>(2079123)/(5465240*2/60)</f>
        <v>11.41279980385125</v>
      </c>
      <c r="C118" s="212">
        <v>30.28</v>
      </c>
      <c r="D118" s="212">
        <f t="shared" si="55"/>
        <v>3.4557957806061586</v>
      </c>
      <c r="E118" s="214">
        <f>4029272/(5465240)*60</f>
        <v>44.23526139748666</v>
      </c>
      <c r="F118" s="212">
        <v>379.85</v>
      </c>
      <c r="G118" s="210">
        <f t="shared" si="56"/>
        <v>8.4013820209176533</v>
      </c>
      <c r="H118" s="214">
        <f>(277277/5465240)*60</f>
        <v>3.0440785766041381</v>
      </c>
      <c r="I118" s="214">
        <v>135.12</v>
      </c>
      <c r="J118" s="214">
        <f t="shared" si="57"/>
        <v>0.20565794863537556</v>
      </c>
      <c r="K118" s="212">
        <f t="shared" si="58"/>
        <v>12.062835750159186</v>
      </c>
      <c r="L118" s="212">
        <f t="shared" si="59"/>
        <v>0.28648286789120497</v>
      </c>
      <c r="M118" s="212">
        <f t="shared" si="60"/>
        <v>0.71351713210879508</v>
      </c>
      <c r="N118" s="212">
        <v>10.17</v>
      </c>
      <c r="O118" s="213">
        <f t="shared" si="61"/>
        <v>1.8928357501591861</v>
      </c>
    </row>
    <row r="119" spans="1:15">
      <c r="A119" t="s">
        <v>389</v>
      </c>
      <c r="B119" s="214">
        <f>(1964922)/(5149147*2/60)</f>
        <v>11.448043724523693</v>
      </c>
      <c r="C119" s="212">
        <v>29.7</v>
      </c>
      <c r="D119" s="212">
        <f t="shared" si="55"/>
        <v>3.4000689861835367</v>
      </c>
      <c r="E119" s="214">
        <f>3822338/(5149147)*60</f>
        <v>44.539470323919666</v>
      </c>
      <c r="F119" s="212">
        <v>385.84</v>
      </c>
      <c r="G119" s="210">
        <f t="shared" si="56"/>
        <v>8.5925546148905809</v>
      </c>
      <c r="H119" s="214">
        <f>(257585/5149147)*60</f>
        <v>3.0014874308307764</v>
      </c>
      <c r="I119" s="214">
        <v>113.33</v>
      </c>
      <c r="J119" s="214">
        <f t="shared" si="57"/>
        <v>0.17007928526802596</v>
      </c>
      <c r="K119" s="212">
        <f t="shared" si="58"/>
        <v>12.162702886342144</v>
      </c>
      <c r="L119" s="212">
        <f t="shared" si="59"/>
        <v>0.27954879914082043</v>
      </c>
      <c r="M119" s="212">
        <f t="shared" si="60"/>
        <v>0.72045120085917946</v>
      </c>
      <c r="N119" s="212">
        <v>10.23</v>
      </c>
      <c r="O119" s="213">
        <f t="shared" si="61"/>
        <v>1.9327028863421436</v>
      </c>
    </row>
    <row r="120" spans="1:15">
      <c r="A120" t="s">
        <v>390</v>
      </c>
      <c r="B120" s="214">
        <f>(1966511)/(5174040*2/60)</f>
        <v>11.402178954936568</v>
      </c>
      <c r="C120" s="212">
        <v>29.4</v>
      </c>
      <c r="D120" s="212">
        <f t="shared" si="55"/>
        <v>3.3522406127513511</v>
      </c>
      <c r="E120" s="214">
        <f>3846687/(5174040)*60</f>
        <v>44.607544587981543</v>
      </c>
      <c r="F120" s="212">
        <v>393.55</v>
      </c>
      <c r="G120" s="210">
        <f t="shared" si="56"/>
        <v>8.7776495863000683</v>
      </c>
      <c r="H120" s="214">
        <f>(262574/5174040)*60</f>
        <v>3.0449010830994734</v>
      </c>
      <c r="I120" s="214">
        <v>117.5</v>
      </c>
      <c r="J120" s="214">
        <f t="shared" si="57"/>
        <v>0.17888793863209407</v>
      </c>
      <c r="K120" s="212">
        <f t="shared" si="58"/>
        <v>12.308778137683515</v>
      </c>
      <c r="L120" s="212">
        <f t="shared" si="59"/>
        <v>0.27234552245997634</v>
      </c>
      <c r="M120" s="212">
        <f t="shared" si="60"/>
        <v>0.72765447754002366</v>
      </c>
      <c r="N120" s="212">
        <v>10.06</v>
      </c>
      <c r="O120" s="213">
        <f t="shared" si="61"/>
        <v>2.2487781376835141</v>
      </c>
    </row>
    <row r="121" spans="1:15">
      <c r="A121" t="s">
        <v>392</v>
      </c>
      <c r="B121" s="214">
        <f>(1936907)/(5086941*2/60)</f>
        <v>11.422819726039677</v>
      </c>
      <c r="C121" s="212">
        <v>28.3</v>
      </c>
      <c r="D121" s="212">
        <f t="shared" si="55"/>
        <v>3.2326579824692288</v>
      </c>
      <c r="E121" s="214">
        <f>3778127/(5086941)*60</f>
        <v>44.562659562986873</v>
      </c>
      <c r="F121" s="212">
        <v>355.71</v>
      </c>
      <c r="G121" s="210">
        <f t="shared" si="56"/>
        <v>7.9256918165750303</v>
      </c>
      <c r="H121" s="214">
        <f>(254192/5086941)*60</f>
        <v>2.9981711995480191</v>
      </c>
      <c r="I121" s="214">
        <v>116.55</v>
      </c>
      <c r="J121" s="214">
        <f t="shared" si="57"/>
        <v>0.1747184266536608</v>
      </c>
      <c r="K121" s="212">
        <f t="shared" si="58"/>
        <v>11.33306822569792</v>
      </c>
      <c r="L121" s="212">
        <f t="shared" si="59"/>
        <v>0.28524120018435284</v>
      </c>
      <c r="M121" s="212">
        <f t="shared" si="60"/>
        <v>0.71475879981564716</v>
      </c>
      <c r="N121" s="212">
        <v>9.15</v>
      </c>
      <c r="O121" s="213">
        <f t="shared" si="61"/>
        <v>2.1830682256979195</v>
      </c>
    </row>
    <row r="122" spans="1:15">
      <c r="A122" t="s">
        <v>393</v>
      </c>
      <c r="B122" s="214">
        <f>(2043323)/(5365828*2/60)</f>
        <v>11.424087764274219</v>
      </c>
      <c r="C122" s="212">
        <v>27.2</v>
      </c>
      <c r="D122" s="212">
        <f t="shared" si="55"/>
        <v>3.1073518718825874</v>
      </c>
      <c r="E122" s="214">
        <f>3979120/(5365828)*60</f>
        <v>44.494009125898188</v>
      </c>
      <c r="F122" s="212">
        <v>341.08</v>
      </c>
      <c r="G122" s="210">
        <f t="shared" si="56"/>
        <v>7.5880083163306766</v>
      </c>
      <c r="H122" s="214">
        <f>(265562/5365828)*60</f>
        <v>2.9694801995144084</v>
      </c>
      <c r="I122" s="214">
        <v>117.14</v>
      </c>
      <c r="J122" s="214">
        <f t="shared" si="57"/>
        <v>0.17392245528555889</v>
      </c>
      <c r="K122" s="212">
        <f t="shared" si="58"/>
        <v>10.869282643498824</v>
      </c>
      <c r="L122" s="212">
        <f t="shared" si="59"/>
        <v>0.28588380427674021</v>
      </c>
      <c r="M122" s="212">
        <f t="shared" si="60"/>
        <v>0.71411619572325968</v>
      </c>
      <c r="N122" s="212">
        <v>8.51</v>
      </c>
      <c r="O122" s="213">
        <f t="shared" si="61"/>
        <v>2.3592826434988243</v>
      </c>
    </row>
    <row r="123" spans="1:15">
      <c r="A123" t="s">
        <v>394</v>
      </c>
      <c r="B123" s="214">
        <f>(1944966)/(5088884*2/60)</f>
        <v>11.465967783899181</v>
      </c>
      <c r="C123" s="212">
        <v>27.6</v>
      </c>
      <c r="D123" s="212">
        <f>(B123*C123)/100</f>
        <v>3.164607108356174</v>
      </c>
      <c r="E123" s="214">
        <f>3771727/(5088884)*60</f>
        <v>44.470186390572074</v>
      </c>
      <c r="F123" s="212">
        <v>332.5</v>
      </c>
      <c r="G123" s="210">
        <f>E123*F123/2000</f>
        <v>7.3931684874326073</v>
      </c>
      <c r="H123" s="214">
        <f>(259078/5088884)*60</f>
        <v>3.0546343756312782</v>
      </c>
      <c r="I123" s="214">
        <v>127.22</v>
      </c>
      <c r="J123" s="214">
        <f>H123*I123/2000</f>
        <v>0.19430529263390559</v>
      </c>
      <c r="K123" s="212">
        <f>D123+G123+J123</f>
        <v>10.752080888422688</v>
      </c>
      <c r="L123" s="212">
        <f>D123/K123</f>
        <v>0.29432508378575045</v>
      </c>
      <c r="M123" s="212">
        <f>(+G123+J123)/K123</f>
        <v>0.70567491621424949</v>
      </c>
      <c r="N123" s="212">
        <v>8.4</v>
      </c>
      <c r="O123" s="213">
        <f>K123-N123</f>
        <v>2.3520808884226874</v>
      </c>
    </row>
    <row r="124" spans="1:15">
      <c r="A124" t="s">
        <v>395</v>
      </c>
      <c r="B124" s="214">
        <f>(23532093)/(61647960*2/60)</f>
        <v>11.451519077030285</v>
      </c>
      <c r="C124" s="212">
        <f>AVERAGE(C112:C123)</f>
        <v>30.504166666666666</v>
      </c>
      <c r="D124" s="212">
        <f t="shared" si="55"/>
        <v>3.4931904651224466</v>
      </c>
      <c r="E124" s="214">
        <f>45508748/(61647960)*60</f>
        <v>44.292217942004896</v>
      </c>
      <c r="F124" s="212">
        <f>AVERAGE(F112:F123)</f>
        <v>344.13749999999999</v>
      </c>
      <c r="G124" s="210">
        <f t="shared" si="56"/>
        <v>7.6213065760083545</v>
      </c>
      <c r="H124" s="214">
        <f>(3129856/61647960)*60</f>
        <v>3.0461893629570227</v>
      </c>
      <c r="I124" s="214">
        <f>AVERAGE(I112:I123)</f>
        <v>122.575</v>
      </c>
      <c r="J124" s="214">
        <f t="shared" si="57"/>
        <v>0.18669333058222853</v>
      </c>
      <c r="K124" s="212">
        <f t="shared" si="58"/>
        <v>11.301190371713028</v>
      </c>
      <c r="L124" s="212">
        <f t="shared" si="59"/>
        <v>0.30909933823130092</v>
      </c>
      <c r="M124" s="212">
        <f t="shared" si="60"/>
        <v>0.69090066176869913</v>
      </c>
      <c r="N124" s="212">
        <f>AVERAGE(N112:N123)</f>
        <v>9.5341666666666693</v>
      </c>
      <c r="O124" s="213">
        <f t="shared" si="61"/>
        <v>1.7670237050463591</v>
      </c>
    </row>
    <row r="125" spans="1:15">
      <c r="A125" s="52" t="s">
        <v>295</v>
      </c>
      <c r="B125" s="214"/>
      <c r="C125" s="212"/>
      <c r="D125" s="212"/>
      <c r="E125" s="214"/>
      <c r="F125" s="212"/>
      <c r="G125" s="210"/>
      <c r="H125" s="195"/>
      <c r="I125" s="214"/>
      <c r="J125" s="214"/>
      <c r="K125" s="212"/>
      <c r="L125" s="212"/>
      <c r="M125" s="212"/>
      <c r="N125" s="212"/>
      <c r="O125" s="213"/>
    </row>
    <row r="126" spans="1:15">
      <c r="A126" t="s">
        <v>382</v>
      </c>
      <c r="B126" s="214">
        <f>(1942097)/(5089480*2/60)</f>
        <v>11.447713715350094</v>
      </c>
      <c r="C126" s="212">
        <v>27.73</v>
      </c>
      <c r="D126" s="212">
        <f t="shared" ref="D126:D136" si="62">(B126*C126)/100</f>
        <v>3.1744510132665811</v>
      </c>
      <c r="E126" s="214">
        <f>3740681/(5089480)*60</f>
        <v>44.098976712748652</v>
      </c>
      <c r="F126" s="212">
        <v>318.32</v>
      </c>
      <c r="G126" s="210">
        <f t="shared" ref="G126:G136" si="63">E126*F126/2000</f>
        <v>7.0187931336010756</v>
      </c>
      <c r="H126" s="214">
        <f>(254965/5089480)*60</f>
        <v>3.0057884106038339</v>
      </c>
      <c r="I126" s="214">
        <v>144.16</v>
      </c>
      <c r="J126" s="214">
        <f t="shared" ref="J126:J136" si="64">H126*I126/2000</f>
        <v>0.21665722863632433</v>
      </c>
      <c r="K126" s="212">
        <f t="shared" ref="K126:K136" si="65">D126+G126+J126</f>
        <v>10.40990137550398</v>
      </c>
      <c r="L126" s="212">
        <f>D126/K126</f>
        <v>0.30494534950509028</v>
      </c>
      <c r="M126" s="212">
        <f t="shared" ref="M126:M136" si="66">(+G126+J126)/K126</f>
        <v>0.69505465049490989</v>
      </c>
      <c r="N126" s="212">
        <v>7.85</v>
      </c>
      <c r="O126" s="213">
        <f t="shared" ref="O126:O136" si="67">K126-N126</f>
        <v>2.5599013755039799</v>
      </c>
    </row>
    <row r="127" spans="1:15">
      <c r="A127" t="s">
        <v>383</v>
      </c>
      <c r="B127" s="214">
        <f>(2134553)/(5506753*2/60)</f>
        <v>11.628738387212938</v>
      </c>
      <c r="C127" s="212">
        <v>28.89</v>
      </c>
      <c r="D127" s="212">
        <f t="shared" si="62"/>
        <v>3.3595425200658178</v>
      </c>
      <c r="E127" s="214">
        <f>4020038/(5506753)*60</f>
        <v>43.801180114670117</v>
      </c>
      <c r="F127" s="212">
        <v>319.14999999999998</v>
      </c>
      <c r="G127" s="210">
        <f t="shared" si="63"/>
        <v>6.9895733167984835</v>
      </c>
      <c r="H127" s="214">
        <f>(270986/5506753)*60</f>
        <v>2.9525856707210218</v>
      </c>
      <c r="I127" s="214">
        <v>157.74</v>
      </c>
      <c r="J127" s="214">
        <f t="shared" si="64"/>
        <v>0.23287043184976702</v>
      </c>
      <c r="K127" s="212">
        <f t="shared" si="65"/>
        <v>10.581986268714068</v>
      </c>
      <c r="L127" s="212">
        <f t="shared" ref="L127:L136" si="68">D127/K127</f>
        <v>0.31747749758458838</v>
      </c>
      <c r="M127" s="212">
        <f t="shared" si="66"/>
        <v>0.68252250241541157</v>
      </c>
      <c r="N127" s="212">
        <v>8.1300000000000008</v>
      </c>
      <c r="O127" s="213">
        <f t="shared" si="67"/>
        <v>2.4519862687140677</v>
      </c>
    </row>
    <row r="128" spans="1:15">
      <c r="A128" t="s">
        <v>384</v>
      </c>
      <c r="B128" s="214">
        <f>(2060563)/(5343053*2/60)</f>
        <v>11.569582034840382</v>
      </c>
      <c r="C128" s="212">
        <v>27.49</v>
      </c>
      <c r="D128" s="212">
        <f t="shared" si="62"/>
        <v>3.1804781013776209</v>
      </c>
      <c r="E128" s="214">
        <f>3889342/(5343053)*60</f>
        <v>43.675501628001818</v>
      </c>
      <c r="F128" s="212">
        <v>310.62</v>
      </c>
      <c r="G128" s="210">
        <f t="shared" si="63"/>
        <v>6.7832421578449624</v>
      </c>
      <c r="H128" s="214">
        <f>(265758/5343053)*60</f>
        <v>2.9843387291872272</v>
      </c>
      <c r="I128" s="214">
        <v>156.5</v>
      </c>
      <c r="J128" s="214">
        <f t="shared" si="64"/>
        <v>0.23352450555890053</v>
      </c>
      <c r="K128" s="212">
        <f t="shared" si="65"/>
        <v>10.197244764781484</v>
      </c>
      <c r="L128" s="212">
        <f t="shared" si="68"/>
        <v>0.3118958282105897</v>
      </c>
      <c r="M128" s="212">
        <f t="shared" si="66"/>
        <v>0.6881041717894103</v>
      </c>
      <c r="N128" s="212">
        <v>8.4600000000000009</v>
      </c>
      <c r="O128" s="213">
        <f t="shared" si="67"/>
        <v>1.737244764781483</v>
      </c>
    </row>
    <row r="129" spans="1:17" ht="10.15" customHeight="1">
      <c r="A129" t="s">
        <v>385</v>
      </c>
      <c r="B129" s="214">
        <f>(2135370)/(5513266*2/60)</f>
        <v>11.619446622020414</v>
      </c>
      <c r="C129" s="212">
        <v>28.14</v>
      </c>
      <c r="D129" s="212">
        <f t="shared" si="62"/>
        <v>3.2697122794365447</v>
      </c>
      <c r="E129" s="214">
        <f>4016547/(5513266)*60</f>
        <v>43.711444359840428</v>
      </c>
      <c r="F129" s="212">
        <v>311.7</v>
      </c>
      <c r="G129" s="210">
        <f t="shared" si="63"/>
        <v>6.8124286034811306</v>
      </c>
      <c r="H129" s="214">
        <f>(279141/5513266)*60</f>
        <v>3.0378472578685662</v>
      </c>
      <c r="I129" s="214">
        <v>157.65</v>
      </c>
      <c r="J129" s="214">
        <f t="shared" si="64"/>
        <v>0.23945831010148974</v>
      </c>
      <c r="K129" s="212">
        <f t="shared" si="65"/>
        <v>10.321599193019166</v>
      </c>
      <c r="L129" s="212">
        <f t="shared" si="68"/>
        <v>0.31678349626751229</v>
      </c>
      <c r="M129" s="212">
        <f t="shared" si="66"/>
        <v>0.68321650373248755</v>
      </c>
      <c r="N129" s="212">
        <v>8.74</v>
      </c>
      <c r="O129" s="213">
        <f t="shared" si="67"/>
        <v>1.5815991930191657</v>
      </c>
    </row>
    <row r="130" spans="1:17" ht="10.15" customHeight="1">
      <c r="A130" t="s">
        <v>386</v>
      </c>
      <c r="B130" s="214">
        <f>(2115799)/(5492127*2/60)</f>
        <v>11.557265518441216</v>
      </c>
      <c r="C130" s="212">
        <v>28.44</v>
      </c>
      <c r="D130" s="212">
        <f t="shared" si="62"/>
        <v>3.2868863134446822</v>
      </c>
      <c r="E130" s="214">
        <f>3988737/(5492127)*60</f>
        <v>43.575871424677544</v>
      </c>
      <c r="F130" s="212">
        <v>314.92</v>
      </c>
      <c r="G130" s="210">
        <f t="shared" si="63"/>
        <v>6.8614567145297256</v>
      </c>
      <c r="H130" s="214">
        <f>(280766/5492127)*60</f>
        <v>3.0672925079846114</v>
      </c>
      <c r="I130" s="214">
        <v>150</v>
      </c>
      <c r="J130" s="214">
        <f t="shared" si="64"/>
        <v>0.23004693809884585</v>
      </c>
      <c r="K130" s="212">
        <f t="shared" si="65"/>
        <v>10.378389966073254</v>
      </c>
      <c r="L130" s="212">
        <f t="shared" si="68"/>
        <v>0.31670483805189886</v>
      </c>
      <c r="M130" s="212">
        <f t="shared" si="66"/>
        <v>0.68329516194810103</v>
      </c>
      <c r="N130" s="212">
        <v>8.81</v>
      </c>
      <c r="O130" s="213">
        <f t="shared" si="67"/>
        <v>1.5683899660732532</v>
      </c>
    </row>
    <row r="131" spans="1:17" ht="10.15" customHeight="1">
      <c r="A131" t="s">
        <v>387</v>
      </c>
      <c r="B131" s="214">
        <f>(1899196)/(4883434*2/60)</f>
        <v>11.667175188607034</v>
      </c>
      <c r="C131" s="212">
        <v>29.58</v>
      </c>
      <c r="D131" s="212">
        <f t="shared" si="62"/>
        <v>3.4511504207899604</v>
      </c>
      <c r="E131" s="214">
        <f>3583222/(4883434)*60</f>
        <v>44.02502828951922</v>
      </c>
      <c r="F131" s="212">
        <v>306.83</v>
      </c>
      <c r="G131" s="210">
        <f t="shared" si="63"/>
        <v>6.7540997150365909</v>
      </c>
      <c r="H131" s="214">
        <f>(253395/4883434)*60</f>
        <v>3.1133214864785721</v>
      </c>
      <c r="I131" s="214">
        <v>142.53</v>
      </c>
      <c r="J131" s="214">
        <f t="shared" si="64"/>
        <v>0.22187085573389545</v>
      </c>
      <c r="K131" s="212">
        <f t="shared" si="65"/>
        <v>10.427120991560447</v>
      </c>
      <c r="L131" s="212">
        <f t="shared" si="68"/>
        <v>0.33097826558100452</v>
      </c>
      <c r="M131" s="212">
        <f t="shared" si="66"/>
        <v>0.66902173441899548</v>
      </c>
      <c r="N131" s="212">
        <v>8.84</v>
      </c>
      <c r="O131" s="213">
        <f t="shared" si="67"/>
        <v>1.5871209915604467</v>
      </c>
    </row>
    <row r="132" spans="1:17" ht="10.15" customHeight="1">
      <c r="A132" t="s">
        <v>388</v>
      </c>
      <c r="B132" s="214">
        <f>(2094418)/(5383008*2/60)</f>
        <v>11.672384659283434</v>
      </c>
      <c r="C132" s="212">
        <v>28.62</v>
      </c>
      <c r="D132" s="212">
        <f t="shared" si="62"/>
        <v>3.3406364894869189</v>
      </c>
      <c r="E132" s="214">
        <f>3926558/(5383008)*60</f>
        <v>43.766139675066427</v>
      </c>
      <c r="F132" s="212">
        <v>306.38</v>
      </c>
      <c r="G132" s="210">
        <f t="shared" si="63"/>
        <v>6.7045349368234257</v>
      </c>
      <c r="H132" s="214">
        <f>(274260/5383008)*60</f>
        <v>3.0569525440051364</v>
      </c>
      <c r="I132" s="214">
        <v>133.62</v>
      </c>
      <c r="J132" s="214">
        <f t="shared" si="64"/>
        <v>0.20423499946498316</v>
      </c>
      <c r="K132" s="212">
        <f t="shared" si="65"/>
        <v>10.249406425775328</v>
      </c>
      <c r="L132" s="212">
        <f t="shared" si="68"/>
        <v>0.32593462984215815</v>
      </c>
      <c r="M132" s="212">
        <f t="shared" si="66"/>
        <v>0.67406537015784185</v>
      </c>
      <c r="N132" s="212">
        <v>8.69</v>
      </c>
      <c r="O132" s="213">
        <f t="shared" si="67"/>
        <v>1.5594064257753288</v>
      </c>
    </row>
    <row r="133" spans="1:17" ht="10.15" customHeight="1">
      <c r="A133" t="s">
        <v>389</v>
      </c>
      <c r="B133" s="214">
        <f>(1989101)/(5146403*2/60)</f>
        <v>11.595094670976991</v>
      </c>
      <c r="C133" s="212">
        <v>27.86</v>
      </c>
      <c r="D133" s="212">
        <f t="shared" si="62"/>
        <v>3.2303933753341898</v>
      </c>
      <c r="E133" s="214">
        <f>3763527/(5146403)*60</f>
        <v>43.877562639381331</v>
      </c>
      <c r="F133" s="212">
        <v>304.26</v>
      </c>
      <c r="G133" s="210">
        <f t="shared" si="63"/>
        <v>6.6750936043290823</v>
      </c>
      <c r="H133" s="214">
        <f>(259021/5146403)*60</f>
        <v>3.0198295780567515</v>
      </c>
      <c r="I133" s="214">
        <v>125.48</v>
      </c>
      <c r="J133" s="214">
        <f t="shared" si="64"/>
        <v>0.18946410772728062</v>
      </c>
      <c r="K133" s="212">
        <f t="shared" si="65"/>
        <v>10.094951087390553</v>
      </c>
      <c r="L133" s="212">
        <f t="shared" si="68"/>
        <v>0.32000089424595868</v>
      </c>
      <c r="M133" s="212">
        <f t="shared" si="66"/>
        <v>0.67999910575404121</v>
      </c>
      <c r="N133" s="212">
        <v>8.57</v>
      </c>
      <c r="O133" s="213">
        <f t="shared" si="67"/>
        <v>1.5249510873905532</v>
      </c>
    </row>
    <row r="134" spans="1:17" ht="10.15" customHeight="1">
      <c r="A134" t="s">
        <v>390</v>
      </c>
      <c r="B134" s="214">
        <f>(1915994)/(4963271*2/60)</f>
        <v>11.581035974058237</v>
      </c>
      <c r="C134" s="212">
        <v>26.93</v>
      </c>
      <c r="D134" s="212">
        <f t="shared" si="62"/>
        <v>3.1187729878138835</v>
      </c>
      <c r="E134" s="214">
        <f>3660325/(4963271)*60</f>
        <v>44.248943892042163</v>
      </c>
      <c r="F134" s="212">
        <v>297.52</v>
      </c>
      <c r="G134" s="210">
        <f t="shared" si="63"/>
        <v>6.5824728933801913</v>
      </c>
      <c r="H134" s="214">
        <f>(249227/4957936)*60</f>
        <v>3.0160978278057642</v>
      </c>
      <c r="I134" s="214">
        <v>113.68</v>
      </c>
      <c r="J134" s="214">
        <f t="shared" si="64"/>
        <v>0.17143500053247965</v>
      </c>
      <c r="K134" s="212">
        <f t="shared" si="65"/>
        <v>9.8726808817265539</v>
      </c>
      <c r="L134" s="212">
        <f t="shared" si="68"/>
        <v>0.31589930082582252</v>
      </c>
      <c r="M134" s="212">
        <f t="shared" si="66"/>
        <v>0.68410069917417748</v>
      </c>
      <c r="N134" s="212">
        <v>8.08</v>
      </c>
      <c r="O134" s="213">
        <f t="shared" si="67"/>
        <v>1.7926808817265538</v>
      </c>
    </row>
    <row r="135" spans="1:17" ht="10.15" customHeight="1">
      <c r="A135" t="s">
        <v>392</v>
      </c>
      <c r="B135" s="214">
        <f>(1811481)/(4729137*2/60)</f>
        <v>11.491405302912561</v>
      </c>
      <c r="C135" s="212">
        <v>28.24</v>
      </c>
      <c r="D135" s="212">
        <f t="shared" si="62"/>
        <v>3.2451728575425074</v>
      </c>
      <c r="E135" s="214">
        <f>3453178/(4729137)*60</f>
        <v>43.811519945393847</v>
      </c>
      <c r="F135" s="212">
        <v>324.75</v>
      </c>
      <c r="G135" s="210">
        <f t="shared" si="63"/>
        <v>7.1138955511333259</v>
      </c>
      <c r="H135" s="214">
        <f>(243145/4729137)*60</f>
        <v>3.0848545939777172</v>
      </c>
      <c r="I135" s="214">
        <v>121.5</v>
      </c>
      <c r="J135" s="214">
        <f t="shared" si="64"/>
        <v>0.18740491658414632</v>
      </c>
      <c r="K135" s="212">
        <f t="shared" si="65"/>
        <v>10.54647332525998</v>
      </c>
      <c r="L135" s="212">
        <f t="shared" si="68"/>
        <v>0.3077021822802089</v>
      </c>
      <c r="M135" s="212">
        <f t="shared" si="66"/>
        <v>0.69229781771979104</v>
      </c>
      <c r="N135" s="212">
        <v>8.7899999999999991</v>
      </c>
      <c r="O135" s="213">
        <f t="shared" si="67"/>
        <v>1.7564733252599805</v>
      </c>
    </row>
    <row r="136" spans="1:17" ht="10.15" customHeight="1">
      <c r="A136" t="s">
        <v>393</v>
      </c>
      <c r="B136" s="214">
        <f>(2090168)/(5383896*2/60)</f>
        <v>11.646777723789612</v>
      </c>
      <c r="C136" s="212">
        <v>27.68</v>
      </c>
      <c r="D136" s="212">
        <f t="shared" si="62"/>
        <v>3.2238280739449645</v>
      </c>
      <c r="E136" s="214">
        <f>3918907/(5383896)*60</f>
        <v>43.673655657538703</v>
      </c>
      <c r="F136" s="212">
        <v>310.77</v>
      </c>
      <c r="G136" s="210">
        <f t="shared" si="63"/>
        <v>6.7862309843466511</v>
      </c>
      <c r="H136" s="214">
        <f>(267367/5383896)*60</f>
        <v>2.9796303643309603</v>
      </c>
      <c r="I136" s="214">
        <v>115.45</v>
      </c>
      <c r="J136" s="214">
        <f t="shared" si="64"/>
        <v>0.17199916278100469</v>
      </c>
      <c r="K136" s="212">
        <f t="shared" si="65"/>
        <v>10.182058221072619</v>
      </c>
      <c r="L136" s="212">
        <f t="shared" si="68"/>
        <v>0.31661850717696577</v>
      </c>
      <c r="M136" s="212">
        <f t="shared" si="66"/>
        <v>0.6833814928230344</v>
      </c>
      <c r="N136" s="212">
        <v>8.91</v>
      </c>
      <c r="O136" s="213">
        <f t="shared" si="67"/>
        <v>1.2720582210726192</v>
      </c>
    </row>
    <row r="137" spans="1:17" ht="10.15" customHeight="1">
      <c r="A137" t="s">
        <v>394</v>
      </c>
      <c r="B137" s="214">
        <f>(2049888)/(5325880*2/60)</f>
        <v>11.546756592337792</v>
      </c>
      <c r="C137" s="212">
        <v>28.41</v>
      </c>
      <c r="D137" s="212">
        <f>(B137*C137)/100</f>
        <v>3.2804335478831668</v>
      </c>
      <c r="E137" s="214">
        <f>3880500/(5325880)*60</f>
        <v>43.716719114963155</v>
      </c>
      <c r="F137" s="212">
        <v>296.92</v>
      </c>
      <c r="G137" s="210">
        <f>E137*F137/2000</f>
        <v>6.4901841198074308</v>
      </c>
      <c r="H137" s="214">
        <f>(270264/5325880)*60</f>
        <v>3.044725003191961</v>
      </c>
      <c r="I137" s="214">
        <v>112.5</v>
      </c>
      <c r="J137" s="214">
        <f>H137*I137/2000</f>
        <v>0.17126578142954782</v>
      </c>
      <c r="K137" s="212">
        <f>D137+G137+J137</f>
        <v>9.9418834491201462</v>
      </c>
      <c r="L137" s="212">
        <f>D137/K137</f>
        <v>0.32996097416264564</v>
      </c>
      <c r="M137" s="212">
        <f>(+G137+J137)/K137</f>
        <v>0.67003902583735431</v>
      </c>
      <c r="N137" s="212">
        <v>8.5399999999999991</v>
      </c>
      <c r="O137" s="213">
        <f>K137-N137</f>
        <v>1.4018834491201471</v>
      </c>
    </row>
    <row r="138" spans="1:17" ht="10.15" customHeight="1">
      <c r="A138" t="s">
        <v>395</v>
      </c>
      <c r="B138" s="214">
        <f>(24238628)/(62759708*2/60)</f>
        <v>11.586396163602291</v>
      </c>
      <c r="C138" s="212">
        <f>AVERAGE(C126:C137)</f>
        <v>28.167500000000004</v>
      </c>
      <c r="D138" s="212">
        <f>(B138*C138)/100</f>
        <v>3.2635981393826756</v>
      </c>
      <c r="E138" s="214">
        <f>45841562/(62759708)*60</f>
        <v>43.825788991879953</v>
      </c>
      <c r="F138" s="212">
        <f>AVERAGE(F126:F137)</f>
        <v>310.17833333333334</v>
      </c>
      <c r="G138" s="210">
        <f>E138*F138/2000</f>
        <v>6.7969050932598361</v>
      </c>
      <c r="H138" s="214">
        <f>(3168295/62759708)*60</f>
        <v>3.0289768078589532</v>
      </c>
      <c r="I138" s="214">
        <f>AVERAGE(I126:I137)</f>
        <v>135.90083333333334</v>
      </c>
      <c r="J138" s="214">
        <f>H138*I138/2000</f>
        <v>0.2058202361676858</v>
      </c>
      <c r="K138" s="212">
        <f>D138+G138+J138</f>
        <v>10.266323468810198</v>
      </c>
      <c r="L138" s="212">
        <f>D138/K138</f>
        <v>0.31789356231543969</v>
      </c>
      <c r="M138" s="212">
        <f>(+G138+J138)/K138</f>
        <v>0.68210643768456025</v>
      </c>
      <c r="N138" s="212">
        <f>AVERAGE(N126:N137)</f>
        <v>8.5341666666666658</v>
      </c>
      <c r="O138" s="213">
        <f>K138-N138</f>
        <v>1.7321568021435318</v>
      </c>
    </row>
    <row r="139" spans="1:17" ht="10.15" customHeight="1">
      <c r="A139" t="s">
        <v>334</v>
      </c>
      <c r="B139" s="212"/>
      <c r="C139" s="212"/>
      <c r="D139" s="212"/>
      <c r="E139" s="212"/>
      <c r="F139" s="212"/>
      <c r="G139" s="212"/>
      <c r="H139" s="212"/>
      <c r="I139" s="212"/>
      <c r="J139" s="212"/>
      <c r="K139" s="212"/>
      <c r="L139" s="212"/>
      <c r="M139" s="212"/>
      <c r="N139" s="212"/>
      <c r="O139" s="213"/>
    </row>
    <row r="140" spans="1:17">
      <c r="A140" t="s">
        <v>382</v>
      </c>
      <c r="B140" s="195">
        <f>(1900668)/(4870034*2/60)</f>
        <v>11.708345362681246</v>
      </c>
      <c r="C140" s="212">
        <v>28.81</v>
      </c>
      <c r="D140" s="212">
        <f t="shared" ref="D140:D150" si="69">(B140*C140)/100</f>
        <v>3.373174298988467</v>
      </c>
      <c r="E140" s="195">
        <f>3553484/(4870034)*60</f>
        <v>43.779784699655075</v>
      </c>
      <c r="F140" s="212">
        <v>295.57</v>
      </c>
      <c r="G140" s="212">
        <f t="shared" ref="G140:G152" si="70">E140*F140/2000</f>
        <v>6.4699954818385246</v>
      </c>
      <c r="H140" s="214">
        <f>(246065/4870034)*60</f>
        <v>3.0315804776722297</v>
      </c>
      <c r="I140" s="214">
        <v>124.25</v>
      </c>
      <c r="J140" s="214">
        <f t="shared" ref="J140:J152" si="71">H140*I140/2000</f>
        <v>0.18833693717538727</v>
      </c>
      <c r="K140" s="212">
        <f t="shared" ref="K140:K152" si="72">D140+G140+J140</f>
        <v>10.03150671800238</v>
      </c>
      <c r="L140" s="212">
        <f>D140/K140</f>
        <v>0.33625799132796502</v>
      </c>
      <c r="M140" s="212">
        <f t="shared" ref="M140:M150" si="73">(+G140+J140)/K140</f>
        <v>0.66374200867203492</v>
      </c>
      <c r="N140" s="212">
        <v>8.58</v>
      </c>
      <c r="O140" s="213">
        <f t="shared" ref="O140:O152" si="74">K140-N140</f>
        <v>1.4515067180023795</v>
      </c>
      <c r="Q140" s="284"/>
    </row>
    <row r="141" spans="1:17">
      <c r="A141" t="s">
        <v>383</v>
      </c>
      <c r="B141" s="195">
        <f>(2149969)/(5615616*2/60)</f>
        <v>11.485662481195295</v>
      </c>
      <c r="C141" s="212">
        <v>30.14</v>
      </c>
      <c r="D141" s="212">
        <f t="shared" si="69"/>
        <v>3.4617786718322616</v>
      </c>
      <c r="E141" s="40">
        <f>4105453/(5615616)*60</f>
        <v>43.864676644556887</v>
      </c>
      <c r="F141" s="212">
        <v>309.48</v>
      </c>
      <c r="G141" s="212">
        <f t="shared" si="70"/>
        <v>6.787620063978733</v>
      </c>
      <c r="H141" s="214">
        <f>(276379/5615616)*60</f>
        <v>2.9529690064277898</v>
      </c>
      <c r="I141" s="214">
        <v>144.36000000000001</v>
      </c>
      <c r="J141" s="214">
        <f t="shared" si="71"/>
        <v>0.21314530288395789</v>
      </c>
      <c r="K141" s="212">
        <f t="shared" si="72"/>
        <v>10.462544038694954</v>
      </c>
      <c r="L141" s="212">
        <f t="shared" ref="L141:L150" si="75">D141/K141</f>
        <v>0.3308735102121555</v>
      </c>
      <c r="M141" s="212">
        <f t="shared" si="73"/>
        <v>0.66912648978784428</v>
      </c>
      <c r="N141" s="212">
        <v>9.07</v>
      </c>
      <c r="O141" s="213">
        <f t="shared" si="74"/>
        <v>1.3925440386949539</v>
      </c>
      <c r="Q141" s="284"/>
    </row>
    <row r="142" spans="1:17">
      <c r="A142" t="s">
        <v>384</v>
      </c>
      <c r="B142" s="195">
        <f>(1999648)/(5239452*2/60)</f>
        <v>11.449563809344948</v>
      </c>
      <c r="C142" s="212">
        <v>30.62</v>
      </c>
      <c r="D142" s="212">
        <f t="shared" si="69"/>
        <v>3.5058564384214232</v>
      </c>
      <c r="E142" s="40">
        <f>3855827/(5239452)*60</f>
        <v>44.155308608610213</v>
      </c>
      <c r="F142" s="212">
        <v>303.13</v>
      </c>
      <c r="G142" s="212">
        <f t="shared" si="70"/>
        <v>6.6923993492640061</v>
      </c>
      <c r="H142" s="214">
        <f>(255945/5239452)*60</f>
        <v>2.9309744606878736</v>
      </c>
      <c r="I142" s="214">
        <v>189.39</v>
      </c>
      <c r="J142" s="214">
        <f t="shared" si="71"/>
        <v>0.27754862655483814</v>
      </c>
      <c r="K142" s="212">
        <f t="shared" si="72"/>
        <v>10.475804414240267</v>
      </c>
      <c r="L142" s="212">
        <f t="shared" si="75"/>
        <v>0.33466226552070244</v>
      </c>
      <c r="M142" s="212">
        <f t="shared" si="73"/>
        <v>0.66533773447929756</v>
      </c>
      <c r="N142" s="212">
        <v>9.1300000000000008</v>
      </c>
      <c r="O142" s="213">
        <f t="shared" si="74"/>
        <v>1.3458044142402663</v>
      </c>
      <c r="Q142" s="284"/>
    </row>
    <row r="143" spans="1:17" ht="10.15" customHeight="1">
      <c r="A143" t="s">
        <v>385</v>
      </c>
      <c r="B143" s="195">
        <f>(2110936)/(5542274*2/60)</f>
        <v>11.426371197093466</v>
      </c>
      <c r="C143" s="212">
        <v>32.270000000000003</v>
      </c>
      <c r="D143" s="212">
        <f t="shared" si="69"/>
        <v>3.687289985302062</v>
      </c>
      <c r="E143" s="40">
        <f>4062929/(5542274)*60</f>
        <v>43.984786749987457</v>
      </c>
      <c r="F143" s="212">
        <v>299.58999999999997</v>
      </c>
      <c r="G143" s="212">
        <f t="shared" si="70"/>
        <v>6.5887011312143704</v>
      </c>
      <c r="H143" s="214">
        <f>(274643/5542274)*60</f>
        <v>2.9732524952754047</v>
      </c>
      <c r="I143" s="214">
        <v>199.52</v>
      </c>
      <c r="J143" s="214">
        <f t="shared" si="71"/>
        <v>0.29661166892867435</v>
      </c>
      <c r="K143" s="212">
        <f t="shared" si="72"/>
        <v>10.572602785445108</v>
      </c>
      <c r="L143" s="212">
        <f t="shared" si="75"/>
        <v>0.34875896315505306</v>
      </c>
      <c r="M143" s="212">
        <f t="shared" si="73"/>
        <v>0.65124103684494683</v>
      </c>
      <c r="N143" s="212">
        <v>9.25</v>
      </c>
      <c r="O143" s="213">
        <f t="shared" si="74"/>
        <v>1.3226027854451079</v>
      </c>
      <c r="Q143" s="284"/>
    </row>
    <row r="144" spans="1:17">
      <c r="A144" t="s">
        <v>386</v>
      </c>
      <c r="B144" s="195">
        <f>(2154427)/(5663403*2/60)</f>
        <v>11.412362849685957</v>
      </c>
      <c r="C144" s="212">
        <v>33.04</v>
      </c>
      <c r="D144" s="212">
        <f t="shared" si="69"/>
        <v>3.7706446855362401</v>
      </c>
      <c r="E144" s="40">
        <f>4144355/(5663403)*60</f>
        <v>43.906693555093995</v>
      </c>
      <c r="F144" s="212">
        <v>300.11</v>
      </c>
      <c r="G144" s="212">
        <f t="shared" si="70"/>
        <v>6.5884189014096304</v>
      </c>
      <c r="H144" s="214">
        <f>(281394/5663403)*60</f>
        <v>2.9811828683213961</v>
      </c>
      <c r="I144" s="214">
        <v>173.32999999999998</v>
      </c>
      <c r="J144" s="214">
        <f t="shared" si="71"/>
        <v>0.25836421328307374</v>
      </c>
      <c r="K144" s="212">
        <f t="shared" si="72"/>
        <v>10.617427800228944</v>
      </c>
      <c r="L144" s="212">
        <f t="shared" si="75"/>
        <v>0.3551373041081507</v>
      </c>
      <c r="M144" s="212">
        <f t="shared" si="73"/>
        <v>0.64486269589184941</v>
      </c>
      <c r="N144" s="212">
        <v>9.27</v>
      </c>
      <c r="O144" s="213">
        <f t="shared" si="74"/>
        <v>1.3474278002289442</v>
      </c>
      <c r="Q144" s="284"/>
    </row>
    <row r="145" spans="1:17">
      <c r="A145" t="s">
        <v>387</v>
      </c>
      <c r="B145" s="195">
        <f>(1999524)/(5258777*2/60)</f>
        <v>11.406781462686094</v>
      </c>
      <c r="C145" s="212">
        <v>30.26</v>
      </c>
      <c r="D145" s="212">
        <f t="shared" si="69"/>
        <v>3.4516920706088121</v>
      </c>
      <c r="E145" s="40">
        <f>3863475/(5258777)*60</f>
        <v>44.080306124408779</v>
      </c>
      <c r="F145" s="212">
        <v>295.27999999999997</v>
      </c>
      <c r="G145" s="212">
        <f t="shared" si="70"/>
        <v>6.5080163962077116</v>
      </c>
      <c r="H145" s="214">
        <f>(259153/5258777)*60</f>
        <v>2.9568053560742356</v>
      </c>
      <c r="I145" s="214">
        <v>146.66</v>
      </c>
      <c r="J145" s="214">
        <f t="shared" si="71"/>
        <v>0.2168225367609237</v>
      </c>
      <c r="K145" s="212">
        <f t="shared" si="72"/>
        <v>10.176531003577448</v>
      </c>
      <c r="L145" s="212">
        <f t="shared" si="75"/>
        <v>0.33918160023247679</v>
      </c>
      <c r="M145" s="212">
        <f t="shared" si="73"/>
        <v>0.6608183997675231</v>
      </c>
      <c r="N145" s="212">
        <v>8.9600000000000009</v>
      </c>
      <c r="O145" s="213">
        <f t="shared" si="74"/>
        <v>1.2165310035774475</v>
      </c>
      <c r="Q145" s="284"/>
    </row>
    <row r="146" spans="1:17">
      <c r="A146" t="s">
        <v>388</v>
      </c>
      <c r="B146" s="195">
        <f>(2201068)/(5764867*2/60)</f>
        <v>11.45421741733157</v>
      </c>
      <c r="C146" s="212">
        <v>27.04</v>
      </c>
      <c r="D146" s="212">
        <f t="shared" si="69"/>
        <v>3.0972203896464565</v>
      </c>
      <c r="E146" s="40">
        <f>4234605/(5765867)*60</f>
        <v>44.065584585978137</v>
      </c>
      <c r="F146" s="212">
        <v>312.38</v>
      </c>
      <c r="G146" s="212">
        <f t="shared" si="70"/>
        <v>6.8826036564839255</v>
      </c>
      <c r="H146" s="214">
        <f>(283308/5764867)*60</f>
        <v>2.9486335070696343</v>
      </c>
      <c r="I146" s="214">
        <v>119.93</v>
      </c>
      <c r="J146" s="214">
        <f t="shared" si="71"/>
        <v>0.17681480825143064</v>
      </c>
      <c r="K146" s="212">
        <f t="shared" si="72"/>
        <v>10.156638854381812</v>
      </c>
      <c r="L146" s="212">
        <f t="shared" si="75"/>
        <v>0.30494540901296718</v>
      </c>
      <c r="M146" s="212">
        <f t="shared" si="73"/>
        <v>0.69505459098703282</v>
      </c>
      <c r="N146" s="212">
        <v>8.11</v>
      </c>
      <c r="O146" s="213">
        <f t="shared" si="74"/>
        <v>2.046638854381813</v>
      </c>
      <c r="Q146" s="284"/>
    </row>
    <row r="147" spans="1:17">
      <c r="A147" t="s">
        <v>389</v>
      </c>
      <c r="B147" s="195">
        <f>(2099465)/(5501825*2/60)</f>
        <v>11.447828675030559</v>
      </c>
      <c r="C147" s="212">
        <v>25.69</v>
      </c>
      <c r="D147" s="212">
        <f t="shared" si="69"/>
        <v>2.9409471866153507</v>
      </c>
      <c r="E147" s="40">
        <f>4038220/(5501825)*60</f>
        <v>44.038696250789506</v>
      </c>
      <c r="F147" s="212">
        <v>295.39999999999998</v>
      </c>
      <c r="G147" s="212">
        <f t="shared" si="70"/>
        <v>6.5045154362416095</v>
      </c>
      <c r="H147" s="214">
        <f>(273957/5501825)*60</f>
        <v>2.9876304680719579</v>
      </c>
      <c r="I147" s="214">
        <v>153.42500000000001</v>
      </c>
      <c r="J147" s="214">
        <f t="shared" si="71"/>
        <v>0.22918860228197008</v>
      </c>
      <c r="K147" s="212">
        <f t="shared" si="72"/>
        <v>9.6746512251389305</v>
      </c>
      <c r="L147" s="212">
        <f t="shared" si="75"/>
        <v>0.30398482779136238</v>
      </c>
      <c r="M147" s="212">
        <f t="shared" si="73"/>
        <v>0.69601517220863762</v>
      </c>
      <c r="N147" s="212">
        <v>8.5399999999999991</v>
      </c>
      <c r="O147" s="213">
        <f t="shared" si="74"/>
        <v>1.1346512251389314</v>
      </c>
      <c r="Q147" s="284"/>
    </row>
    <row r="148" spans="1:17">
      <c r="A148" t="s">
        <v>390</v>
      </c>
      <c r="B148" s="195">
        <f>(2057617)/(5386534*2/60)</f>
        <v>11.459782858513471</v>
      </c>
      <c r="C148" s="212">
        <v>25.27</v>
      </c>
      <c r="D148" s="212">
        <f t="shared" si="69"/>
        <v>2.8958871283463536</v>
      </c>
      <c r="E148" s="40">
        <f>3970047/(5386534)*60</f>
        <v>44.221909673270417</v>
      </c>
      <c r="F148" s="212">
        <v>288.56</v>
      </c>
      <c r="G148" s="212">
        <f t="shared" si="70"/>
        <v>6.3803371276594563</v>
      </c>
      <c r="H148" s="214">
        <f>(270933/5386534)*60</f>
        <v>3.0178923961122308</v>
      </c>
      <c r="I148" s="214">
        <v>185</v>
      </c>
      <c r="J148" s="214">
        <f t="shared" si="71"/>
        <v>0.27915504664038132</v>
      </c>
      <c r="K148" s="212">
        <f t="shared" si="72"/>
        <v>9.5553793026461911</v>
      </c>
      <c r="L148" s="212">
        <f t="shared" si="75"/>
        <v>0.30306354532094709</v>
      </c>
      <c r="M148" s="212">
        <f t="shared" si="73"/>
        <v>0.69693645467905296</v>
      </c>
      <c r="N148" s="212">
        <v>8.48</v>
      </c>
      <c r="O148" s="213">
        <f t="shared" si="74"/>
        <v>1.0753793026461906</v>
      </c>
      <c r="Q148" s="284"/>
    </row>
    <row r="149" spans="1:17">
      <c r="A149" t="s">
        <v>392</v>
      </c>
      <c r="B149" s="195">
        <f>(2035269)/(5318419*2/60)</f>
        <v>11.480492605039204</v>
      </c>
      <c r="C149" s="212">
        <v>26.61</v>
      </c>
      <c r="D149" s="212">
        <f t="shared" si="69"/>
        <v>3.054959082200932</v>
      </c>
      <c r="E149" s="40">
        <f>3904725/(5318419)*60</f>
        <v>44.05134307770787</v>
      </c>
      <c r="F149" s="212">
        <v>288.66000000000003</v>
      </c>
      <c r="G149" s="212">
        <f t="shared" si="70"/>
        <v>6.3579303464055776</v>
      </c>
      <c r="H149" s="214">
        <f>(262751/5318419)*60</f>
        <v>2.9642380564600121</v>
      </c>
      <c r="I149" s="214">
        <v>153.75</v>
      </c>
      <c r="J149" s="214">
        <f t="shared" si="71"/>
        <v>0.22787580059036344</v>
      </c>
      <c r="K149" s="212">
        <f t="shared" si="72"/>
        <v>9.6407652291968731</v>
      </c>
      <c r="L149" s="212">
        <f t="shared" si="75"/>
        <v>0.31687931503082833</v>
      </c>
      <c r="M149" s="212">
        <f t="shared" si="73"/>
        <v>0.68312068496917167</v>
      </c>
      <c r="N149" s="212">
        <v>8.74</v>
      </c>
      <c r="O149" s="213">
        <f t="shared" si="74"/>
        <v>0.90076522919687285</v>
      </c>
      <c r="Q149" s="284"/>
    </row>
    <row r="150" spans="1:17">
      <c r="A150" t="s">
        <v>393</v>
      </c>
      <c r="B150" s="195">
        <f>(2122758)/(5535196*2/60)</f>
        <v>11.505056008856778</v>
      </c>
      <c r="C150" s="212">
        <v>28.71</v>
      </c>
      <c r="D150" s="212">
        <f t="shared" si="69"/>
        <v>3.3031015801427812</v>
      </c>
      <c r="E150" s="40">
        <f>4080746/(5535196)*60</f>
        <v>44.234162620438376</v>
      </c>
      <c r="F150" s="212">
        <v>291.25</v>
      </c>
      <c r="G150" s="212">
        <f t="shared" si="70"/>
        <v>6.4415999316013384</v>
      </c>
      <c r="H150" s="214">
        <f>(280424/5535196)*60</f>
        <v>3.039718918715796</v>
      </c>
      <c r="I150" s="214">
        <v>125.25</v>
      </c>
      <c r="J150" s="214">
        <f t="shared" si="71"/>
        <v>0.19036239728457674</v>
      </c>
      <c r="K150" s="212">
        <f t="shared" si="72"/>
        <v>9.9350639090286972</v>
      </c>
      <c r="L150" s="212">
        <f t="shared" si="75"/>
        <v>0.33246908227143046</v>
      </c>
      <c r="M150" s="212">
        <f t="shared" si="73"/>
        <v>0.66753091772856954</v>
      </c>
      <c r="N150" s="212">
        <v>8.9499999999999993</v>
      </c>
      <c r="O150" s="213">
        <f t="shared" si="74"/>
        <v>0.98506390902869789</v>
      </c>
      <c r="Q150" s="284"/>
    </row>
    <row r="151" spans="1:17">
      <c r="A151" t="s">
        <v>394</v>
      </c>
      <c r="B151" s="195">
        <f>(2012823)/(5240230*2/60)</f>
        <v>11.523290008262995</v>
      </c>
      <c r="C151" s="212">
        <v>32.130000000000003</v>
      </c>
      <c r="D151" s="212">
        <f>(B151*C151)/100</f>
        <v>3.7024330796549005</v>
      </c>
      <c r="E151" s="40">
        <f>3851205/(5240230)*60</f>
        <v>44.095831671510602</v>
      </c>
      <c r="F151" s="212">
        <v>290.18</v>
      </c>
      <c r="G151" s="212">
        <f t="shared" si="70"/>
        <v>6.3978642172194728</v>
      </c>
      <c r="H151" s="214">
        <f>(260540/5240230)*60</f>
        <v>2.9831515028920488</v>
      </c>
      <c r="I151" s="214">
        <v>111.43</v>
      </c>
      <c r="J151" s="214">
        <f t="shared" si="71"/>
        <v>0.16620628598363049</v>
      </c>
      <c r="K151" s="212">
        <f t="shared" si="72"/>
        <v>10.266503582858004</v>
      </c>
      <c r="L151" s="212">
        <f>D151/K151</f>
        <v>0.3606323272352292</v>
      </c>
      <c r="M151" s="212">
        <f>(+G151+J151)/K151</f>
        <v>0.6393676727647708</v>
      </c>
      <c r="N151" s="212">
        <v>8.8800000000000008</v>
      </c>
      <c r="O151" s="213">
        <f t="shared" si="74"/>
        <v>1.386503582858003</v>
      </c>
      <c r="Q151" s="284"/>
    </row>
    <row r="152" spans="1:17">
      <c r="A152" t="s">
        <v>395</v>
      </c>
      <c r="B152" s="195">
        <f>(24844172)/(64936627*2/60)</f>
        <v>11.477731357989999</v>
      </c>
      <c r="C152" s="212">
        <f>AVERAGE(C140:C151)</f>
        <v>29.215833333333332</v>
      </c>
      <c r="D152" s="212">
        <f>(B152*C152)/100</f>
        <v>3.353314863998095</v>
      </c>
      <c r="E152" s="195">
        <f>47665071/(64936627)*60</f>
        <v>44.041466151298557</v>
      </c>
      <c r="F152" s="212">
        <f>AVERAGE(F140:F151)</f>
        <v>297.46583333333331</v>
      </c>
      <c r="G152" s="212">
        <f t="shared" si="70"/>
        <v>6.5504157149589082</v>
      </c>
      <c r="H152" s="214">
        <f>(3225492/64936627)*60</f>
        <v>2.9802829149102554</v>
      </c>
      <c r="I152" s="214">
        <f>AVERAGE(I140:I151)</f>
        <v>152.19125</v>
      </c>
      <c r="J152" s="214">
        <f t="shared" si="71"/>
        <v>0.2267864910869177</v>
      </c>
      <c r="K152" s="212">
        <f t="shared" si="72"/>
        <v>10.13051707004392</v>
      </c>
      <c r="L152" s="212">
        <f>D152/K152</f>
        <v>0.33101122487754286</v>
      </c>
      <c r="M152" s="212">
        <f>(+G152+J152)/K152</f>
        <v>0.66898877512245714</v>
      </c>
      <c r="N152" s="212">
        <f>AVERAGE(N140:N151)</f>
        <v>8.83</v>
      </c>
      <c r="O152" s="213">
        <f t="shared" si="74"/>
        <v>1.3005170700439201</v>
      </c>
    </row>
    <row r="153" spans="1:17">
      <c r="A153" t="s">
        <v>350</v>
      </c>
      <c r="B153" s="214"/>
      <c r="C153" s="195"/>
      <c r="D153" s="212"/>
      <c r="E153" s="226"/>
      <c r="F153" s="212"/>
      <c r="G153" s="212"/>
      <c r="H153" s="214"/>
      <c r="I153" s="214"/>
      <c r="J153" s="214"/>
      <c r="K153" s="212"/>
      <c r="L153" s="212"/>
      <c r="M153" s="212"/>
      <c r="N153" s="212"/>
      <c r="O153" s="213"/>
      <c r="Q153" s="284"/>
    </row>
    <row r="154" spans="1:17">
      <c r="A154" t="s">
        <v>382</v>
      </c>
      <c r="B154" s="195">
        <f>(1967621)/(5131665*2/60)</f>
        <v>11.502822183443385</v>
      </c>
      <c r="C154" s="212">
        <v>34.200000000000003</v>
      </c>
      <c r="D154" s="212">
        <f t="shared" ref="D154:D180" si="76">(B154*C154)/100</f>
        <v>3.933965186737638</v>
      </c>
      <c r="E154" s="195">
        <f>3754168/(5131665)*60</f>
        <v>43.894151313462586</v>
      </c>
      <c r="F154" s="212">
        <v>319.99</v>
      </c>
      <c r="G154" s="212">
        <f t="shared" ref="G154:G180" si="77">E154*F154/2000</f>
        <v>7.0228447393974465</v>
      </c>
      <c r="H154" s="214">
        <f>(255248/5131665)*60</f>
        <v>2.9843881079532668</v>
      </c>
      <c r="I154" s="214">
        <v>121.9</v>
      </c>
      <c r="J154" s="214">
        <f t="shared" ref="J154:J166" si="78">H154*I154/2000</f>
        <v>0.18189845517975162</v>
      </c>
      <c r="K154" s="212">
        <f t="shared" ref="K154:K166" si="79">D154+G154+J154</f>
        <v>11.138708381314837</v>
      </c>
      <c r="L154" s="212">
        <f t="shared" ref="L154:L166" si="80">D154/K154</f>
        <v>0.35317965531235718</v>
      </c>
      <c r="M154" s="212">
        <f t="shared" ref="M154:M166" si="81">(+G154+J154)/K154</f>
        <v>0.64682034468764282</v>
      </c>
      <c r="N154" s="212">
        <v>9.98</v>
      </c>
      <c r="O154" s="213">
        <f t="shared" ref="O154:O180" si="82">K154-N154</f>
        <v>1.1587083813148364</v>
      </c>
      <c r="Q154" s="284"/>
    </row>
    <row r="155" spans="1:17">
      <c r="A155" t="s">
        <v>383</v>
      </c>
      <c r="B155" s="195">
        <f>(2282471)/(5897079*2/60)</f>
        <v>11.611533438843198</v>
      </c>
      <c r="C155" s="212">
        <v>33.909999999999997</v>
      </c>
      <c r="D155" s="212">
        <f t="shared" si="76"/>
        <v>3.9374709891117283</v>
      </c>
      <c r="E155" s="195">
        <f>4335054/(5897079)*60</f>
        <v>44.107131683329996</v>
      </c>
      <c r="F155" s="212">
        <v>367.11</v>
      </c>
      <c r="G155" s="212">
        <f t="shared" si="77"/>
        <v>8.0960845561336381</v>
      </c>
      <c r="H155" s="214">
        <f>(280538/5897079)*60</f>
        <v>2.8543419547202946</v>
      </c>
      <c r="I155" s="214">
        <v>197.29</v>
      </c>
      <c r="J155" s="214">
        <f t="shared" si="78"/>
        <v>0.28156656212338343</v>
      </c>
      <c r="K155" s="212">
        <f t="shared" si="79"/>
        <v>12.315122107368751</v>
      </c>
      <c r="L155" s="212">
        <f t="shared" si="80"/>
        <v>0.31972650817288634</v>
      </c>
      <c r="M155" s="212">
        <f t="shared" si="81"/>
        <v>0.68027349182711361</v>
      </c>
      <c r="N155" s="212">
        <v>10.53</v>
      </c>
      <c r="O155" s="213">
        <f t="shared" si="82"/>
        <v>1.7851221073687515</v>
      </c>
      <c r="Q155" s="284"/>
    </row>
    <row r="156" spans="1:17">
      <c r="A156" t="s">
        <v>384</v>
      </c>
      <c r="B156" s="195">
        <f>(2206792)/(5731207*2/60)</f>
        <v>11.551451552875337</v>
      </c>
      <c r="C156" s="212">
        <v>37.79</v>
      </c>
      <c r="D156" s="212">
        <f t="shared" si="76"/>
        <v>4.3652935418315897</v>
      </c>
      <c r="E156" s="195">
        <f>4230274/(5731207)*60</f>
        <v>44.286734016063285</v>
      </c>
      <c r="F156" s="212">
        <v>387.83</v>
      </c>
      <c r="G156" s="212">
        <f t="shared" si="77"/>
        <v>8.5878620267249115</v>
      </c>
      <c r="H156" s="214">
        <f>286020/(5731207)*60</f>
        <v>2.9943430764235175</v>
      </c>
      <c r="I156" s="214">
        <v>228.72</v>
      </c>
      <c r="J156" s="214">
        <f t="shared" si="78"/>
        <v>0.34243307421979347</v>
      </c>
      <c r="K156" s="212">
        <f t="shared" si="79"/>
        <v>13.295588642776293</v>
      </c>
      <c r="L156" s="212">
        <f t="shared" si="80"/>
        <v>0.32832645918263453</v>
      </c>
      <c r="M156" s="212">
        <f t="shared" si="81"/>
        <v>0.67167354081736552</v>
      </c>
      <c r="N156" s="212">
        <v>11.43</v>
      </c>
      <c r="O156" s="213">
        <f t="shared" si="82"/>
        <v>1.8655886427762933</v>
      </c>
      <c r="Q156" s="284"/>
    </row>
    <row r="157" spans="1:17">
      <c r="A157" t="s">
        <v>385</v>
      </c>
      <c r="B157" s="195">
        <f>(2233486)/(5794233*2/60)</f>
        <v>11.564012009872574</v>
      </c>
      <c r="C157" s="212">
        <v>40.85</v>
      </c>
      <c r="D157" s="212">
        <f t="shared" si="76"/>
        <v>4.7238989060329466</v>
      </c>
      <c r="E157" s="195">
        <f>4235822/(5794233)*60</f>
        <v>43.862461174757726</v>
      </c>
      <c r="F157" s="212">
        <v>396.68</v>
      </c>
      <c r="G157" s="212">
        <f t="shared" si="77"/>
        <v>8.6996805494014477</v>
      </c>
      <c r="H157" s="214">
        <f>305109/(5794233)*60</f>
        <v>3.1594414653328577</v>
      </c>
      <c r="I157" s="214">
        <v>236.95</v>
      </c>
      <c r="J157" s="214">
        <f t="shared" si="78"/>
        <v>0.37431482760531032</v>
      </c>
      <c r="K157" s="212">
        <f t="shared" si="79"/>
        <v>13.797894283039705</v>
      </c>
      <c r="L157" s="212">
        <f t="shared" si="80"/>
        <v>0.34236375559418053</v>
      </c>
      <c r="M157" s="212">
        <f t="shared" si="81"/>
        <v>0.65763624440581947</v>
      </c>
      <c r="N157" s="212">
        <v>12.18</v>
      </c>
      <c r="O157" s="213">
        <f t="shared" si="82"/>
        <v>1.6178942830397052</v>
      </c>
      <c r="Q157" s="284"/>
    </row>
    <row r="158" spans="1:17">
      <c r="A158" t="s">
        <v>386</v>
      </c>
      <c r="B158" s="195">
        <f>(2308752)/(5895360*2/60)</f>
        <v>11.748656570591109</v>
      </c>
      <c r="C158" s="212">
        <v>44.31</v>
      </c>
      <c r="D158" s="212">
        <f t="shared" si="76"/>
        <v>5.2058297264289202</v>
      </c>
      <c r="E158" s="195">
        <f>4353068/(5895360)*60</f>
        <v>44.30333007653477</v>
      </c>
      <c r="F158" s="212">
        <v>439.24</v>
      </c>
      <c r="G158" s="212">
        <f t="shared" si="77"/>
        <v>9.7298973514085656</v>
      </c>
      <c r="H158" s="214">
        <f>312586/(5895360)*60</f>
        <v>3.1813426152092497</v>
      </c>
      <c r="I158" s="214">
        <v>231.11</v>
      </c>
      <c r="J158" s="214">
        <f t="shared" si="78"/>
        <v>0.36762004590050484</v>
      </c>
      <c r="K158" s="212">
        <f t="shared" si="79"/>
        <v>15.303347123737991</v>
      </c>
      <c r="L158" s="212">
        <f t="shared" si="80"/>
        <v>0.34017588991063452</v>
      </c>
      <c r="M158" s="212">
        <f t="shared" si="81"/>
        <v>0.65982411008936548</v>
      </c>
      <c r="N158" s="212">
        <v>13.85</v>
      </c>
      <c r="O158" s="213">
        <f t="shared" si="82"/>
        <v>1.4533471237379914</v>
      </c>
      <c r="Q158" s="284"/>
    </row>
    <row r="159" spans="1:17">
      <c r="A159" t="s">
        <v>387</v>
      </c>
      <c r="B159" s="195">
        <f>(1924749)/(4930499*2/60)</f>
        <v>11.711283178436908</v>
      </c>
      <c r="C159" s="212">
        <v>48.37</v>
      </c>
      <c r="D159" s="212">
        <f t="shared" si="76"/>
        <v>5.6647476734099325</v>
      </c>
      <c r="E159" s="195">
        <f>3652574/(4930499)*60</f>
        <v>44.448734296467755</v>
      </c>
      <c r="F159" s="212">
        <v>427.28</v>
      </c>
      <c r="G159" s="212">
        <f t="shared" si="77"/>
        <v>9.4960275950973703</v>
      </c>
      <c r="H159" s="214">
        <f>266097/(4930499)*60</f>
        <v>3.2381752840838218</v>
      </c>
      <c r="I159" s="214">
        <v>194.34</v>
      </c>
      <c r="J159" s="214">
        <f t="shared" si="78"/>
        <v>0.31465349235442502</v>
      </c>
      <c r="K159" s="212">
        <f t="shared" si="79"/>
        <v>15.475428760861728</v>
      </c>
      <c r="L159" s="212">
        <f t="shared" si="80"/>
        <v>0.36604786600397227</v>
      </c>
      <c r="M159" s="212">
        <f t="shared" si="81"/>
        <v>0.63395213399602779</v>
      </c>
      <c r="N159" s="212">
        <v>13.96</v>
      </c>
      <c r="O159" s="213">
        <f t="shared" si="82"/>
        <v>1.5154287608617274</v>
      </c>
      <c r="Q159" s="284"/>
    </row>
    <row r="160" spans="1:17">
      <c r="A160" t="s">
        <v>388</v>
      </c>
      <c r="B160" s="195">
        <f>(2222123)/(5646728*2/60)</f>
        <v>11.805720055933277</v>
      </c>
      <c r="C160" s="212">
        <v>54</v>
      </c>
      <c r="D160" s="212">
        <f t="shared" si="76"/>
        <v>6.3750888302039694</v>
      </c>
      <c r="E160" s="195">
        <f>4181300/(5646728)*60</f>
        <v>44.428915293954304</v>
      </c>
      <c r="F160" s="212">
        <v>410.02</v>
      </c>
      <c r="G160" s="212">
        <f t="shared" si="77"/>
        <v>9.1083719244135715</v>
      </c>
      <c r="H160" s="214">
        <f>295287/(5646728)*60</f>
        <v>3.1376081865462622</v>
      </c>
      <c r="I160" s="214">
        <v>182.5</v>
      </c>
      <c r="J160" s="214">
        <f t="shared" si="78"/>
        <v>0.28630674702234643</v>
      </c>
      <c r="K160" s="212">
        <f t="shared" si="79"/>
        <v>15.769767501639887</v>
      </c>
      <c r="L160" s="212">
        <f t="shared" si="80"/>
        <v>0.40426016614011767</v>
      </c>
      <c r="M160" s="212">
        <f t="shared" si="81"/>
        <v>0.59573983385988227</v>
      </c>
      <c r="N160" s="212">
        <v>14.37</v>
      </c>
      <c r="O160" s="213">
        <f t="shared" si="82"/>
        <v>1.3997675016398876</v>
      </c>
      <c r="Q160" s="284"/>
    </row>
    <row r="161" spans="1:17">
      <c r="A161" t="s">
        <v>389</v>
      </c>
      <c r="B161" s="195">
        <f>(1991877)/(5095631*2/60)</f>
        <v>11.726969633397708</v>
      </c>
      <c r="C161" s="212">
        <v>62.88</v>
      </c>
      <c r="D161" s="212">
        <f t="shared" si="76"/>
        <v>7.3739185054804794</v>
      </c>
      <c r="E161" s="195">
        <f>3773943/(5095631)*60</f>
        <v>44.437397448912613</v>
      </c>
      <c r="F161" s="212">
        <v>413.36</v>
      </c>
      <c r="G161" s="212">
        <f t="shared" si="77"/>
        <v>9.1843213047412586</v>
      </c>
      <c r="H161" s="214">
        <f>270766/(5095631)*60</f>
        <v>3.1882135892492998</v>
      </c>
      <c r="I161" s="214">
        <v>189.38</v>
      </c>
      <c r="J161" s="214">
        <f t="shared" si="78"/>
        <v>0.30189194476601622</v>
      </c>
      <c r="K161" s="212">
        <f t="shared" si="79"/>
        <v>16.860131754987755</v>
      </c>
      <c r="L161" s="212">
        <f t="shared" si="80"/>
        <v>0.43735829663958842</v>
      </c>
      <c r="M161" s="212">
        <f t="shared" si="81"/>
        <v>0.56264170336041153</v>
      </c>
      <c r="N161" s="212">
        <v>14.94</v>
      </c>
      <c r="O161" s="213">
        <f t="shared" si="82"/>
        <v>1.9201317549877555</v>
      </c>
      <c r="Q161" s="284"/>
    </row>
    <row r="162" spans="1:17">
      <c r="A162" t="s">
        <v>390</v>
      </c>
      <c r="B162" s="195">
        <f>(2043135)/(5205032*2/60)</f>
        <v>11.775921838712998</v>
      </c>
      <c r="C162" s="212">
        <v>74.75</v>
      </c>
      <c r="D162" s="212">
        <f t="shared" si="76"/>
        <v>8.8025015744379669</v>
      </c>
      <c r="E162" s="195">
        <f>3849675/(5205032)*60</f>
        <v>44.376384237407187</v>
      </c>
      <c r="F162" s="212">
        <v>421.03</v>
      </c>
      <c r="G162" s="212">
        <f t="shared" si="77"/>
        <v>9.3418945277377734</v>
      </c>
      <c r="H162" s="214">
        <f>273209/(5205032)*60</f>
        <v>3.1493639232189161</v>
      </c>
      <c r="I162" s="214">
        <v>193.13</v>
      </c>
      <c r="J162" s="214">
        <f t="shared" si="78"/>
        <v>0.30411832724563465</v>
      </c>
      <c r="K162" s="212">
        <f t="shared" si="79"/>
        <v>18.448514429421376</v>
      </c>
      <c r="L162" s="212">
        <f t="shared" si="80"/>
        <v>0.47713877494655543</v>
      </c>
      <c r="M162" s="212">
        <f t="shared" si="81"/>
        <v>0.52286122505344446</v>
      </c>
      <c r="N162" s="212">
        <v>16.13</v>
      </c>
      <c r="O162" s="213">
        <f t="shared" si="82"/>
        <v>2.3185144294213771</v>
      </c>
      <c r="Q162" s="284"/>
    </row>
    <row r="163" spans="1:17">
      <c r="A163" t="s">
        <v>392</v>
      </c>
      <c r="B163" s="195">
        <f>(1908649)/(4852334*2/60)</f>
        <v>11.80039749943017</v>
      </c>
      <c r="C163" s="212">
        <v>74.75</v>
      </c>
      <c r="D163" s="212">
        <f t="shared" si="76"/>
        <v>8.8207971308240527</v>
      </c>
      <c r="E163" s="195">
        <f>3579777/(4852334)*60</f>
        <v>44.264599262952636</v>
      </c>
      <c r="F163" s="212">
        <v>378.18</v>
      </c>
      <c r="G163" s="212">
        <f t="shared" si="77"/>
        <v>8.369993074631715</v>
      </c>
      <c r="H163" s="214">
        <f>254174/(4852334)*60</f>
        <v>3.1429081345183576</v>
      </c>
      <c r="I163" s="214">
        <v>181.25</v>
      </c>
      <c r="J163" s="214">
        <f t="shared" si="78"/>
        <v>0.28482604969072617</v>
      </c>
      <c r="K163" s="212">
        <f t="shared" si="79"/>
        <v>17.475616255146495</v>
      </c>
      <c r="L163" s="212">
        <f t="shared" si="80"/>
        <v>0.50474884559372069</v>
      </c>
      <c r="M163" s="212">
        <f t="shared" si="81"/>
        <v>0.49525115440627937</v>
      </c>
      <c r="N163" s="212">
        <v>15.07</v>
      </c>
      <c r="O163" s="213">
        <f t="shared" si="82"/>
        <v>2.4056162551464944</v>
      </c>
      <c r="Q163" s="284"/>
    </row>
    <row r="164" spans="1:17">
      <c r="A164" t="s">
        <v>393</v>
      </c>
      <c r="B164" s="195">
        <f>(1972688)/(4989996*2/60)</f>
        <v>11.859857202290343</v>
      </c>
      <c r="C164" s="212">
        <v>72.930000000000007</v>
      </c>
      <c r="D164" s="212">
        <f t="shared" si="76"/>
        <v>8.6493938576303488</v>
      </c>
      <c r="E164" s="195">
        <f>3698749/(4989996)*60</f>
        <v>44.47397152222166</v>
      </c>
      <c r="F164" s="212">
        <v>365.23</v>
      </c>
      <c r="G164" s="212">
        <f t="shared" si="77"/>
        <v>8.1216143095305089</v>
      </c>
      <c r="H164" s="214">
        <f>267750/(4989996)*60</f>
        <v>3.219441458470107</v>
      </c>
      <c r="I164" s="214">
        <v>173.13</v>
      </c>
      <c r="J164" s="214">
        <f t="shared" si="78"/>
        <v>0.27869094985246484</v>
      </c>
      <c r="K164" s="212">
        <f t="shared" si="79"/>
        <v>17.049699117013322</v>
      </c>
      <c r="L164" s="212">
        <f t="shared" si="80"/>
        <v>0.50730477988314815</v>
      </c>
      <c r="M164" s="212">
        <f t="shared" si="81"/>
        <v>0.49269522011685185</v>
      </c>
      <c r="N164" s="212">
        <v>14.52</v>
      </c>
      <c r="O164" s="213">
        <f t="shared" si="82"/>
        <v>2.5296991170133225</v>
      </c>
      <c r="Q164" s="284"/>
    </row>
    <row r="165" spans="1:17">
      <c r="A165" t="s">
        <v>394</v>
      </c>
      <c r="B165" s="195">
        <f>(1989733)/(5047776*2/60)</f>
        <v>11.825403900648523</v>
      </c>
      <c r="C165" s="212">
        <v>70.010000000000005</v>
      </c>
      <c r="D165" s="212">
        <f>(B165*C165)/100</f>
        <v>8.2789652708440311</v>
      </c>
      <c r="E165" s="195">
        <f>3728116/(5047776)*60</f>
        <v>44.313963218653129</v>
      </c>
      <c r="F165" s="212">
        <v>358.21</v>
      </c>
      <c r="G165" s="212">
        <f>E165*F165/2000</f>
        <v>7.9368523822768688</v>
      </c>
      <c r="H165" s="214">
        <f>267178/(5047776)*60</f>
        <v>3.1757906848481392</v>
      </c>
      <c r="I165" s="214">
        <v>167.5</v>
      </c>
      <c r="J165" s="214">
        <f t="shared" si="78"/>
        <v>0.26597246985603162</v>
      </c>
      <c r="K165" s="212">
        <f>D165+G165+J165</f>
        <v>16.481790122976932</v>
      </c>
      <c r="L165" s="212">
        <f>D165/K165</f>
        <v>0.50230983461574918</v>
      </c>
      <c r="M165" s="212">
        <f>(+G165+J165)/K165</f>
        <v>0.49769016538425082</v>
      </c>
      <c r="N165" s="212">
        <v>13.91</v>
      </c>
      <c r="O165" s="213">
        <f>K165-N165</f>
        <v>2.5717901229769318</v>
      </c>
      <c r="Q165" s="284"/>
    </row>
    <row r="166" spans="1:17">
      <c r="A166" t="s">
        <v>395</v>
      </c>
      <c r="B166" s="195">
        <f>(25052076)/(64217540*2/60)</f>
        <v>11.703380104563333</v>
      </c>
      <c r="C166" s="212">
        <f>AVERAGE(C154:C165)</f>
        <v>54.0625</v>
      </c>
      <c r="D166" s="212">
        <f t="shared" si="76"/>
        <v>6.3271398690295522</v>
      </c>
      <c r="E166" s="195">
        <f>47372520/(64217540)*60</f>
        <v>44.261290606896495</v>
      </c>
      <c r="F166" s="212">
        <f>AVERAGE(F154:F165)</f>
        <v>390.34666666666664</v>
      </c>
      <c r="G166" s="212">
        <f t="shared" si="77"/>
        <v>8.6386236253833442</v>
      </c>
      <c r="H166" s="214">
        <f>(3333962/64217540)*60</f>
        <v>3.115001290924567</v>
      </c>
      <c r="I166" s="214">
        <f>AVERAGE(I154:I165)</f>
        <v>191.43333333333337</v>
      </c>
      <c r="J166" s="214">
        <f t="shared" si="78"/>
        <v>0.29815754022966318</v>
      </c>
      <c r="K166" s="212">
        <f t="shared" si="79"/>
        <v>15.263921034642561</v>
      </c>
      <c r="L166" s="212">
        <f t="shared" si="80"/>
        <v>0.41451602472717564</v>
      </c>
      <c r="M166" s="212">
        <f t="shared" si="81"/>
        <v>0.58548397527282425</v>
      </c>
      <c r="N166" s="212">
        <f>AVERAGE(N154:N165)</f>
        <v>13.405833333333334</v>
      </c>
      <c r="O166" s="213">
        <f t="shared" si="82"/>
        <v>1.858087701309227</v>
      </c>
    </row>
    <row r="167" spans="1:17">
      <c r="A167" t="s">
        <v>503</v>
      </c>
      <c r="B167" s="195"/>
      <c r="C167" s="195"/>
      <c r="D167" s="212"/>
      <c r="E167" s="195"/>
      <c r="F167" s="195"/>
      <c r="G167" s="195"/>
      <c r="H167" s="214"/>
      <c r="I167" s="214"/>
      <c r="J167" s="214"/>
      <c r="K167" s="212"/>
      <c r="L167" s="212"/>
      <c r="M167" s="212"/>
      <c r="N167" s="212"/>
      <c r="O167" s="213"/>
      <c r="Q167" s="284"/>
    </row>
    <row r="168" spans="1:17">
      <c r="A168" t="s">
        <v>382</v>
      </c>
      <c r="B168" s="195">
        <f>(1938212)/(4924574*2/60)</f>
        <v>11.807388821855453</v>
      </c>
      <c r="C168" s="195">
        <v>65.930000000000007</v>
      </c>
      <c r="D168" s="212">
        <f t="shared" si="76"/>
        <v>7.7846114502493</v>
      </c>
      <c r="E168" s="195">
        <f>3604266/(4924574)*60</f>
        <v>43.913638012140744</v>
      </c>
      <c r="F168" s="212">
        <v>343.55</v>
      </c>
      <c r="G168" s="212">
        <f t="shared" si="77"/>
        <v>7.5432651695354762</v>
      </c>
      <c r="H168" s="214">
        <v>3.2090288418856128</v>
      </c>
      <c r="I168" s="214">
        <v>170.5</v>
      </c>
      <c r="J168" s="214">
        <f t="shared" ref="J168:J180" si="83">H168*I168/2000</f>
        <v>0.27356970877074849</v>
      </c>
      <c r="K168" s="212">
        <f t="shared" ref="K168:K178" si="84">D168+G168+J168</f>
        <v>15.601446328555525</v>
      </c>
      <c r="L168" s="212">
        <f t="shared" ref="L168:L178" si="85">D168/K168</f>
        <v>0.49896729356438108</v>
      </c>
      <c r="M168" s="212">
        <f t="shared" ref="M168:M178" si="86">(+G168+J168)/K168</f>
        <v>0.50103270643561892</v>
      </c>
      <c r="N168" s="212">
        <v>12.77</v>
      </c>
      <c r="O168" s="213">
        <f t="shared" si="82"/>
        <v>2.8314463285555256</v>
      </c>
      <c r="Q168" s="284"/>
    </row>
    <row r="169" spans="1:17">
      <c r="A169" t="s">
        <v>383</v>
      </c>
      <c r="B169" s="195">
        <f>(2347580)/(5908157*2/60)</f>
        <v>11.920367045086987</v>
      </c>
      <c r="C169" s="195">
        <v>70.42</v>
      </c>
      <c r="D169" s="212">
        <f t="shared" si="76"/>
        <v>8.3943224731502557</v>
      </c>
      <c r="E169" s="195">
        <f>4284256/(5908157)*60</f>
        <v>43.508552667100759</v>
      </c>
      <c r="F169" s="212">
        <v>325.43</v>
      </c>
      <c r="G169" s="212">
        <f t="shared" si="77"/>
        <v>7.0794941472273001</v>
      </c>
      <c r="H169" s="214">
        <f>307383/(5908157)*60</f>
        <v>3.1216130512442373</v>
      </c>
      <c r="I169" s="214">
        <v>171.88</v>
      </c>
      <c r="J169" s="214">
        <f t="shared" si="83"/>
        <v>0.26827142562392975</v>
      </c>
      <c r="K169" s="212">
        <f t="shared" si="84"/>
        <v>15.742088046001484</v>
      </c>
      <c r="L169" s="212">
        <f t="shared" si="85"/>
        <v>0.53324072693662938</v>
      </c>
      <c r="M169" s="212">
        <f t="shared" si="86"/>
        <v>0.46675927306337062</v>
      </c>
      <c r="N169" s="212">
        <v>12.18</v>
      </c>
      <c r="O169" s="213">
        <f t="shared" si="82"/>
        <v>3.5620880460014845</v>
      </c>
      <c r="Q169" s="284"/>
    </row>
    <row r="170" spans="1:17">
      <c r="A170" s="194" t="s">
        <v>384</v>
      </c>
      <c r="B170" s="296">
        <f>(2235370)/(5717943*2/60)</f>
        <v>11.728186167648051</v>
      </c>
      <c r="C170" s="296">
        <v>66.459999999999994</v>
      </c>
      <c r="D170" s="243">
        <f t="shared" si="76"/>
        <v>7.7945525270188947</v>
      </c>
      <c r="E170" s="296">
        <f>4164959/(5717943)*60</f>
        <v>43.704097784815275</v>
      </c>
      <c r="F170" s="243">
        <v>358.73</v>
      </c>
      <c r="G170" s="243">
        <f t="shared" si="77"/>
        <v>7.8389854991733916</v>
      </c>
      <c r="H170" s="297">
        <f>291811/(5717943)*60</f>
        <v>3.0620557077956181</v>
      </c>
      <c r="I170" s="297">
        <v>164</v>
      </c>
      <c r="J170" s="297">
        <f t="shared" si="83"/>
        <v>0.25108856803924068</v>
      </c>
      <c r="K170" s="243">
        <f t="shared" si="84"/>
        <v>15.884626594231527</v>
      </c>
      <c r="L170" s="243">
        <f t="shared" si="85"/>
        <v>0.49069787575928742</v>
      </c>
      <c r="M170" s="243">
        <f t="shared" si="86"/>
        <v>0.50930212424071253</v>
      </c>
      <c r="N170" s="243">
        <v>12.45</v>
      </c>
      <c r="O170" s="298">
        <f t="shared" si="82"/>
        <v>3.4346265942315277</v>
      </c>
      <c r="Q170" s="284"/>
    </row>
    <row r="171" spans="1:17">
      <c r="A171" t="s">
        <v>385</v>
      </c>
      <c r="B171" s="195">
        <f>(2324183)/(5947222*2/60)</f>
        <v>11.724043595480376</v>
      </c>
      <c r="C171" s="195">
        <v>63.69</v>
      </c>
      <c r="D171" s="212">
        <f t="shared" si="76"/>
        <v>7.4670433659614517</v>
      </c>
      <c r="E171" s="195">
        <f>4322245/(5947222)*60</f>
        <v>43.606023114657567</v>
      </c>
      <c r="F171" s="243">
        <v>399.53</v>
      </c>
      <c r="G171" s="212">
        <f t="shared" si="77"/>
        <v>8.7109572074995683</v>
      </c>
      <c r="H171" s="214">
        <f>307307/(5947222)*60</f>
        <v>3.100341638499454</v>
      </c>
      <c r="I171" s="214">
        <v>167.5</v>
      </c>
      <c r="J171" s="214">
        <f t="shared" si="83"/>
        <v>0.25965361222432926</v>
      </c>
      <c r="K171" s="212">
        <f t="shared" si="84"/>
        <v>16.43765418568535</v>
      </c>
      <c r="L171" s="212">
        <f t="shared" si="85"/>
        <v>0.45426453687437285</v>
      </c>
      <c r="M171" s="212">
        <f t="shared" si="86"/>
        <v>0.54573546312562715</v>
      </c>
      <c r="N171" s="212">
        <v>13.1</v>
      </c>
      <c r="O171" s="213">
        <f t="shared" si="82"/>
        <v>3.3376541856853503</v>
      </c>
      <c r="Q171" s="284"/>
    </row>
    <row r="172" spans="1:17">
      <c r="A172" t="s">
        <v>386</v>
      </c>
      <c r="B172" s="195">
        <f>(2277355)/(5828974*2/60)</f>
        <v>11.72087060261377</v>
      </c>
      <c r="C172" s="195">
        <v>65.7</v>
      </c>
      <c r="D172" s="212">
        <f t="shared" si="76"/>
        <v>7.7006119859172477</v>
      </c>
      <c r="E172" s="195">
        <f>4231017/(5828974)*60</f>
        <v>43.551578716940583</v>
      </c>
      <c r="F172" s="212">
        <v>421.21</v>
      </c>
      <c r="G172" s="212">
        <f t="shared" si="77"/>
        <v>9.1721802356812709</v>
      </c>
      <c r="H172" s="214">
        <f>302136/(5828974)*60</f>
        <v>3.110008725377742</v>
      </c>
      <c r="I172" s="214">
        <v>171.25</v>
      </c>
      <c r="J172" s="214">
        <f t="shared" si="83"/>
        <v>0.26629449711046915</v>
      </c>
      <c r="K172" s="212">
        <f t="shared" si="84"/>
        <v>17.139086718708988</v>
      </c>
      <c r="L172" s="212">
        <f t="shared" si="85"/>
        <v>0.44930118578087813</v>
      </c>
      <c r="M172" s="212">
        <f t="shared" si="86"/>
        <v>0.55069881421912181</v>
      </c>
      <c r="N172" s="212">
        <v>13.92</v>
      </c>
      <c r="O172" s="213">
        <f t="shared" si="82"/>
        <v>3.2190867187089882</v>
      </c>
      <c r="Q172" s="284"/>
    </row>
    <row r="173" spans="1:17">
      <c r="A173" t="s">
        <v>387</v>
      </c>
      <c r="B173" s="195">
        <f>(2064199)/(5232453*2/60)</f>
        <v>11.834978737506098</v>
      </c>
      <c r="C173" s="195">
        <v>70.91</v>
      </c>
      <c r="D173" s="212">
        <f t="shared" si="76"/>
        <v>8.3921834227655747</v>
      </c>
      <c r="E173" s="195">
        <f>3817784/(5232453)*60</f>
        <v>43.778136182016354</v>
      </c>
      <c r="F173" s="212">
        <v>460.45</v>
      </c>
      <c r="G173" s="212">
        <f t="shared" si="77"/>
        <v>10.078821402504715</v>
      </c>
      <c r="H173" s="214">
        <f>272171/(5232453)*60</f>
        <v>3.1209568437595139</v>
      </c>
      <c r="I173" s="214">
        <v>181.53</v>
      </c>
      <c r="J173" s="214">
        <f t="shared" si="83"/>
        <v>0.28327364792383231</v>
      </c>
      <c r="K173" s="212">
        <f t="shared" si="84"/>
        <v>18.754278473194123</v>
      </c>
      <c r="L173" s="212">
        <f t="shared" si="85"/>
        <v>0.44748100732111318</v>
      </c>
      <c r="M173" s="212">
        <f t="shared" si="86"/>
        <v>0.55251899267888682</v>
      </c>
      <c r="N173" s="212">
        <v>15.946368421052631</v>
      </c>
      <c r="O173" s="213">
        <f t="shared" si="82"/>
        <v>2.8079100521414926</v>
      </c>
      <c r="Q173" s="284"/>
    </row>
    <row r="174" spans="1:17">
      <c r="A174" t="s">
        <v>388</v>
      </c>
      <c r="B174" s="195">
        <f>(2277541)/(5786159*2/60)</f>
        <v>11.808564196040932</v>
      </c>
      <c r="C174" s="195">
        <v>76.405000000000001</v>
      </c>
      <c r="D174" s="212">
        <f t="shared" si="76"/>
        <v>9.0223334739850731</v>
      </c>
      <c r="E174" s="195">
        <f>4249054/(5786159)*60</f>
        <v>44.060876999750612</v>
      </c>
      <c r="F174" s="212">
        <v>493.97500000000002</v>
      </c>
      <c r="G174" s="212">
        <f t="shared" si="77"/>
        <v>10.882485857975905</v>
      </c>
      <c r="H174" s="214">
        <f>300577/(5786159)*60</f>
        <v>3.1168552402379541</v>
      </c>
      <c r="I174" s="214">
        <v>189.5</v>
      </c>
      <c r="J174" s="214">
        <f t="shared" si="83"/>
        <v>0.29532203401254614</v>
      </c>
      <c r="K174" s="212">
        <f t="shared" si="84"/>
        <v>20.200141365973526</v>
      </c>
      <c r="L174" s="212">
        <f t="shared" si="85"/>
        <v>0.44664704620250317</v>
      </c>
      <c r="M174" s="212">
        <f t="shared" si="86"/>
        <v>0.55335295379749672</v>
      </c>
      <c r="N174" s="212">
        <v>16.723239130434784</v>
      </c>
      <c r="O174" s="213">
        <f t="shared" si="82"/>
        <v>3.4769022355387413</v>
      </c>
      <c r="Q174" s="284"/>
    </row>
    <row r="175" spans="1:17">
      <c r="A175" t="s">
        <v>389</v>
      </c>
      <c r="B175" s="195">
        <f>(2143118)/(5426712*2/60)</f>
        <v>11.847604958582655</v>
      </c>
      <c r="C175" s="195">
        <v>83.846000000000004</v>
      </c>
      <c r="D175" s="212">
        <f t="shared" si="76"/>
        <v>9.9337428535732144</v>
      </c>
      <c r="E175" s="195">
        <f>3975098/(5426712)*60</f>
        <v>43.950347834932096</v>
      </c>
      <c r="F175" s="212">
        <v>475.35999999999996</v>
      </c>
      <c r="G175" s="212">
        <f t="shared" si="77"/>
        <v>10.44611867340666</v>
      </c>
      <c r="H175" s="214">
        <f>279447/(5426712)*60</f>
        <v>3.0896830345889001</v>
      </c>
      <c r="I175" s="214">
        <v>207.57200000000003</v>
      </c>
      <c r="J175" s="214">
        <f t="shared" si="83"/>
        <v>0.32066584342784366</v>
      </c>
      <c r="K175" s="212">
        <f t="shared" si="84"/>
        <v>20.700527370407716</v>
      </c>
      <c r="L175" s="212">
        <f t="shared" si="85"/>
        <v>0.47987873332028835</v>
      </c>
      <c r="M175" s="212">
        <f t="shared" si="86"/>
        <v>0.5201212666797117</v>
      </c>
      <c r="N175" s="212">
        <v>16.978199999999994</v>
      </c>
      <c r="O175" s="213">
        <f t="shared" si="82"/>
        <v>3.7223273704077222</v>
      </c>
      <c r="Q175" s="284"/>
    </row>
    <row r="176" spans="1:17">
      <c r="A176" t="s">
        <v>390</v>
      </c>
      <c r="B176" s="195">
        <f>(2158774)/(5427160*2/60)</f>
        <v>11.933169466166467</v>
      </c>
      <c r="C176" s="195">
        <v>87.385000000000005</v>
      </c>
      <c r="D176" s="212">
        <f t="shared" si="76"/>
        <v>10.427800138009568</v>
      </c>
      <c r="E176" s="195">
        <f>3978135/(5427160)*60</f>
        <v>43.980295403120607</v>
      </c>
      <c r="F176" s="212">
        <v>441.27499999999998</v>
      </c>
      <c r="G176" s="212">
        <f t="shared" si="77"/>
        <v>9.7037024270060233</v>
      </c>
      <c r="H176" s="214">
        <f>281954/(5427160)*60</f>
        <v>3.1171441416873651</v>
      </c>
      <c r="I176" s="214">
        <v>219.15</v>
      </c>
      <c r="J176" s="214">
        <f t="shared" si="83"/>
        <v>0.34156106932539304</v>
      </c>
      <c r="K176" s="212">
        <f t="shared" si="84"/>
        <v>20.473063634340985</v>
      </c>
      <c r="L176" s="212">
        <f t="shared" si="85"/>
        <v>0.50934243766615594</v>
      </c>
      <c r="M176" s="212">
        <f t="shared" si="86"/>
        <v>0.49065756233384406</v>
      </c>
      <c r="N176" s="212">
        <v>17.025976190476189</v>
      </c>
      <c r="O176" s="213">
        <f t="shared" si="82"/>
        <v>3.4470874438647954</v>
      </c>
      <c r="Q176" s="284"/>
    </row>
    <row r="177" spans="1:17">
      <c r="A177" t="s">
        <v>392</v>
      </c>
      <c r="B177" s="195">
        <f>(2068578)/(5222412*2/60)</f>
        <v>11.882888596303777</v>
      </c>
      <c r="C177" s="195">
        <v>80.297499999999999</v>
      </c>
      <c r="D177" s="212">
        <f t="shared" si="76"/>
        <v>9.541662470617025</v>
      </c>
      <c r="E177" s="195">
        <f>3837474/(5222412)*60</f>
        <v>44.088524612765134</v>
      </c>
      <c r="F177" s="212">
        <v>445.92499999999995</v>
      </c>
      <c r="G177" s="212">
        <f t="shared" si="77"/>
        <v>9.8300876689736452</v>
      </c>
      <c r="H177" s="214">
        <f>269091/(5222412)*60</f>
        <v>3.0915714807640606</v>
      </c>
      <c r="I177" s="214">
        <v>209.715</v>
      </c>
      <c r="J177" s="214">
        <f t="shared" si="83"/>
        <v>0.3241744565442175</v>
      </c>
      <c r="K177" s="212">
        <f t="shared" si="84"/>
        <v>19.695924596134887</v>
      </c>
      <c r="L177" s="212">
        <f t="shared" si="85"/>
        <v>0.48444856823271315</v>
      </c>
      <c r="M177" s="212">
        <f t="shared" si="86"/>
        <v>0.51555143176728691</v>
      </c>
      <c r="N177" s="212">
        <v>17.427842857142849</v>
      </c>
      <c r="O177" s="213">
        <f t="shared" si="82"/>
        <v>2.2680817389920378</v>
      </c>
      <c r="Q177" s="284"/>
    </row>
    <row r="178" spans="1:17">
      <c r="A178" s="194" t="s">
        <v>393</v>
      </c>
      <c r="B178" s="296">
        <f>(2169930)/(5441780*2/60)</f>
        <v>11.962611498443525</v>
      </c>
      <c r="C178" s="296">
        <v>67.74799999999999</v>
      </c>
      <c r="D178" s="243">
        <f t="shared" si="76"/>
        <v>8.1044300379655176</v>
      </c>
      <c r="E178" s="296">
        <f>3988429/(5441780)*60</f>
        <v>43.975636648302576</v>
      </c>
      <c r="F178" s="243">
        <v>467.87</v>
      </c>
      <c r="G178" s="243">
        <f t="shared" si="77"/>
        <v>10.287440559320663</v>
      </c>
      <c r="H178" s="297">
        <f>281546/(5440043)*60</f>
        <v>3.1052622194346626</v>
      </c>
      <c r="I178" s="297">
        <v>201.89400000000001</v>
      </c>
      <c r="J178" s="297">
        <f t="shared" si="83"/>
        <v>0.31346690526527088</v>
      </c>
      <c r="K178" s="243">
        <f t="shared" si="84"/>
        <v>18.705337502551451</v>
      </c>
      <c r="L178" s="243">
        <f t="shared" si="85"/>
        <v>0.4332683137559028</v>
      </c>
      <c r="M178" s="243">
        <f t="shared" si="86"/>
        <v>0.5667316862440972</v>
      </c>
      <c r="N178" s="243">
        <v>16.031424999999999</v>
      </c>
      <c r="O178" s="298">
        <f t="shared" si="82"/>
        <v>2.6739125025514525</v>
      </c>
      <c r="Q178" s="284"/>
    </row>
    <row r="179" spans="1:17">
      <c r="A179" t="s">
        <v>394</v>
      </c>
      <c r="B179" s="195">
        <f>(2095581)/(5252619*2/60)</f>
        <v>11.968777861101291</v>
      </c>
      <c r="C179" s="195">
        <v>72.334999999999994</v>
      </c>
      <c r="D179" s="212">
        <f>(B179*C179)/100</f>
        <v>8.6576154658276181</v>
      </c>
      <c r="E179" s="195">
        <f>3870512/(5252619)*60</f>
        <v>44.212367201961541</v>
      </c>
      <c r="F179" s="212">
        <v>510.90000000000009</v>
      </c>
      <c r="G179" s="212">
        <f>E179*F179/2000</f>
        <v>11.294049201741078</v>
      </c>
      <c r="H179" s="214">
        <f>276725/(5252619)*60</f>
        <v>3.1609945438646894</v>
      </c>
      <c r="I179" s="214">
        <v>215.73</v>
      </c>
      <c r="J179" s="214">
        <f t="shared" si="83"/>
        <v>0.34096067647396472</v>
      </c>
      <c r="K179" s="212">
        <f>D179+G179+J179</f>
        <v>20.292625344042662</v>
      </c>
      <c r="L179" s="212">
        <f>D179/K179</f>
        <v>0.42663851123478452</v>
      </c>
      <c r="M179" s="212">
        <f>(+G179+J179)/K179</f>
        <v>0.57336148876521542</v>
      </c>
      <c r="N179" s="212">
        <v>16.011630434782614</v>
      </c>
      <c r="O179" s="213">
        <f>K179-N179</f>
        <v>4.2809949092600483</v>
      </c>
      <c r="Q179" s="284"/>
    </row>
    <row r="180" spans="1:17">
      <c r="A180" s="223" t="s">
        <v>395</v>
      </c>
      <c r="B180" s="299">
        <f>(26100421)/(66116165*2/60)</f>
        <v>11.842983179680795</v>
      </c>
      <c r="C180" s="299">
        <f>AVERAGE(C168:C179)</f>
        <v>72.593875000000011</v>
      </c>
      <c r="D180" s="300">
        <f t="shared" si="76"/>
        <v>8.5972804057285028</v>
      </c>
      <c r="E180" s="299">
        <f>48323229/(66116165)*60</f>
        <v>43.853023538192211</v>
      </c>
      <c r="F180" s="300">
        <f>AVERAGE(F168:F179)</f>
        <v>428.68374999999997</v>
      </c>
      <c r="G180" s="300">
        <f t="shared" si="77"/>
        <v>9.3995392895952516</v>
      </c>
      <c r="H180" s="301">
        <f>(3433838/66116165)*60</f>
        <v>3.1161861853300175</v>
      </c>
      <c r="I180" s="301">
        <f>AVERAGE(I168:I179)</f>
        <v>189.18508333333332</v>
      </c>
      <c r="J180" s="301">
        <f t="shared" si="83"/>
        <v>0.29476797157692075</v>
      </c>
      <c r="K180" s="300">
        <f t="shared" ref="K180" si="87">D180+G180+J180</f>
        <v>18.291587666900675</v>
      </c>
      <c r="L180" s="300">
        <f t="shared" ref="L180" si="88">D180/K180</f>
        <v>0.4700128038248757</v>
      </c>
      <c r="M180" s="300">
        <f t="shared" ref="M180" si="89">(+G180+J180)/K180</f>
        <v>0.52998719617512424</v>
      </c>
      <c r="N180" s="300">
        <f>AVERAGE(N168:N179)</f>
        <v>15.047056836157418</v>
      </c>
      <c r="O180" s="302">
        <f t="shared" si="82"/>
        <v>3.2445308307432565</v>
      </c>
      <c r="Q180" s="284"/>
    </row>
    <row r="181" spans="1:17">
      <c r="A181" t="s">
        <v>542</v>
      </c>
      <c r="B181" s="40"/>
      <c r="C181" s="35"/>
      <c r="D181" s="29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</row>
    <row r="182" spans="1:17">
      <c r="A182" t="s">
        <v>518</v>
      </c>
      <c r="B182" s="40"/>
      <c r="C182" s="35"/>
      <c r="D182" s="29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</row>
    <row r="183" spans="1:17">
      <c r="A183" t="s">
        <v>483</v>
      </c>
    </row>
    <row r="184" spans="1:17">
      <c r="A184" t="s">
        <v>535</v>
      </c>
    </row>
    <row r="185" spans="1:17">
      <c r="A185" s="52" t="s">
        <v>674</v>
      </c>
    </row>
    <row r="186" spans="1:17">
      <c r="A186" s="73" t="s">
        <v>649</v>
      </c>
    </row>
    <row r="187" spans="1:17">
      <c r="O187" s="101" t="s">
        <v>592</v>
      </c>
    </row>
  </sheetData>
  <phoneticPr fontId="0" type="noConversion"/>
  <pageMargins left="0.75" right="0.75" top="1" bottom="1" header="0.5" footer="0.5"/>
  <pageSetup scale="68" firstPageNumber="9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ignoredErrors>
    <ignoredError sqref="G152" formula="1"/>
  </ignoredError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54"/>
  <sheetViews>
    <sheetView zoomScaleNormal="100" zoomScaleSheetLayoutView="100" workbookViewId="0">
      <pane ySplit="4" topLeftCell="A5" activePane="bottomLeft" state="frozen"/>
      <selection pane="bottomLeft"/>
    </sheetView>
  </sheetViews>
  <sheetFormatPr defaultRowHeight="11.25"/>
  <cols>
    <col min="1" max="9" width="12.83203125" customWidth="1"/>
  </cols>
  <sheetData>
    <row r="1" spans="1:9">
      <c r="A1" s="227" t="s">
        <v>604</v>
      </c>
      <c r="B1" s="1"/>
      <c r="C1" s="1"/>
      <c r="D1" s="1"/>
      <c r="E1" s="1"/>
      <c r="F1" s="1"/>
      <c r="G1" s="1"/>
      <c r="H1" s="1"/>
      <c r="I1" s="1"/>
    </row>
    <row r="2" spans="1:9">
      <c r="A2" s="3" t="s">
        <v>15</v>
      </c>
      <c r="B2" s="32" t="s">
        <v>56</v>
      </c>
      <c r="C2" s="4" t="s">
        <v>57</v>
      </c>
      <c r="D2" s="4" t="s">
        <v>54</v>
      </c>
      <c r="E2" s="4" t="s">
        <v>53</v>
      </c>
      <c r="F2" s="4" t="s">
        <v>58</v>
      </c>
      <c r="G2" s="1"/>
      <c r="H2" s="41" t="s">
        <v>349</v>
      </c>
      <c r="I2" s="1"/>
    </row>
    <row r="3" spans="1:9">
      <c r="A3" s="1"/>
      <c r="B3" s="9"/>
      <c r="C3" s="9"/>
      <c r="D3" s="9"/>
      <c r="E3" s="9"/>
      <c r="F3" s="9"/>
      <c r="G3" s="9" t="s">
        <v>64</v>
      </c>
      <c r="H3" s="41" t="s">
        <v>211</v>
      </c>
      <c r="I3" s="9" t="s">
        <v>256</v>
      </c>
    </row>
    <row r="4" spans="1:9">
      <c r="B4" s="161" t="s">
        <v>272</v>
      </c>
      <c r="C4" s="160"/>
      <c r="D4" s="150" t="s">
        <v>55</v>
      </c>
      <c r="E4" s="150" t="s">
        <v>51</v>
      </c>
      <c r="F4" s="150" t="s">
        <v>536</v>
      </c>
      <c r="G4" s="73"/>
      <c r="H4" s="157" t="s">
        <v>363</v>
      </c>
      <c r="I4" s="157"/>
    </row>
    <row r="6" spans="1:9">
      <c r="A6" s="10">
        <v>1980</v>
      </c>
      <c r="B6" s="42">
        <f>+'tab 13'!N6</f>
        <v>1521.4</v>
      </c>
      <c r="C6" s="42">
        <f>+'tab 14'!N6</f>
        <v>1399.8</v>
      </c>
      <c r="D6" s="43">
        <f t="shared" ref="D6:D29" si="0">+E6*1000/C6</f>
        <v>1649.7549649949992</v>
      </c>
      <c r="E6" s="42">
        <f>+'tab 15'!N6/1000</f>
        <v>2309.3270000000002</v>
      </c>
      <c r="F6" s="18">
        <v>578.63499999999999</v>
      </c>
      <c r="G6" s="46">
        <v>22.75</v>
      </c>
      <c r="H6" s="46" t="s">
        <v>229</v>
      </c>
      <c r="I6" s="46">
        <v>12.5</v>
      </c>
    </row>
    <row r="7" spans="1:9">
      <c r="A7" s="10">
        <v>1981</v>
      </c>
      <c r="B7" s="42">
        <f>+'tab 13'!N7</f>
        <v>1514</v>
      </c>
      <c r="C7" s="42">
        <f>+'tab 14'!N7</f>
        <v>1488.7</v>
      </c>
      <c r="D7" s="43">
        <f t="shared" si="0"/>
        <v>2674.7161953382147</v>
      </c>
      <c r="E7" s="42">
        <f>+'tab 15'!N7/1000</f>
        <v>3981.85</v>
      </c>
      <c r="F7" s="18">
        <v>1069.5260000000001</v>
      </c>
      <c r="G7" s="46">
        <v>22.75</v>
      </c>
      <c r="H7" s="46" t="s">
        <v>229</v>
      </c>
      <c r="I7" s="46">
        <v>12.5</v>
      </c>
    </row>
    <row r="8" spans="1:9">
      <c r="A8" s="10">
        <v>1982</v>
      </c>
      <c r="B8" s="42">
        <f>+'tab 13'!N8</f>
        <v>1311.4</v>
      </c>
      <c r="C8" s="42">
        <f>+'tab 14'!N8</f>
        <v>1277.4000000000001</v>
      </c>
      <c r="D8" s="43">
        <f t="shared" si="0"/>
        <v>2693.1697197432281</v>
      </c>
      <c r="E8" s="42">
        <f>+'tab 15'!N8/1000</f>
        <v>3440.2550000000001</v>
      </c>
      <c r="F8" s="18">
        <v>862.68600000000004</v>
      </c>
      <c r="G8" s="46">
        <v>27.5</v>
      </c>
      <c r="H8" s="46" t="s">
        <v>229</v>
      </c>
      <c r="I8" s="46">
        <v>10</v>
      </c>
    </row>
    <row r="9" spans="1:9">
      <c r="A9" s="10">
        <v>1983</v>
      </c>
      <c r="B9" s="42">
        <f>+'tab 13'!N9</f>
        <v>1411</v>
      </c>
      <c r="C9" s="42">
        <f>+'tab 14'!N9</f>
        <v>1373.5</v>
      </c>
      <c r="D9" s="43">
        <f t="shared" si="0"/>
        <v>2399.3665817255187</v>
      </c>
      <c r="E9" s="42">
        <f>+'tab 15'!N9/1000</f>
        <v>3295.53</v>
      </c>
      <c r="F9" s="18">
        <v>814.57899999999995</v>
      </c>
      <c r="G9" s="46">
        <v>27.5</v>
      </c>
      <c r="H9" s="46" t="s">
        <v>229</v>
      </c>
      <c r="I9" s="46">
        <v>9.3000000000000007</v>
      </c>
    </row>
    <row r="10" spans="1:9">
      <c r="A10" s="10">
        <v>1984</v>
      </c>
      <c r="B10" s="42">
        <f>+'tab 13'!N10</f>
        <v>1558.6</v>
      </c>
      <c r="C10" s="42">
        <f>+'tab 14'!N10</f>
        <v>1528</v>
      </c>
      <c r="D10" s="43">
        <f t="shared" si="0"/>
        <v>2883.4718586387435</v>
      </c>
      <c r="E10" s="42">
        <f>+'tab 15'!N10/1000</f>
        <v>4405.9449999999997</v>
      </c>
      <c r="F10" s="18">
        <v>1230.7739999999999</v>
      </c>
      <c r="G10" s="46">
        <v>27.5</v>
      </c>
      <c r="H10" s="46" t="s">
        <v>229</v>
      </c>
      <c r="I10" s="46">
        <v>9.3000000000000007</v>
      </c>
    </row>
    <row r="11" spans="1:9">
      <c r="A11" s="10">
        <v>1985</v>
      </c>
      <c r="B11" s="42">
        <f>+'tab 13'!N11</f>
        <v>1490.4</v>
      </c>
      <c r="C11" s="42">
        <f>+'tab 14'!N11</f>
        <v>1467.4</v>
      </c>
      <c r="D11" s="43">
        <f t="shared" si="0"/>
        <v>2809.5863431920407</v>
      </c>
      <c r="E11" s="42">
        <f>+'tab 15'!N11/1000</f>
        <v>4122.7870000000003</v>
      </c>
      <c r="F11" s="18">
        <v>1003.412</v>
      </c>
      <c r="G11" s="46">
        <v>27.95</v>
      </c>
      <c r="H11" s="46" t="s">
        <v>229</v>
      </c>
      <c r="I11" s="46">
        <v>7.4</v>
      </c>
    </row>
    <row r="12" spans="1:9">
      <c r="A12" s="10">
        <v>1986</v>
      </c>
      <c r="B12" s="42">
        <f>+'tab 13'!N12</f>
        <v>1564.7</v>
      </c>
      <c r="C12" s="42">
        <f>+'tab 14'!N12</f>
        <v>1535.2</v>
      </c>
      <c r="D12" s="43">
        <f t="shared" si="0"/>
        <v>2408.2106565919748</v>
      </c>
      <c r="E12" s="42">
        <f>+'tab 15'!N12/1000</f>
        <v>3697.085</v>
      </c>
      <c r="F12" s="18">
        <v>1073.279</v>
      </c>
      <c r="G12" s="46">
        <v>30.37</v>
      </c>
      <c r="H12" s="46" t="s">
        <v>229</v>
      </c>
      <c r="I12" s="46">
        <v>7.5</v>
      </c>
    </row>
    <row r="13" spans="1:9">
      <c r="A13" s="10">
        <v>1987</v>
      </c>
      <c r="B13" s="42">
        <f>+'tab 13'!N13</f>
        <v>1567.4</v>
      </c>
      <c r="C13" s="42">
        <f>+'tab 14'!N13</f>
        <v>1547.4</v>
      </c>
      <c r="D13" s="43">
        <f t="shared" si="0"/>
        <v>2336.8295204859764</v>
      </c>
      <c r="E13" s="42">
        <f>+'tab 15'!N13/1000</f>
        <v>3616.01</v>
      </c>
      <c r="F13" s="18">
        <v>1021.87</v>
      </c>
      <c r="G13" s="46">
        <v>30.41</v>
      </c>
      <c r="H13" s="46" t="s">
        <v>229</v>
      </c>
      <c r="I13" s="46">
        <v>7.5</v>
      </c>
    </row>
    <row r="14" spans="1:9">
      <c r="A14" s="10">
        <v>1988</v>
      </c>
      <c r="B14" s="42">
        <f>+'tab 13'!N14</f>
        <v>1657.4</v>
      </c>
      <c r="C14" s="42">
        <f>+'tab 14'!N14</f>
        <v>1628.4</v>
      </c>
      <c r="D14" s="43">
        <f t="shared" si="0"/>
        <v>2444.6800540407762</v>
      </c>
      <c r="E14" s="42">
        <f>+'tab 15'!N14/1000</f>
        <v>3980.9169999999999</v>
      </c>
      <c r="F14" s="18">
        <v>1115.202</v>
      </c>
      <c r="G14" s="46">
        <v>30.76</v>
      </c>
      <c r="H14" s="46" t="s">
        <v>229</v>
      </c>
      <c r="I14" s="46">
        <v>7.5</v>
      </c>
    </row>
    <row r="15" spans="1:9">
      <c r="A15" s="10">
        <v>1989</v>
      </c>
      <c r="B15" s="42">
        <f>+'tab 13'!N15</f>
        <v>1665.2</v>
      </c>
      <c r="C15" s="42">
        <f>+'tab 14'!N15</f>
        <v>1644.7</v>
      </c>
      <c r="D15" s="43">
        <f t="shared" si="0"/>
        <v>2425.9713017571594</v>
      </c>
      <c r="E15" s="42">
        <f>+'tab 15'!N15/1000</f>
        <v>3989.9949999999999</v>
      </c>
      <c r="F15" s="18">
        <v>1118.875</v>
      </c>
      <c r="G15" s="46">
        <v>30.79</v>
      </c>
      <c r="H15" s="46" t="s">
        <v>229</v>
      </c>
      <c r="I15" s="46">
        <v>7.5</v>
      </c>
    </row>
    <row r="16" spans="1:9">
      <c r="A16" s="10">
        <v>1990</v>
      </c>
      <c r="B16" s="42">
        <f>+'tab 13'!N16</f>
        <v>1846</v>
      </c>
      <c r="C16" s="42">
        <f>+'tab 14'!N16</f>
        <v>1815.5</v>
      </c>
      <c r="D16" s="43">
        <f t="shared" si="0"/>
        <v>1984.9352795373175</v>
      </c>
      <c r="E16" s="42">
        <f>+'tab 15'!N16/1000</f>
        <v>3603.65</v>
      </c>
      <c r="F16" s="18">
        <v>1249.8989999999999</v>
      </c>
      <c r="G16" s="46">
        <v>31.57</v>
      </c>
      <c r="H16" s="46" t="s">
        <v>229</v>
      </c>
      <c r="I16" s="46">
        <v>7.5</v>
      </c>
    </row>
    <row r="17" spans="1:9">
      <c r="A17" s="10">
        <v>1991</v>
      </c>
      <c r="B17" s="42">
        <f>+'tab 13'!N17</f>
        <v>2039.2</v>
      </c>
      <c r="C17" s="42">
        <f>+'tab 14'!N17</f>
        <v>2015.7</v>
      </c>
      <c r="D17" s="43">
        <f t="shared" si="0"/>
        <v>2444.0988242297963</v>
      </c>
      <c r="E17" s="42">
        <f>+'tab 15'!N17/1000</f>
        <v>4926.57</v>
      </c>
      <c r="F17" s="18">
        <v>1392.0409999999999</v>
      </c>
      <c r="G17" s="46">
        <v>32.14</v>
      </c>
      <c r="H17" s="46" t="s">
        <v>229</v>
      </c>
      <c r="I17" s="46">
        <v>7.49</v>
      </c>
    </row>
    <row r="18" spans="1:9">
      <c r="A18" s="10">
        <v>1992</v>
      </c>
      <c r="B18" s="42">
        <f>+'tab 13'!N18</f>
        <v>1686.6</v>
      </c>
      <c r="C18" s="42">
        <f>+'tab 14'!N18</f>
        <v>1669.1</v>
      </c>
      <c r="D18" s="43">
        <f t="shared" si="0"/>
        <v>2566.9019231921397</v>
      </c>
      <c r="E18" s="42">
        <f>+'tab 15'!N18/1000</f>
        <v>4284.4160000000002</v>
      </c>
      <c r="F18" s="18">
        <v>1285.3610000000001</v>
      </c>
      <c r="G18" s="46">
        <v>33.75</v>
      </c>
      <c r="H18" s="46" t="s">
        <v>229</v>
      </c>
      <c r="I18" s="46">
        <v>6.55</v>
      </c>
    </row>
    <row r="19" spans="1:9">
      <c r="A19" s="10">
        <v>1993</v>
      </c>
      <c r="B19" s="42">
        <f>+'tab 13'!N19</f>
        <v>1733.5</v>
      </c>
      <c r="C19" s="42">
        <f>+'tab 14'!N19</f>
        <v>1689.8</v>
      </c>
      <c r="D19" s="43">
        <f t="shared" si="0"/>
        <v>2007.5837377204402</v>
      </c>
      <c r="E19" s="42">
        <f>+'tab 15'!N19/1000</f>
        <v>3392.415</v>
      </c>
      <c r="F19" s="18">
        <v>1030.904</v>
      </c>
      <c r="G19" s="46">
        <v>33.75</v>
      </c>
      <c r="H19" s="46" t="s">
        <v>229</v>
      </c>
      <c r="I19" s="46">
        <v>6.55</v>
      </c>
    </row>
    <row r="20" spans="1:9">
      <c r="A20" s="10">
        <v>1994</v>
      </c>
      <c r="B20" s="42">
        <f>+'tab 13'!N20</f>
        <v>1641</v>
      </c>
      <c r="C20" s="42">
        <f>+'tab 14'!N20</f>
        <v>1618.5</v>
      </c>
      <c r="D20" s="43">
        <f t="shared" si="0"/>
        <v>2624.3157244362064</v>
      </c>
      <c r="E20" s="42">
        <f>+'tab 15'!N20/1000</f>
        <v>4247.4549999999999</v>
      </c>
      <c r="F20" s="18">
        <v>1229.0119999999999</v>
      </c>
      <c r="G20" s="46">
        <v>33.92</v>
      </c>
      <c r="H20" s="46" t="s">
        <v>229</v>
      </c>
      <c r="I20" s="46">
        <v>6.6</v>
      </c>
    </row>
    <row r="21" spans="1:9">
      <c r="A21" s="10">
        <v>1995</v>
      </c>
      <c r="B21" s="42">
        <f>+'tab 13'!N21</f>
        <v>1537.5</v>
      </c>
      <c r="C21" s="42">
        <f>+'tab 14'!N21</f>
        <v>1517</v>
      </c>
      <c r="D21" s="43">
        <f t="shared" si="0"/>
        <v>2281.7897165458139</v>
      </c>
      <c r="E21" s="42">
        <f>+'tab 15'!N21/1000</f>
        <v>3461.4749999999999</v>
      </c>
      <c r="F21" s="18">
        <v>1013.323</v>
      </c>
      <c r="G21" s="46">
        <v>33.92</v>
      </c>
      <c r="H21" s="46" t="s">
        <v>229</v>
      </c>
      <c r="I21" s="46">
        <v>6.6</v>
      </c>
    </row>
    <row r="22" spans="1:9">
      <c r="A22" s="10">
        <v>1996</v>
      </c>
      <c r="B22" s="42">
        <f>+'tab 13'!N22</f>
        <v>1401.5</v>
      </c>
      <c r="C22" s="42">
        <f>+'tab 14'!N22</f>
        <v>1380</v>
      </c>
      <c r="D22" s="43">
        <f t="shared" si="0"/>
        <v>2653.0471014492755</v>
      </c>
      <c r="E22" s="42">
        <f>+'tab 15'!N22/1000</f>
        <v>3661.2049999999999</v>
      </c>
      <c r="F22" s="18">
        <v>1029.7739999999999</v>
      </c>
      <c r="G22" s="46">
        <v>30.5</v>
      </c>
      <c r="H22" s="46" t="s">
        <v>229</v>
      </c>
      <c r="I22" s="46">
        <v>6.6</v>
      </c>
    </row>
    <row r="23" spans="1:9">
      <c r="A23" s="10">
        <v>1997</v>
      </c>
      <c r="B23" s="42">
        <f>+'tab 13'!N23</f>
        <v>1434</v>
      </c>
      <c r="C23" s="42">
        <f>+'tab 14'!N23</f>
        <v>1413.8</v>
      </c>
      <c r="D23" s="43">
        <f t="shared" si="0"/>
        <v>2503.4516904795587</v>
      </c>
      <c r="E23" s="42">
        <f>+'tab 15'!N23/1000</f>
        <v>3539.38</v>
      </c>
      <c r="F23" s="18">
        <v>1002.703</v>
      </c>
      <c r="G23" s="46">
        <v>30.5</v>
      </c>
      <c r="H23" s="46" t="s">
        <v>229</v>
      </c>
      <c r="I23" s="46">
        <v>6.6</v>
      </c>
    </row>
    <row r="24" spans="1:9">
      <c r="A24" s="10">
        <v>1998</v>
      </c>
      <c r="B24" s="42">
        <f>+'tab 13'!N24</f>
        <v>1521</v>
      </c>
      <c r="C24" s="42">
        <f>+'tab 14'!N24</f>
        <v>1467</v>
      </c>
      <c r="D24" s="43">
        <f t="shared" si="0"/>
        <v>2701.7314246762098</v>
      </c>
      <c r="E24" s="42">
        <f>+'tab 15'!N24/1000</f>
        <v>3963.44</v>
      </c>
      <c r="F24" s="18">
        <v>1125.9190000000001</v>
      </c>
      <c r="G24" s="46">
        <v>30.5</v>
      </c>
      <c r="H24" s="46" t="s">
        <v>229</v>
      </c>
      <c r="I24" s="46">
        <v>6.6</v>
      </c>
    </row>
    <row r="25" spans="1:9">
      <c r="A25" s="10">
        <v>1999</v>
      </c>
      <c r="B25" s="42">
        <f>+'tab 13'!N25</f>
        <v>1534.5</v>
      </c>
      <c r="C25" s="42">
        <f>+'tab 14'!N25</f>
        <v>1436</v>
      </c>
      <c r="D25" s="43">
        <f t="shared" si="0"/>
        <v>2666.7757660167131</v>
      </c>
      <c r="E25" s="42">
        <f>+'tab 15'!N25/1000</f>
        <v>3829.49</v>
      </c>
      <c r="F25" s="18">
        <v>971.60799999999995</v>
      </c>
      <c r="G25" s="46">
        <v>30.5</v>
      </c>
      <c r="H25" s="46" t="s">
        <v>229</v>
      </c>
      <c r="I25" s="46">
        <v>6.6</v>
      </c>
    </row>
    <row r="26" spans="1:9">
      <c r="A26" s="10">
        <v>2000</v>
      </c>
      <c r="B26" s="42">
        <f>+'tab 13'!N26</f>
        <v>1536.8</v>
      </c>
      <c r="C26" s="42">
        <f>+'tab 14'!N26</f>
        <v>1336</v>
      </c>
      <c r="D26" s="43">
        <f t="shared" si="0"/>
        <v>2444.2402694610778</v>
      </c>
      <c r="E26" s="42">
        <f>+'tab 15'!N26/1000</f>
        <v>3265.5050000000001</v>
      </c>
      <c r="F26" s="18">
        <v>896.09699999999998</v>
      </c>
      <c r="G26" s="46">
        <v>30.5</v>
      </c>
      <c r="H26" s="46" t="s">
        <v>229</v>
      </c>
      <c r="I26" s="46">
        <v>6.6</v>
      </c>
    </row>
    <row r="27" spans="1:9">
      <c r="A27" s="10">
        <v>2001</v>
      </c>
      <c r="B27" s="42">
        <f>+'tab 13'!N27</f>
        <v>1541.2</v>
      </c>
      <c r="C27" s="42">
        <f>+'tab 14'!N27</f>
        <v>1411.9</v>
      </c>
      <c r="D27" s="43">
        <f t="shared" si="0"/>
        <v>3029.0417168354697</v>
      </c>
      <c r="E27" s="42">
        <f>+'tab 15'!N27/1000</f>
        <v>4276.7039999999997</v>
      </c>
      <c r="F27" s="18">
        <v>1000.5119999999999</v>
      </c>
      <c r="G27" s="46">
        <v>30.5</v>
      </c>
      <c r="H27" s="46" t="s">
        <v>229</v>
      </c>
      <c r="I27" s="46">
        <v>6.6</v>
      </c>
    </row>
    <row r="28" spans="1:9">
      <c r="A28" s="10">
        <v>2002</v>
      </c>
      <c r="B28" s="42">
        <f>+'tab 13'!N28</f>
        <v>1353</v>
      </c>
      <c r="C28" s="42">
        <f>+'tab 14'!N28</f>
        <v>1291.7</v>
      </c>
      <c r="D28" s="43">
        <f t="shared" si="0"/>
        <v>2571.0613919640782</v>
      </c>
      <c r="E28" s="42">
        <f>+'tab 15'!N28/1000</f>
        <v>3321.04</v>
      </c>
      <c r="F28" s="18">
        <v>599.71400000000006</v>
      </c>
      <c r="G28" s="46" t="s">
        <v>229</v>
      </c>
      <c r="H28" s="95">
        <v>17.75</v>
      </c>
      <c r="I28" s="46" t="s">
        <v>229</v>
      </c>
    </row>
    <row r="29" spans="1:9">
      <c r="A29" s="10">
        <v>2003</v>
      </c>
      <c r="B29" s="42">
        <f>+'tab 13'!N29</f>
        <v>1344</v>
      </c>
      <c r="C29" s="42">
        <f>+'tab 14'!N29</f>
        <v>1312</v>
      </c>
      <c r="D29" s="43">
        <f t="shared" si="0"/>
        <v>3158.6509146341459</v>
      </c>
      <c r="E29" s="42">
        <f>+'tab 15'!N29/1000</f>
        <v>4144.1499999999996</v>
      </c>
      <c r="F29" s="18">
        <v>799.428</v>
      </c>
      <c r="G29" s="46" t="s">
        <v>229</v>
      </c>
      <c r="H29" s="95">
        <v>17.75</v>
      </c>
      <c r="I29" s="46" t="s">
        <v>229</v>
      </c>
    </row>
    <row r="30" spans="1:9">
      <c r="A30" s="10">
        <v>2004</v>
      </c>
      <c r="B30" s="42">
        <f>+'tab 13'!N30</f>
        <v>1430</v>
      </c>
      <c r="C30" s="42">
        <f>+'tab 14'!N30</f>
        <v>1394</v>
      </c>
      <c r="D30" s="43">
        <f t="shared" ref="D30:D35" si="1">+E30*1000/C30</f>
        <v>3076.1836441893829</v>
      </c>
      <c r="E30" s="42">
        <f>+'tab 15'!N30/1000</f>
        <v>4288.2</v>
      </c>
      <c r="F30" s="18">
        <v>813.55100000000004</v>
      </c>
      <c r="G30" s="46" t="s">
        <v>229</v>
      </c>
      <c r="H30" s="95">
        <v>17.75</v>
      </c>
      <c r="I30" s="46" t="s">
        <v>229</v>
      </c>
    </row>
    <row r="31" spans="1:9">
      <c r="A31" s="10">
        <v>2005</v>
      </c>
      <c r="B31" s="42">
        <f>+'tab 13'!N31</f>
        <v>1657</v>
      </c>
      <c r="C31" s="42">
        <f>+'tab 14'!N31</f>
        <v>1629</v>
      </c>
      <c r="D31" s="43">
        <f t="shared" si="1"/>
        <v>2989.4782074892573</v>
      </c>
      <c r="E31" s="42">
        <f>+'tab 15'!N31/1000</f>
        <v>4869.8599999999997</v>
      </c>
      <c r="F31" s="18">
        <v>843.43499999999995</v>
      </c>
      <c r="G31" s="46" t="s">
        <v>229</v>
      </c>
      <c r="H31" s="95">
        <v>17.75</v>
      </c>
      <c r="I31" s="46" t="s">
        <v>229</v>
      </c>
    </row>
    <row r="32" spans="1:9">
      <c r="A32" s="10">
        <v>2006</v>
      </c>
      <c r="B32" s="42">
        <f>+'tab 13'!N32</f>
        <v>1243</v>
      </c>
      <c r="C32" s="42">
        <f>+'tab 14'!N32</f>
        <v>1210</v>
      </c>
      <c r="D32" s="43">
        <f t="shared" si="1"/>
        <v>2863.0165289256197</v>
      </c>
      <c r="E32" s="42">
        <f>+'tab 15'!N32/1000</f>
        <v>3464.25</v>
      </c>
      <c r="F32" s="18">
        <v>612.798</v>
      </c>
      <c r="G32" s="46" t="s">
        <v>229</v>
      </c>
      <c r="H32" s="95">
        <v>17.75</v>
      </c>
      <c r="I32" s="46" t="s">
        <v>229</v>
      </c>
    </row>
    <row r="33" spans="1:9">
      <c r="A33" s="10">
        <v>2007</v>
      </c>
      <c r="B33" s="42">
        <f>+'tab 13'!N33</f>
        <v>1230</v>
      </c>
      <c r="C33" s="42">
        <f>+'tab 14'!N33</f>
        <v>1195</v>
      </c>
      <c r="D33" s="43">
        <f t="shared" si="1"/>
        <v>3073.0125523012553</v>
      </c>
      <c r="E33" s="42">
        <f>+'tab 15'!N33/1000</f>
        <v>3672.25</v>
      </c>
      <c r="F33" s="18">
        <v>758.62599999999998</v>
      </c>
      <c r="G33" s="46" t="s">
        <v>229</v>
      </c>
      <c r="H33" s="95">
        <v>17.75</v>
      </c>
      <c r="I33" s="46" t="s">
        <v>229</v>
      </c>
    </row>
    <row r="34" spans="1:9">
      <c r="A34" s="10">
        <v>2008</v>
      </c>
      <c r="B34" s="42">
        <f>+'tab 13'!N34</f>
        <v>1534</v>
      </c>
      <c r="C34" s="42">
        <f>+'tab 14'!N34</f>
        <v>1507</v>
      </c>
      <c r="D34" s="43">
        <f t="shared" si="1"/>
        <v>3425.6138022561381</v>
      </c>
      <c r="E34" s="42">
        <f>+'tab 15'!N34/1000</f>
        <v>5162.3999999999996</v>
      </c>
      <c r="F34" s="18">
        <v>1193.617</v>
      </c>
      <c r="G34" s="46" t="s">
        <v>229</v>
      </c>
      <c r="H34" s="95">
        <v>17.75</v>
      </c>
      <c r="I34" s="46" t="s">
        <v>229</v>
      </c>
    </row>
    <row r="35" spans="1:9">
      <c r="A35" s="10">
        <v>2009</v>
      </c>
      <c r="B35" s="42">
        <f>+'tab 13'!N35</f>
        <v>1116</v>
      </c>
      <c r="C35" s="42">
        <f>+'tab 14'!N35</f>
        <v>1079</v>
      </c>
      <c r="D35" s="43">
        <f t="shared" si="1"/>
        <v>3421.3623725671919</v>
      </c>
      <c r="E35" s="42">
        <f>+'tab 15'!N35/1000</f>
        <v>3691.65</v>
      </c>
      <c r="F35" s="18">
        <v>793.14700000000005</v>
      </c>
      <c r="G35" s="46" t="s">
        <v>229</v>
      </c>
      <c r="H35" s="95">
        <v>17.75</v>
      </c>
      <c r="I35" s="46" t="s">
        <v>229</v>
      </c>
    </row>
    <row r="36" spans="1:9">
      <c r="A36" s="10">
        <v>2010</v>
      </c>
      <c r="B36" s="42">
        <f>+'tab 13'!N36</f>
        <v>1288</v>
      </c>
      <c r="C36" s="42">
        <f>+'tab 14'!N36</f>
        <v>1255</v>
      </c>
      <c r="D36" s="43">
        <f t="shared" ref="D36:D41" si="2">+E36*1000/C36</f>
        <v>3312.2231075697209</v>
      </c>
      <c r="E36" s="42">
        <f>+'tab 15'!N36/1000</f>
        <v>4156.84</v>
      </c>
      <c r="F36" s="18">
        <v>938.61099999999999</v>
      </c>
      <c r="G36" s="46" t="s">
        <v>229</v>
      </c>
      <c r="H36" s="95">
        <v>17.75</v>
      </c>
      <c r="I36" s="46" t="s">
        <v>229</v>
      </c>
    </row>
    <row r="37" spans="1:9">
      <c r="A37" s="10">
        <v>2011</v>
      </c>
      <c r="B37" s="42">
        <f>+'tab 13'!N37</f>
        <v>1140.5999999999999</v>
      </c>
      <c r="C37" s="42">
        <f>+'tab 14'!N37</f>
        <v>1080.5999999999999</v>
      </c>
      <c r="D37" s="43">
        <f t="shared" si="2"/>
        <v>3385.7023875624654</v>
      </c>
      <c r="E37" s="42">
        <f>+'tab 15'!N37/1000</f>
        <v>3658.59</v>
      </c>
      <c r="F37" s="18">
        <v>1168.587</v>
      </c>
      <c r="G37" s="46" t="s">
        <v>229</v>
      </c>
      <c r="H37" s="95">
        <v>17.75</v>
      </c>
      <c r="I37" s="46" t="s">
        <v>229</v>
      </c>
    </row>
    <row r="38" spans="1:9">
      <c r="A38" s="10">
        <v>2012</v>
      </c>
      <c r="B38" s="42">
        <f>+'tab 13'!N38</f>
        <v>1638</v>
      </c>
      <c r="C38" s="42">
        <f>+'tab 14'!N38</f>
        <v>1604</v>
      </c>
      <c r="D38" s="43">
        <f t="shared" si="2"/>
        <v>4210.6483790523689</v>
      </c>
      <c r="E38" s="42">
        <f>+'tab 15'!N38/1000</f>
        <v>6753.88</v>
      </c>
      <c r="F38" s="18">
        <v>2026.326</v>
      </c>
      <c r="G38" s="46" t="s">
        <v>229</v>
      </c>
      <c r="H38" s="95">
        <v>17.75</v>
      </c>
      <c r="I38" s="46" t="s">
        <v>229</v>
      </c>
    </row>
    <row r="39" spans="1:9">
      <c r="A39" s="10">
        <v>2013</v>
      </c>
      <c r="B39" s="42">
        <f>+'tab 13'!N39</f>
        <v>1067</v>
      </c>
      <c r="C39" s="42">
        <f>+'tab 14'!N39</f>
        <v>1043</v>
      </c>
      <c r="D39" s="43">
        <f t="shared" si="2"/>
        <v>4001.1217641418984</v>
      </c>
      <c r="E39" s="42">
        <f>+'tab 15'!N39/1000</f>
        <v>4173.17</v>
      </c>
      <c r="F39" s="18">
        <v>1055.0953</v>
      </c>
      <c r="G39" s="46" t="s">
        <v>229</v>
      </c>
      <c r="H39" s="95">
        <v>17.75</v>
      </c>
      <c r="I39" s="46" t="s">
        <v>229</v>
      </c>
    </row>
    <row r="40" spans="1:9">
      <c r="A40" s="10">
        <v>2014</v>
      </c>
      <c r="B40" s="42">
        <f>+'tab 13'!N40</f>
        <v>1353.5</v>
      </c>
      <c r="C40" s="42">
        <f>+'tab 14'!N40</f>
        <v>1322.5</v>
      </c>
      <c r="D40" s="43">
        <f t="shared" si="2"/>
        <v>3923.3761814744803</v>
      </c>
      <c r="E40" s="42">
        <f>+'tab 15'!N40/1000</f>
        <v>5188.665</v>
      </c>
      <c r="F40" s="18">
        <v>1158.251</v>
      </c>
      <c r="G40" s="46" t="s">
        <v>229</v>
      </c>
      <c r="H40" s="95">
        <v>17.75</v>
      </c>
      <c r="I40" s="46" t="s">
        <v>229</v>
      </c>
    </row>
    <row r="41" spans="1:9">
      <c r="A41" s="10">
        <v>2015</v>
      </c>
      <c r="B41" s="42">
        <f>+'tab 13'!N41</f>
        <v>1625</v>
      </c>
      <c r="C41" s="42">
        <f>+'tab 14'!N41</f>
        <v>1560.9</v>
      </c>
      <c r="D41" s="43">
        <f t="shared" si="2"/>
        <v>3844.8055608943555</v>
      </c>
      <c r="E41" s="42">
        <f>+'tab 15'!N41/1000</f>
        <v>6001.357</v>
      </c>
      <c r="F41" s="18">
        <v>1160.56</v>
      </c>
      <c r="G41" s="46" t="s">
        <v>229</v>
      </c>
      <c r="H41" s="95">
        <v>17.75</v>
      </c>
      <c r="I41" s="46" t="s">
        <v>229</v>
      </c>
    </row>
    <row r="42" spans="1:9">
      <c r="A42" s="10">
        <v>2016</v>
      </c>
      <c r="B42" s="42">
        <f>+'tab 13'!N42</f>
        <v>1671</v>
      </c>
      <c r="C42" s="42">
        <f>+'tab 14'!N42</f>
        <v>1536</v>
      </c>
      <c r="D42" s="43">
        <f t="shared" ref="D42:D48" si="3">+E42*1000/C42</f>
        <v>3633.8346354166665</v>
      </c>
      <c r="E42" s="42">
        <f>+'tab 15'!N42/1000</f>
        <v>5581.57</v>
      </c>
      <c r="F42" s="18">
        <v>1088.165</v>
      </c>
      <c r="G42" s="46" t="s">
        <v>229</v>
      </c>
      <c r="H42" s="95">
        <v>17.75</v>
      </c>
      <c r="I42" s="46" t="s">
        <v>229</v>
      </c>
    </row>
    <row r="43" spans="1:9">
      <c r="A43" s="10">
        <v>2017</v>
      </c>
      <c r="B43" s="42">
        <f>+'tab 13'!N43</f>
        <v>1871.6</v>
      </c>
      <c r="C43" s="42">
        <f>+'tab 14'!N43</f>
        <v>1775.6</v>
      </c>
      <c r="D43" s="43">
        <f t="shared" si="3"/>
        <v>4007.3271006983555</v>
      </c>
      <c r="E43" s="42">
        <f>+'tab 15'!N43/1000</f>
        <v>7115.41</v>
      </c>
      <c r="F43" s="18">
        <v>1634.0170000000001</v>
      </c>
      <c r="G43" s="46" t="s">
        <v>229</v>
      </c>
      <c r="H43" s="95">
        <v>17.75</v>
      </c>
      <c r="I43" s="46" t="s">
        <v>229</v>
      </c>
    </row>
    <row r="44" spans="1:9">
      <c r="A44" s="10">
        <v>2018</v>
      </c>
      <c r="B44" s="42">
        <f>+'tab 13'!N44</f>
        <v>1425.5</v>
      </c>
      <c r="C44" s="42">
        <f>+'tab 14'!N44</f>
        <v>1373.5</v>
      </c>
      <c r="D44" s="43">
        <f t="shared" si="3"/>
        <v>4001.4088096104842</v>
      </c>
      <c r="E44" s="42">
        <f>+'tab 15'!N44/1000</f>
        <v>5495.9350000000004</v>
      </c>
      <c r="F44" s="18">
        <v>1169.953</v>
      </c>
      <c r="G44" s="46" t="s">
        <v>229</v>
      </c>
      <c r="H44" s="95">
        <v>17.75</v>
      </c>
      <c r="I44" s="46" t="s">
        <v>229</v>
      </c>
    </row>
    <row r="45" spans="1:9" ht="11.45" customHeight="1">
      <c r="A45" s="61">
        <v>2019</v>
      </c>
      <c r="B45" s="42">
        <f>+'tab 13'!N45</f>
        <v>1432.7</v>
      </c>
      <c r="C45" s="42">
        <f>+'tab 14'!N45</f>
        <v>1389.7</v>
      </c>
      <c r="D45" s="43">
        <f t="shared" si="3"/>
        <v>3933.5734331150607</v>
      </c>
      <c r="E45" s="42">
        <f>+'tab 15'!N45/1000</f>
        <v>5466.4870000000001</v>
      </c>
      <c r="F45" s="18">
        <v>1131.374</v>
      </c>
      <c r="G45" s="46" t="s">
        <v>229</v>
      </c>
      <c r="H45" s="95">
        <v>17.75</v>
      </c>
      <c r="I45" s="46" t="s">
        <v>229</v>
      </c>
    </row>
    <row r="46" spans="1:9" ht="11.45" customHeight="1">
      <c r="A46" s="61">
        <v>2020</v>
      </c>
      <c r="B46" s="42">
        <f>+'tab 13'!N46</f>
        <v>1662.5</v>
      </c>
      <c r="C46" s="42">
        <f>+'tab 14'!N46</f>
        <v>1615.2</v>
      </c>
      <c r="D46" s="43">
        <f t="shared" si="3"/>
        <v>3812.7476473501733</v>
      </c>
      <c r="E46" s="42">
        <f>+'tab 15'!N46/1000</f>
        <v>6158.35</v>
      </c>
      <c r="F46" s="18">
        <v>1294.4880000000001</v>
      </c>
      <c r="G46" s="46" t="s">
        <v>229</v>
      </c>
      <c r="H46" s="95">
        <f>(355/2000)*100</f>
        <v>17.75</v>
      </c>
      <c r="I46" s="46" t="s">
        <v>229</v>
      </c>
    </row>
    <row r="47" spans="1:9" ht="11.45" customHeight="1">
      <c r="A47" s="61">
        <v>2021</v>
      </c>
      <c r="B47" s="42">
        <f>+'tab 13'!N47</f>
        <v>1580.2</v>
      </c>
      <c r="C47" s="42">
        <f>+'tab 14'!N47</f>
        <v>1540.1</v>
      </c>
      <c r="D47" s="43">
        <f t="shared" si="3"/>
        <v>4130.4662034932799</v>
      </c>
      <c r="E47" s="42">
        <f>+'tab 15'!N47/1000</f>
        <v>6361.3310000000001</v>
      </c>
      <c r="F47" s="18">
        <v>1562.694</v>
      </c>
      <c r="G47" s="46" t="s">
        <v>229</v>
      </c>
      <c r="H47" s="95">
        <f>(355/2000)*100</f>
        <v>17.75</v>
      </c>
      <c r="I47" s="46" t="s">
        <v>229</v>
      </c>
    </row>
    <row r="48" spans="1:9" ht="11.45" customHeight="1">
      <c r="A48" s="67" t="s">
        <v>605</v>
      </c>
      <c r="B48" s="244">
        <f>+'tab 13'!N48</f>
        <v>1450.3</v>
      </c>
      <c r="C48" s="244">
        <f>+'tab 14'!N48</f>
        <v>1385.4</v>
      </c>
      <c r="D48" s="245">
        <f t="shared" si="3"/>
        <v>4019.1641403204849</v>
      </c>
      <c r="E48" s="244">
        <f>+'tab 15'!N48/1000</f>
        <v>5568.15</v>
      </c>
      <c r="F48" s="246">
        <v>1468.432</v>
      </c>
      <c r="G48" s="247" t="s">
        <v>229</v>
      </c>
      <c r="H48" s="248">
        <f>(355/2000)*100</f>
        <v>17.75</v>
      </c>
      <c r="I48" s="247" t="s">
        <v>229</v>
      </c>
    </row>
    <row r="49" spans="1:9" ht="11.45" customHeight="1">
      <c r="A49" s="61" t="s">
        <v>538</v>
      </c>
      <c r="B49" s="42"/>
      <c r="C49" s="42"/>
      <c r="D49" s="43"/>
      <c r="E49" s="42"/>
      <c r="F49" s="18"/>
      <c r="G49" s="46"/>
      <c r="H49" s="95"/>
      <c r="I49" s="46"/>
    </row>
    <row r="50" spans="1:9">
      <c r="A50" s="52" t="s">
        <v>352</v>
      </c>
    </row>
    <row r="51" spans="1:9">
      <c r="A51" s="61" t="s">
        <v>537</v>
      </c>
    </row>
    <row r="52" spans="1:9">
      <c r="A52" s="52" t="s">
        <v>675</v>
      </c>
    </row>
    <row r="53" spans="1:9">
      <c r="A53" s="52" t="s">
        <v>365</v>
      </c>
    </row>
    <row r="54" spans="1:9" ht="10.15" customHeight="1">
      <c r="I54" s="101" t="s">
        <v>592</v>
      </c>
    </row>
  </sheetData>
  <phoneticPr fontId="0" type="noConversion"/>
  <pageMargins left="0.75" right="0.75" top="1" bottom="1" header="0.5" footer="0.5"/>
  <pageSetup scale="98" firstPageNumber="10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P61"/>
  <sheetViews>
    <sheetView zoomScaleNormal="100" zoomScaleSheetLayoutView="100" workbookViewId="0">
      <pane ySplit="7" topLeftCell="A8" activePane="bottomLeft" state="frozen"/>
      <selection pane="bottomLeft"/>
    </sheetView>
  </sheetViews>
  <sheetFormatPr defaultRowHeight="11.25"/>
  <cols>
    <col min="1" max="1" width="10.6640625" customWidth="1"/>
    <col min="2" max="2" width="13.6640625" customWidth="1"/>
    <col min="3" max="3" width="11" customWidth="1"/>
    <col min="4" max="4" width="8.1640625" customWidth="1"/>
    <col min="5" max="5" width="9" customWidth="1"/>
    <col min="6" max="6" width="8.6640625" customWidth="1"/>
    <col min="7" max="7" width="10.6640625" customWidth="1"/>
    <col min="8" max="8" width="9.1640625" customWidth="1"/>
    <col min="9" max="9" width="10.1640625" customWidth="1"/>
    <col min="10" max="10" width="8" customWidth="1"/>
    <col min="11" max="11" width="13.83203125" customWidth="1"/>
    <col min="12" max="12" width="12.83203125" customWidth="1"/>
    <col min="14" max="14" width="15.5" customWidth="1"/>
    <col min="18" max="18" width="9" customWidth="1"/>
  </cols>
  <sheetData>
    <row r="1" spans="1:12">
      <c r="A1" s="227" t="s">
        <v>606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B2" s="123"/>
      <c r="C2" s="105" t="s">
        <v>75</v>
      </c>
      <c r="D2" s="11"/>
      <c r="E2" s="120"/>
      <c r="G2" s="4"/>
      <c r="H2" s="121" t="s">
        <v>73</v>
      </c>
      <c r="I2" s="4"/>
      <c r="J2" s="120"/>
      <c r="K2" s="9" t="s">
        <v>74</v>
      </c>
      <c r="L2" s="108" t="s">
        <v>267</v>
      </c>
    </row>
    <row r="3" spans="1:12">
      <c r="A3" s="7" t="s">
        <v>378</v>
      </c>
      <c r="B3" s="108" t="s">
        <v>96</v>
      </c>
      <c r="C3" s="7"/>
      <c r="D3" s="7"/>
      <c r="E3" s="118"/>
      <c r="F3" s="108"/>
      <c r="G3" s="7"/>
      <c r="H3" s="7"/>
      <c r="I3" s="7" t="s">
        <v>60</v>
      </c>
      <c r="J3" s="118"/>
      <c r="K3" s="7" t="s">
        <v>266</v>
      </c>
      <c r="L3" s="109" t="s">
        <v>268</v>
      </c>
    </row>
    <row r="4" spans="1:12">
      <c r="A4" s="7" t="s">
        <v>59</v>
      </c>
      <c r="B4" s="109" t="s">
        <v>66</v>
      </c>
      <c r="C4" s="7" t="s">
        <v>40</v>
      </c>
      <c r="D4" s="7" t="s">
        <v>49</v>
      </c>
      <c r="E4" s="112" t="s">
        <v>2</v>
      </c>
      <c r="F4" s="109" t="s">
        <v>67</v>
      </c>
      <c r="G4" s="7" t="s">
        <v>50</v>
      </c>
      <c r="H4" s="7" t="s">
        <v>68</v>
      </c>
      <c r="I4" s="7" t="s">
        <v>62</v>
      </c>
      <c r="J4" s="112" t="s">
        <v>2</v>
      </c>
      <c r="K4" s="7" t="s">
        <v>70</v>
      </c>
      <c r="L4" s="109" t="s">
        <v>269</v>
      </c>
    </row>
    <row r="5" spans="1:12">
      <c r="A5" s="7" t="s">
        <v>61</v>
      </c>
      <c r="B5" s="404"/>
      <c r="C5" s="7"/>
      <c r="D5" s="7"/>
      <c r="E5" s="112"/>
      <c r="F5" s="109"/>
      <c r="G5" s="7"/>
      <c r="H5" s="7"/>
      <c r="I5" s="7" t="s">
        <v>69</v>
      </c>
      <c r="J5" s="112"/>
      <c r="K5" s="7" t="s">
        <v>71</v>
      </c>
      <c r="L5" s="109"/>
    </row>
    <row r="6" spans="1:12">
      <c r="A6" s="9" t="s">
        <v>396</v>
      </c>
      <c r="B6" s="116"/>
      <c r="C6" s="9"/>
      <c r="D6" s="9" t="s">
        <v>35</v>
      </c>
      <c r="E6" s="114" t="s">
        <v>35</v>
      </c>
      <c r="F6" s="116"/>
      <c r="G6" s="9"/>
      <c r="H6" s="9"/>
      <c r="I6" s="9" t="s">
        <v>63</v>
      </c>
      <c r="J6" s="114"/>
      <c r="K6" s="9" t="s">
        <v>72</v>
      </c>
      <c r="L6" s="116"/>
    </row>
    <row r="7" spans="1:12">
      <c r="A7" s="73"/>
      <c r="B7" s="73"/>
      <c r="C7" s="157"/>
      <c r="D7" s="157"/>
      <c r="E7" s="157"/>
      <c r="F7" s="157" t="s">
        <v>273</v>
      </c>
      <c r="G7" s="157"/>
      <c r="H7" s="157"/>
      <c r="I7" s="157"/>
      <c r="J7" s="157"/>
      <c r="K7" s="150" t="s">
        <v>248</v>
      </c>
      <c r="L7" s="162" t="s">
        <v>55</v>
      </c>
    </row>
    <row r="8" spans="1:12">
      <c r="B8" s="74"/>
      <c r="C8" s="74"/>
      <c r="D8" s="74"/>
      <c r="E8" s="74"/>
      <c r="F8" s="74"/>
      <c r="G8" s="74"/>
      <c r="H8" s="74"/>
      <c r="I8" s="74"/>
      <c r="J8" s="74"/>
      <c r="K8" s="2"/>
      <c r="L8" s="2"/>
    </row>
    <row r="9" spans="1:12">
      <c r="A9" s="10" t="s">
        <v>181</v>
      </c>
      <c r="B9" s="15">
        <v>628</v>
      </c>
      <c r="C9" s="15">
        <f>+'tab 10'!E6</f>
        <v>2309.3270000000002</v>
      </c>
      <c r="D9" s="15">
        <v>401</v>
      </c>
      <c r="E9" s="15">
        <f t="shared" ref="E9:E26" si="0">SUM(B9:D9)</f>
        <v>3338.3270000000002</v>
      </c>
      <c r="F9" s="54">
        <f>1.33*335.528</f>
        <v>446.25224000000003</v>
      </c>
      <c r="G9" s="15">
        <v>503</v>
      </c>
      <c r="H9" s="15">
        <v>1465</v>
      </c>
      <c r="I9" s="18">
        <f t="shared" ref="I9:I24" si="1">+J9-F9-G9-H9</f>
        <v>511.07476000000042</v>
      </c>
      <c r="J9" s="15">
        <f t="shared" ref="J9:J50" si="2">+E9-B10</f>
        <v>2925.3270000000002</v>
      </c>
      <c r="K9" s="90">
        <v>25.1</v>
      </c>
      <c r="L9" s="90">
        <f>+H9*0.7519/229.966</f>
        <v>4.789984171573189</v>
      </c>
    </row>
    <row r="10" spans="1:12">
      <c r="A10" s="10" t="s">
        <v>182</v>
      </c>
      <c r="B10" s="15">
        <v>413</v>
      </c>
      <c r="C10" s="15">
        <f>+'tab 10'!E7</f>
        <v>3981.85</v>
      </c>
      <c r="D10" s="15">
        <v>2</v>
      </c>
      <c r="E10" s="15">
        <f t="shared" si="0"/>
        <v>4396.8500000000004</v>
      </c>
      <c r="F10" s="54">
        <f>1.33*431.48</f>
        <v>573.86840000000007</v>
      </c>
      <c r="G10" s="15">
        <v>576</v>
      </c>
      <c r="H10" s="15">
        <v>1696</v>
      </c>
      <c r="I10" s="18">
        <f t="shared" si="1"/>
        <v>793.98160000000007</v>
      </c>
      <c r="J10" s="15">
        <f t="shared" si="2"/>
        <v>3639.8500000000004</v>
      </c>
      <c r="K10" s="90">
        <v>26.9</v>
      </c>
      <c r="L10" s="90">
        <f>+H10*0.7519/232.188</f>
        <v>5.4921977018622847</v>
      </c>
    </row>
    <row r="11" spans="1:12">
      <c r="A11" s="10" t="s">
        <v>183</v>
      </c>
      <c r="B11" s="15">
        <v>757</v>
      </c>
      <c r="C11" s="15">
        <f>+'tab 10'!E8</f>
        <v>3440.2550000000001</v>
      </c>
      <c r="D11" s="15">
        <v>2</v>
      </c>
      <c r="E11" s="15">
        <f t="shared" si="0"/>
        <v>4199.2550000000001</v>
      </c>
      <c r="F11" s="54">
        <f>1.33*256.436</f>
        <v>341.05987999999996</v>
      </c>
      <c r="G11" s="15">
        <v>681</v>
      </c>
      <c r="H11" s="15">
        <v>1849</v>
      </c>
      <c r="I11" s="18">
        <f t="shared" si="1"/>
        <v>464.19512000000032</v>
      </c>
      <c r="J11" s="15">
        <f t="shared" si="2"/>
        <v>3335.2550000000001</v>
      </c>
      <c r="K11" s="90">
        <v>25.1</v>
      </c>
      <c r="L11" s="90">
        <f>+H11*0.7519/234.307</f>
        <v>5.9335107359148473</v>
      </c>
    </row>
    <row r="12" spans="1:12">
      <c r="A12" s="10" t="s">
        <v>184</v>
      </c>
      <c r="B12" s="15">
        <v>864</v>
      </c>
      <c r="C12" s="15">
        <f>+'tab 10'!E9</f>
        <v>3295.53</v>
      </c>
      <c r="D12" s="15">
        <v>2</v>
      </c>
      <c r="E12" s="15">
        <f t="shared" si="0"/>
        <v>4161.5300000000007</v>
      </c>
      <c r="F12" s="54">
        <f>1.33*291.084</f>
        <v>387.14172000000002</v>
      </c>
      <c r="G12" s="15">
        <v>744</v>
      </c>
      <c r="H12" s="15">
        <v>1856</v>
      </c>
      <c r="I12" s="18">
        <f t="shared" si="1"/>
        <v>563.38828000000058</v>
      </c>
      <c r="J12" s="15">
        <f t="shared" si="2"/>
        <v>3550.5300000000007</v>
      </c>
      <c r="K12" s="90">
        <v>24.7</v>
      </c>
      <c r="L12" s="90">
        <f>+H12*0.7519/236.348</f>
        <v>5.9045407619273274</v>
      </c>
    </row>
    <row r="13" spans="1:12">
      <c r="A13" s="10" t="s">
        <v>185</v>
      </c>
      <c r="B13" s="15">
        <v>611</v>
      </c>
      <c r="C13" s="15">
        <f>+'tab 10'!E10</f>
        <v>4405.9449999999997</v>
      </c>
      <c r="D13" s="15">
        <v>2</v>
      </c>
      <c r="E13" s="15">
        <f t="shared" si="0"/>
        <v>5018.9449999999997</v>
      </c>
      <c r="F13" s="54">
        <f>1.33*470.264</f>
        <v>625.45112000000006</v>
      </c>
      <c r="G13" s="15">
        <v>860</v>
      </c>
      <c r="H13" s="15">
        <v>1911</v>
      </c>
      <c r="I13" s="18">
        <f t="shared" si="1"/>
        <v>198.49387999999954</v>
      </c>
      <c r="J13" s="15">
        <f t="shared" si="2"/>
        <v>3594.9449999999997</v>
      </c>
      <c r="K13" s="90">
        <v>27.9</v>
      </c>
      <c r="L13" s="90">
        <f>+H13*0.7519/238.466</f>
        <v>6.0255168451687036</v>
      </c>
    </row>
    <row r="14" spans="1:12">
      <c r="A14" s="10" t="s">
        <v>186</v>
      </c>
      <c r="B14" s="15">
        <v>1424</v>
      </c>
      <c r="C14" s="15">
        <f>+'tab 10'!E11</f>
        <v>4122.7870000000003</v>
      </c>
      <c r="D14" s="15">
        <v>2</v>
      </c>
      <c r="E14" s="15">
        <f t="shared" si="0"/>
        <v>5548.7870000000003</v>
      </c>
      <c r="F14" s="54">
        <f>1.33*610.897</f>
        <v>812.49301000000014</v>
      </c>
      <c r="G14" s="15">
        <v>1045.7</v>
      </c>
      <c r="H14" s="15">
        <v>2023</v>
      </c>
      <c r="I14" s="18">
        <f t="shared" si="1"/>
        <v>822.5939900000003</v>
      </c>
      <c r="J14" s="15">
        <f t="shared" si="2"/>
        <v>4703.7870000000003</v>
      </c>
      <c r="K14" s="90">
        <v>24.3</v>
      </c>
      <c r="L14" s="90">
        <f>+H14*0.7519/240.651</f>
        <v>6.3207453947833168</v>
      </c>
    </row>
    <row r="15" spans="1:12">
      <c r="A15" s="10" t="s">
        <v>187</v>
      </c>
      <c r="B15" s="15">
        <v>845</v>
      </c>
      <c r="C15" s="15">
        <f>+'tab 10'!E12</f>
        <v>3697.085</v>
      </c>
      <c r="D15" s="15">
        <v>2</v>
      </c>
      <c r="E15" s="15">
        <f t="shared" si="0"/>
        <v>4544.085</v>
      </c>
      <c r="F15" s="54">
        <f>1.33*386.388</f>
        <v>513.89603999999997</v>
      </c>
      <c r="G15" s="15">
        <v>664.86</v>
      </c>
      <c r="H15" s="15">
        <v>2073</v>
      </c>
      <c r="I15" s="18">
        <f t="shared" si="1"/>
        <v>289.32895999999982</v>
      </c>
      <c r="J15" s="15">
        <f t="shared" si="2"/>
        <v>3541.085</v>
      </c>
      <c r="K15" s="90">
        <v>29.2</v>
      </c>
      <c r="L15" s="90">
        <f>+H15*0.7519/242.804</f>
        <v>6.4195346864137326</v>
      </c>
    </row>
    <row r="16" spans="1:12">
      <c r="A16" s="10" t="s">
        <v>188</v>
      </c>
      <c r="B16" s="15">
        <v>1003</v>
      </c>
      <c r="C16" s="15">
        <f>+'tab 10'!E13</f>
        <v>3616.01</v>
      </c>
      <c r="D16" s="15">
        <f>784*1.33*2.2046*0.001</f>
        <v>2.2987805120000004</v>
      </c>
      <c r="E16" s="15">
        <f t="shared" si="0"/>
        <v>4621.3087805120003</v>
      </c>
      <c r="F16" s="54">
        <f>1.33*421.214</f>
        <v>560.21462000000008</v>
      </c>
      <c r="G16" s="15">
        <v>619.6</v>
      </c>
      <c r="H16" s="15">
        <v>2071.14</v>
      </c>
      <c r="I16" s="18">
        <f t="shared" si="1"/>
        <v>537.09616051200055</v>
      </c>
      <c r="J16" s="15">
        <f t="shared" si="2"/>
        <v>3788.0507805120005</v>
      </c>
      <c r="K16" s="90">
        <v>28</v>
      </c>
      <c r="L16" s="90">
        <f>+H16*0.7519/245.021</f>
        <v>6.3557416139841081</v>
      </c>
    </row>
    <row r="17" spans="1:12">
      <c r="A17" s="10" t="s">
        <v>189</v>
      </c>
      <c r="B17" s="15">
        <v>833.25800000000004</v>
      </c>
      <c r="C17" s="15">
        <f>+'tab 10'!E14</f>
        <v>3980.9169999999999</v>
      </c>
      <c r="D17" s="15">
        <f>877*1.33*2.2046*0.001</f>
        <v>2.5714674860000004</v>
      </c>
      <c r="E17" s="15">
        <f t="shared" si="0"/>
        <v>4816.7464674860003</v>
      </c>
      <c r="F17" s="54">
        <f>1.33*612.2</f>
        <v>814.22600000000011</v>
      </c>
      <c r="G17" s="15">
        <v>689.4</v>
      </c>
      <c r="H17" s="15">
        <v>2254.6909999999998</v>
      </c>
      <c r="I17" s="18">
        <f t="shared" si="1"/>
        <v>215.67846748600005</v>
      </c>
      <c r="J17" s="15">
        <f t="shared" si="2"/>
        <v>3973.9954674860001</v>
      </c>
      <c r="K17" s="90">
        <v>27.9</v>
      </c>
      <c r="L17" s="90">
        <f>+H17*0.7519/247.342</f>
        <v>6.8540812433796114</v>
      </c>
    </row>
    <row r="18" spans="1:12">
      <c r="A18" s="10" t="s">
        <v>4</v>
      </c>
      <c r="B18" s="15">
        <v>842.75099999999998</v>
      </c>
      <c r="C18" s="15">
        <f>+'tab 10'!E15</f>
        <v>3989.9949999999999</v>
      </c>
      <c r="D18" s="15">
        <f>1432*1.33*2.2046*0.001</f>
        <v>4.1987929760000009</v>
      </c>
      <c r="E18" s="15">
        <f t="shared" si="0"/>
        <v>4836.9447929759999</v>
      </c>
      <c r="F18" s="54">
        <f>1.33*469.351</f>
        <v>624.23683000000005</v>
      </c>
      <c r="G18" s="15">
        <v>990.46</v>
      </c>
      <c r="H18" s="15">
        <v>2312.4380000000001</v>
      </c>
      <c r="I18" s="18">
        <f t="shared" si="1"/>
        <v>208.80996297599995</v>
      </c>
      <c r="J18" s="15">
        <f t="shared" si="2"/>
        <v>4135.9447929759999</v>
      </c>
      <c r="K18" s="90">
        <v>28</v>
      </c>
      <c r="L18" s="90">
        <f>+H18*0.7519/250.132</f>
        <v>6.9512182855452318</v>
      </c>
    </row>
    <row r="19" spans="1:12">
      <c r="A19" s="10" t="s">
        <v>5</v>
      </c>
      <c r="B19" s="15">
        <v>701</v>
      </c>
      <c r="C19" s="15">
        <f>+'tab 10'!E16</f>
        <v>3603.65</v>
      </c>
      <c r="D19" s="15">
        <f>9335*1.33*2.2046*0.001</f>
        <v>27.371321530000007</v>
      </c>
      <c r="E19" s="15">
        <f t="shared" si="0"/>
        <v>4332.02132153</v>
      </c>
      <c r="F19" s="54">
        <f>1.33*517.712</f>
        <v>688.55696</v>
      </c>
      <c r="G19" s="15">
        <v>654.9</v>
      </c>
      <c r="H19" s="15">
        <v>2019.9680000000001</v>
      </c>
      <c r="I19" s="18">
        <f t="shared" si="1"/>
        <v>285.13636152999993</v>
      </c>
      <c r="J19" s="15">
        <f t="shared" si="2"/>
        <v>3648.56132153</v>
      </c>
      <c r="K19" s="90">
        <v>34.700000000000003</v>
      </c>
      <c r="L19" s="90">
        <f>+H19*0.7519/253.493</f>
        <v>5.9915419329133348</v>
      </c>
    </row>
    <row r="20" spans="1:12">
      <c r="A20" s="10" t="s">
        <v>6</v>
      </c>
      <c r="B20" s="15">
        <v>683.46</v>
      </c>
      <c r="C20" s="15">
        <f>+'tab 10'!E17</f>
        <v>4926.57</v>
      </c>
      <c r="D20" s="15">
        <f>1809*1.33*2.2046*0.001</f>
        <v>5.3042014620000009</v>
      </c>
      <c r="E20" s="15">
        <f t="shared" si="0"/>
        <v>5615.3342014619993</v>
      </c>
      <c r="F20" s="54">
        <f>1.33*828.986</f>
        <v>1102.5513800000001</v>
      </c>
      <c r="G20" s="15">
        <v>1001.8</v>
      </c>
      <c r="H20" s="15">
        <v>2207.2049999999999</v>
      </c>
      <c r="I20" s="18">
        <f t="shared" si="1"/>
        <v>248.77782146199934</v>
      </c>
      <c r="J20" s="15">
        <f t="shared" si="2"/>
        <v>4560.3342014619993</v>
      </c>
      <c r="K20" s="90">
        <v>28.3</v>
      </c>
      <c r="L20" s="90">
        <f>+H20*0.7519/256.894</f>
        <v>6.4602421212640238</v>
      </c>
    </row>
    <row r="21" spans="1:12">
      <c r="A21" s="10" t="s">
        <v>7</v>
      </c>
      <c r="B21" s="15">
        <v>1055</v>
      </c>
      <c r="C21" s="15">
        <f>+'tab 10'!E18</f>
        <v>4284.4160000000002</v>
      </c>
      <c r="D21" s="15">
        <f>645*1.33*2.2046*0.001</f>
        <v>1.89121611</v>
      </c>
      <c r="E21" s="15">
        <f t="shared" si="0"/>
        <v>5341.3072161099999</v>
      </c>
      <c r="F21" s="54">
        <f>1.33*669.942</f>
        <v>891.02286000000004</v>
      </c>
      <c r="G21" s="15">
        <v>951</v>
      </c>
      <c r="H21" s="15">
        <v>2121.8910000000001</v>
      </c>
      <c r="I21" s="18">
        <f t="shared" si="1"/>
        <v>27.297356109999782</v>
      </c>
      <c r="J21" s="15">
        <f t="shared" si="2"/>
        <v>3991.2112161099999</v>
      </c>
      <c r="K21" s="90">
        <v>30</v>
      </c>
      <c r="L21" s="90">
        <f>+H21*0.7519/260.255</f>
        <v>6.1303331075291547</v>
      </c>
    </row>
    <row r="22" spans="1:12">
      <c r="A22" s="10" t="s">
        <v>8</v>
      </c>
      <c r="B22" s="15">
        <v>1350.096</v>
      </c>
      <c r="C22" s="15">
        <f>+'tab 10'!E19</f>
        <v>3392.415</v>
      </c>
      <c r="D22" s="15">
        <f>1.42*1.33</f>
        <v>1.8886000000000001</v>
      </c>
      <c r="E22" s="15">
        <f t="shared" si="0"/>
        <v>4744.3996000000006</v>
      </c>
      <c r="F22" s="54">
        <f>1.33*503.674</f>
        <v>669.88642000000004</v>
      </c>
      <c r="G22" s="15">
        <v>532.54999999999995</v>
      </c>
      <c r="H22" s="15">
        <v>2088.0729999999999</v>
      </c>
      <c r="I22" s="18">
        <f t="shared" si="1"/>
        <v>392.92518000000064</v>
      </c>
      <c r="J22" s="15">
        <f t="shared" si="2"/>
        <v>3683.4346000000005</v>
      </c>
      <c r="K22" s="90">
        <v>30.4</v>
      </c>
      <c r="L22" s="90">
        <f>+H22*0.7519/263.436</f>
        <v>5.9597856356002969</v>
      </c>
    </row>
    <row r="23" spans="1:12">
      <c r="A23" s="10" t="s">
        <v>9</v>
      </c>
      <c r="B23" s="15">
        <v>1060.9649999999999</v>
      </c>
      <c r="C23" s="15">
        <f>+'tab 10'!E20</f>
        <v>4247.4549999999999</v>
      </c>
      <c r="D23" s="15">
        <f>55.385*1.33</f>
        <v>73.662050000000008</v>
      </c>
      <c r="E23" s="15">
        <f t="shared" si="0"/>
        <v>5382.08205</v>
      </c>
      <c r="F23" s="54">
        <f>1.33*738.221</f>
        <v>981.83393000000001</v>
      </c>
      <c r="G23" s="15">
        <v>878.1</v>
      </c>
      <c r="H23" s="15">
        <v>2009.231</v>
      </c>
      <c r="I23" s="18">
        <f t="shared" si="1"/>
        <v>315.09012000000007</v>
      </c>
      <c r="J23" s="15">
        <f t="shared" si="2"/>
        <v>4184.2550499999998</v>
      </c>
      <c r="K23" s="90">
        <v>28.9</v>
      </c>
      <c r="L23" s="90">
        <f>+H23*0.7519/266.557</f>
        <v>5.6676087624785696</v>
      </c>
    </row>
    <row r="24" spans="1:12">
      <c r="A24" s="10" t="s">
        <v>10</v>
      </c>
      <c r="B24" s="15">
        <v>1197.827</v>
      </c>
      <c r="C24" s="15">
        <f>+'tab 10'!E21</f>
        <v>3461.4749999999999</v>
      </c>
      <c r="D24" s="15">
        <f>114.788*1.33</f>
        <v>152.66803999999999</v>
      </c>
      <c r="E24" s="15">
        <f t="shared" si="0"/>
        <v>4811.9700399999992</v>
      </c>
      <c r="F24" s="54">
        <f>1.33*751.281</f>
        <v>999.20372999999995</v>
      </c>
      <c r="G24" s="15">
        <v>826</v>
      </c>
      <c r="H24" s="15">
        <v>1992.854</v>
      </c>
      <c r="I24" s="18">
        <f t="shared" si="1"/>
        <v>236.37030999999956</v>
      </c>
      <c r="J24" s="15">
        <f t="shared" si="2"/>
        <v>4054.4280399999993</v>
      </c>
      <c r="K24" s="90">
        <v>29.3</v>
      </c>
      <c r="L24" s="90">
        <f>+H24*0.7519/269.667</f>
        <v>5.5565824613319403</v>
      </c>
    </row>
    <row r="25" spans="1:12">
      <c r="A25" s="10" t="s">
        <v>11</v>
      </c>
      <c r="B25" s="15">
        <v>757.54200000000003</v>
      </c>
      <c r="C25" s="15">
        <f>+'tab 10'!E22</f>
        <v>3661.2049999999999</v>
      </c>
      <c r="D25" s="15">
        <v>126.74235</v>
      </c>
      <c r="E25" s="15">
        <f>SUM(B25:D25)</f>
        <v>4545.4893500000007</v>
      </c>
      <c r="F25" s="54">
        <f>1.33*520.413</f>
        <v>692.14929000000006</v>
      </c>
      <c r="G25" s="15">
        <v>668.48</v>
      </c>
      <c r="H25" s="15">
        <v>2029.4690000000001</v>
      </c>
      <c r="I25" s="18">
        <f t="shared" ref="I25:I33" si="3">+J25-F25-G25-H25</f>
        <v>360.76706000000058</v>
      </c>
      <c r="J25" s="15">
        <f t="shared" si="2"/>
        <v>3750.8653500000009</v>
      </c>
      <c r="K25" s="90">
        <v>28.1</v>
      </c>
      <c r="L25" s="90">
        <f>+H25*0.7519/272.912</f>
        <v>5.5913911484287979</v>
      </c>
    </row>
    <row r="26" spans="1:12">
      <c r="A26" s="10" t="s">
        <v>12</v>
      </c>
      <c r="B26" s="15">
        <v>794.62400000000002</v>
      </c>
      <c r="C26" s="15">
        <f>+'tab 10'!E23</f>
        <v>3539.38</v>
      </c>
      <c r="D26" s="15">
        <v>141.29300000000001</v>
      </c>
      <c r="E26" s="15">
        <f t="shared" si="0"/>
        <v>4475.2969999999996</v>
      </c>
      <c r="F26" s="54">
        <f>1.33*409.249</f>
        <v>544.30117000000007</v>
      </c>
      <c r="G26" s="15">
        <v>681.9</v>
      </c>
      <c r="H26" s="15">
        <v>2098.5039999999999</v>
      </c>
      <c r="I26" s="18">
        <f t="shared" si="3"/>
        <v>302.10682999999926</v>
      </c>
      <c r="J26" s="15">
        <f t="shared" si="2"/>
        <v>3626.8119999999994</v>
      </c>
      <c r="K26" s="90">
        <v>28.3</v>
      </c>
      <c r="L26" s="90">
        <f>+H26*0.7519/276.115</f>
        <v>5.7145216942216104</v>
      </c>
    </row>
    <row r="27" spans="1:12">
      <c r="A27" s="10" t="s">
        <v>13</v>
      </c>
      <c r="B27" s="15">
        <v>848.48500000000001</v>
      </c>
      <c r="C27" s="15">
        <f>+'tab 10'!E24</f>
        <v>3963.44</v>
      </c>
      <c r="D27" s="15">
        <f>52.909*1.333*2.204622</f>
        <v>155.48691241553402</v>
      </c>
      <c r="E27" s="15">
        <f t="shared" ref="E27:E33" si="4">SUM(B27:D27)</f>
        <v>4967.4119124155341</v>
      </c>
      <c r="F27" s="54">
        <f>1.33*345.825</f>
        <v>459.94725</v>
      </c>
      <c r="G27" s="15">
        <v>562.1</v>
      </c>
      <c r="H27" s="15">
        <v>2152.8000000000002</v>
      </c>
      <c r="I27" s="18">
        <f t="shared" si="3"/>
        <v>400.83966241553389</v>
      </c>
      <c r="J27" s="15">
        <f t="shared" si="2"/>
        <v>3575.6869124155342</v>
      </c>
      <c r="K27" s="90">
        <v>28.4</v>
      </c>
      <c r="L27" s="90">
        <f>+H27*0.7519/279.295</f>
        <v>5.7956294240856447</v>
      </c>
    </row>
    <row r="28" spans="1:12">
      <c r="A28" s="10" t="s">
        <v>14</v>
      </c>
      <c r="B28" s="15">
        <v>1391.7249999999999</v>
      </c>
      <c r="C28" s="15">
        <f>+'tab 10'!E25</f>
        <v>3829.49</v>
      </c>
      <c r="D28" s="15">
        <f>61.3085*1.333*2.204622</f>
        <v>180.17103649337102</v>
      </c>
      <c r="E28" s="15">
        <f t="shared" si="4"/>
        <v>5401.3860364933707</v>
      </c>
      <c r="F28" s="54">
        <f>1.33*536.164</f>
        <v>713.09811999999999</v>
      </c>
      <c r="G28" s="15">
        <v>742.6</v>
      </c>
      <c r="H28" s="15">
        <v>2233.3944012000002</v>
      </c>
      <c r="I28" s="18">
        <f t="shared" si="3"/>
        <v>478.87751529337038</v>
      </c>
      <c r="J28" s="15">
        <f t="shared" si="2"/>
        <v>4167.9700364933706</v>
      </c>
      <c r="K28" s="90">
        <v>25.4</v>
      </c>
      <c r="L28" s="90">
        <f>+H28*0.7519/282.385</f>
        <v>5.9468075509049001</v>
      </c>
    </row>
    <row r="29" spans="1:12">
      <c r="A29" s="10" t="s">
        <v>397</v>
      </c>
      <c r="B29" s="15">
        <v>1233.4159999999999</v>
      </c>
      <c r="C29" s="15">
        <f>+'tab 10'!E26</f>
        <v>3265.5050000000001</v>
      </c>
      <c r="D29" s="15">
        <f>73.373*1.333*2.204622</f>
        <v>215.62572009799803</v>
      </c>
      <c r="E29" s="15">
        <f t="shared" si="4"/>
        <v>4714.5467200979983</v>
      </c>
      <c r="F29" s="54">
        <f>1.33*411.558</f>
        <v>547.37214000000006</v>
      </c>
      <c r="G29" s="15">
        <v>527.20000000000005</v>
      </c>
      <c r="H29" s="15">
        <v>2183.6</v>
      </c>
      <c r="I29" s="18">
        <f t="shared" si="3"/>
        <v>359.8045800979985</v>
      </c>
      <c r="J29" s="15">
        <f t="shared" si="2"/>
        <v>3617.9767200979986</v>
      </c>
      <c r="K29" s="90">
        <v>27.4</v>
      </c>
      <c r="L29" s="90">
        <f>+H29*0.7519/285.309</f>
        <v>5.7546338881703685</v>
      </c>
    </row>
    <row r="30" spans="1:12">
      <c r="A30" s="10" t="s">
        <v>210</v>
      </c>
      <c r="B30" s="15">
        <v>1096.57</v>
      </c>
      <c r="C30" s="15">
        <f>+'tab 10'!E27</f>
        <v>4276.7039999999997</v>
      </c>
      <c r="D30" s="15">
        <f>1.333*2.204622*69.0115</f>
        <v>202.808313446949</v>
      </c>
      <c r="E30" s="15">
        <f t="shared" si="4"/>
        <v>5576.0823134469483</v>
      </c>
      <c r="F30" s="54">
        <f>1.33*521.173</f>
        <v>693.16009000000008</v>
      </c>
      <c r="G30" s="15">
        <v>699.7</v>
      </c>
      <c r="H30" s="15">
        <v>2225.1</v>
      </c>
      <c r="I30" s="18">
        <f t="shared" si="3"/>
        <v>481.71322344694863</v>
      </c>
      <c r="J30" s="15">
        <f t="shared" si="2"/>
        <v>4099.6733134469487</v>
      </c>
      <c r="K30" s="90">
        <v>23.4</v>
      </c>
      <c r="L30" s="90">
        <f>+H30*0.7519/288.105</f>
        <v>5.8070935596397142</v>
      </c>
    </row>
    <row r="31" spans="1:12">
      <c r="A31" s="10" t="s">
        <v>217</v>
      </c>
      <c r="B31" s="15">
        <v>1476.4090000000001</v>
      </c>
      <c r="C31" s="15">
        <f>+'tab 10'!E28</f>
        <v>3321.04</v>
      </c>
      <c r="D31" s="15">
        <f>1.333*2.204622*25.6475</f>
        <v>75.371875979085004</v>
      </c>
      <c r="E31" s="15">
        <f t="shared" si="4"/>
        <v>4872.8208759790859</v>
      </c>
      <c r="F31" s="54">
        <f>1.33*644.194</f>
        <v>856.77801999999997</v>
      </c>
      <c r="G31" s="15">
        <v>489.9</v>
      </c>
      <c r="H31" s="15">
        <v>2241.1999999999998</v>
      </c>
      <c r="I31" s="18">
        <f t="shared" si="3"/>
        <v>409.81985597908579</v>
      </c>
      <c r="J31" s="15">
        <f t="shared" si="2"/>
        <v>3997.6978759790859</v>
      </c>
      <c r="K31" s="90">
        <v>18.239999999999998</v>
      </c>
      <c r="L31" s="90">
        <f>+H31*0.7519/290.82</f>
        <v>5.7945061550099712</v>
      </c>
    </row>
    <row r="32" spans="1:12">
      <c r="A32" s="10" t="s">
        <v>398</v>
      </c>
      <c r="B32" s="54">
        <v>875.12300000000005</v>
      </c>
      <c r="C32" s="15">
        <f>+'tab 10'!E29</f>
        <v>4144.1499999999996</v>
      </c>
      <c r="D32" s="15">
        <f>1.333*2.204622*12.9604</f>
        <v>38.0875196974104</v>
      </c>
      <c r="E32" s="54">
        <f t="shared" si="4"/>
        <v>5057.3605196974095</v>
      </c>
      <c r="F32" s="54">
        <f>1.33*402.958</f>
        <v>535.93414000000007</v>
      </c>
      <c r="G32" s="54">
        <v>515.9</v>
      </c>
      <c r="H32" s="54">
        <v>2455.9</v>
      </c>
      <c r="I32" s="47">
        <f t="shared" si="3"/>
        <v>428.71037969740883</v>
      </c>
      <c r="J32" s="54">
        <f t="shared" si="2"/>
        <v>3936.4445196974093</v>
      </c>
      <c r="K32" s="90">
        <v>19.25</v>
      </c>
      <c r="L32" s="90">
        <f>+H32*0.7519/293.463</f>
        <v>6.2924157730276047</v>
      </c>
    </row>
    <row r="33" spans="1:15">
      <c r="A33" s="10" t="s">
        <v>222</v>
      </c>
      <c r="B33" s="54">
        <v>1120.9159999999999</v>
      </c>
      <c r="C33" s="15">
        <f>+'tab 10'!E30</f>
        <v>4288.2</v>
      </c>
      <c r="D33" s="15">
        <f>1.333*2.204622*12.5438</f>
        <v>36.863231812318801</v>
      </c>
      <c r="E33" s="54">
        <f t="shared" si="4"/>
        <v>5445.9792318123191</v>
      </c>
      <c r="F33" s="54">
        <f>1.33*295.769</f>
        <v>393.37277</v>
      </c>
      <c r="G33" s="54">
        <v>491</v>
      </c>
      <c r="H33" s="54">
        <v>2600</v>
      </c>
      <c r="I33" s="47">
        <f t="shared" si="3"/>
        <v>547.03146181231932</v>
      </c>
      <c r="J33" s="54">
        <f t="shared" si="2"/>
        <v>4031.4042318123193</v>
      </c>
      <c r="K33" s="90">
        <v>18.899999999999999</v>
      </c>
      <c r="L33" s="90">
        <f>+H33*0.7519/296.186</f>
        <v>6.600379491265624</v>
      </c>
    </row>
    <row r="34" spans="1:15">
      <c r="A34" s="10" t="s">
        <v>225</v>
      </c>
      <c r="B34" s="54">
        <v>1414.575</v>
      </c>
      <c r="C34" s="15">
        <f>+'tab 10'!E31</f>
        <v>4869.8599999999997</v>
      </c>
      <c r="D34" s="15">
        <f>1.333*2.204622*10.9229</f>
        <v>32.0997939031854</v>
      </c>
      <c r="E34" s="54">
        <f t="shared" ref="E34:E39" si="5">SUM(B34:D34)</f>
        <v>6316.5347939031853</v>
      </c>
      <c r="F34" s="54">
        <f>1.33*407.817</f>
        <v>542.39661000000001</v>
      </c>
      <c r="G34" s="54">
        <v>491</v>
      </c>
      <c r="H34" s="54">
        <v>2616</v>
      </c>
      <c r="I34" s="47">
        <f t="shared" ref="I34:I39" si="6">+J34-F34-G34-H34</f>
        <v>500.50818390318545</v>
      </c>
      <c r="J34" s="54">
        <f t="shared" si="2"/>
        <v>4149.9047939031852</v>
      </c>
      <c r="K34" s="90">
        <v>17.3</v>
      </c>
      <c r="L34" s="90">
        <f>+H34*0.7519/298.996</f>
        <v>6.5785843288873433</v>
      </c>
    </row>
    <row r="35" spans="1:15">
      <c r="A35" s="10" t="s">
        <v>227</v>
      </c>
      <c r="B35" s="54">
        <v>2166.63</v>
      </c>
      <c r="C35" s="15">
        <f>+'tab 10'!E32</f>
        <v>3464.25</v>
      </c>
      <c r="D35" s="54">
        <f>1.333*2.204622*20.7441</f>
        <v>60.961954673856603</v>
      </c>
      <c r="E35" s="54">
        <f t="shared" si="5"/>
        <v>5691.8419546738569</v>
      </c>
      <c r="F35" s="54">
        <f>1.33*385.375</f>
        <v>512.54875000000004</v>
      </c>
      <c r="G35" s="54">
        <f>1.333*2.204622*(207.4113-0.25*8.8906)</f>
        <v>603.00042811642004</v>
      </c>
      <c r="H35" s="54">
        <v>2585.4</v>
      </c>
      <c r="I35" s="47">
        <f t="shared" si="6"/>
        <v>470.77177655743662</v>
      </c>
      <c r="J35" s="54">
        <f t="shared" si="2"/>
        <v>4171.7209546738568</v>
      </c>
      <c r="K35" s="90">
        <v>17.7</v>
      </c>
      <c r="L35" s="90">
        <f>+H35*0.7519/302.004</f>
        <v>6.4368758691937851</v>
      </c>
    </row>
    <row r="36" spans="1:15">
      <c r="A36" s="10" t="s">
        <v>232</v>
      </c>
      <c r="B36" s="54">
        <v>1520.1210000000001</v>
      </c>
      <c r="C36" s="15">
        <f>+'tab 10'!E33</f>
        <v>3672.25</v>
      </c>
      <c r="D36" s="54">
        <f>1.333*2.204622*24.8198</f>
        <v>72.939463395094805</v>
      </c>
      <c r="E36" s="54">
        <f t="shared" si="5"/>
        <v>5265.3104633950952</v>
      </c>
      <c r="F36" s="54">
        <f>1.33*372.98</f>
        <v>496.06340000000006</v>
      </c>
      <c r="G36" s="54">
        <f>1.333*2.204622*(261.6465-0.25*25.5479)</f>
        <v>750.14676911122513</v>
      </c>
      <c r="H36" s="54">
        <v>2516.5300000000002</v>
      </c>
      <c r="I36" s="47">
        <f t="shared" si="6"/>
        <v>471.26329428386998</v>
      </c>
      <c r="J36" s="54">
        <f t="shared" si="2"/>
        <v>4234.0034633950954</v>
      </c>
      <c r="K36" s="90">
        <v>20.5</v>
      </c>
      <c r="L36" s="90">
        <f>+H36*0.7519/304.798</f>
        <v>6.2079767813437101</v>
      </c>
    </row>
    <row r="37" spans="1:15">
      <c r="A37" s="10" t="s">
        <v>231</v>
      </c>
      <c r="B37" s="54">
        <v>1031.307</v>
      </c>
      <c r="C37" s="15">
        <f>+'tab 10'!E34</f>
        <v>5162.3999999999996</v>
      </c>
      <c r="D37" s="54">
        <f>1.333*2.204622*29.1919</f>
        <v>85.788020914079411</v>
      </c>
      <c r="E37" s="54">
        <f t="shared" si="5"/>
        <v>6279.4950209140789</v>
      </c>
      <c r="F37" s="54">
        <f>1.33*334.296</f>
        <v>444.61367999999999</v>
      </c>
      <c r="G37" s="54">
        <f>1.333*2.204622*(254.8416-0.25*30.432)</f>
        <v>726.5604927210336</v>
      </c>
      <c r="H37" s="54">
        <v>2571.317</v>
      </c>
      <c r="I37" s="47">
        <f t="shared" si="6"/>
        <v>406.90384819304472</v>
      </c>
      <c r="J37" s="54">
        <f t="shared" si="2"/>
        <v>4149.3950209140785</v>
      </c>
      <c r="K37" s="90">
        <v>23</v>
      </c>
      <c r="L37" s="90">
        <f>+H37*0.7519/307.439</f>
        <v>6.2886401930138982</v>
      </c>
    </row>
    <row r="38" spans="1:15">
      <c r="A38" s="55" t="s">
        <v>234</v>
      </c>
      <c r="B38" s="54">
        <v>2130.1</v>
      </c>
      <c r="C38" s="15">
        <f>+'tab 10'!E35</f>
        <v>3691.65</v>
      </c>
      <c r="D38" s="54">
        <f>1.333*2.204622*24.4907</f>
        <v>71.972317108528202</v>
      </c>
      <c r="E38" s="54">
        <f t="shared" si="5"/>
        <v>5893.7223171085279</v>
      </c>
      <c r="F38" s="54">
        <f>1.33*326.779</f>
        <v>434.61607000000004</v>
      </c>
      <c r="G38" s="54">
        <f>1.333*2.204622*(207.8168-0.25*25.1427)</f>
        <v>592.25183582904674</v>
      </c>
      <c r="H38" s="54">
        <v>2674.875</v>
      </c>
      <c r="I38" s="47">
        <f t="shared" si="6"/>
        <v>363.23141127948111</v>
      </c>
      <c r="J38" s="54">
        <f t="shared" si="2"/>
        <v>4064.9743171085279</v>
      </c>
      <c r="K38" s="90">
        <v>21.7</v>
      </c>
      <c r="L38" s="90">
        <f>+H38*0.7519/308.758105</f>
        <v>6.5139618359168256</v>
      </c>
      <c r="N38" s="40"/>
    </row>
    <row r="39" spans="1:15">
      <c r="A39" s="55" t="s">
        <v>236</v>
      </c>
      <c r="B39" s="54">
        <v>1828.748</v>
      </c>
      <c r="C39" s="15">
        <f>+'tab 10'!E36</f>
        <v>4156.84</v>
      </c>
      <c r="D39" s="54">
        <f>1.333*2.204622*21.9793</f>
        <v>64.591912416691798</v>
      </c>
      <c r="E39" s="54">
        <f t="shared" si="5"/>
        <v>6050.1799124166919</v>
      </c>
      <c r="F39" s="54">
        <f>1.33*441.017</f>
        <v>586.55261000000007</v>
      </c>
      <c r="G39" s="54">
        <f>1.3333*2.204622*(215.1149-0.25*35.6944)</f>
        <v>606.08334912226042</v>
      </c>
      <c r="H39" s="54">
        <v>2839.9</v>
      </c>
      <c r="I39" s="47">
        <f t="shared" si="6"/>
        <v>501.70495329443065</v>
      </c>
      <c r="J39" s="54">
        <f t="shared" si="2"/>
        <v>4534.2409124166916</v>
      </c>
      <c r="K39" s="90">
        <v>22.5</v>
      </c>
      <c r="L39" s="90">
        <f>+H39*0.7519/309.327143</f>
        <v>6.9031149005892454</v>
      </c>
      <c r="N39" s="40"/>
      <c r="O39" s="38"/>
    </row>
    <row r="40" spans="1:15">
      <c r="A40" s="55" t="s">
        <v>246</v>
      </c>
      <c r="B40" s="54">
        <v>1515.9390000000001</v>
      </c>
      <c r="C40" s="15">
        <f>+'tab 10'!E37</f>
        <v>3658.59</v>
      </c>
      <c r="D40" s="54">
        <f>1.333*2.204622*86.3958</f>
        <v>253.8966184896708</v>
      </c>
      <c r="E40" s="54">
        <f t="shared" ref="E40:E45" si="7">SUM(B40:D40)</f>
        <v>5428.4256184896713</v>
      </c>
      <c r="F40" s="54">
        <f>1.333*453.835</f>
        <v>604.96205499999996</v>
      </c>
      <c r="G40" s="54">
        <f>1.3333*2.204622*(193.39119-0.25*(16.8492+13.4595))</f>
        <v>546.18589884759399</v>
      </c>
      <c r="H40" s="54">
        <v>2805</v>
      </c>
      <c r="I40" s="47">
        <f t="shared" ref="I40:I45" si="8">+J40-F40-G40-H40</f>
        <v>468.94666464207694</v>
      </c>
      <c r="J40" s="54">
        <f t="shared" si="2"/>
        <v>4425.0946184896711</v>
      </c>
      <c r="K40" s="90">
        <v>31.8</v>
      </c>
      <c r="L40" s="90">
        <f>+H40*0.7519/311.583481</f>
        <v>6.7689066610049196</v>
      </c>
      <c r="N40" s="40"/>
      <c r="O40" s="38"/>
    </row>
    <row r="41" spans="1:15">
      <c r="A41" s="55" t="s">
        <v>241</v>
      </c>
      <c r="B41" s="54">
        <v>1003.331</v>
      </c>
      <c r="C41" s="15">
        <f>+'tab 10'!E38</f>
        <v>6753.88</v>
      </c>
      <c r="D41" s="54">
        <f>1.333*2.204622*40.4468</f>
        <v>118.86348351109682</v>
      </c>
      <c r="E41" s="54">
        <f t="shared" si="7"/>
        <v>7876.0744835110972</v>
      </c>
      <c r="F41" s="54">
        <f>1.333*493.205</f>
        <v>657.44226499999991</v>
      </c>
      <c r="G41" s="54">
        <f>1.3333*2.204622*(428.7709-0.25*(88.4582))</f>
        <v>1195.3348300817449</v>
      </c>
      <c r="H41" s="54">
        <v>2734.8359999999998</v>
      </c>
      <c r="I41" s="47">
        <f t="shared" si="8"/>
        <v>517.71238842935281</v>
      </c>
      <c r="J41" s="54">
        <f t="shared" si="2"/>
        <v>5105.3254835110974</v>
      </c>
      <c r="K41" s="90">
        <v>30.1</v>
      </c>
      <c r="L41" s="90">
        <f>+H41*0.7519/313.877662</f>
        <v>6.5513524450809753</v>
      </c>
      <c r="N41" s="40"/>
      <c r="O41" s="38"/>
    </row>
    <row r="42" spans="1:15">
      <c r="A42" s="55" t="s">
        <v>259</v>
      </c>
      <c r="B42" s="54">
        <v>2770.7489999999998</v>
      </c>
      <c r="C42" s="15">
        <f>+'tab 10'!E39</f>
        <v>4173.17</v>
      </c>
      <c r="D42" s="54">
        <f>1.333*2.204622*29.8644</f>
        <v>87.764337771314402</v>
      </c>
      <c r="E42" s="54">
        <f t="shared" si="7"/>
        <v>7031.6833377713147</v>
      </c>
      <c r="F42" s="54">
        <f>1.333*497.272</f>
        <v>662.86357599999997</v>
      </c>
      <c r="G42" s="54">
        <f>1.3333*2.204622*(389.1268-0.25*65.2604)</f>
        <v>1095.8511039406771</v>
      </c>
      <c r="H42" s="54">
        <v>2892.5</v>
      </c>
      <c r="I42" s="47">
        <f t="shared" si="8"/>
        <v>522.69165783063772</v>
      </c>
      <c r="J42" s="54">
        <f t="shared" si="2"/>
        <v>5173.9063377713146</v>
      </c>
      <c r="K42" s="90">
        <v>24.9</v>
      </c>
      <c r="L42" s="90">
        <f>+H42*0.7519/316.059947</f>
        <v>6.8811969711556014</v>
      </c>
      <c r="N42" s="261"/>
      <c r="O42" s="38"/>
    </row>
    <row r="43" spans="1:15" s="194" customFormat="1">
      <c r="A43" s="200" t="s">
        <v>261</v>
      </c>
      <c r="B43" s="201">
        <v>1857.777</v>
      </c>
      <c r="C43" s="201">
        <f>+'tab 10'!E40</f>
        <v>5188.665</v>
      </c>
      <c r="D43" s="201">
        <f>1.333*2.204622*30.5045</f>
        <v>89.64543876806701</v>
      </c>
      <c r="E43" s="201">
        <f t="shared" si="7"/>
        <v>7136.0874387680669</v>
      </c>
      <c r="F43" s="201">
        <f>1.333*506.677</f>
        <v>675.400441</v>
      </c>
      <c r="G43" s="201">
        <f>1.3333*2.204622*(386.8707-0.25*76.6261)</f>
        <v>1080.867324197136</v>
      </c>
      <c r="H43" s="201">
        <v>2979.6</v>
      </c>
      <c r="I43" s="202">
        <f t="shared" si="8"/>
        <v>299.20267357093144</v>
      </c>
      <c r="J43" s="201">
        <f t="shared" si="2"/>
        <v>5035.0704387680671</v>
      </c>
      <c r="K43" s="203">
        <v>22</v>
      </c>
      <c r="L43" s="203">
        <f>+H43*0.7519/318.386329</f>
        <v>7.036612555057288</v>
      </c>
      <c r="M43"/>
      <c r="N43" s="261"/>
      <c r="O43" s="269"/>
    </row>
    <row r="44" spans="1:15">
      <c r="A44" s="55" t="s">
        <v>265</v>
      </c>
      <c r="B44" s="54">
        <v>2101.0169999999998</v>
      </c>
      <c r="C44" s="15">
        <f>+'tab 10'!E41</f>
        <v>6001.357</v>
      </c>
      <c r="D44" s="54">
        <f>1.333*2.204622*32.0801</f>
        <v>94.275750798192604</v>
      </c>
      <c r="E44" s="54">
        <f t="shared" si="7"/>
        <v>8196.6497507981931</v>
      </c>
      <c r="F44" s="54">
        <f>1.333*531.77</f>
        <v>708.84940999999992</v>
      </c>
      <c r="G44" s="54">
        <v>1544.4201332791811</v>
      </c>
      <c r="H44" s="54">
        <v>3060.4</v>
      </c>
      <c r="I44" s="47">
        <f t="shared" si="8"/>
        <v>1092.0752075190126</v>
      </c>
      <c r="J44" s="54">
        <f t="shared" si="2"/>
        <v>6405.7447507981933</v>
      </c>
      <c r="K44" s="90">
        <v>19.3</v>
      </c>
      <c r="L44" s="203">
        <f>+H44*0.7519/320.738994</f>
        <v>7.1744153440850411</v>
      </c>
      <c r="N44" s="40"/>
      <c r="O44" s="38"/>
    </row>
    <row r="45" spans="1:15">
      <c r="A45" s="55" t="s">
        <v>262</v>
      </c>
      <c r="B45" s="54">
        <v>1790.905</v>
      </c>
      <c r="C45" s="15">
        <f>+'tab 10'!E42</f>
        <v>5581.57</v>
      </c>
      <c r="D45" s="54">
        <f>1.333*2.204622*55.009</f>
        <v>161.658310780134</v>
      </c>
      <c r="E45" s="54">
        <f t="shared" si="7"/>
        <v>7534.1333107801338</v>
      </c>
      <c r="F45" s="54">
        <f>1.333*659.966</f>
        <v>879.73467800000003</v>
      </c>
      <c r="G45" s="54">
        <f>1.3333*2.204622*(472.565-0.25*83.1792)</f>
        <v>1327.9434964018044</v>
      </c>
      <c r="H45" s="54">
        <v>3099.4</v>
      </c>
      <c r="I45" s="47">
        <f t="shared" si="8"/>
        <v>785.46313637832964</v>
      </c>
      <c r="J45" s="54">
        <f t="shared" si="2"/>
        <v>6092.5413107801342</v>
      </c>
      <c r="K45" s="90">
        <v>19.7</v>
      </c>
      <c r="L45" s="203">
        <f>+H45*0.7519/323.071755</f>
        <v>7.2133785263895946</v>
      </c>
      <c r="N45" s="40"/>
      <c r="O45" s="38"/>
    </row>
    <row r="46" spans="1:15">
      <c r="A46" s="61" t="s">
        <v>296</v>
      </c>
      <c r="B46" s="15">
        <v>1441.5920000000001</v>
      </c>
      <c r="C46" s="15">
        <f>+'tab 10'!E43</f>
        <v>7115.41</v>
      </c>
      <c r="D46" s="15">
        <f>1.333*2.204622*57.9684</f>
        <v>170.35528045641843</v>
      </c>
      <c r="E46" s="15">
        <f t="shared" ref="E46:E51" si="9">SUM(B46:D46)</f>
        <v>8727.3572804564192</v>
      </c>
      <c r="F46" s="15">
        <f>1.333*528.75</f>
        <v>704.82375000000002</v>
      </c>
      <c r="G46" s="15">
        <f>1.3333*2.204622*(450.6865-0.25*(72.2873))</f>
        <v>1271.6373149761323</v>
      </c>
      <c r="H46" s="15">
        <v>3156.4</v>
      </c>
      <c r="I46" s="18">
        <f t="shared" ref="I46:I51" si="10">+J46-F46-G46-H46</f>
        <v>877.41621548028752</v>
      </c>
      <c r="J46" s="15">
        <f t="shared" si="2"/>
        <v>6010.2772804564192</v>
      </c>
      <c r="K46" s="90">
        <v>22.9</v>
      </c>
      <c r="L46" s="203">
        <f>+H46*0.7519/325.122128</f>
        <v>7.2997097263093709</v>
      </c>
      <c r="N46" s="40"/>
      <c r="O46" s="38"/>
    </row>
    <row r="47" spans="1:15">
      <c r="A47" s="61" t="s">
        <v>335</v>
      </c>
      <c r="B47" s="15">
        <v>2717.08</v>
      </c>
      <c r="C47" s="15">
        <f>+'tab 10'!E44</f>
        <v>5495.9350000000004</v>
      </c>
      <c r="D47" s="15">
        <f>1.333*2.204622*39.8394</f>
        <v>117.0784800031644</v>
      </c>
      <c r="E47" s="15">
        <f t="shared" si="9"/>
        <v>8330.0934800031646</v>
      </c>
      <c r="F47" s="15">
        <f>1.333*486.398</f>
        <v>648.36853400000007</v>
      </c>
      <c r="G47" s="15">
        <f>1.3333*2.204622*(423.9832-0.25*(63.7497))</f>
        <v>1199.4189372063142</v>
      </c>
      <c r="H47" s="15">
        <v>3106.4</v>
      </c>
      <c r="I47" s="18">
        <f t="shared" si="10"/>
        <v>954.81600879684993</v>
      </c>
      <c r="J47" s="15">
        <f t="shared" si="2"/>
        <v>5909.0034800031644</v>
      </c>
      <c r="K47" s="90">
        <v>21.5</v>
      </c>
      <c r="L47" s="203">
        <f>+H47*0.7519/326.838199</f>
        <v>7.1463561087607159</v>
      </c>
      <c r="N47" s="40"/>
      <c r="O47" s="38"/>
    </row>
    <row r="48" spans="1:15">
      <c r="A48" s="61" t="s">
        <v>334</v>
      </c>
      <c r="B48" s="15">
        <v>2421.09</v>
      </c>
      <c r="C48" s="15">
        <f>+'tab 10'!E45</f>
        <v>5466.4870000000001</v>
      </c>
      <c r="D48" s="15">
        <f>1.333*2.204622*38.932</f>
        <v>114.41184815743202</v>
      </c>
      <c r="E48" s="15">
        <f t="shared" si="9"/>
        <v>8001.9888481574326</v>
      </c>
      <c r="F48" s="15">
        <f>1.333*580.628</f>
        <v>773.977124</v>
      </c>
      <c r="G48" s="15">
        <f>1.3333*2.204622*(610.5871-0.25*(251.05))</f>
        <v>1610.2879621960897</v>
      </c>
      <c r="H48" s="15">
        <v>3221.4</v>
      </c>
      <c r="I48" s="18">
        <f t="shared" si="10"/>
        <v>278.13576196134272</v>
      </c>
      <c r="J48" s="15">
        <f t="shared" si="2"/>
        <v>5883.8008481574325</v>
      </c>
      <c r="K48" s="90">
        <v>20.5</v>
      </c>
      <c r="L48" s="203">
        <f>+H48*0.7519/328.329953</f>
        <v>7.3772454747678786</v>
      </c>
      <c r="N48" s="40"/>
      <c r="O48" s="38"/>
    </row>
    <row r="49" spans="1:16">
      <c r="A49" s="61" t="s">
        <v>350</v>
      </c>
      <c r="B49" s="15">
        <v>2118.1880000000001</v>
      </c>
      <c r="C49" s="15">
        <f>+'tab 10'!E46</f>
        <v>6158.35</v>
      </c>
      <c r="D49" s="15">
        <f>1.333*2.204622*41.1699</f>
        <v>120.9885016813074</v>
      </c>
      <c r="E49" s="15">
        <f t="shared" si="9"/>
        <v>8397.5265016813082</v>
      </c>
      <c r="F49" s="15">
        <f>1.333*654.699</f>
        <v>872.71376699999996</v>
      </c>
      <c r="G49" s="15">
        <f>1.3333*2.204622*(540.2525-0.25*(215.9666))</f>
        <v>1429.3260894860118</v>
      </c>
      <c r="H49" s="15">
        <v>3356.6</v>
      </c>
      <c r="I49" s="18">
        <f t="shared" si="10"/>
        <v>770.72464519529649</v>
      </c>
      <c r="J49" s="15">
        <f t="shared" si="2"/>
        <v>6429.364501681308</v>
      </c>
      <c r="K49" s="90">
        <v>21</v>
      </c>
      <c r="L49" s="203">
        <f>+H49*0.7519/329.484123</f>
        <v>7.6599367429914054</v>
      </c>
      <c r="N49" s="40"/>
      <c r="O49" s="38"/>
    </row>
    <row r="50" spans="1:16">
      <c r="A50" s="61" t="s">
        <v>504</v>
      </c>
      <c r="B50" s="15">
        <v>1968.162</v>
      </c>
      <c r="C50" s="15">
        <f>+'tab 10'!E47</f>
        <v>6361.3310000000001</v>
      </c>
      <c r="D50" s="15">
        <f>1.333*2.204622*36.4374</f>
        <v>107.0808146525124</v>
      </c>
      <c r="E50" s="15">
        <f t="shared" si="9"/>
        <v>8436.5738146525127</v>
      </c>
      <c r="F50" s="15">
        <f>1.333*631.84</f>
        <v>842.24271999999996</v>
      </c>
      <c r="G50" s="15">
        <f>1.3333*2.204622*(433.3534-0.25*(124.2671))</f>
        <v>1182.4903620428738</v>
      </c>
      <c r="H50" s="15">
        <v>3313.1</v>
      </c>
      <c r="I50" s="18">
        <f t="shared" si="10"/>
        <v>738.48373260963899</v>
      </c>
      <c r="J50" s="15">
        <f t="shared" si="2"/>
        <v>6076.3168146525131</v>
      </c>
      <c r="K50" s="90">
        <v>24.3</v>
      </c>
      <c r="L50" s="203">
        <f>+H50*0.7519/333.287557</f>
        <v>7.4743861199714692</v>
      </c>
      <c r="N50" s="40"/>
    </row>
    <row r="51" spans="1:16">
      <c r="A51" s="67" t="s">
        <v>597</v>
      </c>
      <c r="B51" s="235">
        <v>2360.2570000000001</v>
      </c>
      <c r="C51" s="235">
        <f>+'tab 10'!E48</f>
        <v>5568.15</v>
      </c>
      <c r="D51" s="235">
        <v>110</v>
      </c>
      <c r="E51" s="235">
        <f t="shared" si="9"/>
        <v>8038.4069999999992</v>
      </c>
      <c r="F51" s="235">
        <v>800</v>
      </c>
      <c r="G51" s="235">
        <v>1100</v>
      </c>
      <c r="H51" s="235">
        <v>3287.7226918856595</v>
      </c>
      <c r="I51" s="246">
        <f t="shared" si="10"/>
        <v>566.68430811433973</v>
      </c>
      <c r="J51" s="235">
        <f>+E51-B53-2284</f>
        <v>5754.4069999999992</v>
      </c>
      <c r="K51" s="270">
        <v>27</v>
      </c>
      <c r="L51" s="270">
        <f>+H51*0.7519/334.49377</f>
        <v>7.3903878449778828</v>
      </c>
      <c r="P51" s="15"/>
    </row>
    <row r="52" spans="1:16" ht="13.15" customHeight="1">
      <c r="A52" s="61" t="s">
        <v>517</v>
      </c>
    </row>
    <row r="53" spans="1:16">
      <c r="A53" t="s">
        <v>676</v>
      </c>
    </row>
    <row r="54" spans="1:16">
      <c r="A54" t="s">
        <v>722</v>
      </c>
    </row>
    <row r="55" spans="1:16" ht="13.15" customHeight="1">
      <c r="A55" s="55" t="s">
        <v>723</v>
      </c>
      <c r="J55" s="78"/>
      <c r="K55" s="78"/>
    </row>
    <row r="56" spans="1:16">
      <c r="F56" s="54"/>
      <c r="L56" s="101" t="s">
        <v>592</v>
      </c>
    </row>
    <row r="57" spans="1:16">
      <c r="F57" s="54"/>
    </row>
    <row r="58" spans="1:16">
      <c r="F58" s="54"/>
    </row>
    <row r="59" spans="1:16">
      <c r="F59" s="54"/>
    </row>
    <row r="60" spans="1:16">
      <c r="F60" s="54"/>
    </row>
    <row r="61" spans="1:16">
      <c r="F61" s="54"/>
    </row>
  </sheetData>
  <phoneticPr fontId="0" type="noConversion"/>
  <pageMargins left="0.75" right="0.75" top="1" bottom="1" header="0.5" footer="0.5"/>
  <pageSetup scale="90" firstPageNumber="11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N57"/>
  <sheetViews>
    <sheetView zoomScaleNormal="100" zoomScaleSheetLayoutView="100" workbookViewId="0">
      <pane ySplit="5" topLeftCell="A6" activePane="bottomLeft" state="frozen"/>
      <selection pane="bottomLeft"/>
    </sheetView>
  </sheetViews>
  <sheetFormatPr defaultRowHeight="11.25"/>
  <cols>
    <col min="1" max="1" width="10.6640625" customWidth="1"/>
    <col min="2" max="8" width="10.83203125" customWidth="1"/>
  </cols>
  <sheetData>
    <row r="1" spans="1:7">
      <c r="A1" s="227" t="s">
        <v>607</v>
      </c>
      <c r="B1" s="1"/>
      <c r="C1" s="1"/>
      <c r="D1" s="1"/>
      <c r="E1" s="1"/>
      <c r="F1" s="1"/>
      <c r="G1" s="1"/>
    </row>
    <row r="2" spans="1:7">
      <c r="A2" s="7" t="s">
        <v>378</v>
      </c>
      <c r="B2" s="108"/>
      <c r="C2" s="7"/>
      <c r="D2" s="7"/>
      <c r="E2" s="7"/>
      <c r="F2" s="7"/>
      <c r="G2" s="7"/>
    </row>
    <row r="3" spans="1:7">
      <c r="A3" s="7" t="s">
        <v>59</v>
      </c>
      <c r="B3" s="109" t="s">
        <v>337</v>
      </c>
      <c r="C3" s="7" t="s">
        <v>339</v>
      </c>
      <c r="D3" s="7" t="s">
        <v>337</v>
      </c>
      <c r="E3" s="7" t="s">
        <v>166</v>
      </c>
      <c r="F3" s="7" t="s">
        <v>343</v>
      </c>
      <c r="G3" s="7" t="s">
        <v>2</v>
      </c>
    </row>
    <row r="4" spans="1:7">
      <c r="A4" s="9" t="s">
        <v>61</v>
      </c>
      <c r="B4" s="116" t="s">
        <v>338</v>
      </c>
      <c r="C4" s="9" t="s">
        <v>340</v>
      </c>
      <c r="D4" s="9" t="s">
        <v>341</v>
      </c>
      <c r="E4" s="9" t="s">
        <v>342</v>
      </c>
      <c r="F4" s="9" t="s">
        <v>344</v>
      </c>
      <c r="G4" s="7"/>
    </row>
    <row r="5" spans="1:7">
      <c r="A5" s="73"/>
      <c r="B5" s="73"/>
      <c r="C5" s="154"/>
      <c r="D5" s="154" t="s">
        <v>345</v>
      </c>
      <c r="E5" s="73"/>
      <c r="F5" s="73"/>
      <c r="G5" s="157"/>
    </row>
    <row r="6" spans="1:7">
      <c r="B6" s="74"/>
      <c r="C6" s="74"/>
      <c r="D6" s="74"/>
      <c r="E6" s="74"/>
      <c r="F6" s="74"/>
      <c r="G6" s="74"/>
    </row>
    <row r="7" spans="1:7">
      <c r="A7" s="10" t="s">
        <v>181</v>
      </c>
      <c r="B7" s="15">
        <v>237.89</v>
      </c>
      <c r="C7" s="15">
        <v>205.489</v>
      </c>
      <c r="D7" s="15">
        <v>612.63400000000001</v>
      </c>
      <c r="E7" s="15">
        <v>19.687999999999999</v>
      </c>
      <c r="F7" s="54">
        <f>120.263*0.7519</f>
        <v>90.425749700000011</v>
      </c>
      <c r="G7" s="125">
        <f>SUM(B7:F7)</f>
        <v>1166.1267497000001</v>
      </c>
    </row>
    <row r="8" spans="1:7">
      <c r="A8" s="10" t="s">
        <v>182</v>
      </c>
      <c r="B8" s="15">
        <v>255.86199999999999</v>
      </c>
      <c r="C8" s="15">
        <v>277.95400000000001</v>
      </c>
      <c r="D8" s="15">
        <v>676.36900000000003</v>
      </c>
      <c r="E8" s="15">
        <v>15.271000000000001</v>
      </c>
      <c r="F8" s="54">
        <f>200.735*0.7519</f>
        <v>150.9326465</v>
      </c>
      <c r="G8" s="125">
        <f t="shared" ref="G8:G45" si="0">SUM(B8:F8)</f>
        <v>1376.3886464999998</v>
      </c>
    </row>
    <row r="9" spans="1:7">
      <c r="A9" s="10" t="s">
        <v>183</v>
      </c>
      <c r="B9" s="15">
        <v>284.15600000000001</v>
      </c>
      <c r="C9" s="15">
        <v>308.11799999999999</v>
      </c>
      <c r="D9" s="15">
        <v>699.53199999999993</v>
      </c>
      <c r="E9" s="15">
        <v>16.959</v>
      </c>
      <c r="F9" s="54">
        <f>206.425*0.7519</f>
        <v>155.21095750000001</v>
      </c>
      <c r="G9" s="125">
        <f t="shared" si="0"/>
        <v>1463.9759575</v>
      </c>
    </row>
    <row r="10" spans="1:7">
      <c r="A10" s="10" t="s">
        <v>184</v>
      </c>
      <c r="B10" s="15">
        <v>298.065</v>
      </c>
      <c r="C10" s="15">
        <v>301.971</v>
      </c>
      <c r="D10" s="15">
        <v>695.70899999999995</v>
      </c>
      <c r="E10" s="15">
        <v>15.468999999999999</v>
      </c>
      <c r="F10" s="54">
        <f>172.984*0.7519</f>
        <v>130.06666960000001</v>
      </c>
      <c r="G10" s="125">
        <f t="shared" si="0"/>
        <v>1441.2806696</v>
      </c>
    </row>
    <row r="11" spans="1:7">
      <c r="A11" s="10" t="s">
        <v>185</v>
      </c>
      <c r="B11" s="15">
        <v>290.31799999999998</v>
      </c>
      <c r="C11" s="15">
        <v>309.05</v>
      </c>
      <c r="D11" s="15">
        <v>723.37699999999995</v>
      </c>
      <c r="E11" s="15">
        <v>19.201000000000001</v>
      </c>
      <c r="F11" s="54">
        <f>211.947*0.7519</f>
        <v>159.3629493</v>
      </c>
      <c r="G11" s="125">
        <f t="shared" si="0"/>
        <v>1501.3089493</v>
      </c>
    </row>
    <row r="12" spans="1:7">
      <c r="A12" s="10" t="s">
        <v>186</v>
      </c>
      <c r="B12" s="15">
        <v>313.488</v>
      </c>
      <c r="C12" s="15">
        <v>355.89800000000002</v>
      </c>
      <c r="D12" s="15">
        <v>726.5</v>
      </c>
      <c r="E12" s="15">
        <v>23.472999999999999</v>
      </c>
      <c r="F12" s="54">
        <f>234.72*0.7519</f>
        <v>176.48596800000001</v>
      </c>
      <c r="G12" s="125">
        <f t="shared" si="0"/>
        <v>1595.8449679999999</v>
      </c>
    </row>
    <row r="13" spans="1:7">
      <c r="A13" s="10" t="s">
        <v>187</v>
      </c>
      <c r="B13" s="15">
        <v>323.45</v>
      </c>
      <c r="C13" s="15">
        <v>375.89800000000002</v>
      </c>
      <c r="D13" s="15">
        <v>709.24400000000003</v>
      </c>
      <c r="E13" s="15">
        <v>39.923000000000002</v>
      </c>
      <c r="F13" s="54">
        <f>215.046*0.7519</f>
        <v>161.6930874</v>
      </c>
      <c r="G13" s="125">
        <f t="shared" si="0"/>
        <v>1610.2080874000001</v>
      </c>
    </row>
    <row r="14" spans="1:7">
      <c r="A14" s="10" t="s">
        <v>188</v>
      </c>
      <c r="B14" s="15">
        <v>296.91199999999998</v>
      </c>
      <c r="C14" s="15">
        <v>401.7</v>
      </c>
      <c r="D14" s="15">
        <v>757.47800000000007</v>
      </c>
      <c r="E14" s="15">
        <v>37.325000000000003</v>
      </c>
      <c r="F14" s="54">
        <f>187.837*0.7519</f>
        <v>141.2346403</v>
      </c>
      <c r="G14" s="125">
        <f t="shared" si="0"/>
        <v>1634.6496403000001</v>
      </c>
    </row>
    <row r="15" spans="1:7">
      <c r="A15" s="10" t="s">
        <v>189</v>
      </c>
      <c r="B15" s="15">
        <v>326.90699999999998</v>
      </c>
      <c r="C15" s="15">
        <v>381.48099999999999</v>
      </c>
      <c r="D15" s="15">
        <v>860.30100000000004</v>
      </c>
      <c r="E15" s="15">
        <v>35.978000000000002</v>
      </c>
      <c r="F15" s="54">
        <f>237.386*0.7519</f>
        <v>178.4905334</v>
      </c>
      <c r="G15" s="125">
        <f t="shared" si="0"/>
        <v>1783.1575333999999</v>
      </c>
    </row>
    <row r="16" spans="1:7">
      <c r="A16" s="10" t="s">
        <v>4</v>
      </c>
      <c r="B16" s="15">
        <v>330.15800000000002</v>
      </c>
      <c r="C16" s="15">
        <v>392.81099999999998</v>
      </c>
      <c r="D16" s="15">
        <v>897.31799999999998</v>
      </c>
      <c r="E16" s="15">
        <v>36.682000000000002</v>
      </c>
      <c r="F16" s="54">
        <f>242.056*0.7519</f>
        <v>182.00190640000002</v>
      </c>
      <c r="G16" s="125">
        <f t="shared" si="0"/>
        <v>1838.9709064000001</v>
      </c>
    </row>
    <row r="17" spans="1:7">
      <c r="A17" s="10" t="s">
        <v>5</v>
      </c>
      <c r="B17" s="15">
        <v>305.32400000000001</v>
      </c>
      <c r="C17" s="15">
        <v>355.25799999999998</v>
      </c>
      <c r="D17" s="15">
        <v>742.38400000000001</v>
      </c>
      <c r="E17" s="15">
        <v>37.887999999999998</v>
      </c>
      <c r="F17" s="54">
        <f>229.641*0.7519</f>
        <v>172.66706790000001</v>
      </c>
      <c r="G17" s="125">
        <f t="shared" si="0"/>
        <v>1613.5210678999997</v>
      </c>
    </row>
    <row r="18" spans="1:7">
      <c r="A18" s="10" t="s">
        <v>6</v>
      </c>
      <c r="B18" s="15">
        <v>327.61700000000002</v>
      </c>
      <c r="C18" s="15">
        <v>346.255</v>
      </c>
      <c r="D18" s="15">
        <v>886.36699999999996</v>
      </c>
      <c r="E18" s="15">
        <v>34.173000000000002</v>
      </c>
      <c r="F18" s="54">
        <f>253.566*0.7519</f>
        <v>190.6562754</v>
      </c>
      <c r="G18" s="125">
        <f t="shared" si="0"/>
        <v>1785.0682753999999</v>
      </c>
    </row>
    <row r="19" spans="1:7">
      <c r="A19" s="10" t="s">
        <v>7</v>
      </c>
      <c r="B19" s="15">
        <v>328.32400000000001</v>
      </c>
      <c r="C19" s="15">
        <v>352.77499999999998</v>
      </c>
      <c r="D19" s="15">
        <v>797.91</v>
      </c>
      <c r="E19" s="15">
        <v>24.981000000000002</v>
      </c>
      <c r="F19" s="54">
        <f>271.365*0.7519</f>
        <v>204.0393435</v>
      </c>
      <c r="G19" s="125">
        <f t="shared" si="0"/>
        <v>1708.0293435000001</v>
      </c>
    </row>
    <row r="20" spans="1:7">
      <c r="A20" s="10" t="s">
        <v>8</v>
      </c>
      <c r="B20" s="15">
        <v>362.41800000000001</v>
      </c>
      <c r="C20" s="15">
        <v>348.86700000000002</v>
      </c>
      <c r="D20" s="15">
        <v>727.00599999999997</v>
      </c>
      <c r="E20" s="15">
        <v>36.301000000000002</v>
      </c>
      <c r="F20" s="54">
        <f>224.485*0.7519</f>
        <v>168.79027150000002</v>
      </c>
      <c r="G20" s="125">
        <f t="shared" si="0"/>
        <v>1643.3822715000001</v>
      </c>
    </row>
    <row r="21" spans="1:7">
      <c r="A21" s="10" t="s">
        <v>9</v>
      </c>
      <c r="B21" s="15">
        <v>349.63</v>
      </c>
      <c r="C21" s="15">
        <v>301.548</v>
      </c>
      <c r="D21" s="15">
        <v>709.82299999999998</v>
      </c>
      <c r="E21" s="15">
        <v>36.853999999999999</v>
      </c>
      <c r="F21" s="54">
        <f>259.122*0.7519</f>
        <v>194.83383180000001</v>
      </c>
      <c r="G21" s="125">
        <f t="shared" si="0"/>
        <v>1592.6888318000001</v>
      </c>
    </row>
    <row r="22" spans="1:7">
      <c r="A22" s="10" t="s">
        <v>10</v>
      </c>
      <c r="B22" s="15">
        <v>350.66300000000001</v>
      </c>
      <c r="C22" s="15">
        <v>277.089</v>
      </c>
      <c r="D22" s="15">
        <v>728.07600000000002</v>
      </c>
      <c r="E22" s="15">
        <v>32.015000000000001</v>
      </c>
      <c r="F22" s="54">
        <f>228.593*0.7519</f>
        <v>171.87907669999998</v>
      </c>
      <c r="G22" s="125">
        <f t="shared" si="0"/>
        <v>1559.7220767000001</v>
      </c>
    </row>
    <row r="23" spans="1:7">
      <c r="A23" s="10" t="s">
        <v>11</v>
      </c>
      <c r="B23" s="15">
        <v>360.846</v>
      </c>
      <c r="C23" s="15">
        <v>290.10199999999998</v>
      </c>
      <c r="D23" s="15">
        <v>727.53099999999995</v>
      </c>
      <c r="E23" s="15">
        <v>33.825000000000003</v>
      </c>
      <c r="F23" s="54">
        <f>241.547*0.7519</f>
        <v>181.61918929999999</v>
      </c>
      <c r="G23" s="125">
        <f t="shared" si="0"/>
        <v>1593.9231892999999</v>
      </c>
    </row>
    <row r="24" spans="1:7">
      <c r="A24" s="10" t="s">
        <v>12</v>
      </c>
      <c r="B24" s="15">
        <v>351.017</v>
      </c>
      <c r="C24" s="15">
        <v>306.90800000000002</v>
      </c>
      <c r="D24" s="15">
        <v>760.23</v>
      </c>
      <c r="E24" s="15">
        <v>35.470999999999997</v>
      </c>
      <c r="F24" s="54">
        <f>253.115*0.7519</f>
        <v>190.31716850000001</v>
      </c>
      <c r="G24" s="125">
        <f t="shared" si="0"/>
        <v>1643.9431685</v>
      </c>
    </row>
    <row r="25" spans="1:7">
      <c r="A25" s="10" t="s">
        <v>13</v>
      </c>
      <c r="B25" s="15">
        <v>380.17700000000002</v>
      </c>
      <c r="C25" s="15">
        <v>349.80599999999998</v>
      </c>
      <c r="D25" s="15">
        <v>744.70600000000002</v>
      </c>
      <c r="E25" s="15">
        <v>22.131</v>
      </c>
      <c r="F25" s="54">
        <f>235.012*0.7519</f>
        <v>176.70552280000001</v>
      </c>
      <c r="G25" s="125">
        <f t="shared" si="0"/>
        <v>1673.5255227999999</v>
      </c>
    </row>
    <row r="26" spans="1:7">
      <c r="A26" s="10" t="s">
        <v>14</v>
      </c>
      <c r="B26" s="15">
        <v>354.95299999999997</v>
      </c>
      <c r="C26" s="15">
        <v>394.12099999999998</v>
      </c>
      <c r="D26" s="15">
        <v>772.10400000000004</v>
      </c>
      <c r="E26" s="15">
        <v>20.227</v>
      </c>
      <c r="F26" s="54">
        <f>248.943*0.7519</f>
        <v>187.18024170000001</v>
      </c>
      <c r="G26" s="125">
        <f t="shared" si="0"/>
        <v>1728.5852417000001</v>
      </c>
    </row>
    <row r="27" spans="1:7">
      <c r="A27" s="10" t="s">
        <v>397</v>
      </c>
      <c r="B27" s="15">
        <v>355.61</v>
      </c>
      <c r="C27" s="15">
        <v>361.51600000000002</v>
      </c>
      <c r="D27" s="15">
        <v>753.23900000000003</v>
      </c>
      <c r="E27" s="15">
        <v>19.998000000000001</v>
      </c>
      <c r="F27" s="54">
        <f>249.726*0.7519</f>
        <v>187.76897940000001</v>
      </c>
      <c r="G27" s="125">
        <f t="shared" si="0"/>
        <v>1678.1319794000001</v>
      </c>
    </row>
    <row r="28" spans="1:7">
      <c r="A28" s="10" t="s">
        <v>210</v>
      </c>
      <c r="B28" s="15">
        <v>349.72899999999998</v>
      </c>
      <c r="C28" s="15">
        <v>360.916</v>
      </c>
      <c r="D28" s="15">
        <v>818.92700000000002</v>
      </c>
      <c r="E28" s="15">
        <v>17.283999999999999</v>
      </c>
      <c r="F28" s="54">
        <f>219.006*0.7519</f>
        <v>164.67061140000001</v>
      </c>
      <c r="G28" s="125">
        <f t="shared" si="0"/>
        <v>1711.5266114000003</v>
      </c>
    </row>
    <row r="29" spans="1:7">
      <c r="A29" s="10" t="s">
        <v>217</v>
      </c>
      <c r="B29" s="15">
        <v>354.23200000000003</v>
      </c>
      <c r="C29" s="15">
        <v>344.91300000000001</v>
      </c>
      <c r="D29" s="15">
        <v>828.529</v>
      </c>
      <c r="E29" s="15">
        <v>24.379000000000001</v>
      </c>
      <c r="F29" s="54">
        <f>224.13*0.7519</f>
        <v>168.523347</v>
      </c>
      <c r="G29" s="125">
        <f t="shared" si="0"/>
        <v>1720.5763469999999</v>
      </c>
    </row>
    <row r="30" spans="1:7">
      <c r="A30" s="10" t="s">
        <v>398</v>
      </c>
      <c r="B30" s="54">
        <v>365.983</v>
      </c>
      <c r="C30" s="15">
        <v>414.58800000000002</v>
      </c>
      <c r="D30" s="15">
        <v>901.63699999999994</v>
      </c>
      <c r="E30" s="54">
        <v>15.93</v>
      </c>
      <c r="F30" s="54">
        <f>242.985*0.7519</f>
        <v>182.7004215</v>
      </c>
      <c r="G30" s="125">
        <f t="shared" si="0"/>
        <v>1880.8384215000001</v>
      </c>
    </row>
    <row r="31" spans="1:7">
      <c r="A31" s="10" t="s">
        <v>222</v>
      </c>
      <c r="B31" s="54">
        <v>389.69600000000003</v>
      </c>
      <c r="C31" s="15">
        <v>450.78100000000001</v>
      </c>
      <c r="D31" s="15">
        <v>938.51400000000001</v>
      </c>
      <c r="E31" s="54">
        <v>22.547000000000001</v>
      </c>
      <c r="F31" s="54">
        <f>252.131*0.7519</f>
        <v>189.57729890000002</v>
      </c>
      <c r="G31" s="125">
        <f t="shared" si="0"/>
        <v>1991.1152989</v>
      </c>
    </row>
    <row r="32" spans="1:7">
      <c r="A32" s="10" t="s">
        <v>225</v>
      </c>
      <c r="B32" s="54">
        <v>376.77699999999999</v>
      </c>
      <c r="C32" s="15">
        <v>454.32400000000001</v>
      </c>
      <c r="D32" s="15">
        <v>974.22299999999996</v>
      </c>
      <c r="E32" s="54">
        <v>12.092000000000001</v>
      </c>
      <c r="F32" s="54">
        <f>252.685*0.7519</f>
        <v>189.99385150000001</v>
      </c>
      <c r="G32" s="125">
        <f t="shared" si="0"/>
        <v>2007.4098515000001</v>
      </c>
    </row>
    <row r="33" spans="1:14">
      <c r="A33" s="10" t="s">
        <v>227</v>
      </c>
      <c r="B33" s="54">
        <v>373.68400000000003</v>
      </c>
      <c r="C33" s="15">
        <v>415.13099999999997</v>
      </c>
      <c r="D33" s="54">
        <v>993.44500000000005</v>
      </c>
      <c r="E33" s="54">
        <v>9.3970000000000002</v>
      </c>
      <c r="F33" s="54">
        <f>236.508*0.7519</f>
        <v>177.83036520000002</v>
      </c>
      <c r="G33" s="125">
        <f t="shared" si="0"/>
        <v>1969.4873652000001</v>
      </c>
    </row>
    <row r="34" spans="1:14">
      <c r="A34" s="10" t="s">
        <v>232</v>
      </c>
      <c r="B34" s="54">
        <v>320.46699999999998</v>
      </c>
      <c r="C34" s="15">
        <v>425.166</v>
      </c>
      <c r="D34" s="54">
        <v>1012.263</v>
      </c>
      <c r="E34" s="54">
        <v>10.676</v>
      </c>
      <c r="F34" s="54">
        <f>241.694*0.7519</f>
        <v>181.72971859999998</v>
      </c>
      <c r="G34" s="125">
        <f t="shared" si="0"/>
        <v>1950.3017186000002</v>
      </c>
    </row>
    <row r="35" spans="1:14">
      <c r="A35" s="10" t="s">
        <v>231</v>
      </c>
      <c r="B35" s="54">
        <v>316.27499999999998</v>
      </c>
      <c r="C35" s="15">
        <v>367.47800000000001</v>
      </c>
      <c r="D35" s="54">
        <v>1102.6980000000001</v>
      </c>
      <c r="E35" s="54">
        <v>9.84</v>
      </c>
      <c r="F35" s="54">
        <f>279.592*0.7519</f>
        <v>210.22522479999998</v>
      </c>
      <c r="G35" s="125">
        <f t="shared" si="0"/>
        <v>2006.5162247999999</v>
      </c>
    </row>
    <row r="36" spans="1:14">
      <c r="A36" s="55" t="s">
        <v>234</v>
      </c>
      <c r="B36" s="54">
        <v>315.59500000000003</v>
      </c>
      <c r="C36" s="15">
        <v>352.96300000000002</v>
      </c>
      <c r="D36" s="54">
        <v>1191.8209999999999</v>
      </c>
      <c r="E36" s="54">
        <v>15.84</v>
      </c>
      <c r="F36" s="54">
        <f>264.972*0.7519</f>
        <v>199.23244679999999</v>
      </c>
      <c r="G36" s="125">
        <f t="shared" si="0"/>
        <v>2075.4514467999998</v>
      </c>
    </row>
    <row r="37" spans="1:14">
      <c r="A37" s="55" t="s">
        <v>236</v>
      </c>
      <c r="B37" s="54">
        <v>395.452</v>
      </c>
      <c r="C37" s="15">
        <v>395.17700000000002</v>
      </c>
      <c r="D37" s="54">
        <v>1213.229</v>
      </c>
      <c r="E37" s="54">
        <v>16.89</v>
      </c>
      <c r="F37" s="54">
        <f>262.915*0.7519</f>
        <v>197.68578850000003</v>
      </c>
      <c r="G37" s="125">
        <f t="shared" si="0"/>
        <v>2218.4337885000004</v>
      </c>
    </row>
    <row r="38" spans="1:14">
      <c r="A38" s="55" t="s">
        <v>246</v>
      </c>
      <c r="B38" s="54">
        <v>394.678</v>
      </c>
      <c r="C38" s="15">
        <v>390.06799999999998</v>
      </c>
      <c r="D38" s="54">
        <v>1197.748</v>
      </c>
      <c r="E38" s="54">
        <v>19.661000000000001</v>
      </c>
      <c r="F38" s="54">
        <f>245.485*0.7519</f>
        <v>184.58017150000001</v>
      </c>
      <c r="G38" s="125">
        <f t="shared" si="0"/>
        <v>2186.7351715000004</v>
      </c>
    </row>
    <row r="39" spans="1:14">
      <c r="A39" s="55" t="s">
        <v>241</v>
      </c>
      <c r="B39" s="54">
        <v>381.91399999999999</v>
      </c>
      <c r="C39" s="15">
        <v>400.42899999999997</v>
      </c>
      <c r="D39" s="54">
        <v>1227.8589999999999</v>
      </c>
      <c r="E39" s="54">
        <v>20.664000000000001</v>
      </c>
      <c r="F39" s="54">
        <f>291.798*0.7519</f>
        <v>219.40291619999999</v>
      </c>
      <c r="G39" s="125">
        <f t="shared" si="0"/>
        <v>2250.2689161999997</v>
      </c>
    </row>
    <row r="40" spans="1:14">
      <c r="A40" s="55" t="s">
        <v>259</v>
      </c>
      <c r="B40" s="54">
        <v>395.726</v>
      </c>
      <c r="C40" s="15">
        <v>429.79599999999994</v>
      </c>
      <c r="D40" s="54">
        <v>1218.17</v>
      </c>
      <c r="E40" s="54">
        <v>29.103000000000002</v>
      </c>
      <c r="F40" s="54">
        <v>242.37421310000002</v>
      </c>
      <c r="G40" s="125">
        <f t="shared" si="0"/>
        <v>2315.1692131</v>
      </c>
    </row>
    <row r="41" spans="1:14">
      <c r="A41" s="55" t="s">
        <v>261</v>
      </c>
      <c r="B41" s="54">
        <v>375.85600000000005</v>
      </c>
      <c r="C41" s="15">
        <v>428.47700000000003</v>
      </c>
      <c r="D41" s="54">
        <v>1303.7549999999999</v>
      </c>
      <c r="E41" s="54">
        <v>53.178999999999988</v>
      </c>
      <c r="F41" s="54">
        <v>211.27487720000005</v>
      </c>
      <c r="G41" s="125">
        <f t="shared" si="0"/>
        <v>2372.5418771999998</v>
      </c>
    </row>
    <row r="42" spans="1:14">
      <c r="A42" s="55" t="s">
        <v>265</v>
      </c>
      <c r="B42" s="54">
        <v>377.50499999999994</v>
      </c>
      <c r="C42" s="15">
        <v>505.69200000000001</v>
      </c>
      <c r="D42" s="54">
        <v>1299.634</v>
      </c>
      <c r="E42" s="54">
        <v>61.387999999999998</v>
      </c>
      <c r="F42" s="54">
        <v>195.65941800000002</v>
      </c>
      <c r="G42" s="125">
        <f t="shared" si="0"/>
        <v>2439.8784180000002</v>
      </c>
      <c r="I42" s="21"/>
    </row>
    <row r="43" spans="1:14">
      <c r="A43" s="55" t="s">
        <v>262</v>
      </c>
      <c r="B43" s="54">
        <v>407.70100000000002</v>
      </c>
      <c r="C43" s="15">
        <v>470.29200000000003</v>
      </c>
      <c r="D43" s="54">
        <v>1338.1949999999999</v>
      </c>
      <c r="E43" s="54">
        <v>56.768999999999991</v>
      </c>
      <c r="F43" s="54">
        <v>172.67985020000003</v>
      </c>
      <c r="G43" s="125">
        <f t="shared" si="0"/>
        <v>2445.6368502</v>
      </c>
      <c r="I43" s="21"/>
    </row>
    <row r="44" spans="1:14">
      <c r="A44" s="30" t="s">
        <v>296</v>
      </c>
      <c r="B44" s="15">
        <v>379.50400000000002</v>
      </c>
      <c r="C44" s="15">
        <v>524.84499999999991</v>
      </c>
      <c r="D44" s="15">
        <v>1314.567</v>
      </c>
      <c r="E44" s="15">
        <v>95.942999999999984</v>
      </c>
      <c r="F44" s="15">
        <v>152.19959800000001</v>
      </c>
      <c r="G44" s="264">
        <f t="shared" si="0"/>
        <v>2467.0585980000005</v>
      </c>
      <c r="I44" s="21"/>
      <c r="J44" s="21"/>
      <c r="K44" s="21"/>
      <c r="L44" s="21"/>
      <c r="M44" s="21"/>
      <c r="N44" s="21"/>
    </row>
    <row r="45" spans="1:14">
      <c r="A45" s="30" t="s">
        <v>335</v>
      </c>
      <c r="B45" s="15">
        <v>380.93599999999998</v>
      </c>
      <c r="C45" s="15">
        <v>467.67600000000004</v>
      </c>
      <c r="D45" s="15">
        <v>1342.4369999999999</v>
      </c>
      <c r="E45" s="15">
        <v>112.651</v>
      </c>
      <c r="F45" s="15">
        <v>151.2243837</v>
      </c>
      <c r="G45" s="265">
        <f t="shared" si="0"/>
        <v>2454.9243836999999</v>
      </c>
      <c r="I45" s="21"/>
      <c r="J45" s="21"/>
      <c r="K45" s="21"/>
      <c r="L45" s="21"/>
      <c r="M45" s="21"/>
      <c r="N45" s="21"/>
    </row>
    <row r="46" spans="1:14">
      <c r="A46" s="30" t="s">
        <v>334</v>
      </c>
      <c r="B46" s="15">
        <v>395.64699999999999</v>
      </c>
      <c r="C46" s="15">
        <f>481.43</f>
        <v>481.43</v>
      </c>
      <c r="D46" s="15">
        <v>1410.2639999999999</v>
      </c>
      <c r="E46" s="15">
        <v>91.566999999999993</v>
      </c>
      <c r="F46" s="15">
        <v>150.47849890000001</v>
      </c>
      <c r="G46" s="265">
        <f>SUM(B46:F46)</f>
        <v>2529.3864988999999</v>
      </c>
      <c r="I46" s="21"/>
      <c r="J46" s="21"/>
      <c r="K46" s="21"/>
      <c r="L46" s="21"/>
      <c r="M46" s="21"/>
      <c r="N46" s="21"/>
    </row>
    <row r="47" spans="1:14">
      <c r="A47" s="30" t="s">
        <v>350</v>
      </c>
      <c r="B47" s="15">
        <v>433.20599999999996</v>
      </c>
      <c r="C47" s="15">
        <v>505.548</v>
      </c>
      <c r="D47" s="15">
        <v>1448.8520000000001</v>
      </c>
      <c r="E47" s="15">
        <v>72.675999999999988</v>
      </c>
      <c r="F47" s="15">
        <v>159.966725</v>
      </c>
      <c r="G47" s="265">
        <f>SUM(B47:F47)</f>
        <v>2620.2487249999995</v>
      </c>
      <c r="I47" s="21"/>
      <c r="J47" s="21"/>
      <c r="K47" s="21"/>
      <c r="L47" s="21"/>
      <c r="M47" s="21"/>
      <c r="N47" s="21"/>
    </row>
    <row r="48" spans="1:14">
      <c r="A48" s="31" t="s">
        <v>503</v>
      </c>
      <c r="B48" s="235">
        <v>490.13200000000001</v>
      </c>
      <c r="C48" s="235">
        <v>485.35899999999998</v>
      </c>
      <c r="D48" s="235">
        <v>1409.12</v>
      </c>
      <c r="E48" s="235">
        <v>60.173000000000002</v>
      </c>
      <c r="F48" s="235">
        <v>166.85488090000001</v>
      </c>
      <c r="G48" s="266">
        <f>SUM(B48:F48)</f>
        <v>2611.6388808999995</v>
      </c>
      <c r="I48" s="21"/>
      <c r="J48" s="21"/>
      <c r="K48" s="21"/>
      <c r="L48" s="21"/>
      <c r="M48" s="21"/>
      <c r="N48" s="21"/>
    </row>
    <row r="49" spans="1:9">
      <c r="A49" s="52" t="s">
        <v>346</v>
      </c>
      <c r="I49" s="21"/>
    </row>
    <row r="50" spans="1:9">
      <c r="A50" t="s">
        <v>353</v>
      </c>
      <c r="I50" s="21"/>
    </row>
    <row r="51" spans="1:9" ht="13.15" customHeight="1">
      <c r="G51" s="101" t="s">
        <v>592</v>
      </c>
      <c r="I51" s="21"/>
    </row>
    <row r="52" spans="1:9">
      <c r="F52" s="54"/>
      <c r="I52" s="21"/>
    </row>
    <row r="53" spans="1:9">
      <c r="F53" s="54"/>
      <c r="I53" s="21"/>
    </row>
    <row r="54" spans="1:9">
      <c r="F54" s="54"/>
      <c r="I54" s="21"/>
    </row>
    <row r="55" spans="1:9">
      <c r="F55" s="54"/>
      <c r="I55" s="21"/>
    </row>
    <row r="56" spans="1:9">
      <c r="F56" s="54"/>
    </row>
    <row r="57" spans="1:9">
      <c r="F57" s="54"/>
    </row>
  </sheetData>
  <pageMargins left="0.75" right="0.75" top="1" bottom="1" header="0.5" footer="0.5"/>
  <pageSetup firstPageNumber="12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P57"/>
  <sheetViews>
    <sheetView zoomScaleNormal="100" zoomScaleSheetLayoutView="100" workbookViewId="0">
      <pane ySplit="4" topLeftCell="A5" activePane="bottomLeft" state="frozen"/>
      <selection pane="bottomLeft"/>
    </sheetView>
  </sheetViews>
  <sheetFormatPr defaultRowHeight="11.25"/>
  <cols>
    <col min="1" max="1" width="7.5" customWidth="1"/>
    <col min="2" max="5" width="8.83203125" customWidth="1"/>
    <col min="6" max="6" width="13.33203125" customWidth="1"/>
    <col min="7" max="13" width="8.83203125" customWidth="1"/>
    <col min="14" max="14" width="10" customWidth="1"/>
  </cols>
  <sheetData>
    <row r="1" spans="1:15">
      <c r="A1" s="1" t="s">
        <v>608</v>
      </c>
      <c r="B1" s="1"/>
      <c r="C1" s="1"/>
      <c r="D1" s="1"/>
      <c r="E1" s="1"/>
      <c r="F1" s="1"/>
      <c r="G1" s="1"/>
      <c r="H1" s="1"/>
      <c r="I1" s="1"/>
      <c r="J1" s="1"/>
      <c r="K1" s="1"/>
      <c r="L1" s="1" t="s">
        <v>35</v>
      </c>
      <c r="M1" s="1"/>
      <c r="N1" s="1" t="s">
        <v>35</v>
      </c>
    </row>
    <row r="2" spans="1:15">
      <c r="A2" t="s">
        <v>76</v>
      </c>
      <c r="B2" s="121"/>
      <c r="C2" s="9"/>
      <c r="D2" s="4" t="s">
        <v>82</v>
      </c>
      <c r="E2" s="4"/>
      <c r="F2" s="120"/>
      <c r="G2" s="4"/>
      <c r="H2" s="94" t="s">
        <v>81</v>
      </c>
      <c r="I2" s="4"/>
      <c r="J2" s="120"/>
      <c r="K2" s="123"/>
      <c r="L2" s="121" t="s">
        <v>539</v>
      </c>
      <c r="M2" s="120"/>
      <c r="N2" s="7" t="s">
        <v>92</v>
      </c>
    </row>
    <row r="3" spans="1:15">
      <c r="A3" s="1" t="s">
        <v>77</v>
      </c>
      <c r="B3" s="116" t="s">
        <v>83</v>
      </c>
      <c r="C3" s="9" t="s">
        <v>84</v>
      </c>
      <c r="D3" s="9" t="s">
        <v>85</v>
      </c>
      <c r="E3" s="9" t="s">
        <v>86</v>
      </c>
      <c r="F3" s="114" t="s">
        <v>120</v>
      </c>
      <c r="G3" s="9" t="s">
        <v>87</v>
      </c>
      <c r="H3" s="9" t="s">
        <v>88</v>
      </c>
      <c r="I3" s="9" t="s">
        <v>89</v>
      </c>
      <c r="J3" s="114" t="s">
        <v>263</v>
      </c>
      <c r="K3" s="9" t="s">
        <v>90</v>
      </c>
      <c r="L3" s="9" t="s">
        <v>91</v>
      </c>
      <c r="M3" s="114" t="s">
        <v>2</v>
      </c>
      <c r="N3" s="9" t="s">
        <v>93</v>
      </c>
    </row>
    <row r="4" spans="1:15">
      <c r="A4" t="s">
        <v>35</v>
      </c>
      <c r="C4" s="100"/>
      <c r="D4" s="100"/>
      <c r="E4" s="100"/>
      <c r="F4" s="100"/>
      <c r="G4" s="100"/>
      <c r="H4" s="148" t="s">
        <v>80</v>
      </c>
      <c r="I4" s="100"/>
      <c r="J4" s="100"/>
      <c r="K4" s="100"/>
      <c r="L4" s="100"/>
      <c r="M4" s="100"/>
      <c r="N4" s="100"/>
    </row>
    <row r="5" spans="1:1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5">
      <c r="A6" t="s">
        <v>17</v>
      </c>
      <c r="B6" s="19">
        <v>209</v>
      </c>
      <c r="C6" s="19">
        <v>65</v>
      </c>
      <c r="D6" s="19">
        <v>530</v>
      </c>
      <c r="E6" s="19">
        <v>15</v>
      </c>
      <c r="F6" s="19">
        <f>SUM(B6:E6)+7.5</f>
        <v>826.5</v>
      </c>
      <c r="G6" s="19">
        <v>123</v>
      </c>
      <c r="H6" s="19">
        <v>290</v>
      </c>
      <c r="I6" s="19">
        <v>8.9</v>
      </c>
      <c r="J6" s="19">
        <v>421.9</v>
      </c>
      <c r="K6" s="19">
        <v>104</v>
      </c>
      <c r="L6" s="19">
        <v>169</v>
      </c>
      <c r="M6" s="19">
        <f>SUM(K6:L6)</f>
        <v>273</v>
      </c>
      <c r="N6" s="20">
        <v>1521.4</v>
      </c>
      <c r="O6" s="38"/>
    </row>
    <row r="7" spans="1:15">
      <c r="A7" t="s">
        <v>18</v>
      </c>
      <c r="B7" s="19">
        <v>224</v>
      </c>
      <c r="C7" s="19">
        <v>69</v>
      </c>
      <c r="D7" s="19">
        <v>570</v>
      </c>
      <c r="E7" s="19">
        <v>15</v>
      </c>
      <c r="F7" s="19">
        <f>SUM(B7:E7)+7</f>
        <v>885</v>
      </c>
      <c r="G7" s="19">
        <v>95</v>
      </c>
      <c r="H7" s="19">
        <v>244</v>
      </c>
      <c r="I7" s="19">
        <v>10</v>
      </c>
      <c r="J7" s="19">
        <v>349</v>
      </c>
      <c r="K7" s="19">
        <v>105</v>
      </c>
      <c r="L7" s="19">
        <v>175</v>
      </c>
      <c r="M7" s="19">
        <f t="shared" ref="M7:M28" si="0">SUM(K7:L7)</f>
        <v>280</v>
      </c>
      <c r="N7" s="20">
        <v>1514</v>
      </c>
      <c r="O7" s="38"/>
    </row>
    <row r="8" spans="1:15">
      <c r="A8" t="s">
        <v>19</v>
      </c>
      <c r="B8" s="19">
        <v>179</v>
      </c>
      <c r="C8" s="19">
        <v>59</v>
      </c>
      <c r="D8" s="19">
        <v>475</v>
      </c>
      <c r="E8" s="19">
        <v>12</v>
      </c>
      <c r="F8" s="19">
        <f t="shared" ref="F8:F28" si="1">SUM(B8:E8)</f>
        <v>725</v>
      </c>
      <c r="G8" s="19">
        <v>88</v>
      </c>
      <c r="H8" s="19">
        <v>240</v>
      </c>
      <c r="I8" s="19">
        <v>10.4</v>
      </c>
      <c r="J8" s="19">
        <v>338.4</v>
      </c>
      <c r="K8" s="19">
        <v>96</v>
      </c>
      <c r="L8" s="19">
        <v>152</v>
      </c>
      <c r="M8" s="19">
        <f t="shared" si="0"/>
        <v>248</v>
      </c>
      <c r="N8" s="20">
        <v>1311.4</v>
      </c>
      <c r="O8" s="38"/>
    </row>
    <row r="9" spans="1:15">
      <c r="A9" t="s">
        <v>20</v>
      </c>
      <c r="B9" s="19">
        <v>182</v>
      </c>
      <c r="C9" s="19">
        <v>69</v>
      </c>
      <c r="D9" s="19">
        <v>567</v>
      </c>
      <c r="E9" s="19">
        <v>13</v>
      </c>
      <c r="F9" s="19">
        <f t="shared" si="1"/>
        <v>831</v>
      </c>
      <c r="G9" s="19">
        <v>93</v>
      </c>
      <c r="H9" s="19">
        <v>230</v>
      </c>
      <c r="I9" s="19">
        <v>11</v>
      </c>
      <c r="J9" s="19">
        <v>334</v>
      </c>
      <c r="K9" s="19">
        <v>96</v>
      </c>
      <c r="L9" s="19">
        <v>150</v>
      </c>
      <c r="M9" s="19">
        <f t="shared" si="0"/>
        <v>246</v>
      </c>
      <c r="N9" s="20">
        <v>1411</v>
      </c>
      <c r="O9" s="38"/>
    </row>
    <row r="10" spans="1:15">
      <c r="A10" t="s">
        <v>21</v>
      </c>
      <c r="B10" s="19">
        <v>221</v>
      </c>
      <c r="C10" s="19">
        <v>85</v>
      </c>
      <c r="D10" s="19">
        <v>643</v>
      </c>
      <c r="E10" s="19">
        <v>15</v>
      </c>
      <c r="F10" s="19">
        <f t="shared" si="1"/>
        <v>964</v>
      </c>
      <c r="G10" s="19">
        <v>93</v>
      </c>
      <c r="H10" s="19">
        <v>232</v>
      </c>
      <c r="I10" s="19">
        <v>14.6</v>
      </c>
      <c r="J10" s="19">
        <v>339.6</v>
      </c>
      <c r="K10" s="19">
        <v>98</v>
      </c>
      <c r="L10" s="19">
        <v>157</v>
      </c>
      <c r="M10" s="19">
        <f t="shared" si="0"/>
        <v>255</v>
      </c>
      <c r="N10" s="20">
        <v>1558.6</v>
      </c>
      <c r="O10" s="38"/>
    </row>
    <row r="11" spans="1:15">
      <c r="A11" t="s">
        <v>22</v>
      </c>
      <c r="B11" s="19">
        <v>201</v>
      </c>
      <c r="C11" s="19">
        <v>80</v>
      </c>
      <c r="D11" s="19">
        <v>595</v>
      </c>
      <c r="E11" s="19">
        <v>12</v>
      </c>
      <c r="F11" s="19">
        <f t="shared" si="1"/>
        <v>888</v>
      </c>
      <c r="G11" s="19">
        <v>87</v>
      </c>
      <c r="H11" s="19">
        <v>252</v>
      </c>
      <c r="I11" s="19">
        <v>12.4</v>
      </c>
      <c r="J11" s="19">
        <v>351.4</v>
      </c>
      <c r="K11" s="19">
        <v>96</v>
      </c>
      <c r="L11" s="19">
        <v>155</v>
      </c>
      <c r="M11" s="19">
        <f t="shared" si="0"/>
        <v>251</v>
      </c>
      <c r="N11" s="20">
        <v>1490.4</v>
      </c>
      <c r="O11" s="38"/>
    </row>
    <row r="12" spans="1:15">
      <c r="A12" t="s">
        <v>23</v>
      </c>
      <c r="B12" s="19">
        <v>220</v>
      </c>
      <c r="C12" s="19">
        <v>94</v>
      </c>
      <c r="D12" s="19">
        <v>675</v>
      </c>
      <c r="E12" s="19">
        <v>12</v>
      </c>
      <c r="F12" s="19">
        <f t="shared" si="1"/>
        <v>1001</v>
      </c>
      <c r="G12" s="19">
        <v>92</v>
      </c>
      <c r="H12" s="19">
        <v>225</v>
      </c>
      <c r="I12" s="19">
        <v>12.7</v>
      </c>
      <c r="J12" s="19">
        <v>329.7</v>
      </c>
      <c r="K12" s="19">
        <v>89</v>
      </c>
      <c r="L12" s="19">
        <v>145</v>
      </c>
      <c r="M12" s="19">
        <f t="shared" si="0"/>
        <v>234</v>
      </c>
      <c r="N12" s="20">
        <v>1564.7</v>
      </c>
      <c r="O12" s="38"/>
    </row>
    <row r="13" spans="1:15">
      <c r="A13" t="s">
        <v>24</v>
      </c>
      <c r="B13" s="19">
        <v>221</v>
      </c>
      <c r="C13" s="19">
        <v>91</v>
      </c>
      <c r="D13" s="19">
        <v>635</v>
      </c>
      <c r="E13" s="19">
        <v>13</v>
      </c>
      <c r="F13" s="19">
        <f t="shared" si="1"/>
        <v>960</v>
      </c>
      <c r="G13" s="19">
        <v>100</v>
      </c>
      <c r="H13" s="19">
        <v>254</v>
      </c>
      <c r="I13" s="19">
        <v>12.4</v>
      </c>
      <c r="J13" s="19">
        <v>366.4</v>
      </c>
      <c r="K13" s="19">
        <v>91</v>
      </c>
      <c r="L13" s="19">
        <v>150</v>
      </c>
      <c r="M13" s="19">
        <f t="shared" si="0"/>
        <v>241</v>
      </c>
      <c r="N13" s="20">
        <v>1567.4</v>
      </c>
      <c r="O13" s="38"/>
    </row>
    <row r="14" spans="1:15">
      <c r="A14" t="s">
        <v>25</v>
      </c>
      <c r="B14" s="19">
        <v>237</v>
      </c>
      <c r="C14" s="19">
        <v>98</v>
      </c>
      <c r="D14" s="19">
        <v>690</v>
      </c>
      <c r="E14" s="19">
        <v>13</v>
      </c>
      <c r="F14" s="19">
        <f t="shared" si="1"/>
        <v>1038</v>
      </c>
      <c r="G14" s="19">
        <v>99</v>
      </c>
      <c r="H14" s="19">
        <v>260</v>
      </c>
      <c r="I14" s="19">
        <v>13.4</v>
      </c>
      <c r="J14" s="19">
        <v>372.4</v>
      </c>
      <c r="K14" s="19">
        <v>92</v>
      </c>
      <c r="L14" s="19">
        <v>155</v>
      </c>
      <c r="M14" s="19">
        <f t="shared" si="0"/>
        <v>247</v>
      </c>
      <c r="N14" s="20">
        <v>1657.4</v>
      </c>
      <c r="O14" s="38"/>
    </row>
    <row r="15" spans="1:15">
      <c r="A15" t="s">
        <v>26</v>
      </c>
      <c r="B15" s="19">
        <v>240</v>
      </c>
      <c r="C15" s="19">
        <v>95</v>
      </c>
      <c r="D15" s="19">
        <v>690</v>
      </c>
      <c r="E15" s="19">
        <v>13</v>
      </c>
      <c r="F15" s="19">
        <f t="shared" si="1"/>
        <v>1038</v>
      </c>
      <c r="G15" s="19">
        <v>99</v>
      </c>
      <c r="H15" s="19">
        <v>265</v>
      </c>
      <c r="I15" s="19">
        <v>18.2</v>
      </c>
      <c r="J15" s="19">
        <v>382.2</v>
      </c>
      <c r="K15" s="19">
        <v>92</v>
      </c>
      <c r="L15" s="19">
        <v>153</v>
      </c>
      <c r="M15" s="19">
        <f t="shared" si="0"/>
        <v>245</v>
      </c>
      <c r="N15" s="20">
        <v>1665.2</v>
      </c>
      <c r="O15" s="38"/>
    </row>
    <row r="16" spans="1:15">
      <c r="A16" t="s">
        <v>27</v>
      </c>
      <c r="B16" s="19">
        <v>258</v>
      </c>
      <c r="C16" s="19">
        <v>108</v>
      </c>
      <c r="D16" s="19">
        <v>782</v>
      </c>
      <c r="E16" s="19">
        <v>14</v>
      </c>
      <c r="F16" s="19">
        <f t="shared" si="1"/>
        <v>1162</v>
      </c>
      <c r="G16" s="19">
        <v>107</v>
      </c>
      <c r="H16" s="19">
        <v>295</v>
      </c>
      <c r="I16" s="19">
        <v>20</v>
      </c>
      <c r="J16" s="19">
        <v>422</v>
      </c>
      <c r="K16" s="19">
        <v>97</v>
      </c>
      <c r="L16" s="19">
        <v>165</v>
      </c>
      <c r="M16" s="19">
        <f t="shared" si="0"/>
        <v>262</v>
      </c>
      <c r="N16" s="20">
        <v>1846</v>
      </c>
      <c r="O16" s="38"/>
    </row>
    <row r="17" spans="1:15">
      <c r="A17" t="s">
        <v>28</v>
      </c>
      <c r="B17" s="19">
        <v>278</v>
      </c>
      <c r="C17" s="19">
        <v>126</v>
      </c>
      <c r="D17" s="19">
        <v>900</v>
      </c>
      <c r="E17" s="19">
        <v>14.5</v>
      </c>
      <c r="F17" s="19">
        <f t="shared" si="1"/>
        <v>1318.5</v>
      </c>
      <c r="G17" s="19">
        <v>110</v>
      </c>
      <c r="H17" s="19">
        <v>330</v>
      </c>
      <c r="I17" s="19">
        <v>22.7</v>
      </c>
      <c r="J17" s="19">
        <v>462.7</v>
      </c>
      <c r="K17" s="19">
        <v>96</v>
      </c>
      <c r="L17" s="19">
        <v>162</v>
      </c>
      <c r="M17" s="19">
        <f t="shared" si="0"/>
        <v>258</v>
      </c>
      <c r="N17" s="20">
        <v>2039.2</v>
      </c>
      <c r="O17" s="38"/>
    </row>
    <row r="18" spans="1:15">
      <c r="A18" t="s">
        <v>45</v>
      </c>
      <c r="B18" s="19">
        <v>237</v>
      </c>
      <c r="C18" s="19">
        <v>85</v>
      </c>
      <c r="D18" s="19">
        <v>675</v>
      </c>
      <c r="E18" s="19">
        <v>13.5</v>
      </c>
      <c r="F18" s="19">
        <f t="shared" si="1"/>
        <v>1010.5</v>
      </c>
      <c r="G18" s="19">
        <v>100</v>
      </c>
      <c r="H18" s="19">
        <v>308</v>
      </c>
      <c r="I18" s="19">
        <v>21.1</v>
      </c>
      <c r="J18" s="19">
        <v>429.1</v>
      </c>
      <c r="K18" s="19">
        <v>94</v>
      </c>
      <c r="L18" s="19">
        <v>153</v>
      </c>
      <c r="M18" s="19">
        <f t="shared" si="0"/>
        <v>247</v>
      </c>
      <c r="N18" s="20">
        <v>1686.6</v>
      </c>
      <c r="O18" s="38"/>
    </row>
    <row r="19" spans="1:15">
      <c r="A19" t="s">
        <v>30</v>
      </c>
      <c r="B19" s="19">
        <v>240</v>
      </c>
      <c r="C19" s="19">
        <v>98</v>
      </c>
      <c r="D19" s="19">
        <v>702</v>
      </c>
      <c r="E19" s="19">
        <v>14.5</v>
      </c>
      <c r="F19" s="19">
        <f t="shared" si="1"/>
        <v>1054.5</v>
      </c>
      <c r="G19" s="19">
        <v>105</v>
      </c>
      <c r="H19" s="19">
        <v>305</v>
      </c>
      <c r="I19" s="19">
        <v>22</v>
      </c>
      <c r="J19" s="19">
        <v>432</v>
      </c>
      <c r="K19" s="19">
        <v>95</v>
      </c>
      <c r="L19" s="19">
        <v>152</v>
      </c>
      <c r="M19" s="19">
        <f t="shared" si="0"/>
        <v>247</v>
      </c>
      <c r="N19" s="20">
        <v>1733.5</v>
      </c>
      <c r="O19" s="38"/>
    </row>
    <row r="20" spans="1:15">
      <c r="A20" t="s">
        <v>31</v>
      </c>
      <c r="B20" s="19">
        <v>223</v>
      </c>
      <c r="C20" s="19">
        <v>92</v>
      </c>
      <c r="D20" s="19">
        <v>652</v>
      </c>
      <c r="E20" s="19">
        <v>13</v>
      </c>
      <c r="F20" s="19">
        <f t="shared" si="1"/>
        <v>980</v>
      </c>
      <c r="G20" s="19">
        <v>102</v>
      </c>
      <c r="H20" s="19">
        <v>295</v>
      </c>
      <c r="I20" s="19">
        <v>21</v>
      </c>
      <c r="J20" s="19">
        <v>418</v>
      </c>
      <c r="K20" s="19">
        <v>92</v>
      </c>
      <c r="L20" s="19">
        <v>151</v>
      </c>
      <c r="M20" s="19">
        <f t="shared" si="0"/>
        <v>243</v>
      </c>
      <c r="N20" s="20">
        <v>1641</v>
      </c>
      <c r="O20" s="38"/>
    </row>
    <row r="21" spans="1:15">
      <c r="A21" t="s">
        <v>32</v>
      </c>
      <c r="B21" s="19">
        <v>213</v>
      </c>
      <c r="C21" s="19">
        <v>89</v>
      </c>
      <c r="D21" s="19">
        <v>595</v>
      </c>
      <c r="E21" s="19">
        <v>11.5</v>
      </c>
      <c r="F21" s="19">
        <f t="shared" si="1"/>
        <v>908.5</v>
      </c>
      <c r="G21" s="19">
        <v>100</v>
      </c>
      <c r="H21" s="19">
        <v>275</v>
      </c>
      <c r="I21" s="19">
        <v>20</v>
      </c>
      <c r="J21" s="19">
        <v>395</v>
      </c>
      <c r="K21" s="19">
        <v>90</v>
      </c>
      <c r="L21" s="19">
        <v>144</v>
      </c>
      <c r="M21" s="19">
        <f t="shared" si="0"/>
        <v>234</v>
      </c>
      <c r="N21" s="20">
        <v>1537.5</v>
      </c>
      <c r="O21" s="38"/>
    </row>
    <row r="22" spans="1:15">
      <c r="A22" t="s">
        <v>46</v>
      </c>
      <c r="B22" s="19">
        <v>192</v>
      </c>
      <c r="C22" s="19">
        <v>90</v>
      </c>
      <c r="D22" s="19">
        <v>535</v>
      </c>
      <c r="E22" s="19">
        <v>11</v>
      </c>
      <c r="F22" s="19">
        <f t="shared" si="1"/>
        <v>828</v>
      </c>
      <c r="G22" s="19">
        <v>85</v>
      </c>
      <c r="H22" s="19">
        <v>270</v>
      </c>
      <c r="I22" s="19">
        <v>16.5</v>
      </c>
      <c r="J22" s="19">
        <v>371.5</v>
      </c>
      <c r="K22" s="19">
        <v>77</v>
      </c>
      <c r="L22" s="19">
        <v>125</v>
      </c>
      <c r="M22" s="19">
        <f t="shared" si="0"/>
        <v>202</v>
      </c>
      <c r="N22" s="20">
        <v>1401.5</v>
      </c>
      <c r="O22" s="38"/>
    </row>
    <row r="23" spans="1:15">
      <c r="A23" t="s">
        <v>34</v>
      </c>
      <c r="B23" s="19">
        <v>194</v>
      </c>
      <c r="C23" s="19">
        <v>92</v>
      </c>
      <c r="D23" s="19">
        <v>520</v>
      </c>
      <c r="E23" s="19">
        <v>11</v>
      </c>
      <c r="F23" s="19">
        <f t="shared" si="1"/>
        <v>817</v>
      </c>
      <c r="G23" s="19">
        <v>79</v>
      </c>
      <c r="H23" s="19">
        <v>320</v>
      </c>
      <c r="I23" s="19">
        <v>18</v>
      </c>
      <c r="J23" s="19">
        <v>417</v>
      </c>
      <c r="K23" s="19">
        <v>76</v>
      </c>
      <c r="L23" s="19">
        <v>124</v>
      </c>
      <c r="M23" s="19">
        <f t="shared" si="0"/>
        <v>200</v>
      </c>
      <c r="N23" s="20">
        <v>1434</v>
      </c>
      <c r="O23" s="38"/>
    </row>
    <row r="24" spans="1:15">
      <c r="A24" t="s">
        <v>78</v>
      </c>
      <c r="B24" s="19">
        <v>198</v>
      </c>
      <c r="C24" s="19">
        <v>98</v>
      </c>
      <c r="D24" s="19">
        <v>540</v>
      </c>
      <c r="E24" s="19">
        <v>12</v>
      </c>
      <c r="F24" s="19">
        <f t="shared" si="1"/>
        <v>848</v>
      </c>
      <c r="G24" s="19">
        <v>80</v>
      </c>
      <c r="H24" s="19">
        <v>370</v>
      </c>
      <c r="I24" s="19">
        <v>22</v>
      </c>
      <c r="J24" s="19">
        <v>472</v>
      </c>
      <c r="K24" s="19">
        <v>76</v>
      </c>
      <c r="L24" s="19">
        <v>125</v>
      </c>
      <c r="M24" s="19">
        <f t="shared" si="0"/>
        <v>201</v>
      </c>
      <c r="N24" s="20">
        <v>1521</v>
      </c>
      <c r="O24" s="38"/>
    </row>
    <row r="25" spans="1:15">
      <c r="A25" t="s">
        <v>79</v>
      </c>
      <c r="B25" s="19">
        <v>207</v>
      </c>
      <c r="C25" s="19">
        <v>102</v>
      </c>
      <c r="D25" s="19">
        <v>546</v>
      </c>
      <c r="E25" s="19">
        <v>11.5</v>
      </c>
      <c r="F25" s="19">
        <f t="shared" si="1"/>
        <v>866.5</v>
      </c>
      <c r="G25" s="19">
        <v>83</v>
      </c>
      <c r="H25" s="19">
        <v>360</v>
      </c>
      <c r="I25" s="19">
        <v>22</v>
      </c>
      <c r="J25" s="19">
        <v>465</v>
      </c>
      <c r="K25" s="19">
        <v>77</v>
      </c>
      <c r="L25" s="19">
        <v>126</v>
      </c>
      <c r="M25" s="19">
        <f t="shared" si="0"/>
        <v>203</v>
      </c>
      <c r="N25" s="20">
        <v>1534.5</v>
      </c>
      <c r="O25" s="38"/>
    </row>
    <row r="26" spans="1:15">
      <c r="A26" t="s">
        <v>212</v>
      </c>
      <c r="B26" s="19">
        <v>190</v>
      </c>
      <c r="C26" s="19">
        <v>94</v>
      </c>
      <c r="D26" s="19">
        <v>494</v>
      </c>
      <c r="E26" s="19">
        <v>10.5</v>
      </c>
      <c r="F26" s="19">
        <f t="shared" si="1"/>
        <v>788.5</v>
      </c>
      <c r="G26" s="19">
        <v>97</v>
      </c>
      <c r="H26" s="19">
        <v>425</v>
      </c>
      <c r="I26" s="19">
        <v>27.3</v>
      </c>
      <c r="J26" s="19">
        <v>549.29999999999995</v>
      </c>
      <c r="K26" s="19">
        <v>76</v>
      </c>
      <c r="L26" s="19">
        <v>123</v>
      </c>
      <c r="M26" s="19">
        <f t="shared" si="0"/>
        <v>199</v>
      </c>
      <c r="N26" s="20">
        <v>1536.8</v>
      </c>
      <c r="O26" s="38"/>
    </row>
    <row r="27" spans="1:15">
      <c r="A27" t="s">
        <v>278</v>
      </c>
      <c r="B27" s="19">
        <v>200</v>
      </c>
      <c r="C27" s="19">
        <v>90</v>
      </c>
      <c r="D27" s="19">
        <v>515</v>
      </c>
      <c r="E27" s="19">
        <v>11</v>
      </c>
      <c r="F27" s="19">
        <f t="shared" si="1"/>
        <v>816</v>
      </c>
      <c r="G27" s="19">
        <v>80</v>
      </c>
      <c r="H27" s="19">
        <v>425</v>
      </c>
      <c r="I27" s="19">
        <v>22.2</v>
      </c>
      <c r="J27" s="19">
        <v>527.20000000000005</v>
      </c>
      <c r="K27" s="19">
        <v>75</v>
      </c>
      <c r="L27" s="19">
        <v>123</v>
      </c>
      <c r="M27" s="19">
        <f>SUM(K27:L27)</f>
        <v>198</v>
      </c>
      <c r="N27" s="20">
        <v>1541.2</v>
      </c>
      <c r="O27" s="38"/>
    </row>
    <row r="28" spans="1:15">
      <c r="A28" t="s">
        <v>279</v>
      </c>
      <c r="B28" s="19">
        <v>185</v>
      </c>
      <c r="C28" s="19">
        <v>96</v>
      </c>
      <c r="D28" s="19">
        <v>510</v>
      </c>
      <c r="E28" s="19">
        <v>10</v>
      </c>
      <c r="F28" s="19">
        <f t="shared" si="1"/>
        <v>801</v>
      </c>
      <c r="G28" s="19">
        <v>60</v>
      </c>
      <c r="H28" s="19">
        <v>315</v>
      </c>
      <c r="I28" s="19">
        <v>18</v>
      </c>
      <c r="J28" s="19">
        <v>393</v>
      </c>
      <c r="K28" s="19">
        <v>58</v>
      </c>
      <c r="L28" s="19">
        <v>101</v>
      </c>
      <c r="M28" s="19">
        <f t="shared" si="0"/>
        <v>159</v>
      </c>
      <c r="N28" s="20">
        <f t="shared" ref="N28:N44" si="2">+F28+J28+M28</f>
        <v>1353</v>
      </c>
      <c r="O28" s="38"/>
    </row>
    <row r="29" spans="1:15">
      <c r="A29" t="s">
        <v>280</v>
      </c>
      <c r="B29" s="19">
        <v>190</v>
      </c>
      <c r="C29" s="19">
        <v>125</v>
      </c>
      <c r="D29" s="19">
        <v>545</v>
      </c>
      <c r="E29" s="19">
        <v>19</v>
      </c>
      <c r="F29" s="19">
        <f>SUM(B29:E29)</f>
        <v>879</v>
      </c>
      <c r="G29" s="19">
        <v>37</v>
      </c>
      <c r="H29" s="19">
        <v>275</v>
      </c>
      <c r="I29" s="19">
        <v>18</v>
      </c>
      <c r="J29" s="19">
        <v>330</v>
      </c>
      <c r="K29" s="19">
        <v>34</v>
      </c>
      <c r="L29" s="19">
        <v>101</v>
      </c>
      <c r="M29" s="19">
        <f>SUM(K29:L29)</f>
        <v>135</v>
      </c>
      <c r="N29" s="20">
        <f t="shared" si="2"/>
        <v>1344</v>
      </c>
      <c r="O29" s="38"/>
    </row>
    <row r="30" spans="1:15">
      <c r="A30" t="s">
        <v>226</v>
      </c>
      <c r="B30" s="19">
        <v>200</v>
      </c>
      <c r="C30" s="19">
        <v>145</v>
      </c>
      <c r="D30" s="19">
        <v>620</v>
      </c>
      <c r="E30" s="19">
        <v>35</v>
      </c>
      <c r="F30" s="19">
        <f>SUM(B30:E30)</f>
        <v>1000</v>
      </c>
      <c r="G30" s="19">
        <v>35</v>
      </c>
      <c r="H30" s="19">
        <v>240</v>
      </c>
      <c r="I30" s="19">
        <v>17</v>
      </c>
      <c r="J30" s="19">
        <v>292</v>
      </c>
      <c r="K30" s="19">
        <v>33</v>
      </c>
      <c r="L30" s="19">
        <v>105</v>
      </c>
      <c r="M30" s="19">
        <f>SUM(K30:L30)</f>
        <v>138</v>
      </c>
      <c r="N30" s="20">
        <f t="shared" si="2"/>
        <v>1430</v>
      </c>
      <c r="O30" s="38"/>
    </row>
    <row r="31" spans="1:15">
      <c r="A31" t="s">
        <v>281</v>
      </c>
      <c r="B31" s="19">
        <v>225</v>
      </c>
      <c r="C31" s="19">
        <v>160</v>
      </c>
      <c r="D31" s="19">
        <v>755</v>
      </c>
      <c r="E31" s="19">
        <v>63</v>
      </c>
      <c r="F31" s="19">
        <f>SUM(B31:E31)+15</f>
        <v>1218</v>
      </c>
      <c r="G31" s="19">
        <v>35</v>
      </c>
      <c r="H31" s="19">
        <v>265</v>
      </c>
      <c r="I31" s="19">
        <v>19</v>
      </c>
      <c r="J31" s="19">
        <v>319</v>
      </c>
      <c r="K31" s="19">
        <v>23</v>
      </c>
      <c r="L31" s="19">
        <v>97</v>
      </c>
      <c r="M31" s="19">
        <f>SUM(K31:L31)</f>
        <v>120</v>
      </c>
      <c r="N31" s="20">
        <f t="shared" si="2"/>
        <v>1657</v>
      </c>
      <c r="O31" s="38"/>
    </row>
    <row r="32" spans="1:15">
      <c r="A32" t="s">
        <v>282</v>
      </c>
      <c r="B32" s="19">
        <v>165</v>
      </c>
      <c r="C32" s="19">
        <v>130</v>
      </c>
      <c r="D32" s="19">
        <v>580</v>
      </c>
      <c r="E32" s="19">
        <v>59</v>
      </c>
      <c r="F32" s="19">
        <f>SUM(B32:E32)+17</f>
        <v>951</v>
      </c>
      <c r="G32" s="19">
        <v>23</v>
      </c>
      <c r="H32" s="19">
        <v>155</v>
      </c>
      <c r="I32" s="19">
        <v>12</v>
      </c>
      <c r="J32" s="19">
        <v>190</v>
      </c>
      <c r="K32" s="19">
        <v>17</v>
      </c>
      <c r="L32" s="19">
        <v>85</v>
      </c>
      <c r="M32" s="19">
        <f>+K32+L32</f>
        <v>102</v>
      </c>
      <c r="N32" s="20">
        <f t="shared" si="2"/>
        <v>1243</v>
      </c>
      <c r="O32" s="38"/>
    </row>
    <row r="33" spans="1:15">
      <c r="A33" t="s">
        <v>283</v>
      </c>
      <c r="B33" s="19">
        <v>160</v>
      </c>
      <c r="C33" s="19">
        <v>130</v>
      </c>
      <c r="D33" s="19">
        <v>530</v>
      </c>
      <c r="E33" s="19">
        <v>59</v>
      </c>
      <c r="F33" s="19">
        <f>SUM(B33:E33)+19</f>
        <v>898</v>
      </c>
      <c r="G33" s="19">
        <v>18</v>
      </c>
      <c r="H33" s="19">
        <v>190</v>
      </c>
      <c r="I33" s="19">
        <v>10</v>
      </c>
      <c r="J33" s="19">
        <v>218</v>
      </c>
      <c r="K33" s="19">
        <v>22</v>
      </c>
      <c r="L33" s="19">
        <v>92</v>
      </c>
      <c r="M33" s="19">
        <f>+K33+L33</f>
        <v>114</v>
      </c>
      <c r="N33" s="20">
        <f t="shared" si="2"/>
        <v>1230</v>
      </c>
      <c r="O33" s="38"/>
    </row>
    <row r="34" spans="1:15">
      <c r="A34" t="s">
        <v>284</v>
      </c>
      <c r="B34" s="19">
        <v>195</v>
      </c>
      <c r="C34" s="19">
        <v>150</v>
      </c>
      <c r="D34" s="19">
        <v>690</v>
      </c>
      <c r="E34" s="19">
        <v>71</v>
      </c>
      <c r="F34" s="19">
        <f>SUM(B34:E34)+22</f>
        <v>1128</v>
      </c>
      <c r="G34" s="19">
        <v>19</v>
      </c>
      <c r="H34" s="19">
        <v>257</v>
      </c>
      <c r="I34" s="19">
        <v>8</v>
      </c>
      <c r="J34" s="19">
        <v>284</v>
      </c>
      <c r="K34" s="19">
        <v>24</v>
      </c>
      <c r="L34" s="19">
        <v>98</v>
      </c>
      <c r="M34" s="19">
        <f>+K34+L34</f>
        <v>122</v>
      </c>
      <c r="N34" s="20">
        <f t="shared" si="2"/>
        <v>1534</v>
      </c>
      <c r="O34" s="38"/>
    </row>
    <row r="35" spans="1:15">
      <c r="A35" t="s">
        <v>285</v>
      </c>
      <c r="B35" s="19">
        <v>155</v>
      </c>
      <c r="C35" s="19">
        <v>115</v>
      </c>
      <c r="D35" s="19">
        <v>510</v>
      </c>
      <c r="E35" s="19">
        <v>50</v>
      </c>
      <c r="F35" s="19">
        <f>SUM(B35:E35)+21</f>
        <v>851</v>
      </c>
      <c r="G35" s="19">
        <v>14</v>
      </c>
      <c r="H35" s="19">
        <v>165</v>
      </c>
      <c r="I35" s="19">
        <v>7</v>
      </c>
      <c r="J35" s="19">
        <v>186</v>
      </c>
      <c r="K35" s="19">
        <v>12</v>
      </c>
      <c r="L35" s="19">
        <v>67</v>
      </c>
      <c r="M35" s="19">
        <f>+K35+L35</f>
        <v>79</v>
      </c>
      <c r="N35" s="20">
        <f t="shared" si="2"/>
        <v>1116</v>
      </c>
      <c r="O35" s="38"/>
    </row>
    <row r="36" spans="1:15">
      <c r="A36" t="s">
        <v>286</v>
      </c>
      <c r="B36" s="19">
        <v>190</v>
      </c>
      <c r="C36" s="19">
        <v>145</v>
      </c>
      <c r="D36" s="19">
        <v>565</v>
      </c>
      <c r="E36" s="19">
        <v>67</v>
      </c>
      <c r="F36" s="19">
        <f>SUM(B36:E36)+19</f>
        <v>986</v>
      </c>
      <c r="G36" s="19">
        <v>22</v>
      </c>
      <c r="H36" s="19">
        <v>165</v>
      </c>
      <c r="I36" s="19">
        <v>10</v>
      </c>
      <c r="J36" s="19">
        <v>197</v>
      </c>
      <c r="K36" s="19">
        <v>18</v>
      </c>
      <c r="L36" s="19">
        <v>87</v>
      </c>
      <c r="M36" s="19">
        <f t="shared" ref="M36:M41" si="3">SUM(K36:L36)</f>
        <v>105</v>
      </c>
      <c r="N36" s="20">
        <f t="shared" si="2"/>
        <v>1288</v>
      </c>
      <c r="O36" s="38"/>
    </row>
    <row r="37" spans="1:15">
      <c r="A37" t="s">
        <v>287</v>
      </c>
      <c r="B37" s="19">
        <v>170</v>
      </c>
      <c r="C37" s="19">
        <v>170</v>
      </c>
      <c r="D37" s="19">
        <v>475</v>
      </c>
      <c r="E37" s="19">
        <v>77</v>
      </c>
      <c r="F37" s="19">
        <f>SUM(B37:E37)+15</f>
        <v>907</v>
      </c>
      <c r="G37" s="19">
        <v>24</v>
      </c>
      <c r="H37" s="19">
        <v>105</v>
      </c>
      <c r="I37" s="19">
        <v>6.6</v>
      </c>
      <c r="J37" s="19">
        <v>135.6</v>
      </c>
      <c r="K37" s="19">
        <v>16</v>
      </c>
      <c r="L37" s="19">
        <v>82</v>
      </c>
      <c r="M37" s="19">
        <f t="shared" si="3"/>
        <v>98</v>
      </c>
      <c r="N37" s="20">
        <f t="shared" si="2"/>
        <v>1140.5999999999999</v>
      </c>
      <c r="O37" s="38"/>
    </row>
    <row r="38" spans="1:15">
      <c r="A38" t="s">
        <v>288</v>
      </c>
      <c r="B38" s="19">
        <v>220</v>
      </c>
      <c r="C38" s="19">
        <v>210</v>
      </c>
      <c r="D38" s="19">
        <v>735</v>
      </c>
      <c r="E38" s="19">
        <v>110</v>
      </c>
      <c r="F38" s="19">
        <f>SUM(B38:E38)+52</f>
        <v>1327</v>
      </c>
      <c r="G38" s="19">
        <v>24</v>
      </c>
      <c r="H38" s="19">
        <v>150</v>
      </c>
      <c r="I38" s="19">
        <v>10</v>
      </c>
      <c r="J38" s="19">
        <v>184</v>
      </c>
      <c r="K38" s="19">
        <v>20</v>
      </c>
      <c r="L38" s="19">
        <v>107</v>
      </c>
      <c r="M38" s="19">
        <f t="shared" si="3"/>
        <v>127</v>
      </c>
      <c r="N38" s="20">
        <f t="shared" si="2"/>
        <v>1638</v>
      </c>
      <c r="O38" s="38"/>
    </row>
    <row r="39" spans="1:15">
      <c r="A39" t="s">
        <v>289</v>
      </c>
      <c r="B39" s="19">
        <v>140</v>
      </c>
      <c r="C39" s="19">
        <v>140</v>
      </c>
      <c r="D39" s="19">
        <v>430</v>
      </c>
      <c r="E39" s="19">
        <v>81</v>
      </c>
      <c r="F39" s="19">
        <f>SUM(B39:E39)+34</f>
        <v>825</v>
      </c>
      <c r="G39" s="19">
        <v>17</v>
      </c>
      <c r="H39" s="19">
        <v>120</v>
      </c>
      <c r="I39" s="19">
        <v>7</v>
      </c>
      <c r="J39" s="19">
        <v>144</v>
      </c>
      <c r="K39" s="19">
        <v>16</v>
      </c>
      <c r="L39" s="19">
        <v>82</v>
      </c>
      <c r="M39" s="19">
        <f t="shared" si="3"/>
        <v>98</v>
      </c>
      <c r="N39" s="20">
        <f t="shared" si="2"/>
        <v>1067</v>
      </c>
      <c r="O39" s="38"/>
    </row>
    <row r="40" spans="1:15">
      <c r="A40" t="s">
        <v>290</v>
      </c>
      <c r="B40" s="19">
        <v>175</v>
      </c>
      <c r="C40" s="19">
        <v>175</v>
      </c>
      <c r="D40" s="19">
        <v>600</v>
      </c>
      <c r="E40" s="19">
        <v>112</v>
      </c>
      <c r="F40" s="19">
        <f>SUM(B40:E40)+32</f>
        <v>1094</v>
      </c>
      <c r="G40" s="19">
        <v>12</v>
      </c>
      <c r="H40" s="19">
        <v>130</v>
      </c>
      <c r="I40" s="19">
        <v>4.5</v>
      </c>
      <c r="J40" s="19">
        <v>146.5</v>
      </c>
      <c r="K40" s="19">
        <v>19</v>
      </c>
      <c r="L40" s="19">
        <v>94</v>
      </c>
      <c r="M40" s="19">
        <f t="shared" si="3"/>
        <v>113</v>
      </c>
      <c r="N40" s="20">
        <f t="shared" si="2"/>
        <v>1353.5</v>
      </c>
      <c r="O40" s="38"/>
    </row>
    <row r="41" spans="1:15">
      <c r="A41" t="s">
        <v>291</v>
      </c>
      <c r="B41" s="19">
        <v>200</v>
      </c>
      <c r="C41" s="19">
        <v>190</v>
      </c>
      <c r="D41" s="19">
        <v>785</v>
      </c>
      <c r="E41" s="19">
        <v>112</v>
      </c>
      <c r="F41" s="19">
        <f>SUM(B41:E41)+44</f>
        <v>1331</v>
      </c>
      <c r="G41" s="19">
        <v>10</v>
      </c>
      <c r="H41" s="19">
        <v>170</v>
      </c>
      <c r="I41" s="19">
        <v>5</v>
      </c>
      <c r="J41" s="19">
        <v>185</v>
      </c>
      <c r="K41" s="19">
        <v>19</v>
      </c>
      <c r="L41" s="19">
        <v>90</v>
      </c>
      <c r="M41" s="19">
        <f t="shared" si="3"/>
        <v>109</v>
      </c>
      <c r="N41" s="20">
        <f t="shared" si="2"/>
        <v>1625</v>
      </c>
      <c r="O41" s="38"/>
    </row>
    <row r="42" spans="1:15">
      <c r="A42" t="s">
        <v>292</v>
      </c>
      <c r="B42" s="19">
        <v>175</v>
      </c>
      <c r="C42" s="19">
        <v>155</v>
      </c>
      <c r="D42" s="19">
        <v>720</v>
      </c>
      <c r="E42" s="19">
        <v>110</v>
      </c>
      <c r="F42" s="19">
        <f>SUM(B42:E42)+39</f>
        <v>1199</v>
      </c>
      <c r="G42" s="19">
        <v>13</v>
      </c>
      <c r="H42" s="19">
        <v>305</v>
      </c>
      <c r="I42" s="19">
        <v>8</v>
      </c>
      <c r="J42" s="19">
        <v>350</v>
      </c>
      <c r="K42" s="19">
        <v>21</v>
      </c>
      <c r="L42" s="19">
        <v>101</v>
      </c>
      <c r="M42" s="19">
        <f>SUM(K42:L42)</f>
        <v>122</v>
      </c>
      <c r="N42" s="20">
        <f t="shared" si="2"/>
        <v>1671</v>
      </c>
      <c r="O42" s="38"/>
    </row>
    <row r="43" spans="1:15" ht="10.5" customHeight="1">
      <c r="A43" s="10">
        <v>2017</v>
      </c>
      <c r="B43" s="19">
        <v>195</v>
      </c>
      <c r="C43" s="19">
        <v>195</v>
      </c>
      <c r="D43" s="19">
        <v>835</v>
      </c>
      <c r="E43" s="19">
        <v>122</v>
      </c>
      <c r="F43" s="19">
        <f>SUM(B43:E43)+44</f>
        <v>1391</v>
      </c>
      <c r="G43" s="19">
        <v>22</v>
      </c>
      <c r="H43" s="19">
        <v>275</v>
      </c>
      <c r="I43" s="19">
        <v>7.6</v>
      </c>
      <c r="J43" s="19">
        <f>SUM(G43:I43)+30</f>
        <v>334.6</v>
      </c>
      <c r="K43" s="19">
        <v>27</v>
      </c>
      <c r="L43" s="19">
        <v>119</v>
      </c>
      <c r="M43" s="19">
        <v>146</v>
      </c>
      <c r="N43" s="20">
        <f t="shared" si="2"/>
        <v>1871.6</v>
      </c>
      <c r="O43" s="38"/>
    </row>
    <row r="44" spans="1:15" ht="10.5" customHeight="1">
      <c r="A44" s="10">
        <v>2018</v>
      </c>
      <c r="B44" s="19">
        <v>165</v>
      </c>
      <c r="C44" s="19">
        <v>155</v>
      </c>
      <c r="D44" s="19">
        <v>665</v>
      </c>
      <c r="E44" s="19">
        <v>87</v>
      </c>
      <c r="F44" s="19">
        <f>SUM(B44:E44)+25</f>
        <v>1097</v>
      </c>
      <c r="G44" s="19">
        <v>16</v>
      </c>
      <c r="H44" s="19">
        <v>155</v>
      </c>
      <c r="I44" s="19">
        <v>5.5</v>
      </c>
      <c r="J44" s="19">
        <f>SUM(G44:I44)+26</f>
        <v>202.5</v>
      </c>
      <c r="K44" s="19">
        <v>24</v>
      </c>
      <c r="L44" s="19">
        <v>102</v>
      </c>
      <c r="M44" s="19">
        <v>126</v>
      </c>
      <c r="N44" s="20">
        <f t="shared" si="2"/>
        <v>1425.5</v>
      </c>
      <c r="O44" s="38"/>
    </row>
    <row r="45" spans="1:15">
      <c r="A45" s="10">
        <v>2019</v>
      </c>
      <c r="B45" s="19">
        <v>160</v>
      </c>
      <c r="C45" s="19">
        <v>165</v>
      </c>
      <c r="D45" s="19">
        <v>675</v>
      </c>
      <c r="E45" s="19">
        <v>65</v>
      </c>
      <c r="F45" s="19">
        <f>SUM(B45:E45)+20</f>
        <v>1085</v>
      </c>
      <c r="G45" s="19">
        <v>15</v>
      </c>
      <c r="H45" s="19">
        <v>165</v>
      </c>
      <c r="I45" s="19">
        <v>4.7</v>
      </c>
      <c r="J45" s="19">
        <f>SUM(G45:I45)+34</f>
        <v>218.7</v>
      </c>
      <c r="K45" s="19">
        <v>25</v>
      </c>
      <c r="L45" s="19">
        <v>104</v>
      </c>
      <c r="M45" s="19">
        <v>129</v>
      </c>
      <c r="N45" s="20">
        <v>1432.7</v>
      </c>
      <c r="O45" s="38"/>
    </row>
    <row r="46" spans="1:15">
      <c r="A46" s="10">
        <v>2020</v>
      </c>
      <c r="B46" s="19">
        <v>185</v>
      </c>
      <c r="C46" s="19">
        <v>175</v>
      </c>
      <c r="D46" s="19">
        <v>810</v>
      </c>
      <c r="E46" s="19">
        <v>84</v>
      </c>
      <c r="F46" s="19">
        <f>SUM(B46:E46)+23</f>
        <v>1277</v>
      </c>
      <c r="G46" s="19">
        <v>15</v>
      </c>
      <c r="H46" s="19">
        <v>190</v>
      </c>
      <c r="I46" s="19">
        <v>6.5</v>
      </c>
      <c r="J46" s="19">
        <f>SUM(G46:I46)+39</f>
        <v>250.5</v>
      </c>
      <c r="K46" s="19">
        <v>28</v>
      </c>
      <c r="L46" s="19">
        <v>107</v>
      </c>
      <c r="M46" s="19">
        <v>135</v>
      </c>
      <c r="N46" s="20">
        <f>F46+J46+M46</f>
        <v>1662.5</v>
      </c>
      <c r="O46" s="38"/>
    </row>
    <row r="47" spans="1:15">
      <c r="A47" s="10">
        <v>2021</v>
      </c>
      <c r="B47" s="19">
        <v>185</v>
      </c>
      <c r="C47" s="19">
        <v>165</v>
      </c>
      <c r="D47" s="19">
        <v>755</v>
      </c>
      <c r="E47" s="19">
        <v>69</v>
      </c>
      <c r="F47" s="19">
        <f>SUM(B47:E47)+18</f>
        <v>1192</v>
      </c>
      <c r="G47" s="19">
        <v>16</v>
      </c>
      <c r="H47" s="19">
        <v>180</v>
      </c>
      <c r="I47" s="19">
        <v>11.2</v>
      </c>
      <c r="J47" s="19">
        <f>SUM(G47:I47)+36</f>
        <v>243.2</v>
      </c>
      <c r="K47" s="19">
        <v>30</v>
      </c>
      <c r="L47" s="19">
        <v>115</v>
      </c>
      <c r="M47" s="19">
        <v>145</v>
      </c>
      <c r="N47" s="20">
        <f>F47+J47+M47</f>
        <v>1580.2</v>
      </c>
      <c r="O47" s="38"/>
    </row>
    <row r="48" spans="1:15">
      <c r="A48" s="11">
        <v>2022</v>
      </c>
      <c r="B48" s="267">
        <v>165</v>
      </c>
      <c r="C48" s="267">
        <v>150</v>
      </c>
      <c r="D48" s="267">
        <v>685</v>
      </c>
      <c r="E48" s="267">
        <v>71</v>
      </c>
      <c r="F48" s="267">
        <f>SUM(B48:E48)+15</f>
        <v>1086</v>
      </c>
      <c r="G48" s="267">
        <v>18</v>
      </c>
      <c r="H48" s="267">
        <v>160</v>
      </c>
      <c r="I48" s="267">
        <v>7.3</v>
      </c>
      <c r="J48" s="267">
        <f>SUM(G48:I48)+33</f>
        <v>218.3</v>
      </c>
      <c r="K48" s="267">
        <v>29</v>
      </c>
      <c r="L48" s="267">
        <v>117</v>
      </c>
      <c r="M48" s="267">
        <v>146</v>
      </c>
      <c r="N48" s="268">
        <f>F48+J48+M48</f>
        <v>1450.3</v>
      </c>
      <c r="O48" s="38"/>
    </row>
    <row r="49" spans="1:16">
      <c r="A49" s="10" t="s">
        <v>579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20"/>
      <c r="O49" s="38"/>
    </row>
    <row r="50" spans="1:16">
      <c r="A50" s="30" t="s">
        <v>264</v>
      </c>
      <c r="B50" s="19"/>
      <c r="C50" s="19"/>
      <c r="D50" s="19"/>
      <c r="E50" s="19"/>
      <c r="F50" s="20"/>
      <c r="G50" s="19"/>
      <c r="H50" s="19"/>
      <c r="I50" s="19"/>
      <c r="J50" s="19"/>
      <c r="K50" s="19"/>
      <c r="L50" s="19"/>
      <c r="M50" s="19"/>
      <c r="N50" s="20"/>
      <c r="O50" s="20"/>
    </row>
    <row r="51" spans="1:16">
      <c r="A51" t="s">
        <v>648</v>
      </c>
      <c r="O51" s="77"/>
      <c r="P51" s="77"/>
    </row>
    <row r="52" spans="1:16">
      <c r="L52" s="101"/>
      <c r="M52" s="101"/>
      <c r="N52" s="101" t="s">
        <v>592</v>
      </c>
    </row>
    <row r="57" spans="1:16">
      <c r="L57" s="141"/>
    </row>
  </sheetData>
  <phoneticPr fontId="0" type="noConversion"/>
  <pageMargins left="0.75" right="0.75" top="1" bottom="1" header="0.5" footer="0.5"/>
  <pageSetup scale="87" firstPageNumber="13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ignoredErrors>
    <ignoredError sqref="M6:M42 F43:F45" formulaRange="1"/>
    <ignoredError sqref="A6:A42" numberStoredAsText="1"/>
    <ignoredError sqref="F42" formula="1"/>
  </ignoredErrors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O52"/>
  <sheetViews>
    <sheetView zoomScaleNormal="100" zoomScaleSheetLayoutView="100" workbookViewId="0">
      <pane ySplit="4" topLeftCell="A5" activePane="bottomLeft" state="frozen"/>
      <selection pane="bottomLeft"/>
    </sheetView>
  </sheetViews>
  <sheetFormatPr defaultRowHeight="11.25"/>
  <cols>
    <col min="1" max="1" width="7.5" customWidth="1"/>
    <col min="2" max="5" width="8.83203125" customWidth="1"/>
    <col min="6" max="6" width="10.1640625" customWidth="1"/>
    <col min="7" max="14" width="8.83203125" customWidth="1"/>
  </cols>
  <sheetData>
    <row r="1" spans="1:15">
      <c r="A1" s="1" t="s">
        <v>609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35</v>
      </c>
      <c r="N1" s="1" t="s">
        <v>35</v>
      </c>
    </row>
    <row r="2" spans="1:15">
      <c r="A2" t="s">
        <v>76</v>
      </c>
      <c r="B2" s="121"/>
      <c r="C2" s="9"/>
      <c r="D2" s="4" t="s">
        <v>82</v>
      </c>
      <c r="E2" s="4"/>
      <c r="F2" s="120"/>
      <c r="G2" s="4"/>
      <c r="H2" s="94" t="s">
        <v>81</v>
      </c>
      <c r="I2" s="4"/>
      <c r="J2" s="120"/>
      <c r="K2" s="123"/>
      <c r="L2" s="121" t="s">
        <v>539</v>
      </c>
      <c r="M2" s="120"/>
      <c r="N2" s="7" t="s">
        <v>92</v>
      </c>
    </row>
    <row r="3" spans="1:15">
      <c r="A3" s="1" t="s">
        <v>77</v>
      </c>
      <c r="B3" s="116" t="s">
        <v>83</v>
      </c>
      <c r="C3" s="9" t="s">
        <v>84</v>
      </c>
      <c r="D3" s="9" t="s">
        <v>85</v>
      </c>
      <c r="E3" s="9" t="s">
        <v>86</v>
      </c>
      <c r="F3" s="114" t="s">
        <v>120</v>
      </c>
      <c r="G3" s="9" t="s">
        <v>87</v>
      </c>
      <c r="H3" s="9" t="s">
        <v>88</v>
      </c>
      <c r="I3" s="9" t="s">
        <v>89</v>
      </c>
      <c r="J3" s="114" t="s">
        <v>263</v>
      </c>
      <c r="K3" s="9" t="s">
        <v>90</v>
      </c>
      <c r="L3" s="9" t="s">
        <v>91</v>
      </c>
      <c r="M3" s="114" t="s">
        <v>2</v>
      </c>
      <c r="N3" s="9" t="s">
        <v>93</v>
      </c>
    </row>
    <row r="4" spans="1:15">
      <c r="C4" s="100"/>
      <c r="D4" s="100"/>
      <c r="E4" s="100"/>
      <c r="F4" s="100"/>
      <c r="G4" s="100"/>
      <c r="H4" s="100"/>
      <c r="I4" s="148" t="s">
        <v>80</v>
      </c>
      <c r="J4" s="100"/>
      <c r="K4" s="100"/>
      <c r="L4" s="100"/>
      <c r="M4" s="100"/>
      <c r="N4" s="100"/>
    </row>
    <row r="5" spans="1:1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5">
      <c r="A6" t="s">
        <v>17</v>
      </c>
      <c r="B6" s="19">
        <v>200</v>
      </c>
      <c r="C6" s="19">
        <v>56</v>
      </c>
      <c r="D6" s="19">
        <v>514</v>
      </c>
      <c r="E6" s="19">
        <v>13</v>
      </c>
      <c r="F6" s="19">
        <f>SUM(B6:E6)+6</f>
        <v>789</v>
      </c>
      <c r="G6" s="20">
        <v>105</v>
      </c>
      <c r="H6" s="19">
        <v>230</v>
      </c>
      <c r="I6" s="19">
        <v>8.8000000000000007</v>
      </c>
      <c r="J6" s="19">
        <f t="shared" ref="J6:J40" si="0">SUM(G6:I6)</f>
        <v>343.8</v>
      </c>
      <c r="K6" s="19">
        <v>101</v>
      </c>
      <c r="L6" s="19">
        <v>166</v>
      </c>
      <c r="M6" s="19">
        <f t="shared" ref="M6:M42" si="1">+K6+L6</f>
        <v>267</v>
      </c>
      <c r="N6" s="20">
        <f>F6+J6+M6</f>
        <v>1399.8</v>
      </c>
      <c r="O6" s="38"/>
    </row>
    <row r="7" spans="1:15">
      <c r="A7" t="s">
        <v>18</v>
      </c>
      <c r="B7" s="19">
        <v>222</v>
      </c>
      <c r="C7" s="19">
        <v>60</v>
      </c>
      <c r="D7" s="19">
        <v>565</v>
      </c>
      <c r="E7" s="19">
        <v>15</v>
      </c>
      <c r="F7" s="19">
        <f>SUM(B7:E7)+6.7</f>
        <v>868.7</v>
      </c>
      <c r="G7" s="20">
        <v>91</v>
      </c>
      <c r="H7" s="19">
        <v>242</v>
      </c>
      <c r="I7" s="19">
        <v>10</v>
      </c>
      <c r="J7" s="19">
        <f t="shared" si="0"/>
        <v>343</v>
      </c>
      <c r="K7" s="19">
        <v>105</v>
      </c>
      <c r="L7" s="19">
        <v>172</v>
      </c>
      <c r="M7" s="19">
        <f t="shared" si="1"/>
        <v>277</v>
      </c>
      <c r="N7" s="20">
        <f t="shared" ref="N7:N44" si="2">F7+J7+M7</f>
        <v>1488.7</v>
      </c>
      <c r="O7" s="38"/>
    </row>
    <row r="8" spans="1:15">
      <c r="A8" t="s">
        <v>19</v>
      </c>
      <c r="B8" s="19">
        <v>177</v>
      </c>
      <c r="C8" s="19">
        <v>51</v>
      </c>
      <c r="D8" s="19">
        <v>472</v>
      </c>
      <c r="E8" s="19">
        <v>12</v>
      </c>
      <c r="F8" s="19">
        <f t="shared" ref="F8:F28" si="3">SUM(B8:E8)</f>
        <v>712</v>
      </c>
      <c r="G8" s="20">
        <v>86</v>
      </c>
      <c r="H8" s="19">
        <v>225</v>
      </c>
      <c r="I8" s="19">
        <v>10.4</v>
      </c>
      <c r="J8" s="19">
        <f t="shared" si="0"/>
        <v>321.39999999999998</v>
      </c>
      <c r="K8" s="19">
        <v>95</v>
      </c>
      <c r="L8" s="19">
        <v>149</v>
      </c>
      <c r="M8" s="19">
        <f t="shared" si="1"/>
        <v>244</v>
      </c>
      <c r="N8" s="20">
        <f t="shared" si="2"/>
        <v>1277.4000000000001</v>
      </c>
      <c r="O8" s="38"/>
    </row>
    <row r="9" spans="1:15">
      <c r="A9" t="s">
        <v>20</v>
      </c>
      <c r="B9" s="19">
        <v>180</v>
      </c>
      <c r="C9" s="19">
        <v>60</v>
      </c>
      <c r="D9" s="19">
        <v>562</v>
      </c>
      <c r="E9" s="19">
        <v>12.5</v>
      </c>
      <c r="F9" s="19">
        <f t="shared" si="3"/>
        <v>814.5</v>
      </c>
      <c r="G9" s="20">
        <v>91</v>
      </c>
      <c r="H9" s="19">
        <v>215</v>
      </c>
      <c r="I9" s="19">
        <v>11</v>
      </c>
      <c r="J9" s="19">
        <f t="shared" si="0"/>
        <v>317</v>
      </c>
      <c r="K9" s="19">
        <v>95</v>
      </c>
      <c r="L9" s="19">
        <v>147</v>
      </c>
      <c r="M9" s="19">
        <f t="shared" si="1"/>
        <v>242</v>
      </c>
      <c r="N9" s="20">
        <f t="shared" si="2"/>
        <v>1373.5</v>
      </c>
      <c r="O9" s="38"/>
    </row>
    <row r="10" spans="1:15">
      <c r="A10" t="s">
        <v>21</v>
      </c>
      <c r="B10" s="19">
        <v>219</v>
      </c>
      <c r="C10" s="19">
        <v>77</v>
      </c>
      <c r="D10" s="19">
        <v>640</v>
      </c>
      <c r="E10" s="19">
        <v>14.5</v>
      </c>
      <c r="F10" s="19">
        <f t="shared" si="3"/>
        <v>950.5</v>
      </c>
      <c r="G10" s="20">
        <v>88</v>
      </c>
      <c r="H10" s="19">
        <v>223</v>
      </c>
      <c r="I10" s="19">
        <v>14.5</v>
      </c>
      <c r="J10" s="19">
        <f t="shared" si="0"/>
        <v>325.5</v>
      </c>
      <c r="K10" s="19">
        <v>97</v>
      </c>
      <c r="L10" s="19">
        <v>155</v>
      </c>
      <c r="M10" s="19">
        <f t="shared" si="1"/>
        <v>252</v>
      </c>
      <c r="N10" s="20">
        <f t="shared" si="2"/>
        <v>1528</v>
      </c>
      <c r="O10" s="38"/>
    </row>
    <row r="11" spans="1:15">
      <c r="A11" t="s">
        <v>22</v>
      </c>
      <c r="B11" s="19">
        <v>200</v>
      </c>
      <c r="C11" s="19">
        <v>72</v>
      </c>
      <c r="D11" s="19">
        <v>593</v>
      </c>
      <c r="E11" s="19">
        <v>12</v>
      </c>
      <c r="F11" s="19">
        <f t="shared" si="3"/>
        <v>877</v>
      </c>
      <c r="G11" s="20">
        <v>83</v>
      </c>
      <c r="H11" s="19">
        <v>245</v>
      </c>
      <c r="I11" s="19">
        <v>12.4</v>
      </c>
      <c r="J11" s="19">
        <f t="shared" si="0"/>
        <v>340.4</v>
      </c>
      <c r="K11" s="19">
        <v>96</v>
      </c>
      <c r="L11" s="19">
        <v>154</v>
      </c>
      <c r="M11" s="19">
        <f t="shared" si="1"/>
        <v>250</v>
      </c>
      <c r="N11" s="20">
        <f t="shared" si="2"/>
        <v>1467.4</v>
      </c>
      <c r="O11" s="38"/>
    </row>
    <row r="12" spans="1:15">
      <c r="A12" t="s">
        <v>23</v>
      </c>
      <c r="B12" s="19">
        <v>219</v>
      </c>
      <c r="C12" s="19">
        <v>87</v>
      </c>
      <c r="D12" s="19">
        <v>665</v>
      </c>
      <c r="E12" s="19">
        <v>11.5</v>
      </c>
      <c r="F12" s="19">
        <f t="shared" si="3"/>
        <v>982.5</v>
      </c>
      <c r="G12" s="20">
        <v>88</v>
      </c>
      <c r="H12" s="19">
        <v>220</v>
      </c>
      <c r="I12" s="19">
        <v>12.7</v>
      </c>
      <c r="J12" s="19">
        <f t="shared" si="0"/>
        <v>320.7</v>
      </c>
      <c r="K12" s="19">
        <v>89</v>
      </c>
      <c r="L12" s="19">
        <v>143</v>
      </c>
      <c r="M12" s="19">
        <f t="shared" si="1"/>
        <v>232</v>
      </c>
      <c r="N12" s="20">
        <f t="shared" si="2"/>
        <v>1535.2</v>
      </c>
      <c r="O12" s="38"/>
    </row>
    <row r="13" spans="1:15">
      <c r="A13" t="s">
        <v>24</v>
      </c>
      <c r="B13" s="19">
        <v>220</v>
      </c>
      <c r="C13" s="19">
        <v>83</v>
      </c>
      <c r="D13" s="19">
        <v>630</v>
      </c>
      <c r="E13" s="19">
        <v>13</v>
      </c>
      <c r="F13" s="19">
        <f t="shared" si="3"/>
        <v>946</v>
      </c>
      <c r="G13" s="20">
        <v>99</v>
      </c>
      <c r="H13" s="19">
        <v>252</v>
      </c>
      <c r="I13" s="19">
        <v>12.4</v>
      </c>
      <c r="J13" s="19">
        <f t="shared" si="0"/>
        <v>363.4</v>
      </c>
      <c r="K13" s="19">
        <v>90</v>
      </c>
      <c r="L13" s="19">
        <v>148</v>
      </c>
      <c r="M13" s="19">
        <f t="shared" si="1"/>
        <v>238</v>
      </c>
      <c r="N13" s="20">
        <f t="shared" si="2"/>
        <v>1547.4</v>
      </c>
      <c r="O13" s="38"/>
    </row>
    <row r="14" spans="1:15">
      <c r="A14" t="s">
        <v>25</v>
      </c>
      <c r="B14" s="19">
        <v>236</v>
      </c>
      <c r="C14" s="19">
        <v>90</v>
      </c>
      <c r="D14" s="19">
        <v>685</v>
      </c>
      <c r="E14" s="19">
        <v>13</v>
      </c>
      <c r="F14" s="19">
        <f t="shared" si="3"/>
        <v>1024</v>
      </c>
      <c r="G14" s="20">
        <v>97</v>
      </c>
      <c r="H14" s="19">
        <v>250</v>
      </c>
      <c r="I14" s="19">
        <v>13.4</v>
      </c>
      <c r="J14" s="19">
        <f t="shared" si="0"/>
        <v>360.4</v>
      </c>
      <c r="K14" s="19">
        <v>91</v>
      </c>
      <c r="L14" s="19">
        <v>153</v>
      </c>
      <c r="M14" s="19">
        <f t="shared" si="1"/>
        <v>244</v>
      </c>
      <c r="N14" s="20">
        <f t="shared" si="2"/>
        <v>1628.4</v>
      </c>
      <c r="O14" s="38"/>
    </row>
    <row r="15" spans="1:15">
      <c r="A15" t="s">
        <v>26</v>
      </c>
      <c r="B15" s="19">
        <v>239</v>
      </c>
      <c r="C15" s="19">
        <v>87</v>
      </c>
      <c r="D15" s="19">
        <v>685</v>
      </c>
      <c r="E15" s="19">
        <v>12.5</v>
      </c>
      <c r="F15" s="19">
        <f t="shared" si="3"/>
        <v>1023.5</v>
      </c>
      <c r="G15" s="20">
        <v>98</v>
      </c>
      <c r="H15" s="19">
        <v>262</v>
      </c>
      <c r="I15" s="19">
        <v>18.2</v>
      </c>
      <c r="J15" s="19">
        <f t="shared" si="0"/>
        <v>378.2</v>
      </c>
      <c r="K15" s="19">
        <v>91</v>
      </c>
      <c r="L15" s="19">
        <v>152</v>
      </c>
      <c r="M15" s="19">
        <f t="shared" si="1"/>
        <v>243</v>
      </c>
      <c r="N15" s="20">
        <f t="shared" si="2"/>
        <v>1644.7</v>
      </c>
      <c r="O15" s="38"/>
    </row>
    <row r="16" spans="1:15">
      <c r="A16" t="s">
        <v>27</v>
      </c>
      <c r="B16" s="19">
        <v>256</v>
      </c>
      <c r="C16" s="19">
        <v>100</v>
      </c>
      <c r="D16" s="19">
        <v>770</v>
      </c>
      <c r="E16" s="19">
        <v>13.5</v>
      </c>
      <c r="F16" s="19">
        <f t="shared" si="3"/>
        <v>1139.5</v>
      </c>
      <c r="G16" s="20">
        <v>106</v>
      </c>
      <c r="H16" s="19">
        <v>289</v>
      </c>
      <c r="I16" s="19">
        <v>20</v>
      </c>
      <c r="J16" s="19">
        <f t="shared" si="0"/>
        <v>415</v>
      </c>
      <c r="K16" s="19">
        <v>97</v>
      </c>
      <c r="L16" s="19">
        <v>164</v>
      </c>
      <c r="M16" s="19">
        <f t="shared" si="1"/>
        <v>261</v>
      </c>
      <c r="N16" s="20">
        <f t="shared" si="2"/>
        <v>1815.5</v>
      </c>
      <c r="O16" s="38"/>
    </row>
    <row r="17" spans="1:15">
      <c r="A17" t="s">
        <v>28</v>
      </c>
      <c r="B17" s="19">
        <v>277</v>
      </c>
      <c r="C17" s="19">
        <v>118</v>
      </c>
      <c r="D17" s="19">
        <v>895</v>
      </c>
      <c r="E17" s="19">
        <v>14</v>
      </c>
      <c r="F17" s="19">
        <f t="shared" si="3"/>
        <v>1304</v>
      </c>
      <c r="G17" s="20">
        <v>106</v>
      </c>
      <c r="H17" s="19">
        <v>325</v>
      </c>
      <c r="I17" s="19">
        <v>22.7</v>
      </c>
      <c r="J17" s="19">
        <f t="shared" si="0"/>
        <v>453.7</v>
      </c>
      <c r="K17" s="19">
        <v>96</v>
      </c>
      <c r="L17" s="19">
        <v>162</v>
      </c>
      <c r="M17" s="19">
        <f t="shared" si="1"/>
        <v>258</v>
      </c>
      <c r="N17" s="20">
        <f t="shared" si="2"/>
        <v>2015.7</v>
      </c>
      <c r="O17" s="38"/>
    </row>
    <row r="18" spans="1:15">
      <c r="A18" t="s">
        <v>45</v>
      </c>
      <c r="B18" s="19">
        <v>236</v>
      </c>
      <c r="C18" s="19">
        <v>77</v>
      </c>
      <c r="D18" s="19">
        <v>673</v>
      </c>
      <c r="E18" s="19">
        <v>13</v>
      </c>
      <c r="F18" s="19">
        <f t="shared" si="3"/>
        <v>999</v>
      </c>
      <c r="G18" s="20">
        <v>98</v>
      </c>
      <c r="H18" s="19">
        <v>305</v>
      </c>
      <c r="I18" s="19">
        <v>21.1</v>
      </c>
      <c r="J18" s="19">
        <f t="shared" si="0"/>
        <v>424.1</v>
      </c>
      <c r="K18" s="19">
        <v>93</v>
      </c>
      <c r="L18" s="19">
        <v>153</v>
      </c>
      <c r="M18" s="19">
        <f t="shared" si="1"/>
        <v>246</v>
      </c>
      <c r="N18" s="20">
        <f t="shared" si="2"/>
        <v>1669.1</v>
      </c>
      <c r="O18" s="38"/>
    </row>
    <row r="19" spans="1:15">
      <c r="A19" t="s">
        <v>30</v>
      </c>
      <c r="B19" s="19">
        <v>239</v>
      </c>
      <c r="C19" s="19">
        <v>84</v>
      </c>
      <c r="D19" s="19">
        <v>697</v>
      </c>
      <c r="E19" s="19">
        <v>14</v>
      </c>
      <c r="F19" s="19">
        <f t="shared" si="3"/>
        <v>1034</v>
      </c>
      <c r="G19" s="20">
        <v>102</v>
      </c>
      <c r="H19" s="19">
        <v>295</v>
      </c>
      <c r="I19" s="19">
        <v>21.8</v>
      </c>
      <c r="J19" s="19">
        <f t="shared" si="0"/>
        <v>418.8</v>
      </c>
      <c r="K19" s="19">
        <v>94</v>
      </c>
      <c r="L19" s="19">
        <v>143</v>
      </c>
      <c r="M19" s="19">
        <f t="shared" si="1"/>
        <v>237</v>
      </c>
      <c r="N19" s="20">
        <f t="shared" si="2"/>
        <v>1689.8</v>
      </c>
      <c r="O19" s="38"/>
    </row>
    <row r="20" spans="1:15">
      <c r="A20" t="s">
        <v>31</v>
      </c>
      <c r="B20" s="19">
        <v>222</v>
      </c>
      <c r="C20" s="19">
        <v>84</v>
      </c>
      <c r="D20" s="19">
        <v>649</v>
      </c>
      <c r="E20" s="19">
        <v>12.5</v>
      </c>
      <c r="F20" s="19">
        <f t="shared" si="3"/>
        <v>967.5</v>
      </c>
      <c r="G20" s="20">
        <v>100</v>
      </c>
      <c r="H20" s="19">
        <v>287</v>
      </c>
      <c r="I20" s="19">
        <v>21</v>
      </c>
      <c r="J20" s="19">
        <f t="shared" si="0"/>
        <v>408</v>
      </c>
      <c r="K20" s="19">
        <v>92</v>
      </c>
      <c r="L20" s="19">
        <v>151</v>
      </c>
      <c r="M20" s="19">
        <f t="shared" si="1"/>
        <v>243</v>
      </c>
      <c r="N20" s="20">
        <f t="shared" si="2"/>
        <v>1618.5</v>
      </c>
      <c r="O20" s="38"/>
    </row>
    <row r="21" spans="1:15">
      <c r="A21" t="s">
        <v>32</v>
      </c>
      <c r="B21" s="19">
        <v>212</v>
      </c>
      <c r="C21" s="19">
        <v>81</v>
      </c>
      <c r="D21" s="19">
        <v>592</v>
      </c>
      <c r="E21" s="19">
        <v>11</v>
      </c>
      <c r="F21" s="19">
        <f t="shared" si="3"/>
        <v>896</v>
      </c>
      <c r="G21" s="20">
        <v>98</v>
      </c>
      <c r="H21" s="19">
        <v>270</v>
      </c>
      <c r="I21" s="19">
        <v>20</v>
      </c>
      <c r="J21" s="19">
        <f t="shared" si="0"/>
        <v>388</v>
      </c>
      <c r="K21" s="19">
        <v>89</v>
      </c>
      <c r="L21" s="19">
        <v>144</v>
      </c>
      <c r="M21" s="19">
        <f t="shared" si="1"/>
        <v>233</v>
      </c>
      <c r="N21" s="20">
        <f t="shared" si="2"/>
        <v>1517</v>
      </c>
      <c r="O21" s="38"/>
    </row>
    <row r="22" spans="1:15">
      <c r="A22" t="s">
        <v>46</v>
      </c>
      <c r="B22" s="19">
        <v>191</v>
      </c>
      <c r="C22" s="19">
        <v>82</v>
      </c>
      <c r="D22" s="19">
        <v>533</v>
      </c>
      <c r="E22" s="19">
        <v>10.5</v>
      </c>
      <c r="F22" s="19">
        <f t="shared" si="3"/>
        <v>816.5</v>
      </c>
      <c r="G22" s="20">
        <v>81</v>
      </c>
      <c r="H22" s="19">
        <v>265</v>
      </c>
      <c r="I22" s="19">
        <v>16.5</v>
      </c>
      <c r="J22" s="19">
        <f t="shared" si="0"/>
        <v>362.5</v>
      </c>
      <c r="K22" s="19">
        <v>76</v>
      </c>
      <c r="L22" s="19">
        <v>125</v>
      </c>
      <c r="M22" s="19">
        <f t="shared" si="1"/>
        <v>201</v>
      </c>
      <c r="N22" s="20">
        <f t="shared" si="2"/>
        <v>1380</v>
      </c>
      <c r="O22" s="38"/>
    </row>
    <row r="23" spans="1:15">
      <c r="A23" t="s">
        <v>34</v>
      </c>
      <c r="B23" s="19">
        <v>193</v>
      </c>
      <c r="C23" s="19">
        <v>84</v>
      </c>
      <c r="D23" s="19">
        <v>519</v>
      </c>
      <c r="E23" s="19">
        <v>10.5</v>
      </c>
      <c r="F23" s="19">
        <f t="shared" si="3"/>
        <v>806.5</v>
      </c>
      <c r="G23" s="20">
        <v>77</v>
      </c>
      <c r="H23" s="19">
        <v>315</v>
      </c>
      <c r="I23" s="19">
        <v>17.3</v>
      </c>
      <c r="J23" s="19">
        <f t="shared" si="0"/>
        <v>409.3</v>
      </c>
      <c r="K23" s="19">
        <v>75</v>
      </c>
      <c r="L23" s="19">
        <v>123</v>
      </c>
      <c r="M23" s="19">
        <f t="shared" si="1"/>
        <v>198</v>
      </c>
      <c r="N23" s="20">
        <f t="shared" si="2"/>
        <v>1413.8</v>
      </c>
      <c r="O23" s="38"/>
    </row>
    <row r="24" spans="1:15">
      <c r="A24" t="s">
        <v>78</v>
      </c>
      <c r="B24" s="19">
        <v>197</v>
      </c>
      <c r="C24" s="19">
        <v>90</v>
      </c>
      <c r="D24" s="19">
        <v>537</v>
      </c>
      <c r="E24" s="19">
        <v>11.5</v>
      </c>
      <c r="F24" s="19">
        <f t="shared" si="3"/>
        <v>835.5</v>
      </c>
      <c r="G24" s="20">
        <v>75</v>
      </c>
      <c r="H24" s="19">
        <v>335</v>
      </c>
      <c r="I24" s="19">
        <v>22</v>
      </c>
      <c r="J24" s="19">
        <f t="shared" si="0"/>
        <v>432</v>
      </c>
      <c r="K24" s="19">
        <v>75</v>
      </c>
      <c r="L24" s="19">
        <v>124.5</v>
      </c>
      <c r="M24" s="19">
        <f t="shared" si="1"/>
        <v>199.5</v>
      </c>
      <c r="N24" s="20">
        <f t="shared" si="2"/>
        <v>1467</v>
      </c>
      <c r="O24" s="38"/>
    </row>
    <row r="25" spans="1:15">
      <c r="A25" t="s">
        <v>79</v>
      </c>
      <c r="B25" s="19">
        <v>206</v>
      </c>
      <c r="C25" s="19">
        <v>94</v>
      </c>
      <c r="D25" s="19">
        <v>544</v>
      </c>
      <c r="E25" s="19">
        <v>11</v>
      </c>
      <c r="F25" s="19">
        <f t="shared" si="3"/>
        <v>855</v>
      </c>
      <c r="G25" s="20">
        <v>79</v>
      </c>
      <c r="H25" s="19">
        <v>280</v>
      </c>
      <c r="I25" s="19">
        <v>22</v>
      </c>
      <c r="J25" s="19">
        <f t="shared" si="0"/>
        <v>381</v>
      </c>
      <c r="K25" s="19">
        <v>76</v>
      </c>
      <c r="L25" s="19">
        <v>124</v>
      </c>
      <c r="M25" s="19">
        <f t="shared" si="1"/>
        <v>200</v>
      </c>
      <c r="N25" s="20">
        <f t="shared" si="2"/>
        <v>1436</v>
      </c>
      <c r="O25" s="38"/>
    </row>
    <row r="26" spans="1:15">
      <c r="A26" t="s">
        <v>212</v>
      </c>
      <c r="B26" s="19">
        <v>182</v>
      </c>
      <c r="C26" s="19">
        <v>86</v>
      </c>
      <c r="D26" s="19">
        <v>492</v>
      </c>
      <c r="E26" s="19">
        <v>10</v>
      </c>
      <c r="F26" s="19">
        <f t="shared" si="3"/>
        <v>770</v>
      </c>
      <c r="G26" s="20">
        <v>67</v>
      </c>
      <c r="H26" s="19">
        <v>275</v>
      </c>
      <c r="I26" s="19">
        <v>26</v>
      </c>
      <c r="J26" s="19">
        <f t="shared" si="0"/>
        <v>368</v>
      </c>
      <c r="K26" s="19">
        <v>75</v>
      </c>
      <c r="L26" s="19">
        <v>123</v>
      </c>
      <c r="M26" s="19">
        <f t="shared" si="1"/>
        <v>198</v>
      </c>
      <c r="N26" s="20">
        <f t="shared" si="2"/>
        <v>1336</v>
      </c>
      <c r="O26" s="38"/>
    </row>
    <row r="27" spans="1:15">
      <c r="A27" t="s">
        <v>278</v>
      </c>
      <c r="B27" s="19">
        <v>199</v>
      </c>
      <c r="C27" s="19">
        <v>82</v>
      </c>
      <c r="D27" s="19">
        <v>514</v>
      </c>
      <c r="E27" s="19">
        <v>10.199999999999999</v>
      </c>
      <c r="F27" s="19">
        <f t="shared" si="3"/>
        <v>805.2</v>
      </c>
      <c r="G27" s="20">
        <v>77</v>
      </c>
      <c r="H27" s="19">
        <v>310</v>
      </c>
      <c r="I27" s="19">
        <v>22.2</v>
      </c>
      <c r="J27" s="19">
        <f t="shared" si="0"/>
        <v>409.2</v>
      </c>
      <c r="K27" s="19">
        <v>75</v>
      </c>
      <c r="L27" s="19">
        <v>122.5</v>
      </c>
      <c r="M27" s="19">
        <f t="shared" si="1"/>
        <v>197.5</v>
      </c>
      <c r="N27" s="20">
        <f t="shared" si="2"/>
        <v>1411.9</v>
      </c>
      <c r="O27" s="38"/>
    </row>
    <row r="28" spans="1:15">
      <c r="A28" t="s">
        <v>279</v>
      </c>
      <c r="B28" s="19">
        <v>180</v>
      </c>
      <c r="C28" s="19">
        <v>86</v>
      </c>
      <c r="D28" s="19">
        <v>505</v>
      </c>
      <c r="E28" s="19">
        <v>8.6999999999999993</v>
      </c>
      <c r="F28" s="15">
        <f t="shared" si="3"/>
        <v>779.7</v>
      </c>
      <c r="G28" s="20">
        <v>57</v>
      </c>
      <c r="H28" s="19">
        <v>280</v>
      </c>
      <c r="I28" s="19">
        <v>18</v>
      </c>
      <c r="J28" s="19">
        <f t="shared" si="0"/>
        <v>355</v>
      </c>
      <c r="K28" s="19">
        <v>57</v>
      </c>
      <c r="L28" s="19">
        <v>100</v>
      </c>
      <c r="M28" s="19">
        <f t="shared" si="1"/>
        <v>157</v>
      </c>
      <c r="N28" s="13">
        <f t="shared" si="2"/>
        <v>1291.7</v>
      </c>
      <c r="O28" s="38"/>
    </row>
    <row r="29" spans="1:15">
      <c r="A29" t="s">
        <v>280</v>
      </c>
      <c r="B29" s="19">
        <v>185</v>
      </c>
      <c r="C29" s="19">
        <v>115</v>
      </c>
      <c r="D29" s="19">
        <v>540</v>
      </c>
      <c r="E29" s="19">
        <v>17</v>
      </c>
      <c r="F29" s="15">
        <f>SUM(B29:E29)</f>
        <v>857</v>
      </c>
      <c r="G29" s="20">
        <v>35</v>
      </c>
      <c r="H29" s="19">
        <v>270</v>
      </c>
      <c r="I29" s="19">
        <v>17</v>
      </c>
      <c r="J29" s="19">
        <f t="shared" si="0"/>
        <v>322</v>
      </c>
      <c r="K29" s="19">
        <v>33</v>
      </c>
      <c r="L29" s="19">
        <v>100</v>
      </c>
      <c r="M29" s="19">
        <f t="shared" si="1"/>
        <v>133</v>
      </c>
      <c r="N29" s="13">
        <f t="shared" si="2"/>
        <v>1312</v>
      </c>
      <c r="O29" s="38"/>
    </row>
    <row r="30" spans="1:15">
      <c r="A30" t="s">
        <v>226</v>
      </c>
      <c r="B30" s="19">
        <v>199</v>
      </c>
      <c r="C30" s="19">
        <v>130</v>
      </c>
      <c r="D30" s="19">
        <v>610</v>
      </c>
      <c r="E30" s="19">
        <v>33</v>
      </c>
      <c r="F30" s="15">
        <f>SUM(B30:E30)</f>
        <v>972</v>
      </c>
      <c r="G30" s="20">
        <v>33</v>
      </c>
      <c r="H30" s="19">
        <v>235</v>
      </c>
      <c r="I30" s="19">
        <v>17</v>
      </c>
      <c r="J30" s="19">
        <f t="shared" si="0"/>
        <v>285</v>
      </c>
      <c r="K30" s="19">
        <v>32</v>
      </c>
      <c r="L30" s="19">
        <v>105</v>
      </c>
      <c r="M30" s="19">
        <f t="shared" si="1"/>
        <v>137</v>
      </c>
      <c r="N30" s="13">
        <f t="shared" si="2"/>
        <v>1394</v>
      </c>
      <c r="O30" s="38"/>
    </row>
    <row r="31" spans="1:15">
      <c r="A31" t="s">
        <v>281</v>
      </c>
      <c r="B31" s="19">
        <v>223</v>
      </c>
      <c r="C31" s="19">
        <v>152</v>
      </c>
      <c r="D31" s="19">
        <v>750</v>
      </c>
      <c r="E31" s="19">
        <v>60</v>
      </c>
      <c r="F31" s="15">
        <f>SUM(B31:E31)+14</f>
        <v>1199</v>
      </c>
      <c r="G31" s="20">
        <v>33</v>
      </c>
      <c r="H31" s="19">
        <v>260</v>
      </c>
      <c r="I31" s="19">
        <v>19</v>
      </c>
      <c r="J31" s="19">
        <f t="shared" si="0"/>
        <v>312</v>
      </c>
      <c r="K31" s="19">
        <v>22</v>
      </c>
      <c r="L31" s="19">
        <v>96</v>
      </c>
      <c r="M31" s="19">
        <f t="shared" si="1"/>
        <v>118</v>
      </c>
      <c r="N31" s="13">
        <f t="shared" si="2"/>
        <v>1629</v>
      </c>
      <c r="O31" s="38"/>
    </row>
    <row r="32" spans="1:15">
      <c r="A32" t="s">
        <v>282</v>
      </c>
      <c r="B32" s="19">
        <v>163</v>
      </c>
      <c r="C32" s="19">
        <v>120</v>
      </c>
      <c r="D32" s="19">
        <v>575</v>
      </c>
      <c r="E32" s="19">
        <v>56</v>
      </c>
      <c r="F32" s="15">
        <f>SUM(B32:E32)+16</f>
        <v>930</v>
      </c>
      <c r="G32" s="20">
        <v>22</v>
      </c>
      <c r="H32" s="19">
        <v>145</v>
      </c>
      <c r="I32" s="19">
        <v>12</v>
      </c>
      <c r="J32" s="19">
        <f t="shared" si="0"/>
        <v>179</v>
      </c>
      <c r="K32" s="19">
        <v>17</v>
      </c>
      <c r="L32" s="19">
        <v>84</v>
      </c>
      <c r="M32" s="19">
        <f t="shared" si="1"/>
        <v>101</v>
      </c>
      <c r="N32" s="13">
        <f t="shared" si="2"/>
        <v>1210</v>
      </c>
      <c r="O32" s="38"/>
    </row>
    <row r="33" spans="1:15">
      <c r="A33" t="s">
        <v>283</v>
      </c>
      <c r="B33" s="19">
        <v>157</v>
      </c>
      <c r="C33" s="19">
        <v>119</v>
      </c>
      <c r="D33" s="19">
        <v>520</v>
      </c>
      <c r="E33" s="19">
        <v>56</v>
      </c>
      <c r="F33" s="15">
        <f>SUM(B33:E33)+18</f>
        <v>870</v>
      </c>
      <c r="G33" s="20">
        <v>17</v>
      </c>
      <c r="H33" s="19">
        <v>187</v>
      </c>
      <c r="I33" s="19">
        <v>10</v>
      </c>
      <c r="J33" s="19">
        <f t="shared" si="0"/>
        <v>214</v>
      </c>
      <c r="K33" s="19">
        <v>21</v>
      </c>
      <c r="L33" s="19">
        <v>90</v>
      </c>
      <c r="M33" s="19">
        <f t="shared" si="1"/>
        <v>111</v>
      </c>
      <c r="N33" s="13">
        <f t="shared" si="2"/>
        <v>1195</v>
      </c>
      <c r="O33" s="38"/>
    </row>
    <row r="34" spans="1:15">
      <c r="A34" t="s">
        <v>284</v>
      </c>
      <c r="B34" s="19">
        <v>193</v>
      </c>
      <c r="C34" s="19">
        <v>140</v>
      </c>
      <c r="D34" s="19">
        <v>685</v>
      </c>
      <c r="E34" s="19">
        <v>68</v>
      </c>
      <c r="F34" s="15">
        <f>SUM(B34:E34)+21</f>
        <v>1107</v>
      </c>
      <c r="G34" s="20">
        <v>18</v>
      </c>
      <c r="H34" s="19">
        <v>253</v>
      </c>
      <c r="I34" s="19">
        <v>8</v>
      </c>
      <c r="J34" s="19">
        <f t="shared" si="0"/>
        <v>279</v>
      </c>
      <c r="K34" s="19">
        <v>24</v>
      </c>
      <c r="L34" s="19">
        <v>97</v>
      </c>
      <c r="M34" s="19">
        <f t="shared" si="1"/>
        <v>121</v>
      </c>
      <c r="N34" s="13">
        <f t="shared" si="2"/>
        <v>1507</v>
      </c>
      <c r="O34" s="38"/>
    </row>
    <row r="35" spans="1:15">
      <c r="A35" t="s">
        <v>285</v>
      </c>
      <c r="B35" s="19">
        <v>150</v>
      </c>
      <c r="C35" s="19">
        <v>105</v>
      </c>
      <c r="D35" s="19">
        <v>505</v>
      </c>
      <c r="E35" s="19">
        <v>48</v>
      </c>
      <c r="F35" s="15">
        <f>SUM(B35:E35)+18</f>
        <v>826</v>
      </c>
      <c r="G35" s="20">
        <v>13</v>
      </c>
      <c r="H35" s="19">
        <v>155</v>
      </c>
      <c r="I35" s="19">
        <v>7</v>
      </c>
      <c r="J35" s="19">
        <f t="shared" si="0"/>
        <v>175</v>
      </c>
      <c r="K35" s="19">
        <v>12</v>
      </c>
      <c r="L35" s="19">
        <v>66</v>
      </c>
      <c r="M35" s="19">
        <f t="shared" si="1"/>
        <v>78</v>
      </c>
      <c r="N35" s="13">
        <f t="shared" si="2"/>
        <v>1079</v>
      </c>
      <c r="O35" s="38"/>
    </row>
    <row r="36" spans="1:15">
      <c r="A36" t="s">
        <v>286</v>
      </c>
      <c r="B36" s="19">
        <v>185</v>
      </c>
      <c r="C36" s="19">
        <v>135</v>
      </c>
      <c r="D36" s="19">
        <v>555</v>
      </c>
      <c r="E36" s="19">
        <v>64</v>
      </c>
      <c r="F36" s="15">
        <f>SUM(B36:E36)+18</f>
        <v>957</v>
      </c>
      <c r="G36" s="20">
        <v>21</v>
      </c>
      <c r="H36" s="19">
        <v>163</v>
      </c>
      <c r="I36" s="19">
        <v>10</v>
      </c>
      <c r="J36" s="19">
        <f t="shared" si="0"/>
        <v>194</v>
      </c>
      <c r="K36" s="19">
        <v>18</v>
      </c>
      <c r="L36" s="19">
        <v>86</v>
      </c>
      <c r="M36" s="19">
        <f t="shared" si="1"/>
        <v>104</v>
      </c>
      <c r="N36" s="13">
        <f t="shared" si="2"/>
        <v>1255</v>
      </c>
      <c r="O36" s="38"/>
    </row>
    <row r="37" spans="1:15">
      <c r="A37" t="s">
        <v>287</v>
      </c>
      <c r="B37" s="19">
        <v>166</v>
      </c>
      <c r="C37" s="19">
        <v>157</v>
      </c>
      <c r="D37" s="19">
        <v>454</v>
      </c>
      <c r="E37" s="19">
        <v>73</v>
      </c>
      <c r="F37" s="15">
        <f>SUM(B37:E37)+14</f>
        <v>864</v>
      </c>
      <c r="G37" s="20">
        <v>21</v>
      </c>
      <c r="H37" s="19">
        <v>93</v>
      </c>
      <c r="I37" s="19">
        <v>6.6</v>
      </c>
      <c r="J37" s="19">
        <f t="shared" si="0"/>
        <v>120.6</v>
      </c>
      <c r="K37" s="19">
        <v>15</v>
      </c>
      <c r="L37" s="19">
        <v>81</v>
      </c>
      <c r="M37" s="19">
        <f t="shared" si="1"/>
        <v>96</v>
      </c>
      <c r="N37" s="13">
        <f t="shared" si="2"/>
        <v>1080.5999999999999</v>
      </c>
      <c r="O37" s="38"/>
    </row>
    <row r="38" spans="1:15">
      <c r="A38" t="s">
        <v>288</v>
      </c>
      <c r="B38" s="19">
        <v>219</v>
      </c>
      <c r="C38" s="19">
        <v>195</v>
      </c>
      <c r="D38" s="19">
        <v>730</v>
      </c>
      <c r="E38" s="19">
        <v>107</v>
      </c>
      <c r="F38" s="15">
        <f>SUM(B38:E38)+49</f>
        <v>1300</v>
      </c>
      <c r="G38" s="20">
        <v>22</v>
      </c>
      <c r="H38" s="19">
        <v>146</v>
      </c>
      <c r="I38" s="19">
        <v>10</v>
      </c>
      <c r="J38" s="19">
        <f t="shared" si="0"/>
        <v>178</v>
      </c>
      <c r="K38" s="19">
        <v>20</v>
      </c>
      <c r="L38" s="19">
        <v>106</v>
      </c>
      <c r="M38" s="19">
        <f t="shared" si="1"/>
        <v>126</v>
      </c>
      <c r="N38" s="13">
        <f t="shared" si="2"/>
        <v>1604</v>
      </c>
      <c r="O38" s="38"/>
    </row>
    <row r="39" spans="1:15">
      <c r="A39" t="s">
        <v>289</v>
      </c>
      <c r="B39" s="19">
        <v>138</v>
      </c>
      <c r="C39" s="19">
        <v>131</v>
      </c>
      <c r="D39" s="19">
        <v>426</v>
      </c>
      <c r="E39" s="19">
        <v>78</v>
      </c>
      <c r="F39" s="15">
        <f>SUM(B39:E39)+33</f>
        <v>806</v>
      </c>
      <c r="G39" s="20">
        <v>16</v>
      </c>
      <c r="H39" s="19">
        <v>117</v>
      </c>
      <c r="I39" s="19">
        <v>7</v>
      </c>
      <c r="J39" s="19">
        <f t="shared" si="0"/>
        <v>140</v>
      </c>
      <c r="K39" s="19">
        <v>16</v>
      </c>
      <c r="L39" s="19">
        <v>81</v>
      </c>
      <c r="M39" s="19">
        <f t="shared" si="1"/>
        <v>97</v>
      </c>
      <c r="N39" s="13">
        <f t="shared" si="2"/>
        <v>1043</v>
      </c>
      <c r="O39" s="38"/>
    </row>
    <row r="40" spans="1:15">
      <c r="A40" t="s">
        <v>290</v>
      </c>
      <c r="B40" s="19">
        <v>173</v>
      </c>
      <c r="C40" s="19">
        <v>167</v>
      </c>
      <c r="D40" s="19">
        <v>589</v>
      </c>
      <c r="E40" s="19">
        <v>108</v>
      </c>
      <c r="F40" s="15">
        <f>SUM(B40:E40)+31</f>
        <v>1068</v>
      </c>
      <c r="G40" s="20">
        <v>11</v>
      </c>
      <c r="H40" s="19">
        <v>127</v>
      </c>
      <c r="I40" s="19">
        <v>4.5</v>
      </c>
      <c r="J40" s="19">
        <f t="shared" si="0"/>
        <v>142.5</v>
      </c>
      <c r="K40" s="19">
        <v>19</v>
      </c>
      <c r="L40" s="19">
        <v>93</v>
      </c>
      <c r="M40" s="19">
        <f t="shared" si="1"/>
        <v>112</v>
      </c>
      <c r="N40" s="13">
        <f t="shared" si="2"/>
        <v>1322.5</v>
      </c>
      <c r="O40" s="38"/>
    </row>
    <row r="41" spans="1:15">
      <c r="A41" t="s">
        <v>291</v>
      </c>
      <c r="B41" s="19">
        <v>196</v>
      </c>
      <c r="C41" s="19">
        <v>180</v>
      </c>
      <c r="D41" s="19">
        <v>777</v>
      </c>
      <c r="E41" s="19">
        <v>82</v>
      </c>
      <c r="F41" s="15">
        <f>SUM(B41:E41)+41</f>
        <v>1276</v>
      </c>
      <c r="G41" s="20">
        <v>9</v>
      </c>
      <c r="H41" s="19">
        <v>165</v>
      </c>
      <c r="I41" s="19">
        <v>4.9000000000000004</v>
      </c>
      <c r="J41" s="19">
        <f>SUM(G41:I41)</f>
        <v>178.9</v>
      </c>
      <c r="K41" s="19">
        <v>19</v>
      </c>
      <c r="L41" s="19">
        <v>87</v>
      </c>
      <c r="M41" s="19">
        <f t="shared" si="1"/>
        <v>106</v>
      </c>
      <c r="N41" s="13">
        <f t="shared" si="2"/>
        <v>1560.9</v>
      </c>
      <c r="O41" s="38"/>
    </row>
    <row r="42" spans="1:15">
      <c r="A42" t="s">
        <v>292</v>
      </c>
      <c r="B42" s="19">
        <v>172</v>
      </c>
      <c r="C42" s="19">
        <v>146</v>
      </c>
      <c r="D42" s="19">
        <v>706</v>
      </c>
      <c r="E42" s="19">
        <v>106</v>
      </c>
      <c r="F42" s="15">
        <f>SUM(B42:E42)+38</f>
        <v>1168</v>
      </c>
      <c r="G42" s="20">
        <v>12</v>
      </c>
      <c r="H42" s="19">
        <v>205</v>
      </c>
      <c r="I42" s="19">
        <v>8</v>
      </c>
      <c r="J42" s="19">
        <f>SUM(G42:I42)+23</f>
        <v>248</v>
      </c>
      <c r="K42" s="19">
        <v>21</v>
      </c>
      <c r="L42" s="19">
        <v>99</v>
      </c>
      <c r="M42" s="19">
        <f t="shared" si="1"/>
        <v>120</v>
      </c>
      <c r="N42" s="13">
        <f t="shared" si="2"/>
        <v>1536</v>
      </c>
      <c r="O42" s="38"/>
    </row>
    <row r="43" spans="1:15">
      <c r="A43" s="10">
        <v>2017</v>
      </c>
      <c r="B43" s="19">
        <v>193</v>
      </c>
      <c r="C43" s="19">
        <v>185</v>
      </c>
      <c r="D43" s="19">
        <v>825</v>
      </c>
      <c r="E43" s="19">
        <v>118</v>
      </c>
      <c r="F43" s="15">
        <f>SUM(B43:E43)+43</f>
        <v>1364</v>
      </c>
      <c r="G43" s="20">
        <v>21</v>
      </c>
      <c r="H43" s="19">
        <v>210</v>
      </c>
      <c r="I43" s="19">
        <v>7.6</v>
      </c>
      <c r="J43" s="19">
        <f>SUM(G43:I43)+29</f>
        <v>267.60000000000002</v>
      </c>
      <c r="K43" s="19">
        <v>27</v>
      </c>
      <c r="L43" s="19">
        <v>117</v>
      </c>
      <c r="M43" s="19">
        <v>144</v>
      </c>
      <c r="N43" s="13">
        <f t="shared" si="2"/>
        <v>1775.6</v>
      </c>
      <c r="O43" s="38"/>
    </row>
    <row r="44" spans="1:15">
      <c r="A44" s="10">
        <v>2018</v>
      </c>
      <c r="B44" s="19">
        <v>161</v>
      </c>
      <c r="C44" s="19">
        <v>143</v>
      </c>
      <c r="D44" s="19">
        <v>655</v>
      </c>
      <c r="E44" s="19">
        <v>80</v>
      </c>
      <c r="F44" s="15">
        <f>SUM(B44:E44)+24</f>
        <v>1063</v>
      </c>
      <c r="G44" s="20">
        <v>15</v>
      </c>
      <c r="H44" s="19">
        <v>145</v>
      </c>
      <c r="I44" s="19">
        <v>5.5</v>
      </c>
      <c r="J44" s="19">
        <f>SUM(G44:I44)+23</f>
        <v>188.5</v>
      </c>
      <c r="K44" s="19">
        <v>24</v>
      </c>
      <c r="L44" s="19">
        <v>98</v>
      </c>
      <c r="M44" s="19">
        <v>122</v>
      </c>
      <c r="N44" s="13">
        <f t="shared" si="2"/>
        <v>1373.5</v>
      </c>
      <c r="O44" s="38"/>
    </row>
    <row r="45" spans="1:15">
      <c r="A45" s="10">
        <v>2019</v>
      </c>
      <c r="B45" s="19">
        <v>156</v>
      </c>
      <c r="C45" s="19">
        <v>155</v>
      </c>
      <c r="D45" s="19">
        <v>660</v>
      </c>
      <c r="E45" s="19">
        <v>62</v>
      </c>
      <c r="F45" s="15">
        <f>SUM(B45:E45)+19</f>
        <v>1052</v>
      </c>
      <c r="G45" s="20">
        <v>14</v>
      </c>
      <c r="H45" s="19">
        <v>160</v>
      </c>
      <c r="I45" s="19">
        <v>4.7</v>
      </c>
      <c r="J45" s="19">
        <f>SUM(G45:I45)+33</f>
        <v>211.7</v>
      </c>
      <c r="K45" s="19">
        <v>24</v>
      </c>
      <c r="L45" s="19">
        <v>102</v>
      </c>
      <c r="M45" s="19">
        <v>126</v>
      </c>
      <c r="N45" s="13">
        <f>F45+J45+M45</f>
        <v>1389.7</v>
      </c>
      <c r="O45" s="38"/>
    </row>
    <row r="46" spans="1:15">
      <c r="A46" s="10">
        <v>2020</v>
      </c>
      <c r="B46" s="19">
        <v>183</v>
      </c>
      <c r="C46" s="19">
        <v>166</v>
      </c>
      <c r="D46" s="19">
        <v>805</v>
      </c>
      <c r="E46" s="19">
        <v>80</v>
      </c>
      <c r="F46" s="15">
        <f>SUM(B46:E46)+22</f>
        <v>1256</v>
      </c>
      <c r="G46" s="20">
        <v>14</v>
      </c>
      <c r="H46" s="19">
        <v>170</v>
      </c>
      <c r="I46" s="19">
        <v>5.2</v>
      </c>
      <c r="J46" s="19">
        <f>SUM(G46:I46)+38</f>
        <v>227.2</v>
      </c>
      <c r="K46" s="19">
        <v>27</v>
      </c>
      <c r="L46" s="19">
        <v>105</v>
      </c>
      <c r="M46" s="19">
        <v>132</v>
      </c>
      <c r="N46" s="13">
        <f>F46+J46+M46</f>
        <v>1615.2</v>
      </c>
      <c r="O46" s="38"/>
    </row>
    <row r="47" spans="1:15">
      <c r="A47" s="10">
        <v>2021</v>
      </c>
      <c r="B47" s="19">
        <v>182</v>
      </c>
      <c r="C47" s="19">
        <v>158</v>
      </c>
      <c r="D47" s="19">
        <v>750</v>
      </c>
      <c r="E47" s="19">
        <v>66</v>
      </c>
      <c r="F47" s="15">
        <f>SUM(B47:E47)+17</f>
        <v>1173</v>
      </c>
      <c r="G47" s="20">
        <v>15</v>
      </c>
      <c r="H47" s="19">
        <v>162</v>
      </c>
      <c r="I47" s="19">
        <v>11.1</v>
      </c>
      <c r="J47" s="19">
        <f>SUM(G47:I47)+35</f>
        <v>223.1</v>
      </c>
      <c r="K47" s="19">
        <v>30</v>
      </c>
      <c r="L47" s="19">
        <v>114</v>
      </c>
      <c r="M47" s="19">
        <v>144</v>
      </c>
      <c r="N47" s="13">
        <f>F47+J47+M47</f>
        <v>1540.1</v>
      </c>
      <c r="O47" s="38"/>
    </row>
    <row r="48" spans="1:15">
      <c r="A48" s="11">
        <v>2022</v>
      </c>
      <c r="B48" s="267">
        <v>162</v>
      </c>
      <c r="C48" s="267">
        <v>142</v>
      </c>
      <c r="D48" s="267">
        <v>680</v>
      </c>
      <c r="E48" s="267">
        <v>68</v>
      </c>
      <c r="F48" s="235">
        <f>SUM(B48:E48)+14</f>
        <v>1066</v>
      </c>
      <c r="G48" s="268">
        <v>17</v>
      </c>
      <c r="H48" s="267">
        <v>120</v>
      </c>
      <c r="I48" s="267">
        <v>6.4</v>
      </c>
      <c r="J48" s="267">
        <f>SUM(G48:I48)+32</f>
        <v>175.4</v>
      </c>
      <c r="K48" s="267">
        <v>28</v>
      </c>
      <c r="L48" s="267">
        <v>116</v>
      </c>
      <c r="M48" s="267">
        <v>144</v>
      </c>
      <c r="N48" s="14">
        <f>F48+J48+M48</f>
        <v>1385.4</v>
      </c>
      <c r="O48" s="38"/>
    </row>
    <row r="49" spans="1:15">
      <c r="A49" s="10" t="s">
        <v>579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20"/>
      <c r="O49" s="38"/>
    </row>
    <row r="50" spans="1:15">
      <c r="A50" s="30" t="s">
        <v>264</v>
      </c>
      <c r="B50" s="19"/>
      <c r="C50" s="19"/>
      <c r="D50" s="19"/>
      <c r="E50" s="19"/>
      <c r="F50" s="20"/>
      <c r="G50" s="20"/>
      <c r="H50" s="19"/>
      <c r="I50" s="19"/>
      <c r="J50" s="19"/>
      <c r="K50" s="19"/>
      <c r="L50" s="19"/>
      <c r="M50" s="19"/>
      <c r="N50" s="20"/>
      <c r="O50" s="38"/>
    </row>
    <row r="51" spans="1:15">
      <c r="A51" t="s">
        <v>648</v>
      </c>
    </row>
    <row r="52" spans="1:15">
      <c r="N52" s="101" t="s">
        <v>592</v>
      </c>
    </row>
  </sheetData>
  <phoneticPr fontId="0" type="noConversion"/>
  <pageMargins left="0.7" right="0.7" top="0.75" bottom="1.25" header="0.3" footer="0.3"/>
  <pageSetup scale="93" firstPageNumber="14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ignoredErrors>
    <ignoredError sqref="J43" formula="1"/>
    <ignoredError sqref="A6:A45" numberStoredAsText="1"/>
    <ignoredError sqref="F6:F33 F35:F46" formulaRange="1"/>
    <ignoredError sqref="F34" formula="1" formulaRange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B53"/>
  <sheetViews>
    <sheetView zoomScaleNormal="100" zoomScaleSheetLayoutView="100" workbookViewId="0">
      <pane ySplit="4" topLeftCell="A5" activePane="bottomLeft" state="frozen"/>
      <selection pane="bottomLeft"/>
    </sheetView>
  </sheetViews>
  <sheetFormatPr defaultRowHeight="11.25"/>
  <cols>
    <col min="1" max="1" width="6.5" customWidth="1"/>
    <col min="2" max="3" width="8.83203125" customWidth="1"/>
    <col min="4" max="4" width="9.83203125" customWidth="1"/>
    <col min="5" max="5" width="8.83203125" customWidth="1"/>
    <col min="6" max="6" width="9.83203125" customWidth="1"/>
    <col min="7" max="9" width="8.83203125" customWidth="1"/>
    <col min="10" max="10" width="9.83203125" customWidth="1"/>
    <col min="11" max="12" width="8.83203125" customWidth="1"/>
    <col min="13" max="13" width="9.83203125" customWidth="1"/>
    <col min="14" max="14" width="11.83203125" customWidth="1"/>
    <col min="15" max="15" width="10.6640625" bestFit="1" customWidth="1"/>
  </cols>
  <sheetData>
    <row r="1" spans="1:16">
      <c r="A1" s="227" t="s">
        <v>610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35</v>
      </c>
      <c r="N1" s="1" t="s">
        <v>35</v>
      </c>
    </row>
    <row r="2" spans="1:16">
      <c r="A2" t="s">
        <v>76</v>
      </c>
      <c r="B2" s="121"/>
      <c r="C2" s="9"/>
      <c r="D2" s="4" t="s">
        <v>82</v>
      </c>
      <c r="E2" s="4"/>
      <c r="F2" s="120"/>
      <c r="G2" s="4"/>
      <c r="H2" s="94" t="s">
        <v>81</v>
      </c>
      <c r="I2" s="4"/>
      <c r="J2" s="120"/>
      <c r="K2" s="123"/>
      <c r="L2" s="121" t="s">
        <v>539</v>
      </c>
      <c r="M2" s="120"/>
      <c r="N2" s="7" t="s">
        <v>92</v>
      </c>
    </row>
    <row r="3" spans="1:16">
      <c r="A3" s="1" t="s">
        <v>77</v>
      </c>
      <c r="B3" s="116" t="s">
        <v>83</v>
      </c>
      <c r="C3" s="9" t="s">
        <v>84</v>
      </c>
      <c r="D3" s="9" t="s">
        <v>85</v>
      </c>
      <c r="E3" s="9" t="s">
        <v>86</v>
      </c>
      <c r="F3" s="114" t="s">
        <v>120</v>
      </c>
      <c r="G3" s="9" t="s">
        <v>87</v>
      </c>
      <c r="H3" s="9" t="s">
        <v>88</v>
      </c>
      <c r="I3" s="9" t="s">
        <v>89</v>
      </c>
      <c r="J3" s="114" t="s">
        <v>263</v>
      </c>
      <c r="K3" s="9" t="s">
        <v>90</v>
      </c>
      <c r="L3" s="9" t="s">
        <v>91</v>
      </c>
      <c r="M3" s="114" t="s">
        <v>2</v>
      </c>
      <c r="N3" s="9" t="s">
        <v>93</v>
      </c>
    </row>
    <row r="4" spans="1:16">
      <c r="C4" s="100"/>
      <c r="D4" s="100"/>
      <c r="E4" s="100"/>
      <c r="F4" s="100"/>
      <c r="G4" s="100"/>
      <c r="H4" s="100"/>
      <c r="I4" s="148" t="s">
        <v>94</v>
      </c>
      <c r="J4" s="100"/>
      <c r="K4" s="100"/>
      <c r="L4" s="100"/>
      <c r="M4" s="100"/>
      <c r="N4" s="100"/>
    </row>
    <row r="5" spans="1:16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6">
      <c r="A6" t="s">
        <v>17</v>
      </c>
      <c r="B6" s="21">
        <v>265000</v>
      </c>
      <c r="C6" s="21">
        <v>144480</v>
      </c>
      <c r="D6" s="21">
        <v>994590</v>
      </c>
      <c r="E6" s="21">
        <v>14300</v>
      </c>
      <c r="F6" s="21">
        <f>SUM(B6:E6)+7500</f>
        <v>1425870</v>
      </c>
      <c r="G6" s="21">
        <v>140175</v>
      </c>
      <c r="H6" s="21">
        <v>293250</v>
      </c>
      <c r="I6" s="21">
        <v>22352</v>
      </c>
      <c r="J6" s="56">
        <f t="shared" ref="J6:J40" si="0">SUM(G6:I6)</f>
        <v>455777</v>
      </c>
      <c r="K6" s="56">
        <v>136350</v>
      </c>
      <c r="L6" s="56">
        <v>291330</v>
      </c>
      <c r="M6" s="56">
        <f t="shared" ref="M6:M40" si="1">SUM(K6:L6)</f>
        <v>427680</v>
      </c>
      <c r="N6" s="56">
        <f>F6+J6+M6</f>
        <v>2309327</v>
      </c>
      <c r="O6" s="15"/>
      <c r="P6" s="21"/>
    </row>
    <row r="7" spans="1:16">
      <c r="A7" t="s">
        <v>18</v>
      </c>
      <c r="B7" s="21">
        <v>602730</v>
      </c>
      <c r="C7" s="21">
        <v>178200</v>
      </c>
      <c r="D7" s="21">
        <v>1655450</v>
      </c>
      <c r="E7" s="21">
        <v>39000</v>
      </c>
      <c r="F7" s="21">
        <f>SUM(B7:E7)+12730</f>
        <v>2488110</v>
      </c>
      <c r="G7" s="21">
        <v>189280</v>
      </c>
      <c r="H7" s="21">
        <v>393250</v>
      </c>
      <c r="I7" s="21">
        <v>24900</v>
      </c>
      <c r="J7" s="56">
        <f t="shared" si="0"/>
        <v>607430</v>
      </c>
      <c r="K7" s="56">
        <v>330750</v>
      </c>
      <c r="L7" s="56">
        <v>555560</v>
      </c>
      <c r="M7" s="56">
        <f t="shared" si="1"/>
        <v>886310</v>
      </c>
      <c r="N7" s="56">
        <f t="shared" ref="N7:N44" si="2">F7+J7+M7</f>
        <v>3981850</v>
      </c>
      <c r="O7" s="15"/>
      <c r="P7" s="21"/>
    </row>
    <row r="8" spans="1:16">
      <c r="A8" t="s">
        <v>19</v>
      </c>
      <c r="B8" s="21">
        <v>522150</v>
      </c>
      <c r="C8" s="21">
        <v>153000</v>
      </c>
      <c r="D8" s="21">
        <v>1517480</v>
      </c>
      <c r="E8" s="21">
        <v>30000</v>
      </c>
      <c r="F8" s="21">
        <f t="shared" ref="F8:F28" si="3">SUM(B8:E8)</f>
        <v>2222630</v>
      </c>
      <c r="G8" s="21">
        <v>174580</v>
      </c>
      <c r="H8" s="21">
        <v>325125</v>
      </c>
      <c r="I8" s="21">
        <v>25220</v>
      </c>
      <c r="J8" s="56">
        <f t="shared" si="0"/>
        <v>524925</v>
      </c>
      <c r="K8" s="56">
        <v>275500</v>
      </c>
      <c r="L8" s="56">
        <v>417200</v>
      </c>
      <c r="M8" s="56">
        <f t="shared" si="1"/>
        <v>692700</v>
      </c>
      <c r="N8" s="56">
        <f t="shared" si="2"/>
        <v>3440255</v>
      </c>
      <c r="O8" s="15"/>
      <c r="P8" s="21"/>
    </row>
    <row r="9" spans="1:16">
      <c r="A9" t="s">
        <v>20</v>
      </c>
      <c r="B9" s="21">
        <v>454500</v>
      </c>
      <c r="C9" s="21">
        <v>166800</v>
      </c>
      <c r="D9" s="21">
        <v>1567980</v>
      </c>
      <c r="E9" s="21">
        <v>25000</v>
      </c>
      <c r="F9" s="21">
        <f t="shared" si="3"/>
        <v>2214280</v>
      </c>
      <c r="G9" s="21">
        <v>176540</v>
      </c>
      <c r="H9" s="21">
        <v>362275</v>
      </c>
      <c r="I9" s="21">
        <v>25630</v>
      </c>
      <c r="J9" s="56">
        <f t="shared" si="0"/>
        <v>564445</v>
      </c>
      <c r="K9" s="56">
        <v>198550</v>
      </c>
      <c r="L9" s="56">
        <v>318255</v>
      </c>
      <c r="M9" s="56">
        <f t="shared" si="1"/>
        <v>516805</v>
      </c>
      <c r="N9" s="56">
        <f t="shared" si="2"/>
        <v>3295530</v>
      </c>
      <c r="O9" s="15"/>
      <c r="P9" s="21"/>
    </row>
    <row r="10" spans="1:16">
      <c r="A10" t="s">
        <v>21</v>
      </c>
      <c r="B10" s="21">
        <v>648550</v>
      </c>
      <c r="C10" s="21">
        <v>246400</v>
      </c>
      <c r="D10" s="21">
        <v>2160000</v>
      </c>
      <c r="E10" s="21">
        <v>39150</v>
      </c>
      <c r="F10" s="21">
        <f t="shared" si="3"/>
        <v>3094100</v>
      </c>
      <c r="G10" s="21">
        <v>189200</v>
      </c>
      <c r="H10" s="21">
        <v>371295</v>
      </c>
      <c r="I10" s="21">
        <v>32190</v>
      </c>
      <c r="J10" s="56">
        <f t="shared" si="0"/>
        <v>592685</v>
      </c>
      <c r="K10" s="56">
        <v>269660</v>
      </c>
      <c r="L10" s="56">
        <v>449500</v>
      </c>
      <c r="M10" s="56">
        <f t="shared" si="1"/>
        <v>719160</v>
      </c>
      <c r="N10" s="56">
        <f t="shared" si="2"/>
        <v>4405945</v>
      </c>
      <c r="O10" s="15"/>
      <c r="P10" s="21"/>
    </row>
    <row r="11" spans="1:16">
      <c r="A11" t="s">
        <v>22</v>
      </c>
      <c r="B11" s="21">
        <v>590000</v>
      </c>
      <c r="C11" s="21">
        <v>216000</v>
      </c>
      <c r="D11" s="21">
        <v>1921320</v>
      </c>
      <c r="E11" s="21">
        <v>34200</v>
      </c>
      <c r="F11" s="21">
        <f t="shared" si="3"/>
        <v>2761520</v>
      </c>
      <c r="G11" s="21">
        <v>170980</v>
      </c>
      <c r="H11" s="21">
        <v>422625</v>
      </c>
      <c r="I11" s="21">
        <v>31992</v>
      </c>
      <c r="J11" s="56">
        <f t="shared" si="0"/>
        <v>625597</v>
      </c>
      <c r="K11" s="56">
        <v>283680</v>
      </c>
      <c r="L11" s="56">
        <v>451990</v>
      </c>
      <c r="M11" s="56">
        <f t="shared" si="1"/>
        <v>735670</v>
      </c>
      <c r="N11" s="56">
        <f t="shared" si="2"/>
        <v>4122787</v>
      </c>
      <c r="O11" s="15"/>
      <c r="P11" s="21"/>
    </row>
    <row r="12" spans="1:16">
      <c r="A12" t="s">
        <v>23</v>
      </c>
      <c r="B12" s="21">
        <v>494940</v>
      </c>
      <c r="C12" s="21">
        <v>233160</v>
      </c>
      <c r="D12" s="21">
        <v>1632575</v>
      </c>
      <c r="E12" s="21">
        <v>25530</v>
      </c>
      <c r="F12" s="21">
        <f t="shared" si="3"/>
        <v>2386205</v>
      </c>
      <c r="G12" s="21">
        <v>180840</v>
      </c>
      <c r="H12" s="21">
        <v>385000</v>
      </c>
      <c r="I12" s="21">
        <v>28700</v>
      </c>
      <c r="J12" s="56">
        <f t="shared" si="0"/>
        <v>594540</v>
      </c>
      <c r="K12" s="56">
        <v>275900</v>
      </c>
      <c r="L12" s="56">
        <v>440440</v>
      </c>
      <c r="M12" s="56">
        <f t="shared" si="1"/>
        <v>716340</v>
      </c>
      <c r="N12" s="56">
        <f t="shared" si="2"/>
        <v>3697085</v>
      </c>
      <c r="O12" s="15"/>
      <c r="P12" s="21"/>
    </row>
    <row r="13" spans="1:16">
      <c r="A13" t="s">
        <v>24</v>
      </c>
      <c r="B13" s="21">
        <v>465300</v>
      </c>
      <c r="C13" s="21">
        <v>215800</v>
      </c>
      <c r="D13" s="21">
        <v>1575000</v>
      </c>
      <c r="E13" s="21">
        <v>31200</v>
      </c>
      <c r="F13" s="21">
        <f t="shared" si="3"/>
        <v>2287300</v>
      </c>
      <c r="G13" s="21">
        <v>222750</v>
      </c>
      <c r="H13" s="21">
        <v>441000</v>
      </c>
      <c r="I13" s="21">
        <v>29760</v>
      </c>
      <c r="J13" s="56">
        <f t="shared" si="0"/>
        <v>693510</v>
      </c>
      <c r="K13" s="56">
        <v>243000</v>
      </c>
      <c r="L13" s="56">
        <v>392200</v>
      </c>
      <c r="M13" s="56">
        <f t="shared" si="1"/>
        <v>635200</v>
      </c>
      <c r="N13" s="56">
        <f t="shared" si="2"/>
        <v>3616010</v>
      </c>
      <c r="O13" s="15"/>
      <c r="P13" s="21"/>
    </row>
    <row r="14" spans="1:16">
      <c r="A14" t="s">
        <v>25</v>
      </c>
      <c r="B14" s="21">
        <v>561680</v>
      </c>
      <c r="C14" s="21">
        <v>228600</v>
      </c>
      <c r="D14" s="21">
        <v>1801550</v>
      </c>
      <c r="E14" s="21">
        <v>32110</v>
      </c>
      <c r="F14" s="21">
        <f t="shared" si="3"/>
        <v>2623940</v>
      </c>
      <c r="G14" s="21">
        <v>225040</v>
      </c>
      <c r="H14" s="21">
        <v>417500</v>
      </c>
      <c r="I14" s="21">
        <v>30552</v>
      </c>
      <c r="J14" s="56">
        <f t="shared" si="0"/>
        <v>673092</v>
      </c>
      <c r="K14" s="56">
        <v>263900</v>
      </c>
      <c r="L14" s="56">
        <v>419985</v>
      </c>
      <c r="M14" s="56">
        <f t="shared" si="1"/>
        <v>683885</v>
      </c>
      <c r="N14" s="56">
        <f t="shared" si="2"/>
        <v>3980917</v>
      </c>
      <c r="O14" s="15"/>
      <c r="P14" s="21"/>
    </row>
    <row r="15" spans="1:16">
      <c r="A15" t="s">
        <v>26</v>
      </c>
      <c r="B15" s="21">
        <v>537750</v>
      </c>
      <c r="C15" s="21">
        <v>214890</v>
      </c>
      <c r="D15" s="21">
        <v>1849500</v>
      </c>
      <c r="E15" s="21">
        <v>32500</v>
      </c>
      <c r="F15" s="21">
        <f t="shared" si="3"/>
        <v>2634640</v>
      </c>
      <c r="G15" s="21">
        <v>210700</v>
      </c>
      <c r="H15" s="21">
        <v>484700</v>
      </c>
      <c r="I15" s="21">
        <v>43680</v>
      </c>
      <c r="J15" s="56">
        <f t="shared" si="0"/>
        <v>739080</v>
      </c>
      <c r="K15" s="56">
        <v>246155</v>
      </c>
      <c r="L15" s="56">
        <v>370120</v>
      </c>
      <c r="M15" s="56">
        <f t="shared" si="1"/>
        <v>616275</v>
      </c>
      <c r="N15" s="56">
        <f t="shared" si="2"/>
        <v>3989995</v>
      </c>
      <c r="O15" s="15"/>
      <c r="P15" s="21"/>
    </row>
    <row r="16" spans="1:16">
      <c r="A16" t="s">
        <v>27</v>
      </c>
      <c r="B16" s="21">
        <v>386560</v>
      </c>
      <c r="C16" s="21">
        <v>234000</v>
      </c>
      <c r="D16" s="21">
        <v>1347500</v>
      </c>
      <c r="E16" s="21">
        <v>30105</v>
      </c>
      <c r="F16" s="21">
        <f t="shared" si="3"/>
        <v>1998165</v>
      </c>
      <c r="G16" s="21">
        <v>235320</v>
      </c>
      <c r="H16" s="21">
        <v>534650</v>
      </c>
      <c r="I16" s="21">
        <v>50000</v>
      </c>
      <c r="J16" s="56">
        <f t="shared" si="0"/>
        <v>819970</v>
      </c>
      <c r="K16" s="56">
        <v>309915</v>
      </c>
      <c r="L16" s="56">
        <v>475600</v>
      </c>
      <c r="M16" s="56">
        <f t="shared" si="1"/>
        <v>785515</v>
      </c>
      <c r="N16" s="56">
        <f t="shared" si="2"/>
        <v>3603650</v>
      </c>
      <c r="O16" s="15"/>
      <c r="P16" s="21"/>
    </row>
    <row r="17" spans="1:16">
      <c r="A17" t="s">
        <v>28</v>
      </c>
      <c r="B17" s="21">
        <v>638485</v>
      </c>
      <c r="C17" s="21">
        <v>279660</v>
      </c>
      <c r="D17" s="21">
        <v>2228550</v>
      </c>
      <c r="E17" s="21">
        <v>33600</v>
      </c>
      <c r="F17" s="21">
        <f t="shared" si="3"/>
        <v>3180295</v>
      </c>
      <c r="G17" s="21">
        <v>243800</v>
      </c>
      <c r="H17" s="21">
        <v>682500</v>
      </c>
      <c r="I17" s="21">
        <v>51075</v>
      </c>
      <c r="J17" s="56">
        <f t="shared" si="0"/>
        <v>977375</v>
      </c>
      <c r="K17" s="56">
        <v>307200</v>
      </c>
      <c r="L17" s="56">
        <v>461700</v>
      </c>
      <c r="M17" s="56">
        <f t="shared" si="1"/>
        <v>768900</v>
      </c>
      <c r="N17" s="56">
        <f t="shared" si="2"/>
        <v>4926570</v>
      </c>
      <c r="O17" s="15"/>
      <c r="P17" s="21"/>
    </row>
    <row r="18" spans="1:16">
      <c r="A18" t="s">
        <v>45</v>
      </c>
      <c r="B18" s="21">
        <v>591180</v>
      </c>
      <c r="C18" s="21">
        <v>202510</v>
      </c>
      <c r="D18" s="21">
        <v>1820465</v>
      </c>
      <c r="E18" s="21">
        <v>32500</v>
      </c>
      <c r="F18" s="21">
        <f t="shared" si="3"/>
        <v>2646655</v>
      </c>
      <c r="G18" s="21">
        <v>236180</v>
      </c>
      <c r="H18" s="21">
        <v>680150</v>
      </c>
      <c r="I18" s="21">
        <v>58236</v>
      </c>
      <c r="J18" s="56">
        <f t="shared" si="0"/>
        <v>974566</v>
      </c>
      <c r="K18" s="56">
        <v>256215</v>
      </c>
      <c r="L18" s="56">
        <v>406980</v>
      </c>
      <c r="M18" s="56">
        <f t="shared" si="1"/>
        <v>663195</v>
      </c>
      <c r="N18" s="56">
        <f t="shared" si="2"/>
        <v>4284416</v>
      </c>
      <c r="O18" s="15"/>
      <c r="P18" s="21"/>
    </row>
    <row r="19" spans="1:16">
      <c r="A19" t="s">
        <v>30</v>
      </c>
      <c r="B19" s="21">
        <v>473220</v>
      </c>
      <c r="C19" s="21">
        <v>194880</v>
      </c>
      <c r="D19" s="21">
        <v>1383545</v>
      </c>
      <c r="E19" s="21">
        <v>24500</v>
      </c>
      <c r="F19" s="21">
        <f t="shared" si="3"/>
        <v>2076145</v>
      </c>
      <c r="G19" s="21">
        <v>233580</v>
      </c>
      <c r="H19" s="21">
        <v>550175</v>
      </c>
      <c r="I19" s="21">
        <v>56680</v>
      </c>
      <c r="J19" s="56">
        <f t="shared" si="0"/>
        <v>840435</v>
      </c>
      <c r="K19" s="56">
        <v>176250</v>
      </c>
      <c r="L19" s="56">
        <v>299585</v>
      </c>
      <c r="M19" s="56">
        <f t="shared" si="1"/>
        <v>475835</v>
      </c>
      <c r="N19" s="56">
        <f t="shared" si="2"/>
        <v>3392415</v>
      </c>
      <c r="O19" s="15"/>
      <c r="P19" s="21"/>
    </row>
    <row r="20" spans="1:16">
      <c r="A20" t="s">
        <v>31</v>
      </c>
      <c r="B20" s="21">
        <v>446220</v>
      </c>
      <c r="C20" s="21">
        <v>207480</v>
      </c>
      <c r="D20" s="21">
        <v>1862630</v>
      </c>
      <c r="E20" s="21">
        <v>36250</v>
      </c>
      <c r="F20" s="21">
        <f t="shared" si="3"/>
        <v>2552580</v>
      </c>
      <c r="G20" s="21">
        <v>261000</v>
      </c>
      <c r="H20" s="21">
        <v>605570</v>
      </c>
      <c r="I20" s="21">
        <v>51660</v>
      </c>
      <c r="J20" s="56">
        <f t="shared" si="0"/>
        <v>918230</v>
      </c>
      <c r="K20" s="56">
        <v>291180</v>
      </c>
      <c r="L20" s="56">
        <v>485465</v>
      </c>
      <c r="M20" s="56">
        <f t="shared" si="1"/>
        <v>776645</v>
      </c>
      <c r="N20" s="56">
        <f t="shared" si="2"/>
        <v>4247455</v>
      </c>
      <c r="O20" s="15"/>
      <c r="P20" s="21"/>
    </row>
    <row r="21" spans="1:16">
      <c r="A21" t="s">
        <v>32</v>
      </c>
      <c r="B21" s="21">
        <v>483360</v>
      </c>
      <c r="C21" s="21">
        <v>193590</v>
      </c>
      <c r="D21" s="21">
        <v>1414880</v>
      </c>
      <c r="E21" s="21">
        <v>30800</v>
      </c>
      <c r="F21" s="21">
        <f t="shared" si="3"/>
        <v>2122630</v>
      </c>
      <c r="G21" s="21">
        <v>201880</v>
      </c>
      <c r="H21" s="21">
        <v>540000</v>
      </c>
      <c r="I21" s="21">
        <v>43000</v>
      </c>
      <c r="J21" s="56">
        <f t="shared" si="0"/>
        <v>784880</v>
      </c>
      <c r="K21" s="56">
        <v>206925</v>
      </c>
      <c r="L21" s="56">
        <v>347040</v>
      </c>
      <c r="M21" s="56">
        <f t="shared" si="1"/>
        <v>553965</v>
      </c>
      <c r="N21" s="56">
        <f t="shared" si="2"/>
        <v>3461475</v>
      </c>
      <c r="O21" s="15"/>
      <c r="P21" s="21"/>
    </row>
    <row r="22" spans="1:16">
      <c r="A22" t="s">
        <v>46</v>
      </c>
      <c r="B22" s="21">
        <v>449805</v>
      </c>
      <c r="C22" s="21">
        <v>236160</v>
      </c>
      <c r="D22" s="21">
        <v>1433770</v>
      </c>
      <c r="E22" s="21">
        <v>32550</v>
      </c>
      <c r="F22" s="21">
        <f t="shared" si="3"/>
        <v>2152285</v>
      </c>
      <c r="G22" s="21">
        <v>195210</v>
      </c>
      <c r="H22" s="21">
        <v>689000</v>
      </c>
      <c r="I22" s="21">
        <v>37950</v>
      </c>
      <c r="J22" s="56">
        <f t="shared" si="0"/>
        <v>922160</v>
      </c>
      <c r="K22" s="56">
        <v>219260</v>
      </c>
      <c r="L22" s="56">
        <v>367500</v>
      </c>
      <c r="M22" s="56">
        <f t="shared" si="1"/>
        <v>586760</v>
      </c>
      <c r="N22" s="56">
        <f t="shared" si="2"/>
        <v>3661205</v>
      </c>
      <c r="O22" s="15"/>
      <c r="P22" s="21"/>
    </row>
    <row r="23" spans="1:16">
      <c r="A23" t="s">
        <v>34</v>
      </c>
      <c r="B23" s="21">
        <v>372490</v>
      </c>
      <c r="C23" s="21">
        <v>228060</v>
      </c>
      <c r="D23" s="21">
        <v>1333830</v>
      </c>
      <c r="E23" s="21">
        <v>30450</v>
      </c>
      <c r="F23" s="21">
        <f t="shared" si="3"/>
        <v>1964830</v>
      </c>
      <c r="G23" s="21">
        <v>184800</v>
      </c>
      <c r="H23" s="21">
        <v>822150</v>
      </c>
      <c r="I23" s="21">
        <v>46710</v>
      </c>
      <c r="J23" s="56">
        <f t="shared" si="0"/>
        <v>1053660</v>
      </c>
      <c r="K23" s="56">
        <v>191250</v>
      </c>
      <c r="L23" s="56">
        <v>329640</v>
      </c>
      <c r="M23" s="56">
        <f t="shared" si="1"/>
        <v>520890</v>
      </c>
      <c r="N23" s="56">
        <f t="shared" si="2"/>
        <v>3539380</v>
      </c>
      <c r="O23" s="15"/>
      <c r="P23" s="21"/>
    </row>
    <row r="24" spans="1:16">
      <c r="A24" t="s">
        <v>78</v>
      </c>
      <c r="B24" s="21">
        <v>432415</v>
      </c>
      <c r="C24" s="21">
        <v>233100</v>
      </c>
      <c r="D24" s="21">
        <v>1511655</v>
      </c>
      <c r="E24" s="21">
        <v>28175</v>
      </c>
      <c r="F24" s="21">
        <f t="shared" si="3"/>
        <v>2205345</v>
      </c>
      <c r="G24" s="21">
        <v>159750</v>
      </c>
      <c r="H24" s="21">
        <v>917900</v>
      </c>
      <c r="I24" s="21">
        <v>62040</v>
      </c>
      <c r="J24" s="56">
        <f t="shared" si="0"/>
        <v>1139690</v>
      </c>
      <c r="K24" s="56">
        <v>221250</v>
      </c>
      <c r="L24" s="56">
        <v>397155</v>
      </c>
      <c r="M24" s="56">
        <f t="shared" si="1"/>
        <v>618405</v>
      </c>
      <c r="N24" s="56">
        <f t="shared" si="2"/>
        <v>3963440</v>
      </c>
      <c r="O24" s="15"/>
      <c r="P24" s="21"/>
    </row>
    <row r="25" spans="1:16">
      <c r="A25" t="s">
        <v>79</v>
      </c>
      <c r="B25" s="21">
        <v>448050</v>
      </c>
      <c r="C25" s="21">
        <v>260380</v>
      </c>
      <c r="D25" s="21">
        <v>1400800</v>
      </c>
      <c r="E25" s="21">
        <v>25300</v>
      </c>
      <c r="F25" s="21">
        <f t="shared" si="3"/>
        <v>2134530</v>
      </c>
      <c r="G25" s="21">
        <v>189600</v>
      </c>
      <c r="H25" s="21">
        <v>926800</v>
      </c>
      <c r="I25" s="21">
        <v>61600</v>
      </c>
      <c r="J25" s="56">
        <f t="shared" si="0"/>
        <v>1178000</v>
      </c>
      <c r="K25" s="56">
        <v>218120</v>
      </c>
      <c r="L25" s="56">
        <v>298840</v>
      </c>
      <c r="M25" s="56">
        <f t="shared" si="1"/>
        <v>516960</v>
      </c>
      <c r="N25" s="56">
        <f t="shared" si="2"/>
        <v>3829490</v>
      </c>
      <c r="O25" s="15"/>
      <c r="P25" s="21"/>
    </row>
    <row r="26" spans="1:16">
      <c r="A26" s="10">
        <v>2000</v>
      </c>
      <c r="B26" s="21">
        <v>271180</v>
      </c>
      <c r="C26" s="21">
        <v>213710</v>
      </c>
      <c r="D26" s="21">
        <v>1328400</v>
      </c>
      <c r="E26" s="21">
        <v>29500</v>
      </c>
      <c r="F26" s="21">
        <f t="shared" si="3"/>
        <v>1842790</v>
      </c>
      <c r="G26" s="21">
        <v>120600</v>
      </c>
      <c r="H26" s="21">
        <v>698500</v>
      </c>
      <c r="I26" s="21">
        <v>54990</v>
      </c>
      <c r="J26" s="56">
        <f t="shared" si="0"/>
        <v>874090</v>
      </c>
      <c r="K26" s="56">
        <v>210375</v>
      </c>
      <c r="L26" s="56">
        <v>338250</v>
      </c>
      <c r="M26" s="56">
        <f t="shared" si="1"/>
        <v>548625</v>
      </c>
      <c r="N26" s="56">
        <f t="shared" si="2"/>
        <v>3265505</v>
      </c>
      <c r="O26" s="15"/>
      <c r="P26" s="21"/>
    </row>
    <row r="27" spans="1:16">
      <c r="A27" s="10">
        <v>2001</v>
      </c>
      <c r="B27" s="21">
        <v>532325</v>
      </c>
      <c r="C27" s="21">
        <v>250100</v>
      </c>
      <c r="D27" s="21">
        <v>1711620</v>
      </c>
      <c r="E27" s="21">
        <v>30600</v>
      </c>
      <c r="F27" s="21">
        <f t="shared" si="3"/>
        <v>2524645</v>
      </c>
      <c r="G27" s="21">
        <v>197890</v>
      </c>
      <c r="H27" s="21">
        <v>895900</v>
      </c>
      <c r="I27" s="21">
        <v>67044</v>
      </c>
      <c r="J27" s="56">
        <f t="shared" si="0"/>
        <v>1160834</v>
      </c>
      <c r="K27" s="56">
        <v>234750</v>
      </c>
      <c r="L27" s="56">
        <v>356475</v>
      </c>
      <c r="M27" s="56">
        <f t="shared" si="1"/>
        <v>591225</v>
      </c>
      <c r="N27" s="56">
        <f t="shared" si="2"/>
        <v>4276704</v>
      </c>
      <c r="O27" s="15"/>
      <c r="P27" s="21"/>
    </row>
    <row r="28" spans="1:16">
      <c r="A28" s="10">
        <v>2002</v>
      </c>
      <c r="B28" s="56">
        <v>379800</v>
      </c>
      <c r="C28" s="56">
        <v>197800</v>
      </c>
      <c r="D28" s="56">
        <v>1313000</v>
      </c>
      <c r="E28" s="56">
        <v>19140</v>
      </c>
      <c r="F28" s="56">
        <f t="shared" si="3"/>
        <v>1909740</v>
      </c>
      <c r="G28" s="56">
        <v>159600</v>
      </c>
      <c r="H28" s="56">
        <v>868000</v>
      </c>
      <c r="I28" s="56">
        <v>54000</v>
      </c>
      <c r="J28" s="56">
        <f t="shared" si="0"/>
        <v>1081600</v>
      </c>
      <c r="K28" s="56">
        <v>119700</v>
      </c>
      <c r="L28" s="56">
        <v>210000</v>
      </c>
      <c r="M28" s="56">
        <f t="shared" si="1"/>
        <v>329700</v>
      </c>
      <c r="N28" s="56">
        <f t="shared" si="2"/>
        <v>3321040</v>
      </c>
      <c r="O28" s="15"/>
      <c r="P28" s="21"/>
    </row>
    <row r="29" spans="1:16">
      <c r="A29" s="10">
        <v>2003</v>
      </c>
      <c r="B29" s="56">
        <v>508750</v>
      </c>
      <c r="C29" s="56">
        <v>345000</v>
      </c>
      <c r="D29" s="56">
        <v>1863000</v>
      </c>
      <c r="E29" s="56">
        <v>57800</v>
      </c>
      <c r="F29" s="56">
        <f>SUM(B29:E29)</f>
        <v>2774550</v>
      </c>
      <c r="G29" s="56">
        <v>98000</v>
      </c>
      <c r="H29" s="56">
        <v>810000</v>
      </c>
      <c r="I29" s="56">
        <v>45900</v>
      </c>
      <c r="J29" s="56">
        <f t="shared" si="0"/>
        <v>953900</v>
      </c>
      <c r="K29" s="56">
        <v>95700</v>
      </c>
      <c r="L29" s="56">
        <v>320000</v>
      </c>
      <c r="M29" s="56">
        <f t="shared" si="1"/>
        <v>415700</v>
      </c>
      <c r="N29" s="56">
        <f t="shared" si="2"/>
        <v>4144150</v>
      </c>
      <c r="O29" s="15"/>
      <c r="P29" s="21"/>
    </row>
    <row r="30" spans="1:16">
      <c r="A30" s="10">
        <v>2004</v>
      </c>
      <c r="B30" s="56">
        <v>557200</v>
      </c>
      <c r="C30" s="56">
        <v>364000</v>
      </c>
      <c r="D30" s="56">
        <v>1817800</v>
      </c>
      <c r="E30" s="56">
        <v>112200</v>
      </c>
      <c r="F30" s="56">
        <f>SUM(B30:E30)</f>
        <v>2851200</v>
      </c>
      <c r="G30" s="56">
        <v>102300</v>
      </c>
      <c r="H30" s="56">
        <v>803700</v>
      </c>
      <c r="I30" s="56">
        <v>59500</v>
      </c>
      <c r="J30" s="56">
        <f t="shared" si="0"/>
        <v>965500</v>
      </c>
      <c r="K30" s="56">
        <v>104000</v>
      </c>
      <c r="L30" s="56">
        <v>367500</v>
      </c>
      <c r="M30" s="56">
        <f t="shared" si="1"/>
        <v>471500</v>
      </c>
      <c r="N30" s="56">
        <f t="shared" si="2"/>
        <v>4288200</v>
      </c>
      <c r="O30" s="15"/>
      <c r="P30" s="21"/>
    </row>
    <row r="31" spans="1:16">
      <c r="A31" s="55">
        <v>2005</v>
      </c>
      <c r="B31" s="56">
        <v>613250</v>
      </c>
      <c r="C31" s="56">
        <v>410400</v>
      </c>
      <c r="D31" s="56">
        <v>2130000</v>
      </c>
      <c r="E31" s="56">
        <v>168000</v>
      </c>
      <c r="F31" s="56">
        <f>SUM(B31:E31)+44800</f>
        <v>3366450</v>
      </c>
      <c r="G31" s="56">
        <v>107910</v>
      </c>
      <c r="H31" s="56">
        <v>975000</v>
      </c>
      <c r="I31" s="56">
        <v>66500</v>
      </c>
      <c r="J31" s="56">
        <f t="shared" si="0"/>
        <v>1149410</v>
      </c>
      <c r="K31" s="56">
        <v>66000</v>
      </c>
      <c r="L31" s="56">
        <v>288000</v>
      </c>
      <c r="M31" s="56">
        <f t="shared" si="1"/>
        <v>354000</v>
      </c>
      <c r="N31" s="56">
        <f t="shared" si="2"/>
        <v>4869860</v>
      </c>
      <c r="O31" s="15"/>
      <c r="P31" s="21"/>
    </row>
    <row r="32" spans="1:16">
      <c r="A32" s="55">
        <v>2006</v>
      </c>
      <c r="B32" s="56">
        <v>407500</v>
      </c>
      <c r="C32" s="56">
        <v>300000</v>
      </c>
      <c r="D32" s="56">
        <v>1598500</v>
      </c>
      <c r="E32" s="56">
        <v>168000</v>
      </c>
      <c r="F32" s="56">
        <f>SUM(B32:E32)+46400</f>
        <v>2520400</v>
      </c>
      <c r="G32" s="56">
        <v>62700</v>
      </c>
      <c r="H32" s="56">
        <v>514750</v>
      </c>
      <c r="I32" s="56">
        <v>43200</v>
      </c>
      <c r="J32" s="56">
        <f t="shared" si="0"/>
        <v>620650</v>
      </c>
      <c r="K32" s="56">
        <v>54400</v>
      </c>
      <c r="L32" s="56">
        <v>268800</v>
      </c>
      <c r="M32" s="56">
        <f t="shared" si="1"/>
        <v>323200</v>
      </c>
      <c r="N32" s="56">
        <f t="shared" si="2"/>
        <v>3464250</v>
      </c>
      <c r="O32" s="15"/>
      <c r="P32" s="21"/>
    </row>
    <row r="33" spans="1:28">
      <c r="A33" s="55">
        <v>2007</v>
      </c>
      <c r="B33" s="56">
        <v>400350</v>
      </c>
      <c r="C33" s="56">
        <v>321300</v>
      </c>
      <c r="D33" s="56">
        <v>1622400</v>
      </c>
      <c r="E33" s="56">
        <v>173600</v>
      </c>
      <c r="F33" s="56">
        <f>SUM(B33:E33)+59400</f>
        <v>2577050</v>
      </c>
      <c r="G33" s="56">
        <v>57800</v>
      </c>
      <c r="H33" s="56">
        <v>691900</v>
      </c>
      <c r="I33" s="56">
        <v>32000</v>
      </c>
      <c r="J33" s="56">
        <f t="shared" si="0"/>
        <v>781700</v>
      </c>
      <c r="K33" s="56">
        <v>52500</v>
      </c>
      <c r="L33" s="56">
        <v>261000</v>
      </c>
      <c r="M33" s="56">
        <f t="shared" si="1"/>
        <v>313500</v>
      </c>
      <c r="N33" s="56">
        <f t="shared" si="2"/>
        <v>3672250</v>
      </c>
      <c r="O33" s="15"/>
      <c r="P33" s="21"/>
    </row>
    <row r="34" spans="1:28">
      <c r="A34" s="55">
        <v>2008</v>
      </c>
      <c r="B34" s="56">
        <v>675500</v>
      </c>
      <c r="C34" s="56">
        <v>448000</v>
      </c>
      <c r="D34" s="56">
        <v>2329000</v>
      </c>
      <c r="E34" s="56">
        <v>265200</v>
      </c>
      <c r="F34" s="56">
        <f>SUM(B34:E34)+81900</f>
        <v>3799600</v>
      </c>
      <c r="G34" s="56">
        <v>63000</v>
      </c>
      <c r="H34" s="56">
        <v>834900</v>
      </c>
      <c r="I34" s="56">
        <v>25600</v>
      </c>
      <c r="J34" s="56">
        <f t="shared" si="0"/>
        <v>923500</v>
      </c>
      <c r="K34" s="56">
        <v>80400</v>
      </c>
      <c r="L34" s="56">
        <v>358900</v>
      </c>
      <c r="M34" s="56">
        <f t="shared" si="1"/>
        <v>439300</v>
      </c>
      <c r="N34" s="56">
        <f t="shared" si="2"/>
        <v>5162400</v>
      </c>
      <c r="O34" s="15"/>
      <c r="P34" s="21"/>
    </row>
    <row r="35" spans="1:28">
      <c r="A35" s="55">
        <v>2009</v>
      </c>
      <c r="B35" s="56">
        <v>495000</v>
      </c>
      <c r="C35" s="56">
        <v>336000</v>
      </c>
      <c r="D35" s="56">
        <v>1797800</v>
      </c>
      <c r="E35" s="56">
        <v>148800</v>
      </c>
      <c r="F35" s="56">
        <f>SUM(B35:E35)+54000</f>
        <v>2831600</v>
      </c>
      <c r="G35" s="56">
        <v>42900</v>
      </c>
      <c r="H35" s="56">
        <v>506850</v>
      </c>
      <c r="I35" s="56">
        <v>21700</v>
      </c>
      <c r="J35" s="56">
        <f t="shared" si="0"/>
        <v>571450</v>
      </c>
      <c r="K35" s="56">
        <v>44400</v>
      </c>
      <c r="L35" s="56">
        <v>244200</v>
      </c>
      <c r="M35" s="56">
        <f t="shared" si="1"/>
        <v>288600</v>
      </c>
      <c r="N35" s="56">
        <f t="shared" si="2"/>
        <v>3691650</v>
      </c>
      <c r="O35" s="15"/>
      <c r="P35" s="21"/>
    </row>
    <row r="36" spans="1:28">
      <c r="A36" s="55">
        <v>2010</v>
      </c>
      <c r="B36" s="56">
        <v>481000</v>
      </c>
      <c r="C36" s="56">
        <v>472500</v>
      </c>
      <c r="D36" s="56">
        <v>1959150</v>
      </c>
      <c r="E36" s="56">
        <v>224000</v>
      </c>
      <c r="F36" s="56">
        <f>SUM(B36:E36)+63000</f>
        <v>3199650</v>
      </c>
      <c r="G36" s="56">
        <v>70350</v>
      </c>
      <c r="H36" s="56">
        <v>586800</v>
      </c>
      <c r="I36" s="56">
        <v>34000</v>
      </c>
      <c r="J36" s="56">
        <f t="shared" si="0"/>
        <v>691150</v>
      </c>
      <c r="K36" s="56">
        <v>33840</v>
      </c>
      <c r="L36" s="56">
        <v>232200</v>
      </c>
      <c r="M36" s="56">
        <f t="shared" si="1"/>
        <v>266040</v>
      </c>
      <c r="N36" s="56">
        <f t="shared" si="2"/>
        <v>4156840</v>
      </c>
      <c r="O36" s="15"/>
      <c r="P36" s="21"/>
    </row>
    <row r="37" spans="1:28">
      <c r="A37" s="55">
        <v>2011</v>
      </c>
      <c r="B37" s="56">
        <v>489700</v>
      </c>
      <c r="C37" s="56">
        <v>549500</v>
      </c>
      <c r="D37" s="56">
        <v>1645750</v>
      </c>
      <c r="E37" s="56">
        <v>240900</v>
      </c>
      <c r="F37" s="56">
        <f>SUM(B37:E37)+56000</f>
        <v>2981850</v>
      </c>
      <c r="G37" s="56">
        <v>54600</v>
      </c>
      <c r="H37" s="56">
        <v>249240</v>
      </c>
      <c r="I37" s="56">
        <v>19800</v>
      </c>
      <c r="J37" s="56">
        <f t="shared" si="0"/>
        <v>323640</v>
      </c>
      <c r="K37" s="56">
        <v>61500</v>
      </c>
      <c r="L37" s="56">
        <v>291600</v>
      </c>
      <c r="M37" s="56">
        <f t="shared" si="1"/>
        <v>353100</v>
      </c>
      <c r="N37" s="56">
        <f t="shared" si="2"/>
        <v>3658590</v>
      </c>
      <c r="O37" s="15"/>
      <c r="P37" s="21"/>
    </row>
    <row r="38" spans="1:28">
      <c r="A38" s="55">
        <v>2012</v>
      </c>
      <c r="B38" s="56">
        <v>876000</v>
      </c>
      <c r="C38" s="56">
        <v>760500</v>
      </c>
      <c r="D38" s="56">
        <v>3343400</v>
      </c>
      <c r="E38" s="56">
        <v>417300</v>
      </c>
      <c r="F38" s="56">
        <f>SUM(B38:E38)+215600</f>
        <v>5612800</v>
      </c>
      <c r="G38" s="56">
        <v>80300</v>
      </c>
      <c r="H38" s="56">
        <v>525600</v>
      </c>
      <c r="I38" s="56">
        <v>26000</v>
      </c>
      <c r="J38" s="56">
        <f t="shared" si="0"/>
        <v>631900</v>
      </c>
      <c r="K38" s="56">
        <v>82000</v>
      </c>
      <c r="L38" s="56">
        <v>427180</v>
      </c>
      <c r="M38" s="56">
        <f t="shared" si="1"/>
        <v>509180</v>
      </c>
      <c r="N38" s="56">
        <f t="shared" si="2"/>
        <v>6753880</v>
      </c>
      <c r="O38" s="15"/>
      <c r="P38" s="21"/>
    </row>
    <row r="39" spans="1:28">
      <c r="A39" s="55">
        <v>2013</v>
      </c>
      <c r="B39" s="56">
        <v>489900</v>
      </c>
      <c r="C39" s="56">
        <v>517450</v>
      </c>
      <c r="D39" s="56">
        <v>1887180</v>
      </c>
      <c r="E39" s="56">
        <v>273000</v>
      </c>
      <c r="F39" s="56">
        <f>SUM(B39:E39)+122100</f>
        <v>3289630</v>
      </c>
      <c r="G39" s="56">
        <v>59200</v>
      </c>
      <c r="H39" s="56">
        <v>423540</v>
      </c>
      <c r="I39" s="56">
        <v>21700</v>
      </c>
      <c r="J39" s="56">
        <f t="shared" si="0"/>
        <v>504440</v>
      </c>
      <c r="K39" s="56">
        <v>63200</v>
      </c>
      <c r="L39" s="56">
        <v>315900</v>
      </c>
      <c r="M39" s="56">
        <f t="shared" si="1"/>
        <v>379100</v>
      </c>
      <c r="N39" s="56">
        <f t="shared" si="2"/>
        <v>4173170</v>
      </c>
      <c r="O39" s="15"/>
      <c r="P39" s="21"/>
    </row>
    <row r="40" spans="1:28">
      <c r="A40" s="55">
        <v>2014</v>
      </c>
      <c r="B40" s="56">
        <v>544950</v>
      </c>
      <c r="C40" s="56">
        <v>668000</v>
      </c>
      <c r="D40" s="56">
        <v>2435515</v>
      </c>
      <c r="E40" s="56">
        <v>410400</v>
      </c>
      <c r="F40" s="56">
        <f>SUM(B40:E40)+124000</f>
        <v>4182865</v>
      </c>
      <c r="G40" s="56">
        <v>44000</v>
      </c>
      <c r="H40" s="56">
        <v>459740</v>
      </c>
      <c r="I40" s="56">
        <v>15750</v>
      </c>
      <c r="J40" s="56">
        <f t="shared" si="0"/>
        <v>519490</v>
      </c>
      <c r="K40" s="56">
        <v>84550</v>
      </c>
      <c r="L40" s="56">
        <v>401760</v>
      </c>
      <c r="M40" s="56">
        <f t="shared" si="1"/>
        <v>486310</v>
      </c>
      <c r="N40" s="56">
        <f t="shared" si="2"/>
        <v>5188665</v>
      </c>
      <c r="O40" s="15"/>
      <c r="P40" s="21"/>
    </row>
    <row r="41" spans="1:28">
      <c r="A41" s="55">
        <v>2015</v>
      </c>
      <c r="B41" s="56">
        <v>637000</v>
      </c>
      <c r="C41" s="56">
        <v>648000</v>
      </c>
      <c r="D41" s="56">
        <v>3364410</v>
      </c>
      <c r="E41" s="56">
        <v>262400</v>
      </c>
      <c r="F41" s="56">
        <f>SUM(B41:E41)+143500</f>
        <v>5055310</v>
      </c>
      <c r="G41" s="56">
        <v>30600</v>
      </c>
      <c r="H41" s="56">
        <v>528000</v>
      </c>
      <c r="I41" s="56">
        <v>15337</v>
      </c>
      <c r="J41" s="56">
        <f>SUM(G41:I41)</f>
        <v>573937</v>
      </c>
      <c r="K41" s="56">
        <v>69350</v>
      </c>
      <c r="L41" s="56">
        <v>302760</v>
      </c>
      <c r="M41" s="56">
        <f t="shared" ref="M41:M42" si="4">SUM(K41:L41)</f>
        <v>372110</v>
      </c>
      <c r="N41" s="56">
        <f t="shared" si="2"/>
        <v>6001357</v>
      </c>
      <c r="O41" s="15"/>
      <c r="P41" s="21"/>
    </row>
    <row r="42" spans="1:28">
      <c r="A42" s="55">
        <v>2016</v>
      </c>
      <c r="B42" s="56">
        <v>619200</v>
      </c>
      <c r="C42" s="56">
        <v>554800</v>
      </c>
      <c r="D42" s="56">
        <v>2753400</v>
      </c>
      <c r="E42" s="56">
        <v>339200</v>
      </c>
      <c r="F42" s="56">
        <f>SUM(B42:E42)+152000</f>
        <v>4418600</v>
      </c>
      <c r="G42" s="56">
        <v>44400</v>
      </c>
      <c r="H42" s="56">
        <v>559650</v>
      </c>
      <c r="I42" s="56">
        <v>22400</v>
      </c>
      <c r="J42" s="56">
        <f>SUM(G42:I42)+110400</f>
        <v>736850</v>
      </c>
      <c r="K42" s="56">
        <v>76650</v>
      </c>
      <c r="L42" s="56">
        <v>349470</v>
      </c>
      <c r="M42" s="56">
        <f t="shared" si="4"/>
        <v>426120</v>
      </c>
      <c r="N42" s="56">
        <f t="shared" si="2"/>
        <v>5581570</v>
      </c>
      <c r="O42" s="15"/>
      <c r="P42" s="21"/>
    </row>
    <row r="43" spans="1:28">
      <c r="A43" s="10">
        <v>2017</v>
      </c>
      <c r="B43" s="21">
        <v>704450</v>
      </c>
      <c r="C43" s="21">
        <v>638250</v>
      </c>
      <c r="D43" s="21">
        <v>3572250</v>
      </c>
      <c r="E43" s="21">
        <v>472000</v>
      </c>
      <c r="F43" s="21">
        <f>SUM(B43:E43)+172000</f>
        <v>5558950</v>
      </c>
      <c r="G43" s="21">
        <v>79380</v>
      </c>
      <c r="H43" s="21">
        <v>697200</v>
      </c>
      <c r="I43" s="21">
        <v>26600</v>
      </c>
      <c r="J43" s="21">
        <f>SUM(G43:I43)+153700</f>
        <v>956880</v>
      </c>
      <c r="K43" s="21">
        <v>119880</v>
      </c>
      <c r="L43" s="21">
        <v>479700</v>
      </c>
      <c r="M43" s="21">
        <v>599580</v>
      </c>
      <c r="N43" s="21">
        <f t="shared" si="2"/>
        <v>7115410</v>
      </c>
      <c r="O43" s="15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>
      <c r="A44" s="10">
        <v>2018</v>
      </c>
      <c r="B44" s="21">
        <v>571550</v>
      </c>
      <c r="C44" s="21">
        <v>564850</v>
      </c>
      <c r="D44" s="21">
        <v>2875450</v>
      </c>
      <c r="E44" s="21">
        <v>272000</v>
      </c>
      <c r="F44" s="21">
        <f>SUM(B44:E44)+93600</f>
        <v>4377450</v>
      </c>
      <c r="G44" s="21">
        <v>46050</v>
      </c>
      <c r="H44" s="21">
        <v>464000</v>
      </c>
      <c r="I44" s="21">
        <v>15675</v>
      </c>
      <c r="J44" s="21">
        <f>SUM(G44:I44)+112700</f>
        <v>638425</v>
      </c>
      <c r="K44" s="21">
        <v>100800</v>
      </c>
      <c r="L44" s="21">
        <v>379260</v>
      </c>
      <c r="M44" s="21">
        <v>480060</v>
      </c>
      <c r="N44" s="21">
        <f t="shared" si="2"/>
        <v>5495935</v>
      </c>
      <c r="O44" s="15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spans="1:28">
      <c r="A45" s="10">
        <v>2019</v>
      </c>
      <c r="B45" s="21">
        <v>522600</v>
      </c>
      <c r="C45" s="21">
        <v>589000</v>
      </c>
      <c r="D45" s="21">
        <v>2752200</v>
      </c>
      <c r="E45" s="21">
        <v>235600</v>
      </c>
      <c r="F45" s="21">
        <f>SUM(B45:E45)+76000</f>
        <v>4175400</v>
      </c>
      <c r="G45" s="21">
        <v>56000</v>
      </c>
      <c r="H45" s="21">
        <v>488000</v>
      </c>
      <c r="I45" s="21">
        <v>15087</v>
      </c>
      <c r="J45" s="21">
        <f>SUM(G45:I45)+171600</f>
        <v>730687</v>
      </c>
      <c r="K45" s="21">
        <v>111600</v>
      </c>
      <c r="L45" s="21">
        <v>448800</v>
      </c>
      <c r="M45" s="21">
        <v>560400</v>
      </c>
      <c r="N45" s="21">
        <f>F45+J45+M45</f>
        <v>5466487</v>
      </c>
      <c r="O45" s="15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28">
      <c r="A46" s="10">
        <v>2020</v>
      </c>
      <c r="B46" s="21">
        <v>622200</v>
      </c>
      <c r="C46" s="21">
        <v>564400</v>
      </c>
      <c r="D46" s="21">
        <v>3316600</v>
      </c>
      <c r="E46" s="21">
        <v>296000</v>
      </c>
      <c r="F46" s="21">
        <f>SUM(B46:E46)+96800</f>
        <v>4896000</v>
      </c>
      <c r="G46" s="21">
        <v>59080</v>
      </c>
      <c r="H46" s="21">
        <v>484500</v>
      </c>
      <c r="I46" s="21">
        <v>14820</v>
      </c>
      <c r="J46" s="21">
        <f>SUM(G46:I46)+182400</f>
        <v>740800</v>
      </c>
      <c r="K46" s="21">
        <v>112050</v>
      </c>
      <c r="L46" s="21">
        <v>409500</v>
      </c>
      <c r="M46" s="21">
        <v>521550</v>
      </c>
      <c r="N46" s="21">
        <f>F46+J46+M46</f>
        <v>6158350</v>
      </c>
      <c r="O46" s="15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>
      <c r="A47" s="10">
        <v>2021</v>
      </c>
      <c r="B47" s="21">
        <v>609700</v>
      </c>
      <c r="C47" s="21">
        <v>584600</v>
      </c>
      <c r="D47" s="21">
        <v>3337500</v>
      </c>
      <c r="E47" s="21">
        <v>277200</v>
      </c>
      <c r="F47" s="21">
        <f>SUM(B47:E47)+69700</f>
        <v>4878700</v>
      </c>
      <c r="G47" s="21">
        <v>66750</v>
      </c>
      <c r="H47" s="21">
        <v>578340</v>
      </c>
      <c r="I47" s="21">
        <v>25641</v>
      </c>
      <c r="J47" s="21">
        <f>SUM(G47:I47)+175000</f>
        <v>845731</v>
      </c>
      <c r="K47" s="21">
        <v>141000</v>
      </c>
      <c r="L47" s="21">
        <v>495900</v>
      </c>
      <c r="M47" s="21">
        <v>636900</v>
      </c>
      <c r="N47" s="21">
        <f>F47+J47+M47</f>
        <v>6361331</v>
      </c>
      <c r="O47" s="15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1:28">
      <c r="A48" s="11">
        <v>2022</v>
      </c>
      <c r="B48" s="22">
        <v>558900</v>
      </c>
      <c r="C48" s="22">
        <v>553800</v>
      </c>
      <c r="D48" s="22">
        <v>2890000</v>
      </c>
      <c r="E48" s="22">
        <v>285600</v>
      </c>
      <c r="F48" s="22">
        <f>SUM(B48:E48)+63000</f>
        <v>4351300</v>
      </c>
      <c r="G48" s="22">
        <v>62050</v>
      </c>
      <c r="H48" s="22">
        <v>336000</v>
      </c>
      <c r="I48" s="22">
        <v>16000</v>
      </c>
      <c r="J48" s="22">
        <f>SUM(G48:I48)+166400</f>
        <v>580450</v>
      </c>
      <c r="K48" s="22">
        <v>126000</v>
      </c>
      <c r="L48" s="22">
        <v>510400</v>
      </c>
      <c r="M48" s="22">
        <v>636400</v>
      </c>
      <c r="N48" s="22">
        <f>F48+J48+M48</f>
        <v>5568150</v>
      </c>
      <c r="O48" s="15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16">
      <c r="A49" s="10" t="s">
        <v>579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20"/>
      <c r="O49" s="38"/>
    </row>
    <row r="50" spans="1:16">
      <c r="A50" s="30" t="s">
        <v>264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15"/>
      <c r="P50" s="21"/>
    </row>
    <row r="51" spans="1:16">
      <c r="A51" t="s">
        <v>648</v>
      </c>
      <c r="O51" s="15"/>
    </row>
    <row r="52" spans="1:16">
      <c r="N52" s="101" t="s">
        <v>592</v>
      </c>
      <c r="O52" s="15"/>
    </row>
    <row r="53" spans="1:16">
      <c r="O53" s="15"/>
    </row>
  </sheetData>
  <phoneticPr fontId="0" type="noConversion"/>
  <pageMargins left="0.75" right="0.75" top="1" bottom="1" header="0.5" footer="0.5"/>
  <pageSetup scale="87" firstPageNumber="15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ignoredErrors>
    <ignoredError sqref="F26:F46" formulaRange="1"/>
    <ignoredError sqref="A6:A25" numberStoredAsText="1"/>
  </ignoredErrors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O52"/>
  <sheetViews>
    <sheetView zoomScaleNormal="100" zoomScaleSheetLayoutView="100" workbookViewId="0">
      <pane ySplit="4" topLeftCell="A5" activePane="bottomLeft" state="frozen"/>
      <selection pane="bottomLeft"/>
    </sheetView>
  </sheetViews>
  <sheetFormatPr defaultRowHeight="11.25"/>
  <cols>
    <col min="1" max="1" width="8.83203125" customWidth="1"/>
    <col min="2" max="13" width="8.5" customWidth="1"/>
    <col min="14" max="14" width="10.33203125" customWidth="1"/>
  </cols>
  <sheetData>
    <row r="1" spans="1:15">
      <c r="A1" s="227" t="s">
        <v>611</v>
      </c>
      <c r="B1" s="1"/>
      <c r="C1" s="1"/>
      <c r="D1" s="1"/>
      <c r="E1" s="1"/>
      <c r="F1" s="1"/>
      <c r="G1" s="1"/>
      <c r="H1" s="1"/>
      <c r="I1" s="1"/>
      <c r="J1" s="1"/>
      <c r="K1" s="1" t="s">
        <v>35</v>
      </c>
      <c r="L1" s="1" t="s">
        <v>35</v>
      </c>
      <c r="M1" s="1"/>
      <c r="N1" s="1" t="s">
        <v>35</v>
      </c>
    </row>
    <row r="2" spans="1:15">
      <c r="A2" t="s">
        <v>76</v>
      </c>
      <c r="B2" s="121"/>
      <c r="C2" s="9"/>
      <c r="D2" s="4" t="s">
        <v>82</v>
      </c>
      <c r="E2" s="4"/>
      <c r="F2" s="120"/>
      <c r="G2" s="4"/>
      <c r="H2" s="94" t="s">
        <v>81</v>
      </c>
      <c r="I2" s="4"/>
      <c r="J2" s="120"/>
      <c r="K2" s="3"/>
      <c r="L2" s="4" t="s">
        <v>539</v>
      </c>
      <c r="M2" s="120"/>
      <c r="N2" s="7" t="s">
        <v>92</v>
      </c>
    </row>
    <row r="3" spans="1:15">
      <c r="A3" s="1" t="s">
        <v>77</v>
      </c>
      <c r="B3" s="116" t="s">
        <v>83</v>
      </c>
      <c r="C3" s="9" t="s">
        <v>84</v>
      </c>
      <c r="D3" s="9" t="s">
        <v>85</v>
      </c>
      <c r="E3" s="9" t="s">
        <v>86</v>
      </c>
      <c r="F3" s="114" t="s">
        <v>120</v>
      </c>
      <c r="G3" s="9" t="s">
        <v>87</v>
      </c>
      <c r="H3" s="9" t="s">
        <v>88</v>
      </c>
      <c r="I3" s="9" t="s">
        <v>89</v>
      </c>
      <c r="J3" s="114" t="s">
        <v>263</v>
      </c>
      <c r="K3" s="9" t="s">
        <v>90</v>
      </c>
      <c r="L3" s="9" t="s">
        <v>91</v>
      </c>
      <c r="M3" s="114" t="s">
        <v>2</v>
      </c>
      <c r="N3" s="9" t="s">
        <v>93</v>
      </c>
    </row>
    <row r="4" spans="1:15">
      <c r="C4" s="100"/>
      <c r="D4" s="100"/>
      <c r="E4" s="100"/>
      <c r="F4" s="100"/>
      <c r="G4" s="100"/>
      <c r="H4" s="148" t="s">
        <v>55</v>
      </c>
      <c r="I4" s="100"/>
      <c r="J4" s="100"/>
      <c r="K4" s="100"/>
      <c r="L4" s="100"/>
      <c r="M4" s="100"/>
      <c r="N4" s="100"/>
    </row>
    <row r="5" spans="1:1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5">
      <c r="A6" t="s">
        <v>17</v>
      </c>
      <c r="B6" s="15">
        <f>'tab 15'!B6/'tab 14'!B6</f>
        <v>1325</v>
      </c>
      <c r="C6" s="15">
        <f>'tab 15'!C6/'tab 14'!C6</f>
        <v>2580</v>
      </c>
      <c r="D6" s="15">
        <f>'tab 15'!D6/'tab 14'!D6</f>
        <v>1935</v>
      </c>
      <c r="E6" s="15">
        <f>'tab 15'!E6/'tab 14'!E6</f>
        <v>1100</v>
      </c>
      <c r="F6" s="15">
        <f>'tab 15'!F6/'tab 14'!F6</f>
        <v>1807.1863117870723</v>
      </c>
      <c r="G6" s="15">
        <f>'tab 15'!G6/'tab 14'!G6</f>
        <v>1335</v>
      </c>
      <c r="H6" s="15">
        <f>'tab 15'!H6/'tab 14'!H6</f>
        <v>1275</v>
      </c>
      <c r="I6" s="15">
        <f>'tab 15'!I6/'tab 14'!I6</f>
        <v>2540</v>
      </c>
      <c r="J6" s="15">
        <f>'tab 15'!J6/'tab 14'!J6</f>
        <v>1325.7038976148924</v>
      </c>
      <c r="K6" s="15">
        <f>'tab 15'!K6/'tab 14'!K6</f>
        <v>1350</v>
      </c>
      <c r="L6" s="15">
        <f>'tab 15'!L6/'tab 14'!L6</f>
        <v>1755</v>
      </c>
      <c r="M6" s="15">
        <f>'tab 15'!M6/'tab 14'!M6</f>
        <v>1601.7977528089887</v>
      </c>
      <c r="N6" s="15">
        <f>'tab 15'!N6/'tab 14'!N6</f>
        <v>1649.7549649949992</v>
      </c>
      <c r="O6" s="15"/>
    </row>
    <row r="7" spans="1:15">
      <c r="A7" t="s">
        <v>18</v>
      </c>
      <c r="B7" s="15">
        <f>'tab 15'!B7/'tab 14'!B7</f>
        <v>2715</v>
      </c>
      <c r="C7" s="15">
        <f>'tab 15'!C7/'tab 14'!C7</f>
        <v>2970</v>
      </c>
      <c r="D7" s="15">
        <f>'tab 15'!D7/'tab 14'!D7</f>
        <v>2930</v>
      </c>
      <c r="E7" s="15">
        <f>'tab 15'!E7/'tab 14'!E7</f>
        <v>2600</v>
      </c>
      <c r="F7" s="15">
        <f>'tab 15'!F7/'tab 14'!F7</f>
        <v>2864.1763554736963</v>
      </c>
      <c r="G7" s="15">
        <f>'tab 15'!G7/'tab 14'!G7</f>
        <v>2080</v>
      </c>
      <c r="H7" s="15">
        <f>'tab 15'!H7/'tab 14'!H7</f>
        <v>1625</v>
      </c>
      <c r="I7" s="15">
        <f>'tab 15'!I7/'tab 14'!I7</f>
        <v>2490</v>
      </c>
      <c r="J7" s="15">
        <f>'tab 15'!J7/'tab 14'!J7</f>
        <v>1770.9329446064139</v>
      </c>
      <c r="K7" s="15">
        <f>'tab 15'!K7/'tab 14'!K7</f>
        <v>3150</v>
      </c>
      <c r="L7" s="15">
        <f>'tab 15'!L7/'tab 14'!L7</f>
        <v>3230</v>
      </c>
      <c r="M7" s="15">
        <f>'tab 15'!M7/'tab 14'!M7</f>
        <v>3199.6750902527074</v>
      </c>
      <c r="N7" s="15">
        <f>'tab 15'!N7/'tab 14'!N7</f>
        <v>2674.7161953382147</v>
      </c>
      <c r="O7" s="15"/>
    </row>
    <row r="8" spans="1:15">
      <c r="A8" t="s">
        <v>19</v>
      </c>
      <c r="B8" s="15">
        <f>'tab 15'!B8/'tab 14'!B8</f>
        <v>2950</v>
      </c>
      <c r="C8" s="15">
        <f>'tab 15'!C8/'tab 14'!C8</f>
        <v>3000</v>
      </c>
      <c r="D8" s="15">
        <f>'tab 15'!D8/'tab 14'!D8</f>
        <v>3215</v>
      </c>
      <c r="E8" s="15">
        <f>'tab 15'!E8/'tab 14'!E8</f>
        <v>2500</v>
      </c>
      <c r="F8" s="15">
        <f>'tab 15'!F8/'tab 14'!F8</f>
        <v>3121.6713483146068</v>
      </c>
      <c r="G8" s="15">
        <f>'tab 15'!G8/'tab 14'!G8</f>
        <v>2030</v>
      </c>
      <c r="H8" s="15">
        <f>'tab 15'!H8/'tab 14'!H8</f>
        <v>1445</v>
      </c>
      <c r="I8" s="15">
        <f>'tab 15'!I8/'tab 14'!I8</f>
        <v>2425</v>
      </c>
      <c r="J8" s="15">
        <f>'tab 15'!J8/'tab 14'!J8</f>
        <v>1633.2451773490977</v>
      </c>
      <c r="K8" s="15">
        <f>'tab 15'!K8/'tab 14'!K8</f>
        <v>2900</v>
      </c>
      <c r="L8" s="15">
        <f>'tab 15'!L8/'tab 14'!L8</f>
        <v>2800</v>
      </c>
      <c r="M8" s="15">
        <f>'tab 15'!M8/'tab 14'!M8</f>
        <v>2838.9344262295081</v>
      </c>
      <c r="N8" s="15">
        <f>'tab 15'!N8/'tab 14'!N8</f>
        <v>2693.1697197432281</v>
      </c>
      <c r="O8" s="15"/>
    </row>
    <row r="9" spans="1:15">
      <c r="A9" t="s">
        <v>20</v>
      </c>
      <c r="B9" s="15">
        <f>'tab 15'!B9/'tab 14'!B9</f>
        <v>2525</v>
      </c>
      <c r="C9" s="15">
        <f>'tab 15'!C9/'tab 14'!C9</f>
        <v>2780</v>
      </c>
      <c r="D9" s="15">
        <f>'tab 15'!D9/'tab 14'!D9</f>
        <v>2790</v>
      </c>
      <c r="E9" s="15">
        <f>'tab 15'!E9/'tab 14'!E9</f>
        <v>2000</v>
      </c>
      <c r="F9" s="15">
        <f>'tab 15'!F9/'tab 14'!F9</f>
        <v>2718.5758133824434</v>
      </c>
      <c r="G9" s="15">
        <f>'tab 15'!G9/'tab 14'!G9</f>
        <v>1940</v>
      </c>
      <c r="H9" s="15">
        <f>'tab 15'!H9/'tab 14'!H9</f>
        <v>1685</v>
      </c>
      <c r="I9" s="15">
        <f>'tab 15'!I9/'tab 14'!I9</f>
        <v>2330</v>
      </c>
      <c r="J9" s="15">
        <f>'tab 15'!J9/'tab 14'!J9</f>
        <v>1780.5835962145111</v>
      </c>
      <c r="K9" s="15">
        <f>'tab 15'!K9/'tab 14'!K9</f>
        <v>2090</v>
      </c>
      <c r="L9" s="15">
        <f>'tab 15'!L9/'tab 14'!L9</f>
        <v>2165</v>
      </c>
      <c r="M9" s="15">
        <f>'tab 15'!M9/'tab 14'!M9</f>
        <v>2135.5578512396696</v>
      </c>
      <c r="N9" s="15">
        <f>'tab 15'!N9/'tab 14'!N9</f>
        <v>2399.3665817255187</v>
      </c>
      <c r="O9" s="15"/>
    </row>
    <row r="10" spans="1:15">
      <c r="A10" t="s">
        <v>21</v>
      </c>
      <c r="B10" s="15">
        <f>'tab 15'!B10/'tab 14'!B10</f>
        <v>2961.4155251141551</v>
      </c>
      <c r="C10" s="15">
        <f>'tab 15'!C10/'tab 14'!C10</f>
        <v>3200</v>
      </c>
      <c r="D10" s="15">
        <f>'tab 15'!D10/'tab 14'!D10</f>
        <v>3375</v>
      </c>
      <c r="E10" s="15">
        <f>'tab 15'!E10/'tab 14'!E10</f>
        <v>2700</v>
      </c>
      <c r="F10" s="15">
        <f>'tab 15'!F10/'tab 14'!F10</f>
        <v>3255.2340873224621</v>
      </c>
      <c r="G10" s="15">
        <f>'tab 15'!G10/'tab 14'!G10</f>
        <v>2150</v>
      </c>
      <c r="H10" s="15">
        <f>'tab 15'!H10/'tab 14'!H10</f>
        <v>1665</v>
      </c>
      <c r="I10" s="15">
        <f>'tab 15'!I10/'tab 14'!I10</f>
        <v>2220</v>
      </c>
      <c r="J10" s="15">
        <f>'tab 15'!J10/'tab 14'!J10</f>
        <v>1820.8448540706606</v>
      </c>
      <c r="K10" s="15">
        <f>'tab 15'!K10/'tab 14'!K10</f>
        <v>2780</v>
      </c>
      <c r="L10" s="15">
        <f>'tab 15'!L10/'tab 14'!L10</f>
        <v>2900</v>
      </c>
      <c r="M10" s="15">
        <f>'tab 15'!M10/'tab 14'!M10</f>
        <v>2853.8095238095239</v>
      </c>
      <c r="N10" s="15">
        <f>'tab 15'!N10/'tab 14'!N10</f>
        <v>2883.4718586387435</v>
      </c>
      <c r="O10" s="15"/>
    </row>
    <row r="11" spans="1:15">
      <c r="A11" t="s">
        <v>22</v>
      </c>
      <c r="B11" s="15">
        <f>'tab 15'!B11/'tab 14'!B11</f>
        <v>2950</v>
      </c>
      <c r="C11" s="15">
        <f>'tab 15'!C11/'tab 14'!C11</f>
        <v>3000</v>
      </c>
      <c r="D11" s="15">
        <f>'tab 15'!D11/'tab 14'!D11</f>
        <v>3240</v>
      </c>
      <c r="E11" s="15">
        <f>'tab 15'!E11/'tab 14'!E11</f>
        <v>2850</v>
      </c>
      <c r="F11" s="15">
        <f>'tab 15'!F11/'tab 14'!F11</f>
        <v>3148.8255416191564</v>
      </c>
      <c r="G11" s="15">
        <f>'tab 15'!G11/'tab 14'!G11</f>
        <v>2060</v>
      </c>
      <c r="H11" s="15">
        <f>'tab 15'!H11/'tab 14'!H11</f>
        <v>1725</v>
      </c>
      <c r="I11" s="15">
        <f>'tab 15'!I11/'tab 14'!I11</f>
        <v>2580</v>
      </c>
      <c r="J11" s="15">
        <f>'tab 15'!J11/'tab 14'!J11</f>
        <v>1837.8290246768508</v>
      </c>
      <c r="K11" s="15">
        <f>'tab 15'!K11/'tab 14'!K11</f>
        <v>2955</v>
      </c>
      <c r="L11" s="15">
        <f>'tab 15'!L11/'tab 14'!L11</f>
        <v>2935</v>
      </c>
      <c r="M11" s="15">
        <f>'tab 15'!M11/'tab 14'!M11</f>
        <v>2942.68</v>
      </c>
      <c r="N11" s="15">
        <f>'tab 15'!N11/'tab 14'!N11</f>
        <v>2809.5863431920402</v>
      </c>
      <c r="O11" s="15"/>
    </row>
    <row r="12" spans="1:15">
      <c r="A12" t="s">
        <v>23</v>
      </c>
      <c r="B12" s="15">
        <f>'tab 15'!B12/'tab 14'!B12</f>
        <v>2260</v>
      </c>
      <c r="C12" s="15">
        <f>'tab 15'!C12/'tab 14'!C12</f>
        <v>2680</v>
      </c>
      <c r="D12" s="15">
        <f>'tab 15'!D12/'tab 14'!D12</f>
        <v>2455</v>
      </c>
      <c r="E12" s="15">
        <f>'tab 15'!E12/'tab 14'!E12</f>
        <v>2220</v>
      </c>
      <c r="F12" s="15">
        <f>'tab 15'!F12/'tab 14'!F12</f>
        <v>2428.7073791348603</v>
      </c>
      <c r="G12" s="15">
        <f>'tab 15'!G12/'tab 14'!G12</f>
        <v>2055</v>
      </c>
      <c r="H12" s="15">
        <f>'tab 15'!H12/'tab 14'!H12</f>
        <v>1750</v>
      </c>
      <c r="I12" s="15">
        <f>'tab 15'!I12/'tab 14'!I12</f>
        <v>2259.8425196850394</v>
      </c>
      <c r="J12" s="15">
        <f>'tab 15'!J12/'tab 14'!J12</f>
        <v>1853.8821328344247</v>
      </c>
      <c r="K12" s="15">
        <f>'tab 15'!K12/'tab 14'!K12</f>
        <v>3100</v>
      </c>
      <c r="L12" s="15">
        <f>'tab 15'!L12/'tab 14'!L12</f>
        <v>3080</v>
      </c>
      <c r="M12" s="15">
        <f>'tab 15'!M12/'tab 14'!M12</f>
        <v>3087.6724137931033</v>
      </c>
      <c r="N12" s="15">
        <f>'tab 15'!N12/'tab 14'!N12</f>
        <v>2408.2106565919748</v>
      </c>
      <c r="O12" s="15"/>
    </row>
    <row r="13" spans="1:15">
      <c r="A13" t="s">
        <v>24</v>
      </c>
      <c r="B13" s="15">
        <f>'tab 15'!B13/'tab 14'!B13</f>
        <v>2115</v>
      </c>
      <c r="C13" s="15">
        <f>'tab 15'!C13/'tab 14'!C13</f>
        <v>2600</v>
      </c>
      <c r="D13" s="15">
        <f>'tab 15'!D13/'tab 14'!D13</f>
        <v>2500</v>
      </c>
      <c r="E13" s="15">
        <f>'tab 15'!E13/'tab 14'!E13</f>
        <v>2400</v>
      </c>
      <c r="F13" s="15">
        <f>'tab 15'!F13/'tab 14'!F13</f>
        <v>2417.8646934460889</v>
      </c>
      <c r="G13" s="15">
        <f>'tab 15'!G13/'tab 14'!G13</f>
        <v>2250</v>
      </c>
      <c r="H13" s="15">
        <f>'tab 15'!H13/'tab 14'!H13</f>
        <v>1750</v>
      </c>
      <c r="I13" s="15">
        <f>'tab 15'!I13/'tab 14'!I13</f>
        <v>2400</v>
      </c>
      <c r="J13" s="15">
        <f>'tab 15'!J13/'tab 14'!J13</f>
        <v>1908.3929554210238</v>
      </c>
      <c r="K13" s="15">
        <f>'tab 15'!K13/'tab 14'!K13</f>
        <v>2700</v>
      </c>
      <c r="L13" s="15">
        <f>'tab 15'!L13/'tab 14'!L13</f>
        <v>2650</v>
      </c>
      <c r="M13" s="15">
        <f>'tab 15'!M13/'tab 14'!M13</f>
        <v>2668.90756302521</v>
      </c>
      <c r="N13" s="15">
        <f>'tab 15'!N13/'tab 14'!N13</f>
        <v>2336.8295204859764</v>
      </c>
      <c r="O13" s="15"/>
    </row>
    <row r="14" spans="1:15">
      <c r="A14" t="s">
        <v>25</v>
      </c>
      <c r="B14" s="15">
        <f>'tab 15'!B14/'tab 14'!B14</f>
        <v>2380</v>
      </c>
      <c r="C14" s="15">
        <f>'tab 15'!C14/'tab 14'!C14</f>
        <v>2540</v>
      </c>
      <c r="D14" s="15">
        <f>'tab 15'!D14/'tab 14'!D14</f>
        <v>2630</v>
      </c>
      <c r="E14" s="15">
        <f>'tab 15'!E14/'tab 14'!E14</f>
        <v>2470</v>
      </c>
      <c r="F14" s="15">
        <f>'tab 15'!F14/'tab 14'!F14</f>
        <v>2562.44140625</v>
      </c>
      <c r="G14" s="15">
        <f>'tab 15'!G14/'tab 14'!G14</f>
        <v>2320</v>
      </c>
      <c r="H14" s="15">
        <f>'tab 15'!H14/'tab 14'!H14</f>
        <v>1670</v>
      </c>
      <c r="I14" s="15">
        <f>'tab 15'!I14/'tab 14'!I14</f>
        <v>2280</v>
      </c>
      <c r="J14" s="15">
        <f>'tab 15'!J14/'tab 14'!J14</f>
        <v>1867.624861265261</v>
      </c>
      <c r="K14" s="15">
        <f>'tab 15'!K14/'tab 14'!K14</f>
        <v>2900</v>
      </c>
      <c r="L14" s="15">
        <f>'tab 15'!L14/'tab 14'!L14</f>
        <v>2745</v>
      </c>
      <c r="M14" s="15">
        <f>'tab 15'!M14/'tab 14'!M14</f>
        <v>2802.8073770491801</v>
      </c>
      <c r="N14" s="15">
        <f>'tab 15'!N14/'tab 14'!N14</f>
        <v>2444.6800540407762</v>
      </c>
      <c r="O14" s="15"/>
    </row>
    <row r="15" spans="1:15">
      <c r="A15" t="s">
        <v>26</v>
      </c>
      <c r="B15" s="15">
        <f>'tab 15'!B15/'tab 14'!B15</f>
        <v>2250</v>
      </c>
      <c r="C15" s="15">
        <f>'tab 15'!C15/'tab 14'!C15</f>
        <v>2470</v>
      </c>
      <c r="D15" s="15">
        <f>'tab 15'!D15/'tab 14'!D15</f>
        <v>2700</v>
      </c>
      <c r="E15" s="15">
        <f>'tab 15'!E15/'tab 14'!E15</f>
        <v>2600</v>
      </c>
      <c r="F15" s="15">
        <f>'tab 15'!F15/'tab 14'!F15</f>
        <v>2574.1475329750856</v>
      </c>
      <c r="G15" s="15">
        <f>'tab 15'!G15/'tab 14'!G15</f>
        <v>2150</v>
      </c>
      <c r="H15" s="15">
        <f>'tab 15'!H15/'tab 14'!H15</f>
        <v>1850</v>
      </c>
      <c r="I15" s="15">
        <f>'tab 15'!I15/'tab 14'!I15</f>
        <v>2400</v>
      </c>
      <c r="J15" s="15">
        <f>'tab 15'!J15/'tab 14'!J15</f>
        <v>1954.2041248016924</v>
      </c>
      <c r="K15" s="15">
        <f>'tab 15'!K15/'tab 14'!K15</f>
        <v>2705</v>
      </c>
      <c r="L15" s="15">
        <f>'tab 15'!L15/'tab 14'!L15</f>
        <v>2435</v>
      </c>
      <c r="M15" s="15">
        <f>'tab 15'!M15/'tab 14'!M15</f>
        <v>2536.1111111111113</v>
      </c>
      <c r="N15" s="15">
        <f>'tab 15'!N15/'tab 14'!N15</f>
        <v>2425.9713017571594</v>
      </c>
      <c r="O15" s="15"/>
    </row>
    <row r="16" spans="1:15">
      <c r="A16" t="s">
        <v>27</v>
      </c>
      <c r="B16" s="15">
        <f>'tab 15'!B16/'tab 14'!B16</f>
        <v>1510</v>
      </c>
      <c r="C16" s="15">
        <f>'tab 15'!C16/'tab 14'!C16</f>
        <v>2340</v>
      </c>
      <c r="D16" s="15">
        <f>'tab 15'!D16/'tab 14'!D16</f>
        <v>1750</v>
      </c>
      <c r="E16" s="15">
        <f>'tab 15'!E16/'tab 14'!E16</f>
        <v>2230</v>
      </c>
      <c r="F16" s="15">
        <f>'tab 15'!F16/'tab 14'!F16</f>
        <v>1753.5454146555508</v>
      </c>
      <c r="G16" s="15">
        <f>'tab 15'!G16/'tab 14'!G16</f>
        <v>2220</v>
      </c>
      <c r="H16" s="15">
        <f>'tab 15'!H16/'tab 14'!H16</f>
        <v>1850</v>
      </c>
      <c r="I16" s="15">
        <f>'tab 15'!I16/'tab 14'!I16</f>
        <v>2500</v>
      </c>
      <c r="J16" s="15">
        <f>'tab 15'!J16/'tab 14'!J16</f>
        <v>1975.8313253012047</v>
      </c>
      <c r="K16" s="15">
        <f>'tab 15'!K16/'tab 14'!K16</f>
        <v>3195</v>
      </c>
      <c r="L16" s="15">
        <f>'tab 15'!L16/'tab 14'!L16</f>
        <v>2900</v>
      </c>
      <c r="M16" s="15">
        <f>'tab 15'!M16/'tab 14'!M16</f>
        <v>3009.6360153256705</v>
      </c>
      <c r="N16" s="15">
        <f>'tab 15'!N16/'tab 14'!N16</f>
        <v>1984.9352795373175</v>
      </c>
      <c r="O16" s="15"/>
    </row>
    <row r="17" spans="1:15">
      <c r="A17" t="s">
        <v>28</v>
      </c>
      <c r="B17" s="15">
        <f>'tab 15'!B17/'tab 14'!B17</f>
        <v>2305</v>
      </c>
      <c r="C17" s="15">
        <f>'tab 15'!C17/'tab 14'!C17</f>
        <v>2370</v>
      </c>
      <c r="D17" s="15">
        <f>'tab 15'!D17/'tab 14'!D17</f>
        <v>2490</v>
      </c>
      <c r="E17" s="15">
        <f>'tab 15'!E17/'tab 14'!E17</f>
        <v>2400</v>
      </c>
      <c r="F17" s="15">
        <f>'tab 15'!F17/'tab 14'!F17</f>
        <v>2438.8765337423315</v>
      </c>
      <c r="G17" s="15">
        <f>'tab 15'!G17/'tab 14'!G17</f>
        <v>2300</v>
      </c>
      <c r="H17" s="15">
        <f>'tab 15'!H17/'tab 14'!H17</f>
        <v>2100</v>
      </c>
      <c r="I17" s="15">
        <f>'tab 15'!I17/'tab 14'!I17</f>
        <v>2250</v>
      </c>
      <c r="J17" s="15">
        <f>'tab 15'!J17/'tab 14'!J17</f>
        <v>2154.2318712805818</v>
      </c>
      <c r="K17" s="15">
        <f>'tab 15'!K17/'tab 14'!K17</f>
        <v>3200</v>
      </c>
      <c r="L17" s="15">
        <f>'tab 15'!L17/'tab 14'!L17</f>
        <v>2850</v>
      </c>
      <c r="M17" s="15">
        <f>'tab 15'!M17/'tab 14'!M17</f>
        <v>2980.2325581395348</v>
      </c>
      <c r="N17" s="15">
        <f>'tab 15'!N17/'tab 14'!N17</f>
        <v>2444.0988242297963</v>
      </c>
      <c r="O17" s="15"/>
    </row>
    <row r="18" spans="1:15">
      <c r="A18" t="s">
        <v>45</v>
      </c>
      <c r="B18" s="15">
        <f>'tab 15'!B18/'tab 14'!B18</f>
        <v>2505</v>
      </c>
      <c r="C18" s="15">
        <f>'tab 15'!C18/'tab 14'!C18</f>
        <v>2630</v>
      </c>
      <c r="D18" s="15">
        <f>'tab 15'!D18/'tab 14'!D18</f>
        <v>2705</v>
      </c>
      <c r="E18" s="15">
        <f>'tab 15'!E18/'tab 14'!E18</f>
        <v>2500</v>
      </c>
      <c r="F18" s="15">
        <f>'tab 15'!F18/'tab 14'!F18</f>
        <v>2649.3043043043044</v>
      </c>
      <c r="G18" s="15">
        <f>'tab 15'!G18/'tab 14'!G18</f>
        <v>2410</v>
      </c>
      <c r="H18" s="15">
        <f>'tab 15'!H18/'tab 14'!H18</f>
        <v>2230</v>
      </c>
      <c r="I18" s="15">
        <f>'tab 15'!I18/'tab 14'!I18</f>
        <v>2760</v>
      </c>
      <c r="J18" s="15">
        <f>'tab 15'!J18/'tab 14'!J18</f>
        <v>2297.962744635699</v>
      </c>
      <c r="K18" s="15">
        <f>'tab 15'!K18/'tab 14'!K18</f>
        <v>2755</v>
      </c>
      <c r="L18" s="15">
        <f>'tab 15'!L18/'tab 14'!L18</f>
        <v>2660</v>
      </c>
      <c r="M18" s="15">
        <f>'tab 15'!M18/'tab 14'!M18</f>
        <v>2695.9146341463415</v>
      </c>
      <c r="N18" s="15">
        <f>'tab 15'!N18/'tab 14'!N18</f>
        <v>2566.9019231921397</v>
      </c>
      <c r="O18" s="15"/>
    </row>
    <row r="19" spans="1:15">
      <c r="A19" t="s">
        <v>30</v>
      </c>
      <c r="B19" s="15">
        <f>'tab 15'!B19/'tab 14'!B19</f>
        <v>1980</v>
      </c>
      <c r="C19" s="15">
        <f>'tab 15'!C19/'tab 14'!C19</f>
        <v>2320</v>
      </c>
      <c r="D19" s="15">
        <f>'tab 15'!D19/'tab 14'!D19</f>
        <v>1985</v>
      </c>
      <c r="E19" s="15">
        <f>'tab 15'!E19/'tab 14'!E19</f>
        <v>1750</v>
      </c>
      <c r="F19" s="15">
        <f>'tab 15'!F19/'tab 14'!F19</f>
        <v>2007.8771760154739</v>
      </c>
      <c r="G19" s="15">
        <f>'tab 15'!G19/'tab 14'!G19</f>
        <v>2290</v>
      </c>
      <c r="H19" s="15">
        <f>'tab 15'!H19/'tab 14'!H19</f>
        <v>1865</v>
      </c>
      <c r="I19" s="15">
        <f>'tab 15'!I19/'tab 14'!I19</f>
        <v>2600</v>
      </c>
      <c r="J19" s="15">
        <f>'tab 15'!J19/'tab 14'!J19</f>
        <v>2006.7693409742119</v>
      </c>
      <c r="K19" s="15">
        <f>'tab 15'!K19/'tab 14'!K19</f>
        <v>1875</v>
      </c>
      <c r="L19" s="15">
        <f>'tab 15'!L19/'tab 14'!L19</f>
        <v>2095</v>
      </c>
      <c r="M19" s="15">
        <f>'tab 15'!M19/'tab 14'!M19</f>
        <v>2007.7426160337552</v>
      </c>
      <c r="N19" s="15">
        <f>'tab 15'!N19/'tab 14'!N19</f>
        <v>2007.5837377204402</v>
      </c>
      <c r="O19" s="15"/>
    </row>
    <row r="20" spans="1:15">
      <c r="A20" t="s">
        <v>31</v>
      </c>
      <c r="B20" s="15">
        <f>'tab 15'!B20/'tab 14'!B20</f>
        <v>2010</v>
      </c>
      <c r="C20" s="15">
        <f>'tab 15'!C20/'tab 14'!C20</f>
        <v>2470</v>
      </c>
      <c r="D20" s="15">
        <f>'tab 15'!D20/'tab 14'!D20</f>
        <v>2870</v>
      </c>
      <c r="E20" s="15">
        <f>'tab 15'!E20/'tab 14'!E20</f>
        <v>2900</v>
      </c>
      <c r="F20" s="15">
        <f>'tab 15'!F20/'tab 14'!F20</f>
        <v>2638.3255813953488</v>
      </c>
      <c r="G20" s="15">
        <f>'tab 15'!G20/'tab 14'!G20</f>
        <v>2610</v>
      </c>
      <c r="H20" s="15">
        <f>'tab 15'!H20/'tab 14'!H20</f>
        <v>2110</v>
      </c>
      <c r="I20" s="15">
        <f>'tab 15'!I20/'tab 14'!I20</f>
        <v>2460</v>
      </c>
      <c r="J20" s="15">
        <f>'tab 15'!J20/'tab 14'!J20</f>
        <v>2250.5637254901962</v>
      </c>
      <c r="K20" s="15">
        <f>'tab 15'!K20/'tab 14'!K20</f>
        <v>3165</v>
      </c>
      <c r="L20" s="15">
        <f>'tab 15'!L20/'tab 14'!L20</f>
        <v>3215</v>
      </c>
      <c r="M20" s="15">
        <f>'tab 15'!M20/'tab 14'!M20</f>
        <v>3196.0699588477364</v>
      </c>
      <c r="N20" s="15">
        <f>'tab 15'!N20/'tab 14'!N20</f>
        <v>2624.3157244362064</v>
      </c>
      <c r="O20" s="15"/>
    </row>
    <row r="21" spans="1:15">
      <c r="A21" t="s">
        <v>32</v>
      </c>
      <c r="B21" s="15">
        <f>'tab 15'!B21/'tab 14'!B21</f>
        <v>2280</v>
      </c>
      <c r="C21" s="15">
        <f>'tab 15'!C21/'tab 14'!C21</f>
        <v>2390</v>
      </c>
      <c r="D21" s="15">
        <f>'tab 15'!D21/'tab 14'!D21</f>
        <v>2390</v>
      </c>
      <c r="E21" s="15">
        <f>'tab 15'!E21/'tab 14'!E21</f>
        <v>2800</v>
      </c>
      <c r="F21" s="15">
        <f>'tab 15'!F21/'tab 14'!F21</f>
        <v>2369.0066964285716</v>
      </c>
      <c r="G21" s="15">
        <f>'tab 15'!G21/'tab 14'!G21</f>
        <v>2060</v>
      </c>
      <c r="H21" s="15">
        <f>'tab 15'!H21/'tab 14'!H21</f>
        <v>2000</v>
      </c>
      <c r="I21" s="15">
        <f>'tab 15'!I21/'tab 14'!I21</f>
        <v>2150</v>
      </c>
      <c r="J21" s="15">
        <f>'tab 15'!J21/'tab 14'!J21</f>
        <v>2022.8865979381444</v>
      </c>
      <c r="K21" s="15">
        <f>'tab 15'!K21/'tab 14'!K21</f>
        <v>2325</v>
      </c>
      <c r="L21" s="15">
        <f>'tab 15'!L21/'tab 14'!L21</f>
        <v>2410</v>
      </c>
      <c r="M21" s="15">
        <f>'tab 15'!M21/'tab 14'!M21</f>
        <v>2377.5321888412018</v>
      </c>
      <c r="N21" s="15">
        <f>'tab 15'!N21/'tab 14'!N21</f>
        <v>2281.7897165458139</v>
      </c>
      <c r="O21" s="15"/>
    </row>
    <row r="22" spans="1:15">
      <c r="A22" t="s">
        <v>46</v>
      </c>
      <c r="B22" s="15">
        <f>'tab 15'!B22/'tab 14'!B22</f>
        <v>2355</v>
      </c>
      <c r="C22" s="15">
        <f>'tab 15'!C22/'tab 14'!C22</f>
        <v>2880</v>
      </c>
      <c r="D22" s="15">
        <f>'tab 15'!D22/'tab 14'!D22</f>
        <v>2690</v>
      </c>
      <c r="E22" s="15">
        <f>'tab 15'!E22/'tab 14'!E22</f>
        <v>3100</v>
      </c>
      <c r="F22" s="15">
        <f>'tab 15'!F22/'tab 14'!F22</f>
        <v>2635.9889773423147</v>
      </c>
      <c r="G22" s="15">
        <f>'tab 15'!G22/'tab 14'!G22</f>
        <v>2410</v>
      </c>
      <c r="H22" s="15">
        <f>'tab 15'!H22/'tab 14'!H22</f>
        <v>2600</v>
      </c>
      <c r="I22" s="15">
        <f>'tab 15'!I22/'tab 14'!I22</f>
        <v>2300</v>
      </c>
      <c r="J22" s="15">
        <f>'tab 15'!J22/'tab 14'!J22</f>
        <v>2543.8896551724138</v>
      </c>
      <c r="K22" s="15">
        <f>'tab 15'!K22/'tab 14'!K22</f>
        <v>2885</v>
      </c>
      <c r="L22" s="15">
        <f>'tab 15'!L22/'tab 14'!L22</f>
        <v>2940</v>
      </c>
      <c r="M22" s="15">
        <f>'tab 15'!M22/'tab 14'!M22</f>
        <v>2919.2039800995026</v>
      </c>
      <c r="N22" s="15">
        <f>'tab 15'!N22/'tab 14'!N22</f>
        <v>2653.0471014492755</v>
      </c>
      <c r="O22" s="15"/>
    </row>
    <row r="23" spans="1:15">
      <c r="A23" t="s">
        <v>34</v>
      </c>
      <c r="B23" s="15">
        <f>'tab 15'!B23/'tab 14'!B23</f>
        <v>1930</v>
      </c>
      <c r="C23" s="15">
        <f>'tab 15'!C23/'tab 14'!C23</f>
        <v>2715</v>
      </c>
      <c r="D23" s="15">
        <f>'tab 15'!D23/'tab 14'!D23</f>
        <v>2570</v>
      </c>
      <c r="E23" s="15">
        <f>'tab 15'!E23/'tab 14'!E23</f>
        <v>2900</v>
      </c>
      <c r="F23" s="15">
        <f>'tab 15'!F23/'tab 14'!F23</f>
        <v>2436.2430254184751</v>
      </c>
      <c r="G23" s="15">
        <f>'tab 15'!G23/'tab 14'!G23</f>
        <v>2400</v>
      </c>
      <c r="H23" s="15">
        <f>'tab 15'!H23/'tab 14'!H23</f>
        <v>2610</v>
      </c>
      <c r="I23" s="15">
        <f>'tab 15'!I23/'tab 14'!I23</f>
        <v>2700</v>
      </c>
      <c r="J23" s="15">
        <f>'tab 15'!J23/'tab 14'!J23</f>
        <v>2574.297581236257</v>
      </c>
      <c r="K23" s="15">
        <f>'tab 15'!K23/'tab 14'!K23</f>
        <v>2550</v>
      </c>
      <c r="L23" s="15">
        <f>'tab 15'!L23/'tab 14'!L23</f>
        <v>2680</v>
      </c>
      <c r="M23" s="15">
        <f>'tab 15'!M23/'tab 14'!M23</f>
        <v>2630.757575757576</v>
      </c>
      <c r="N23" s="15">
        <f>'tab 15'!N23/'tab 14'!N23</f>
        <v>2503.4516904795587</v>
      </c>
      <c r="O23" s="15"/>
    </row>
    <row r="24" spans="1:15">
      <c r="A24" t="s">
        <v>78</v>
      </c>
      <c r="B24" s="15">
        <f>'tab 15'!B24/'tab 14'!B24</f>
        <v>2195</v>
      </c>
      <c r="C24" s="15">
        <f>'tab 15'!C24/'tab 14'!C24</f>
        <v>2590</v>
      </c>
      <c r="D24" s="15">
        <f>'tab 15'!D24/'tab 14'!D24</f>
        <v>2815</v>
      </c>
      <c r="E24" s="15">
        <f>'tab 15'!E24/'tab 14'!E24</f>
        <v>2450</v>
      </c>
      <c r="F24" s="15">
        <f>'tab 15'!F24/'tab 14'!F24</f>
        <v>2639.5511669658886</v>
      </c>
      <c r="G24" s="15">
        <f>'tab 15'!G24/'tab 14'!G24</f>
        <v>2130</v>
      </c>
      <c r="H24" s="15">
        <f>'tab 15'!H24/'tab 14'!H24</f>
        <v>2740</v>
      </c>
      <c r="I24" s="15">
        <f>'tab 15'!I24/'tab 14'!I24</f>
        <v>2820</v>
      </c>
      <c r="J24" s="15">
        <f>'tab 15'!J24/'tab 14'!J24</f>
        <v>2638.1712962962961</v>
      </c>
      <c r="K24" s="15">
        <f>'tab 15'!K24/'tab 14'!K24</f>
        <v>2950</v>
      </c>
      <c r="L24" s="15">
        <f>'tab 15'!L24/'tab 14'!L24</f>
        <v>3190</v>
      </c>
      <c r="M24" s="15">
        <f>'tab 15'!M24/'tab 14'!M24</f>
        <v>3099.7744360902257</v>
      </c>
      <c r="N24" s="15">
        <f>'tab 15'!N24/'tab 14'!N24</f>
        <v>2701.7314246762098</v>
      </c>
      <c r="O24" s="15"/>
    </row>
    <row r="25" spans="1:15">
      <c r="A25" t="s">
        <v>79</v>
      </c>
      <c r="B25" s="15">
        <f>'tab 15'!B25/'tab 14'!B25</f>
        <v>2175</v>
      </c>
      <c r="C25" s="15">
        <f>'tab 15'!C25/'tab 14'!C25</f>
        <v>2770</v>
      </c>
      <c r="D25" s="15">
        <f>'tab 15'!D25/'tab 14'!D25</f>
        <v>2575</v>
      </c>
      <c r="E25" s="15">
        <f>'tab 15'!E25/'tab 14'!E25</f>
        <v>2300</v>
      </c>
      <c r="F25" s="15">
        <f>'tab 15'!F25/'tab 14'!F25</f>
        <v>2496.5263157894738</v>
      </c>
      <c r="G25" s="15">
        <f>'tab 15'!G25/'tab 14'!G25</f>
        <v>2400</v>
      </c>
      <c r="H25" s="15">
        <f>'tab 15'!H25/'tab 14'!H25</f>
        <v>3310</v>
      </c>
      <c r="I25" s="15">
        <f>'tab 15'!I25/'tab 14'!I25</f>
        <v>2800</v>
      </c>
      <c r="J25" s="15">
        <f>'tab 15'!J25/'tab 14'!J25</f>
        <v>3091.8635170603675</v>
      </c>
      <c r="K25" s="15">
        <f>'tab 15'!K25/'tab 14'!K25</f>
        <v>2870</v>
      </c>
      <c r="L25" s="15">
        <f>'tab 15'!L25/'tab 14'!L25</f>
        <v>2410</v>
      </c>
      <c r="M25" s="15">
        <f>'tab 15'!M25/'tab 14'!M25</f>
        <v>2584.8000000000002</v>
      </c>
      <c r="N25" s="15">
        <f>'tab 15'!N25/'tab 14'!N25</f>
        <v>2666.7757660167131</v>
      </c>
      <c r="O25" s="15"/>
    </row>
    <row r="26" spans="1:15">
      <c r="A26" s="10">
        <v>2000</v>
      </c>
      <c r="B26" s="15">
        <f>'tab 15'!B26/'tab 14'!B26</f>
        <v>1490</v>
      </c>
      <c r="C26" s="15">
        <f>'tab 15'!C26/'tab 14'!C26</f>
        <v>2485</v>
      </c>
      <c r="D26" s="15">
        <f>'tab 15'!D26/'tab 14'!D26</f>
        <v>2700</v>
      </c>
      <c r="E26" s="15">
        <f>'tab 15'!E26/'tab 14'!E26</f>
        <v>2950</v>
      </c>
      <c r="F26" s="15">
        <f>'tab 15'!F26/'tab 14'!F26</f>
        <v>2393.2337662337663</v>
      </c>
      <c r="G26" s="15">
        <f>'tab 15'!G26/'tab 14'!G26</f>
        <v>1800</v>
      </c>
      <c r="H26" s="15">
        <f>'tab 15'!H26/'tab 14'!H26</f>
        <v>2540</v>
      </c>
      <c r="I26" s="15">
        <f>'tab 15'!I26/'tab 14'!I26</f>
        <v>2115</v>
      </c>
      <c r="J26" s="15">
        <f>'tab 15'!J26/'tab 14'!J26</f>
        <v>2375.2445652173915</v>
      </c>
      <c r="K26" s="15">
        <f>'tab 15'!K26/'tab 14'!K26</f>
        <v>2805</v>
      </c>
      <c r="L26" s="15">
        <f>'tab 15'!L26/'tab 14'!L26</f>
        <v>2750</v>
      </c>
      <c r="M26" s="15">
        <f>'tab 15'!M26/'tab 14'!M26</f>
        <v>2770.8333333333335</v>
      </c>
      <c r="N26" s="15">
        <f>'tab 15'!N26/'tab 14'!N26</f>
        <v>2444.2402694610778</v>
      </c>
      <c r="O26" s="15"/>
    </row>
    <row r="27" spans="1:15">
      <c r="A27" s="10">
        <v>2001</v>
      </c>
      <c r="B27" s="15">
        <f>'tab 15'!B27/'tab 14'!B27</f>
        <v>2675</v>
      </c>
      <c r="C27" s="15">
        <f>'tab 15'!C27/'tab 14'!C27</f>
        <v>3050</v>
      </c>
      <c r="D27" s="15">
        <f>'tab 15'!D27/'tab 14'!D27</f>
        <v>3330</v>
      </c>
      <c r="E27" s="15">
        <f>'tab 15'!E27/'tab 14'!E27</f>
        <v>3000</v>
      </c>
      <c r="F27" s="15">
        <f>'tab 15'!F27/'tab 14'!F27</f>
        <v>3135.4259811227021</v>
      </c>
      <c r="G27" s="15">
        <f>'tab 15'!G27/'tab 14'!G27</f>
        <v>2570</v>
      </c>
      <c r="H27" s="15">
        <f>'tab 15'!H27/'tab 14'!H27</f>
        <v>2890</v>
      </c>
      <c r="I27" s="15">
        <f>'tab 15'!I27/'tab 14'!I27</f>
        <v>3020</v>
      </c>
      <c r="J27" s="15">
        <f>'tab 15'!J27/'tab 14'!J27</f>
        <v>2836.837732160313</v>
      </c>
      <c r="K27" s="15">
        <f>'tab 15'!K27/'tab 14'!K27</f>
        <v>3130</v>
      </c>
      <c r="L27" s="15">
        <f>'tab 15'!L27/'tab 14'!L27</f>
        <v>2910</v>
      </c>
      <c r="M27" s="15">
        <f>'tab 15'!M27/'tab 14'!M27</f>
        <v>2993.5443037974683</v>
      </c>
      <c r="N27" s="15">
        <f>'tab 15'!N27/'tab 14'!N27</f>
        <v>3029.0417168354697</v>
      </c>
      <c r="O27" s="15"/>
    </row>
    <row r="28" spans="1:15">
      <c r="A28" s="10">
        <v>2002</v>
      </c>
      <c r="B28" s="15">
        <f>'tab 15'!B28/'tab 14'!B28</f>
        <v>2110</v>
      </c>
      <c r="C28" s="15">
        <f>'tab 15'!C28/'tab 14'!C28</f>
        <v>2300</v>
      </c>
      <c r="D28" s="15">
        <f>'tab 15'!D28/'tab 14'!D28</f>
        <v>2600</v>
      </c>
      <c r="E28" s="15">
        <f>'tab 15'!E28/'tab 14'!E28</f>
        <v>2200</v>
      </c>
      <c r="F28" s="15">
        <f>'tab 15'!F28/'tab 14'!F28</f>
        <v>2449.3266641015775</v>
      </c>
      <c r="G28" s="15">
        <f>'tab 15'!G28/'tab 14'!G28</f>
        <v>2800</v>
      </c>
      <c r="H28" s="15">
        <f>'tab 15'!H28/'tab 14'!H28</f>
        <v>3100</v>
      </c>
      <c r="I28" s="15">
        <f>'tab 15'!I28/'tab 14'!I28</f>
        <v>3000</v>
      </c>
      <c r="J28" s="15">
        <f>'tab 15'!J28/'tab 14'!J28</f>
        <v>3046.7605633802818</v>
      </c>
      <c r="K28" s="15">
        <f>'tab 15'!K28/'tab 14'!K28</f>
        <v>2100</v>
      </c>
      <c r="L28" s="15">
        <f>'tab 15'!L28/'tab 14'!L28</f>
        <v>2100</v>
      </c>
      <c r="M28" s="15">
        <f>'tab 15'!M28/'tab 14'!M28</f>
        <v>2100</v>
      </c>
      <c r="N28" s="15">
        <f>'tab 15'!N28/'tab 14'!N28</f>
        <v>2571.0613919640782</v>
      </c>
      <c r="O28" s="15"/>
    </row>
    <row r="29" spans="1:15">
      <c r="A29" s="10">
        <v>2003</v>
      </c>
      <c r="B29" s="15">
        <f>'tab 15'!B29/'tab 14'!B29</f>
        <v>2750</v>
      </c>
      <c r="C29" s="15">
        <f>'tab 15'!C29/'tab 14'!C29</f>
        <v>3000</v>
      </c>
      <c r="D29" s="15">
        <f>'tab 15'!D29/'tab 14'!D29</f>
        <v>3450</v>
      </c>
      <c r="E29" s="15">
        <f>'tab 15'!E29/'tab 14'!E29</f>
        <v>3400</v>
      </c>
      <c r="F29" s="15">
        <f>'tab 15'!F29/'tab 14'!F29</f>
        <v>3237.5145857642942</v>
      </c>
      <c r="G29" s="15">
        <f>'tab 15'!G29/'tab 14'!G29</f>
        <v>2800</v>
      </c>
      <c r="H29" s="15">
        <f>'tab 15'!H29/'tab 14'!H29</f>
        <v>3000</v>
      </c>
      <c r="I29" s="15">
        <f>'tab 15'!I29/'tab 14'!I29</f>
        <v>2700</v>
      </c>
      <c r="J29" s="15">
        <f>'tab 15'!J29/'tab 14'!J29</f>
        <v>2962.4223602484471</v>
      </c>
      <c r="K29" s="15">
        <f>'tab 15'!K29/'tab 14'!K29</f>
        <v>2900</v>
      </c>
      <c r="L29" s="15">
        <f>'tab 15'!L29/'tab 14'!L29</f>
        <v>3200</v>
      </c>
      <c r="M29" s="15">
        <f>'tab 15'!M29/'tab 14'!M29</f>
        <v>3125.5639097744361</v>
      </c>
      <c r="N29" s="15">
        <f>'tab 15'!N29/'tab 14'!N29</f>
        <v>3158.6509146341464</v>
      </c>
      <c r="O29" s="15"/>
    </row>
    <row r="30" spans="1:15">
      <c r="A30" s="10">
        <v>2004</v>
      </c>
      <c r="B30" s="15">
        <f>'tab 15'!B30/'tab 14'!B30</f>
        <v>2800</v>
      </c>
      <c r="C30" s="15">
        <f>'tab 15'!C30/'tab 14'!C30</f>
        <v>2800</v>
      </c>
      <c r="D30" s="15">
        <f>'tab 15'!D30/'tab 14'!D30</f>
        <v>2980</v>
      </c>
      <c r="E30" s="15">
        <f>'tab 15'!E30/'tab 14'!E30</f>
        <v>3400</v>
      </c>
      <c r="F30" s="15">
        <f>'tab 15'!F30/'tab 14'!F30</f>
        <v>2933.3333333333335</v>
      </c>
      <c r="G30" s="15">
        <f>'tab 15'!G30/'tab 14'!G30</f>
        <v>3100</v>
      </c>
      <c r="H30" s="15">
        <f>'tab 15'!H30/'tab 14'!H30</f>
        <v>3420</v>
      </c>
      <c r="I30" s="15">
        <f>'tab 15'!I30/'tab 14'!I30</f>
        <v>3500</v>
      </c>
      <c r="J30" s="15">
        <f>'tab 15'!J30/'tab 14'!J30</f>
        <v>3387.719298245614</v>
      </c>
      <c r="K30" s="15">
        <f>'tab 15'!K30/'tab 14'!K30</f>
        <v>3250</v>
      </c>
      <c r="L30" s="15">
        <f>'tab 15'!L30/'tab 14'!L30</f>
        <v>3500</v>
      </c>
      <c r="M30" s="15">
        <f>'tab 15'!M30/'tab 14'!M30</f>
        <v>3441.6058394160582</v>
      </c>
      <c r="N30" s="15">
        <f>'tab 15'!N30/'tab 14'!N30</f>
        <v>3076.1836441893829</v>
      </c>
      <c r="O30" s="15"/>
    </row>
    <row r="31" spans="1:15">
      <c r="A31" s="10">
        <v>2005</v>
      </c>
      <c r="B31" s="15">
        <f>'tab 15'!B31/'tab 14'!B31</f>
        <v>2750</v>
      </c>
      <c r="C31" s="15">
        <f>'tab 15'!C31/'tab 14'!C31</f>
        <v>2700</v>
      </c>
      <c r="D31" s="15">
        <f>'tab 15'!D31/'tab 14'!D31</f>
        <v>2840</v>
      </c>
      <c r="E31" s="15">
        <f>'tab 15'!E31/'tab 14'!E31</f>
        <v>2800</v>
      </c>
      <c r="F31" s="15">
        <f>'tab 15'!F31/'tab 14'!F31</f>
        <v>2807.7147623019182</v>
      </c>
      <c r="G31" s="15">
        <f>'tab 15'!G31/'tab 14'!G31</f>
        <v>3270</v>
      </c>
      <c r="H31" s="15">
        <f>'tab 15'!H31/'tab 14'!H31</f>
        <v>3750</v>
      </c>
      <c r="I31" s="15">
        <f>'tab 15'!I31/'tab 14'!I31</f>
        <v>3500</v>
      </c>
      <c r="J31" s="15">
        <f>'tab 15'!J31/'tab 14'!J31</f>
        <v>3684.0064102564102</v>
      </c>
      <c r="K31" s="15">
        <f>'tab 15'!K31/'tab 14'!K31</f>
        <v>3000</v>
      </c>
      <c r="L31" s="15">
        <f>'tab 15'!L31/'tab 14'!L31</f>
        <v>3000</v>
      </c>
      <c r="M31" s="15">
        <f>'tab 15'!M31/'tab 14'!M31</f>
        <v>3000</v>
      </c>
      <c r="N31" s="15">
        <f>'tab 15'!N31/'tab 14'!N31</f>
        <v>2989.4782074892573</v>
      </c>
      <c r="O31" s="15"/>
    </row>
    <row r="32" spans="1:15">
      <c r="A32" s="10">
        <v>2006</v>
      </c>
      <c r="B32" s="15">
        <f>'tab 15'!B32/'tab 14'!B32</f>
        <v>2500</v>
      </c>
      <c r="C32" s="15">
        <f>'tab 15'!C32/'tab 14'!C32</f>
        <v>2500</v>
      </c>
      <c r="D32" s="15">
        <f>'tab 15'!D32/'tab 14'!D32</f>
        <v>2780</v>
      </c>
      <c r="E32" s="15">
        <f>'tab 15'!E32/'tab 14'!E32</f>
        <v>3000</v>
      </c>
      <c r="F32" s="15">
        <f>'tab 15'!F32/'tab 14'!F32</f>
        <v>2710.1075268817203</v>
      </c>
      <c r="G32" s="15">
        <f>'tab 15'!G32/'tab 14'!G32</f>
        <v>2850</v>
      </c>
      <c r="H32" s="15">
        <f>'tab 15'!H32/'tab 14'!H32</f>
        <v>3550</v>
      </c>
      <c r="I32" s="15">
        <f>'tab 15'!I32/'tab 14'!I32</f>
        <v>3600</v>
      </c>
      <c r="J32" s="15">
        <f>'tab 15'!J32/'tab 14'!J32</f>
        <v>3467.31843575419</v>
      </c>
      <c r="K32" s="15">
        <f>'tab 15'!K32/'tab 14'!K32</f>
        <v>3200</v>
      </c>
      <c r="L32" s="15">
        <f>'tab 15'!L32/'tab 14'!L32</f>
        <v>3200</v>
      </c>
      <c r="M32" s="15">
        <f>'tab 15'!M32/'tab 14'!M32</f>
        <v>3200</v>
      </c>
      <c r="N32" s="15">
        <f>'tab 15'!N32/'tab 14'!N32</f>
        <v>2863.0165289256197</v>
      </c>
      <c r="O32" s="15"/>
    </row>
    <row r="33" spans="1:15">
      <c r="A33" s="10">
        <v>2007</v>
      </c>
      <c r="B33" s="15">
        <f>'tab 15'!B33/'tab 14'!B33</f>
        <v>2550</v>
      </c>
      <c r="C33" s="15">
        <f>'tab 15'!C33/'tab 14'!C33</f>
        <v>2700</v>
      </c>
      <c r="D33" s="15">
        <f>'tab 15'!D33/'tab 14'!D33</f>
        <v>3120</v>
      </c>
      <c r="E33" s="15">
        <f>'tab 15'!E33/'tab 14'!E33</f>
        <v>3100</v>
      </c>
      <c r="F33" s="15">
        <f>'tab 15'!F33/'tab 14'!F33</f>
        <v>2962.1264367816093</v>
      </c>
      <c r="G33" s="15">
        <f>'tab 15'!G33/'tab 14'!G33</f>
        <v>3400</v>
      </c>
      <c r="H33" s="15">
        <f>'tab 15'!H33/'tab 14'!H33</f>
        <v>3700</v>
      </c>
      <c r="I33" s="15">
        <f>'tab 15'!I33/'tab 14'!I33</f>
        <v>3200</v>
      </c>
      <c r="J33" s="15">
        <f>'tab 15'!J33/'tab 14'!J33</f>
        <v>3652.8037383177571</v>
      </c>
      <c r="K33" s="15">
        <f>'tab 15'!K33/'tab 14'!K33</f>
        <v>2500</v>
      </c>
      <c r="L33" s="15">
        <f>'tab 15'!L33/'tab 14'!L33</f>
        <v>2900</v>
      </c>
      <c r="M33" s="15">
        <f>'tab 15'!M33/'tab 14'!M33</f>
        <v>2824.3243243243242</v>
      </c>
      <c r="N33" s="15">
        <f>'tab 15'!N33/'tab 14'!N33</f>
        <v>3073.0125523012553</v>
      </c>
      <c r="O33" s="15"/>
    </row>
    <row r="34" spans="1:15">
      <c r="A34" s="10">
        <v>2008</v>
      </c>
      <c r="B34" s="15">
        <f>'tab 15'!B34/'tab 14'!B34</f>
        <v>3500</v>
      </c>
      <c r="C34" s="15">
        <f>'tab 15'!C34/'tab 14'!C34</f>
        <v>3200</v>
      </c>
      <c r="D34" s="15">
        <f>'tab 15'!D34/'tab 14'!D34</f>
        <v>3400</v>
      </c>
      <c r="E34" s="15">
        <f>'tab 15'!E34/'tab 14'!E34</f>
        <v>3900</v>
      </c>
      <c r="F34" s="15">
        <f>'tab 15'!F34/'tab 14'!F34</f>
        <v>3432.3396567299005</v>
      </c>
      <c r="G34" s="15">
        <f>'tab 15'!G34/'tab 14'!G34</f>
        <v>3500</v>
      </c>
      <c r="H34" s="15">
        <f>'tab 15'!H34/'tab 14'!H34</f>
        <v>3300</v>
      </c>
      <c r="I34" s="15">
        <f>'tab 15'!I34/'tab 14'!I34</f>
        <v>3200</v>
      </c>
      <c r="J34" s="15">
        <f>'tab 15'!J34/'tab 14'!J34</f>
        <v>3310.0358422939066</v>
      </c>
      <c r="K34" s="15">
        <f>'tab 15'!K34/'tab 14'!K34</f>
        <v>3350</v>
      </c>
      <c r="L34" s="15">
        <f>'tab 15'!L34/'tab 14'!L34</f>
        <v>3700</v>
      </c>
      <c r="M34" s="15">
        <f>'tab 15'!M34/'tab 14'!M34</f>
        <v>3630.5785123966944</v>
      </c>
      <c r="N34" s="15">
        <f>'tab 15'!N34/'tab 14'!N34</f>
        <v>3425.6138022561381</v>
      </c>
      <c r="O34" s="15"/>
    </row>
    <row r="35" spans="1:15">
      <c r="A35" s="10">
        <v>2009</v>
      </c>
      <c r="B35" s="15">
        <f>'tab 15'!B35/'tab 14'!B35</f>
        <v>3300</v>
      </c>
      <c r="C35" s="15">
        <f>'tab 15'!C35/'tab 14'!C35</f>
        <v>3200</v>
      </c>
      <c r="D35" s="15">
        <f>'tab 15'!D35/'tab 14'!D35</f>
        <v>3560</v>
      </c>
      <c r="E35" s="15">
        <f>'tab 15'!E35/'tab 14'!E35</f>
        <v>3100</v>
      </c>
      <c r="F35" s="15">
        <f>'tab 15'!F35/'tab 14'!F35</f>
        <v>3428.0871670702181</v>
      </c>
      <c r="G35" s="15">
        <f>'tab 15'!G35/'tab 14'!G35</f>
        <v>3300</v>
      </c>
      <c r="H35" s="15">
        <f>'tab 15'!H35/'tab 14'!H35</f>
        <v>3270</v>
      </c>
      <c r="I35" s="15">
        <f>'tab 15'!I35/'tab 14'!I35</f>
        <v>3100</v>
      </c>
      <c r="J35" s="15">
        <f>'tab 15'!J35/'tab 14'!J35</f>
        <v>3265.4285714285716</v>
      </c>
      <c r="K35" s="15">
        <f>'tab 15'!K35/'tab 14'!K35</f>
        <v>3700</v>
      </c>
      <c r="L35" s="15">
        <f>'tab 15'!L35/'tab 14'!L35</f>
        <v>3700</v>
      </c>
      <c r="M35" s="15">
        <f>'tab 15'!M35/'tab 14'!M35</f>
        <v>3700</v>
      </c>
      <c r="N35" s="15">
        <f>'tab 15'!N35/'tab 14'!N35</f>
        <v>3421.3623725671919</v>
      </c>
      <c r="O35" s="15"/>
    </row>
    <row r="36" spans="1:15">
      <c r="A36" s="10">
        <v>2010</v>
      </c>
      <c r="B36" s="15">
        <f>'tab 15'!B36/'tab 14'!B36</f>
        <v>2600</v>
      </c>
      <c r="C36" s="15">
        <f>'tab 15'!C36/'tab 14'!C36</f>
        <v>3500</v>
      </c>
      <c r="D36" s="15">
        <f>'tab 15'!D36/'tab 14'!D36</f>
        <v>3530</v>
      </c>
      <c r="E36" s="15">
        <f>'tab 15'!E36/'tab 14'!E36</f>
        <v>3500</v>
      </c>
      <c r="F36" s="15">
        <f>'tab 15'!F36/'tab 14'!F36</f>
        <v>3343.4169278996865</v>
      </c>
      <c r="G36" s="15">
        <f>'tab 15'!G36/'tab 14'!G36</f>
        <v>3350</v>
      </c>
      <c r="H36" s="15">
        <f>'tab 15'!H36/'tab 14'!H36</f>
        <v>3600</v>
      </c>
      <c r="I36" s="15">
        <f>'tab 15'!I36/'tab 14'!I36</f>
        <v>3400</v>
      </c>
      <c r="J36" s="15">
        <f>'tab 15'!J36/'tab 14'!J36</f>
        <v>3562.6288659793813</v>
      </c>
      <c r="K36" s="15">
        <f>'tab 15'!K36/'tab 14'!K36</f>
        <v>1880</v>
      </c>
      <c r="L36" s="15">
        <f>'tab 15'!L36/'tab 14'!L36</f>
        <v>2700</v>
      </c>
      <c r="M36" s="15">
        <f>'tab 15'!M36/'tab 14'!M36</f>
        <v>2558.0769230769229</v>
      </c>
      <c r="N36" s="15">
        <f>'tab 15'!N36/'tab 14'!N36</f>
        <v>3312.2231075697209</v>
      </c>
      <c r="O36" s="15"/>
    </row>
    <row r="37" spans="1:15">
      <c r="A37" s="10">
        <v>2011</v>
      </c>
      <c r="B37" s="15">
        <f>'tab 15'!B37/'tab 14'!B37</f>
        <v>2950</v>
      </c>
      <c r="C37" s="15">
        <f>'tab 15'!C37/'tab 14'!C37</f>
        <v>3500</v>
      </c>
      <c r="D37" s="15">
        <f>'tab 15'!D37/'tab 14'!D37</f>
        <v>3625</v>
      </c>
      <c r="E37" s="15">
        <f>'tab 15'!E37/'tab 14'!E37</f>
        <v>3300</v>
      </c>
      <c r="F37" s="15">
        <f>'tab 15'!F37/'tab 14'!F37</f>
        <v>3451.2152777777778</v>
      </c>
      <c r="G37" s="15">
        <f>'tab 15'!G37/'tab 14'!G37</f>
        <v>2600</v>
      </c>
      <c r="H37" s="15">
        <f>'tab 15'!H37/'tab 14'!H37</f>
        <v>2680</v>
      </c>
      <c r="I37" s="15">
        <f>'tab 15'!I37/'tab 14'!I37</f>
        <v>3000</v>
      </c>
      <c r="J37" s="15">
        <f>'tab 15'!J37/'tab 14'!J37</f>
        <v>2683.5820895522388</v>
      </c>
      <c r="K37" s="15">
        <f>'tab 15'!K37/'tab 14'!K37</f>
        <v>4100</v>
      </c>
      <c r="L37" s="15">
        <f>'tab 15'!L37/'tab 14'!L37</f>
        <v>3600</v>
      </c>
      <c r="M37" s="15">
        <f>'tab 15'!M37/'tab 14'!M37</f>
        <v>3678.125</v>
      </c>
      <c r="N37" s="15">
        <f>'tab 15'!N37/'tab 14'!N37</f>
        <v>3385.7023875624654</v>
      </c>
      <c r="O37" s="15"/>
    </row>
    <row r="38" spans="1:15">
      <c r="A38" s="10">
        <v>2012</v>
      </c>
      <c r="B38" s="15">
        <f>'tab 15'!B38/'tab 14'!B38</f>
        <v>4000</v>
      </c>
      <c r="C38" s="15">
        <f>'tab 15'!C38/'tab 14'!C38</f>
        <v>3900</v>
      </c>
      <c r="D38" s="15">
        <f>'tab 15'!D38/'tab 14'!D38</f>
        <v>4580</v>
      </c>
      <c r="E38" s="15">
        <f>'tab 15'!E38/'tab 14'!E38</f>
        <v>3900</v>
      </c>
      <c r="F38" s="15">
        <f>'tab 15'!F38/'tab 14'!F38</f>
        <v>4317.5384615384619</v>
      </c>
      <c r="G38" s="15">
        <f>'tab 15'!G38/'tab 14'!G38</f>
        <v>3650</v>
      </c>
      <c r="H38" s="15">
        <f>'tab 15'!H38/'tab 14'!H38</f>
        <v>3600</v>
      </c>
      <c r="I38" s="15">
        <f>'tab 15'!I38/'tab 14'!I38</f>
        <v>2600</v>
      </c>
      <c r="J38" s="15">
        <f>'tab 15'!J38/'tab 14'!J38</f>
        <v>3550</v>
      </c>
      <c r="K38" s="15">
        <f>'tab 15'!K38/'tab 14'!K38</f>
        <v>4100</v>
      </c>
      <c r="L38" s="15">
        <f>'tab 15'!L38/'tab 14'!L38</f>
        <v>4030</v>
      </c>
      <c r="M38" s="15">
        <f>'tab 15'!M38/'tab 14'!M38</f>
        <v>4041.1111111111113</v>
      </c>
      <c r="N38" s="15">
        <f>'tab 15'!N38/'tab 14'!N38</f>
        <v>4210.6483790523689</v>
      </c>
      <c r="O38" s="15"/>
    </row>
    <row r="39" spans="1:15">
      <c r="A39" s="10">
        <v>2013</v>
      </c>
      <c r="B39" s="15">
        <f>'tab 15'!B39/'tab 14'!B39</f>
        <v>3550</v>
      </c>
      <c r="C39" s="15">
        <f>'tab 15'!C39/'tab 14'!C39</f>
        <v>3950</v>
      </c>
      <c r="D39" s="15">
        <f>'tab 15'!D39/'tab 14'!D39</f>
        <v>4430</v>
      </c>
      <c r="E39" s="15">
        <f>'tab 15'!E39/'tab 14'!E39</f>
        <v>3500</v>
      </c>
      <c r="F39" s="15">
        <f>'tab 15'!F39/'tab 14'!F39</f>
        <v>4081.4267990074441</v>
      </c>
      <c r="G39" s="15">
        <f>'tab 15'!G39/'tab 14'!G39</f>
        <v>3700</v>
      </c>
      <c r="H39" s="15">
        <f>'tab 15'!H39/'tab 14'!H39</f>
        <v>3620</v>
      </c>
      <c r="I39" s="15">
        <f>'tab 15'!I39/'tab 14'!I39</f>
        <v>3100</v>
      </c>
      <c r="J39" s="15">
        <f>'tab 15'!J39/'tab 14'!J39</f>
        <v>3603.1428571428573</v>
      </c>
      <c r="K39" s="15">
        <f>'tab 15'!K39/'tab 14'!K39</f>
        <v>3950</v>
      </c>
      <c r="L39" s="15">
        <f>'tab 15'!L39/'tab 14'!L39</f>
        <v>3900</v>
      </c>
      <c r="M39" s="15">
        <f>'tab 15'!M39/'tab 14'!M39</f>
        <v>3908.2474226804125</v>
      </c>
      <c r="N39" s="15">
        <f>'tab 15'!N39/'tab 14'!N39</f>
        <v>4001.1217641418984</v>
      </c>
      <c r="O39" s="15"/>
    </row>
    <row r="40" spans="1:15">
      <c r="A40" s="10">
        <v>2014</v>
      </c>
      <c r="B40" s="15">
        <f>'tab 15'!B40/'tab 14'!B40</f>
        <v>3150</v>
      </c>
      <c r="C40" s="15">
        <f>'tab 15'!C40/'tab 14'!C40</f>
        <v>4000</v>
      </c>
      <c r="D40" s="15">
        <f>'tab 15'!D40/'tab 14'!D40</f>
        <v>4135</v>
      </c>
      <c r="E40" s="15">
        <f>'tab 15'!E40/'tab 14'!E40</f>
        <v>3800</v>
      </c>
      <c r="F40" s="15">
        <f>'tab 15'!F40/'tab 14'!F40</f>
        <v>3916.5402621722847</v>
      </c>
      <c r="G40" s="15">
        <f>'tab 15'!G40/'tab 14'!G40</f>
        <v>4000</v>
      </c>
      <c r="H40" s="15">
        <f>'tab 15'!H40/'tab 14'!H40</f>
        <v>3620</v>
      </c>
      <c r="I40" s="15">
        <f>'tab 15'!I40/'tab 14'!I40</f>
        <v>3500</v>
      </c>
      <c r="J40" s="15">
        <f>'tab 15'!J40/'tab 14'!J40</f>
        <v>3645.5438596491226</v>
      </c>
      <c r="K40" s="15">
        <f>'tab 15'!K40/'tab 14'!K40</f>
        <v>4450</v>
      </c>
      <c r="L40" s="15">
        <f>'tab 15'!L40/'tab 14'!L40</f>
        <v>4320</v>
      </c>
      <c r="M40" s="15">
        <f>'tab 15'!M40/'tab 14'!M40</f>
        <v>4342.0535714285716</v>
      </c>
      <c r="N40" s="15">
        <f>'tab 15'!N40/'tab 14'!N40</f>
        <v>3923.3761814744803</v>
      </c>
      <c r="O40" s="15"/>
    </row>
    <row r="41" spans="1:15">
      <c r="A41" s="10">
        <v>2015</v>
      </c>
      <c r="B41" s="15">
        <f>'tab 15'!B41/'tab 14'!B41</f>
        <v>3250</v>
      </c>
      <c r="C41" s="15">
        <f>'tab 15'!C41/'tab 14'!C41</f>
        <v>3600</v>
      </c>
      <c r="D41" s="15">
        <f>'tab 15'!D41/'tab 14'!D41</f>
        <v>4330</v>
      </c>
      <c r="E41" s="15">
        <f>'tab 15'!E41/'tab 14'!E41</f>
        <v>3200</v>
      </c>
      <c r="F41" s="15">
        <f>'tab 15'!F41/'tab 14'!F41</f>
        <v>3961.8416927899689</v>
      </c>
      <c r="G41" s="15">
        <f>'tab 15'!G41/'tab 14'!G41</f>
        <v>3400</v>
      </c>
      <c r="H41" s="15">
        <f>'tab 15'!H41/'tab 14'!H41</f>
        <v>3200</v>
      </c>
      <c r="I41" s="15">
        <f>'tab 15'!I41/'tab 14'!I41</f>
        <v>3130</v>
      </c>
      <c r="J41" s="15">
        <f>'tab 15'!J41/'tab 14'!J41</f>
        <v>3208.1442146450531</v>
      </c>
      <c r="K41" s="15">
        <f>'tab 15'!K41/'tab 14'!K41</f>
        <v>3650</v>
      </c>
      <c r="L41" s="15">
        <f>'tab 15'!L41/'tab 14'!L41</f>
        <v>3480</v>
      </c>
      <c r="M41" s="15">
        <f>'tab 15'!M41/'tab 14'!M41</f>
        <v>3510.4716981132074</v>
      </c>
      <c r="N41" s="15">
        <f>'tab 15'!N41/'tab 14'!N41</f>
        <v>3844.8055608943555</v>
      </c>
      <c r="O41" s="15"/>
    </row>
    <row r="42" spans="1:15">
      <c r="A42" s="10">
        <v>2016</v>
      </c>
      <c r="B42" s="15">
        <f>'tab 15'!B42/'tab 14'!B42</f>
        <v>3600</v>
      </c>
      <c r="C42" s="15">
        <f>'tab 15'!C42/'tab 14'!C42</f>
        <v>3800</v>
      </c>
      <c r="D42" s="15">
        <f>'tab 15'!D42/'tab 14'!D42</f>
        <v>3900</v>
      </c>
      <c r="E42" s="15">
        <f>'tab 15'!E42/'tab 14'!E42</f>
        <v>3200</v>
      </c>
      <c r="F42" s="15">
        <f>'tab 15'!F42/'tab 14'!F42</f>
        <v>3783.0479452054797</v>
      </c>
      <c r="G42" s="15">
        <f>'tab 15'!G42/'tab 14'!G42</f>
        <v>3700</v>
      </c>
      <c r="H42" s="15">
        <f>'tab 15'!H42/'tab 14'!H42</f>
        <v>2730</v>
      </c>
      <c r="I42" s="15">
        <f>'tab 15'!I42/'tab 14'!I42</f>
        <v>2800</v>
      </c>
      <c r="J42" s="15">
        <f>'tab 15'!J42/'tab 14'!J42</f>
        <v>2971.1693548387098</v>
      </c>
      <c r="K42" s="15">
        <f>'tab 15'!K42/'tab 14'!K42</f>
        <v>3650</v>
      </c>
      <c r="L42" s="15">
        <f>'tab 15'!L42/'tab 14'!L42</f>
        <v>3530</v>
      </c>
      <c r="M42" s="15">
        <f>'tab 15'!M42/'tab 14'!M42</f>
        <v>3551</v>
      </c>
      <c r="N42" s="15">
        <f>'tab 15'!N42/'tab 14'!N42</f>
        <v>3633.8346354166665</v>
      </c>
      <c r="O42" s="15"/>
    </row>
    <row r="43" spans="1:15">
      <c r="A43" s="10">
        <v>2017</v>
      </c>
      <c r="B43" s="15">
        <f>'tab 15'!B43/'tab 14'!B43</f>
        <v>3650</v>
      </c>
      <c r="C43" s="15">
        <f>'tab 15'!C43/'tab 14'!C43</f>
        <v>3450</v>
      </c>
      <c r="D43" s="15">
        <f>'tab 15'!D43/'tab 14'!D43</f>
        <v>4330</v>
      </c>
      <c r="E43" s="15">
        <f>'tab 15'!E43/'tab 14'!E43</f>
        <v>4000</v>
      </c>
      <c r="F43" s="15">
        <f>'tab 15'!F43/'tab 14'!F43</f>
        <v>4075.4765395894428</v>
      </c>
      <c r="G43" s="15">
        <f>'tab 15'!G43/'tab 14'!G43</f>
        <v>3780</v>
      </c>
      <c r="H43" s="15">
        <f>'tab 15'!H43/'tab 14'!H43</f>
        <v>3320</v>
      </c>
      <c r="I43" s="15">
        <f>'tab 15'!I43/'tab 14'!I43</f>
        <v>3500</v>
      </c>
      <c r="J43" s="15">
        <f>'tab 15'!J43/'tab 14'!J43</f>
        <v>3575.7847533632284</v>
      </c>
      <c r="K43" s="15">
        <f>'tab 15'!K43/'tab 14'!K43</f>
        <v>4440</v>
      </c>
      <c r="L43" s="15">
        <f>'tab 15'!L43/'tab 14'!L43</f>
        <v>4100</v>
      </c>
      <c r="M43" s="15">
        <f>'tab 15'!M43/'tab 14'!M43</f>
        <v>4163.75</v>
      </c>
      <c r="N43" s="15">
        <f>'tab 15'!N43/'tab 14'!N43</f>
        <v>4007.3271006983555</v>
      </c>
      <c r="O43" s="15"/>
    </row>
    <row r="44" spans="1:15">
      <c r="A44" s="10">
        <v>2018</v>
      </c>
      <c r="B44" s="15">
        <f>'tab 15'!B44/'tab 14'!B44</f>
        <v>3550</v>
      </c>
      <c r="C44" s="15">
        <f>'tab 15'!C44/'tab 14'!C44</f>
        <v>3950</v>
      </c>
      <c r="D44" s="15">
        <f>'tab 15'!D44/'tab 14'!D44</f>
        <v>4390</v>
      </c>
      <c r="E44" s="15">
        <f>'tab 15'!E44/'tab 14'!E44</f>
        <v>3400</v>
      </c>
      <c r="F44" s="15">
        <f>'tab 15'!F44/'tab 14'!F44</f>
        <v>4118.0150517403572</v>
      </c>
      <c r="G44" s="15">
        <f>'tab 15'!G44/'tab 14'!G44</f>
        <v>3070</v>
      </c>
      <c r="H44" s="15">
        <f>'tab 15'!H44/'tab 14'!H44</f>
        <v>3200</v>
      </c>
      <c r="I44" s="15">
        <f>'tab 15'!I44/'tab 14'!I44</f>
        <v>2850</v>
      </c>
      <c r="J44" s="15">
        <f>'tab 15'!J44/'tab 14'!J44</f>
        <v>3386.8700265251991</v>
      </c>
      <c r="K44" s="15">
        <f>'tab 15'!K44/'tab 14'!K44</f>
        <v>4200</v>
      </c>
      <c r="L44" s="15">
        <f>'tab 15'!L44/'tab 14'!L44</f>
        <v>3870</v>
      </c>
      <c r="M44" s="15">
        <f>'tab 15'!M44/'tab 14'!M44</f>
        <v>3934.9180327868853</v>
      </c>
      <c r="N44" s="15">
        <f>'tab 15'!N44/'tab 14'!N44</f>
        <v>4001.4088096104842</v>
      </c>
      <c r="O44" s="15"/>
    </row>
    <row r="45" spans="1:15">
      <c r="A45" s="10">
        <v>2019</v>
      </c>
      <c r="B45" s="15">
        <f>'tab 15'!B45/'tab 14'!B45</f>
        <v>3350</v>
      </c>
      <c r="C45" s="15">
        <f>'tab 15'!C45/'tab 14'!C45</f>
        <v>3800</v>
      </c>
      <c r="D45" s="15">
        <f>'tab 15'!D45/'tab 14'!D45</f>
        <v>4170</v>
      </c>
      <c r="E45" s="15">
        <f>'tab 15'!E45/'tab 14'!E45</f>
        <v>3800</v>
      </c>
      <c r="F45" s="15">
        <f>'tab 15'!F45/'tab 14'!F45</f>
        <v>3969.0114068441067</v>
      </c>
      <c r="G45" s="15">
        <f>'tab 15'!G45/'tab 14'!G45</f>
        <v>4000</v>
      </c>
      <c r="H45" s="15">
        <f>'tab 15'!H45/'tab 14'!H45</f>
        <v>3050</v>
      </c>
      <c r="I45" s="15">
        <f>'tab 15'!I45/'tab 14'!I45</f>
        <v>3210</v>
      </c>
      <c r="J45" s="15">
        <f>'tab 15'!J45/'tab 14'!J45</f>
        <v>3451.5210203117622</v>
      </c>
      <c r="K45" s="15">
        <f>'tab 15'!K45/'tab 14'!K45</f>
        <v>4650</v>
      </c>
      <c r="L45" s="15">
        <f>'tab 15'!L45/'tab 14'!L45</f>
        <v>4400</v>
      </c>
      <c r="M45" s="15">
        <f>'tab 15'!M45/'tab 14'!M45</f>
        <v>4447.6190476190477</v>
      </c>
      <c r="N45" s="15">
        <f>'tab 15'!N45/'tab 14'!N45</f>
        <v>3933.5734331150607</v>
      </c>
    </row>
    <row r="46" spans="1:15">
      <c r="A46" s="10">
        <v>2020</v>
      </c>
      <c r="B46" s="15">
        <f>'tab 15'!B46/'tab 14'!B46</f>
        <v>3400</v>
      </c>
      <c r="C46" s="15">
        <f>'tab 15'!C46/'tab 14'!C46</f>
        <v>3400</v>
      </c>
      <c r="D46" s="15">
        <f>'tab 15'!D46/'tab 14'!D46</f>
        <v>4120</v>
      </c>
      <c r="E46" s="15">
        <f>'tab 15'!E46/'tab 14'!E46</f>
        <v>3700</v>
      </c>
      <c r="F46" s="15">
        <f>'tab 15'!F46/'tab 14'!F46</f>
        <v>3898.0891719745223</v>
      </c>
      <c r="G46" s="15">
        <f>'tab 15'!G46/'tab 14'!G46</f>
        <v>4220</v>
      </c>
      <c r="H46" s="15">
        <f>'tab 15'!H46/'tab 14'!H46</f>
        <v>2850</v>
      </c>
      <c r="I46" s="15">
        <f>'tab 15'!I46/'tab 14'!I46</f>
        <v>2850</v>
      </c>
      <c r="J46" s="15">
        <f>'tab 15'!J46/'tab 14'!J46</f>
        <v>3260.5633802816901</v>
      </c>
      <c r="K46" s="15">
        <f>'tab 15'!K46/'tab 14'!K46</f>
        <v>4150</v>
      </c>
      <c r="L46" s="15">
        <f>'tab 15'!L46/'tab 14'!L46</f>
        <v>3900</v>
      </c>
      <c r="M46" s="15">
        <f>'tab 15'!M46/'tab 14'!M46</f>
        <v>3951.1363636363635</v>
      </c>
      <c r="N46" s="15">
        <f>'tab 15'!N46/'tab 14'!N46</f>
        <v>3812.7476473501733</v>
      </c>
    </row>
    <row r="47" spans="1:15">
      <c r="A47" s="10">
        <v>2021</v>
      </c>
      <c r="B47" s="15">
        <f>'tab 15'!B47/'tab 14'!B47</f>
        <v>3350</v>
      </c>
      <c r="C47" s="15">
        <f>'tab 15'!C47/'tab 14'!C47</f>
        <v>3700</v>
      </c>
      <c r="D47" s="15">
        <f>'tab 15'!D47/'tab 14'!D47</f>
        <v>4450</v>
      </c>
      <c r="E47" s="15">
        <f>'tab 15'!E47/'tab 14'!E47</f>
        <v>4200</v>
      </c>
      <c r="F47" s="15">
        <f>'tab 15'!F47/'tab 14'!F47</f>
        <v>4159.1645353793692</v>
      </c>
      <c r="G47" s="15">
        <f>'tab 15'!G47/'tab 14'!G47</f>
        <v>4450</v>
      </c>
      <c r="H47" s="15">
        <f>'tab 15'!H47/'tab 14'!H47</f>
        <v>3570</v>
      </c>
      <c r="I47" s="15">
        <f>'tab 15'!I47/'tab 14'!I47</f>
        <v>2310</v>
      </c>
      <c r="J47" s="15">
        <f>'tab 15'!J47/'tab 14'!J47</f>
        <v>3790.8157776781713</v>
      </c>
      <c r="K47" s="15">
        <f>'tab 15'!K47/'tab 14'!K47</f>
        <v>4700</v>
      </c>
      <c r="L47" s="15">
        <f>'tab 15'!L47/'tab 14'!L47</f>
        <v>4350</v>
      </c>
      <c r="M47" s="15">
        <f>'tab 15'!M47/'tab 14'!M47</f>
        <v>4422.916666666667</v>
      </c>
      <c r="N47" s="15">
        <f>'tab 15'!N47/'tab 14'!N47</f>
        <v>4130.4662034932799</v>
      </c>
    </row>
    <row r="48" spans="1:15">
      <c r="A48" s="11">
        <v>2022</v>
      </c>
      <c r="B48" s="235">
        <f>'tab 15'!B48/'tab 14'!B48</f>
        <v>3450</v>
      </c>
      <c r="C48" s="235">
        <f>'tab 15'!C48/'tab 14'!C48</f>
        <v>3900</v>
      </c>
      <c r="D48" s="235">
        <f>'tab 15'!D48/'tab 14'!D48</f>
        <v>4250</v>
      </c>
      <c r="E48" s="235">
        <f>'tab 15'!E48/'tab 14'!E48</f>
        <v>4200</v>
      </c>
      <c r="F48" s="235">
        <f>'tab 15'!F48/'tab 14'!F48</f>
        <v>4081.8949343339586</v>
      </c>
      <c r="G48" s="235">
        <f>'tab 15'!G48/'tab 14'!G48</f>
        <v>3650</v>
      </c>
      <c r="H48" s="235">
        <f>'tab 15'!H48/'tab 14'!H48</f>
        <v>2800</v>
      </c>
      <c r="I48" s="235">
        <f>'tab 15'!I48/'tab 14'!I48</f>
        <v>2500</v>
      </c>
      <c r="J48" s="235">
        <f>'tab 15'!J48/'tab 14'!J48</f>
        <v>3309.2930444697831</v>
      </c>
      <c r="K48" s="235">
        <f>'tab 15'!K48/'tab 14'!K48</f>
        <v>4500</v>
      </c>
      <c r="L48" s="235">
        <f>'tab 15'!L48/'tab 14'!L48</f>
        <v>4400</v>
      </c>
      <c r="M48" s="235">
        <f>'tab 15'!M48/'tab 14'!M48</f>
        <v>4419.4444444444443</v>
      </c>
      <c r="N48" s="235">
        <f>'tab 15'!N48/'tab 14'!N48</f>
        <v>4019.1641403204849</v>
      </c>
    </row>
    <row r="49" spans="1:15">
      <c r="A49" s="10" t="s">
        <v>579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20"/>
      <c r="O49" s="38"/>
    </row>
    <row r="50" spans="1:15">
      <c r="A50" s="30" t="s">
        <v>264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5">
      <c r="A51" t="s">
        <v>648</v>
      </c>
    </row>
    <row r="52" spans="1:15">
      <c r="L52" s="101"/>
      <c r="M52" s="101"/>
      <c r="N52" s="101" t="s">
        <v>592</v>
      </c>
    </row>
  </sheetData>
  <phoneticPr fontId="0" type="noConversion"/>
  <pageMargins left="0.75" right="0.75" top="1" bottom="1" header="0.5" footer="0.5"/>
  <pageSetup scale="93" firstPageNumber="16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ignoredErrors>
    <ignoredError sqref="A6:A33" numberStoredAsText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J51"/>
  <sheetViews>
    <sheetView zoomScaleNormal="100" zoomScaleSheetLayoutView="100" workbookViewId="0">
      <pane ySplit="3" topLeftCell="A4" activePane="bottomLeft" state="frozen"/>
      <selection pane="bottomLeft"/>
    </sheetView>
  </sheetViews>
  <sheetFormatPr defaultRowHeight="11.25"/>
  <cols>
    <col min="1" max="1" width="10.33203125" customWidth="1"/>
    <col min="2" max="6" width="21.6640625" customWidth="1"/>
    <col min="8" max="8" width="12.5" customWidth="1"/>
    <col min="10" max="10" width="13.33203125" bestFit="1" customWidth="1"/>
  </cols>
  <sheetData>
    <row r="1" spans="1:8">
      <c r="A1" s="249" t="s">
        <v>613</v>
      </c>
      <c r="B1" s="1"/>
      <c r="C1" s="1"/>
      <c r="D1" s="1"/>
      <c r="E1" s="1"/>
      <c r="F1" s="1"/>
    </row>
    <row r="2" spans="1:8">
      <c r="A2" s="1" t="s">
        <v>65</v>
      </c>
      <c r="B2" s="9" t="s">
        <v>36</v>
      </c>
      <c r="C2" s="9" t="s">
        <v>37</v>
      </c>
      <c r="D2" s="9" t="s">
        <v>38</v>
      </c>
      <c r="E2" s="9" t="s">
        <v>40</v>
      </c>
      <c r="F2" s="9" t="s">
        <v>41</v>
      </c>
    </row>
    <row r="3" spans="1:8">
      <c r="A3" s="73"/>
      <c r="B3" s="163" t="s">
        <v>165</v>
      </c>
      <c r="C3" s="150"/>
      <c r="D3" s="150" t="s">
        <v>213</v>
      </c>
      <c r="E3" s="150" t="s">
        <v>130</v>
      </c>
      <c r="F3" s="151" t="s">
        <v>364</v>
      </c>
    </row>
    <row r="4" spans="1:8">
      <c r="B4" s="7"/>
      <c r="C4" s="7"/>
      <c r="D4" s="7"/>
      <c r="E4" s="7"/>
      <c r="F4" s="8"/>
    </row>
    <row r="5" spans="1:8">
      <c r="A5" s="10">
        <v>1980</v>
      </c>
      <c r="B5" s="16">
        <v>14534</v>
      </c>
      <c r="C5" s="16">
        <v>13215</v>
      </c>
      <c r="D5" s="16">
        <f t="shared" ref="D5:D27" si="0">+E5*2000/C5</f>
        <v>676.57964434354903</v>
      </c>
      <c r="E5" s="16">
        <v>4470.5</v>
      </c>
      <c r="F5" s="16">
        <v>574511</v>
      </c>
    </row>
    <row r="6" spans="1:8">
      <c r="A6" s="10">
        <v>1981</v>
      </c>
      <c r="B6" s="16">
        <v>14330</v>
      </c>
      <c r="C6" s="16">
        <v>13841</v>
      </c>
      <c r="D6" s="16">
        <f t="shared" si="0"/>
        <v>924.34072682609633</v>
      </c>
      <c r="E6" s="16">
        <v>6396.9</v>
      </c>
      <c r="F6" s="16">
        <v>549041</v>
      </c>
    </row>
    <row r="7" spans="1:8">
      <c r="A7" s="10">
        <v>1982</v>
      </c>
      <c r="B7" s="16">
        <v>11345</v>
      </c>
      <c r="C7" s="16">
        <v>9734</v>
      </c>
      <c r="D7" s="16">
        <f t="shared" si="0"/>
        <v>974.70721183480589</v>
      </c>
      <c r="E7" s="16">
        <v>4743.8999999999996</v>
      </c>
      <c r="F7" s="16">
        <v>366240</v>
      </c>
    </row>
    <row r="8" spans="1:8">
      <c r="A8" s="10">
        <v>1983</v>
      </c>
      <c r="B8" s="16">
        <v>7926</v>
      </c>
      <c r="C8" s="16">
        <v>7348</v>
      </c>
      <c r="D8" s="16">
        <f t="shared" si="0"/>
        <v>837.15296679368532</v>
      </c>
      <c r="E8" s="16">
        <v>3075.7</v>
      </c>
      <c r="F8" s="16">
        <v>511450</v>
      </c>
    </row>
    <row r="9" spans="1:8">
      <c r="A9" s="10">
        <v>1984</v>
      </c>
      <c r="B9" s="16">
        <v>11145</v>
      </c>
      <c r="C9" s="16">
        <v>10379</v>
      </c>
      <c r="D9" s="16">
        <f t="shared" si="0"/>
        <v>992.17651026110411</v>
      </c>
      <c r="E9" s="16">
        <v>5148.8999999999996</v>
      </c>
      <c r="F9" s="16">
        <v>511953</v>
      </c>
    </row>
    <row r="10" spans="1:8">
      <c r="A10" s="10">
        <v>1985</v>
      </c>
      <c r="B10" s="16">
        <v>10685</v>
      </c>
      <c r="C10" s="16">
        <v>10229</v>
      </c>
      <c r="D10" s="16">
        <f t="shared" si="0"/>
        <v>1032.2025613451951</v>
      </c>
      <c r="E10" s="16">
        <v>5279.2</v>
      </c>
      <c r="F10" s="16">
        <v>348342</v>
      </c>
    </row>
    <row r="11" spans="1:8">
      <c r="A11" s="10">
        <v>1986</v>
      </c>
      <c r="B11" s="16">
        <v>10045</v>
      </c>
      <c r="C11" s="16">
        <v>8468</v>
      </c>
      <c r="D11" s="16">
        <f t="shared" si="0"/>
        <v>897.70902220122821</v>
      </c>
      <c r="E11" s="16">
        <v>3800.9</v>
      </c>
      <c r="F11" s="16">
        <v>303965</v>
      </c>
    </row>
    <row r="12" spans="1:8">
      <c r="A12" s="10">
        <v>1987</v>
      </c>
      <c r="B12" s="16">
        <v>10397</v>
      </c>
      <c r="C12" s="16">
        <v>10030</v>
      </c>
      <c r="D12" s="16">
        <f t="shared" si="0"/>
        <v>1150.3888334995015</v>
      </c>
      <c r="E12" s="16">
        <v>5769.2</v>
      </c>
      <c r="F12" s="16">
        <v>474703</v>
      </c>
    </row>
    <row r="13" spans="1:8">
      <c r="A13" s="10">
        <v>1988</v>
      </c>
      <c r="B13" s="16">
        <v>12515</v>
      </c>
      <c r="C13" s="16">
        <v>11948</v>
      </c>
      <c r="D13" s="16">
        <f t="shared" si="0"/>
        <v>1014.6970204218279</v>
      </c>
      <c r="E13" s="16">
        <v>6061.8</v>
      </c>
      <c r="F13" s="16">
        <v>718255</v>
      </c>
    </row>
    <row r="14" spans="1:8">
      <c r="A14" s="10">
        <v>1989</v>
      </c>
      <c r="B14" s="16">
        <v>10587</v>
      </c>
      <c r="C14" s="16">
        <v>9538</v>
      </c>
      <c r="D14" s="16">
        <f t="shared" si="0"/>
        <v>980.79261899769347</v>
      </c>
      <c r="E14" s="16">
        <v>4677.3999999999996</v>
      </c>
      <c r="F14" s="16">
        <v>492683</v>
      </c>
    </row>
    <row r="15" spans="1:8">
      <c r="A15" s="10">
        <v>1990</v>
      </c>
      <c r="B15" s="16">
        <v>12348.1</v>
      </c>
      <c r="C15" s="16">
        <v>11731.6</v>
      </c>
      <c r="D15" s="16">
        <f t="shared" si="0"/>
        <v>1017.5082682669031</v>
      </c>
      <c r="E15" s="16">
        <v>5968.5</v>
      </c>
      <c r="F15" s="16">
        <v>722313</v>
      </c>
      <c r="H15" s="16"/>
    </row>
    <row r="16" spans="1:8">
      <c r="A16" s="10">
        <v>1991</v>
      </c>
      <c r="B16" s="16">
        <v>14052.1</v>
      </c>
      <c r="C16" s="16">
        <v>12959.5</v>
      </c>
      <c r="D16" s="16">
        <f t="shared" si="0"/>
        <v>1068.7912342297157</v>
      </c>
      <c r="E16" s="16">
        <v>6925.5</v>
      </c>
      <c r="F16" s="16">
        <v>492261</v>
      </c>
      <c r="H16" s="16"/>
    </row>
    <row r="17" spans="1:8">
      <c r="A17" s="10">
        <v>1992</v>
      </c>
      <c r="B17" s="16">
        <v>13240</v>
      </c>
      <c r="C17" s="16">
        <v>11123.3</v>
      </c>
      <c r="D17" s="16">
        <f t="shared" si="0"/>
        <v>1120.1891524997079</v>
      </c>
      <c r="E17" s="16">
        <v>6230.1</v>
      </c>
      <c r="F17" s="16">
        <v>608438</v>
      </c>
      <c r="H17" s="16"/>
    </row>
    <row r="18" spans="1:8">
      <c r="A18" s="10">
        <v>1993</v>
      </c>
      <c r="B18" s="16">
        <v>13438.3</v>
      </c>
      <c r="C18" s="16">
        <v>12783.3</v>
      </c>
      <c r="D18" s="16">
        <f t="shared" si="0"/>
        <v>992.41979770481805</v>
      </c>
      <c r="E18" s="16">
        <v>6343.2</v>
      </c>
      <c r="F18" s="16">
        <v>714389</v>
      </c>
      <c r="H18" s="16"/>
    </row>
    <row r="19" spans="1:8">
      <c r="A19" s="10">
        <v>1994</v>
      </c>
      <c r="B19" s="16">
        <v>13720.1</v>
      </c>
      <c r="C19" s="16">
        <v>13322.3</v>
      </c>
      <c r="D19" s="16">
        <f t="shared" si="0"/>
        <v>1141.529615757039</v>
      </c>
      <c r="E19" s="16">
        <v>7603.9</v>
      </c>
      <c r="F19" s="16">
        <v>771315</v>
      </c>
      <c r="H19" s="16"/>
    </row>
    <row r="20" spans="1:8">
      <c r="A20" s="10">
        <v>1995</v>
      </c>
      <c r="B20" s="16">
        <v>16931.400000000001</v>
      </c>
      <c r="C20" s="16">
        <v>16006.7</v>
      </c>
      <c r="D20" s="16">
        <f t="shared" si="0"/>
        <v>855.72916341282087</v>
      </c>
      <c r="E20" s="16">
        <v>6848.7</v>
      </c>
      <c r="F20" s="16">
        <v>731005</v>
      </c>
      <c r="H20" s="16"/>
    </row>
    <row r="21" spans="1:8">
      <c r="A21" s="10">
        <v>1996</v>
      </c>
      <c r="B21" s="16">
        <v>14652.5</v>
      </c>
      <c r="C21" s="16">
        <v>12888.1</v>
      </c>
      <c r="D21" s="16">
        <f t="shared" si="0"/>
        <v>1108.5419883458385</v>
      </c>
      <c r="E21" s="16">
        <v>7143.5</v>
      </c>
      <c r="F21" s="16">
        <v>914564</v>
      </c>
      <c r="H21" s="16"/>
    </row>
    <row r="22" spans="1:8">
      <c r="A22" s="10">
        <v>1997</v>
      </c>
      <c r="B22" s="16">
        <v>13898</v>
      </c>
      <c r="C22" s="16">
        <v>27303.403999999999</v>
      </c>
      <c r="D22" s="16">
        <f t="shared" si="0"/>
        <v>507.9659664414005</v>
      </c>
      <c r="E22" s="16">
        <v>6934.6</v>
      </c>
      <c r="F22" s="16">
        <v>835371</v>
      </c>
      <c r="H22" s="16"/>
    </row>
    <row r="23" spans="1:8">
      <c r="A23" s="10">
        <v>1998</v>
      </c>
      <c r="B23" s="16">
        <v>13392.5</v>
      </c>
      <c r="C23" s="16">
        <v>10683.6</v>
      </c>
      <c r="D23" s="16">
        <f t="shared" si="0"/>
        <v>1004.4179864465161</v>
      </c>
      <c r="E23" s="16">
        <v>5365.4</v>
      </c>
      <c r="F23" s="16">
        <v>687179</v>
      </c>
      <c r="H23" s="16"/>
    </row>
    <row r="24" spans="1:8">
      <c r="A24" s="10">
        <v>1999</v>
      </c>
      <c r="B24" s="16">
        <v>14873.5</v>
      </c>
      <c r="C24" s="16">
        <v>13424.9</v>
      </c>
      <c r="D24" s="16">
        <f t="shared" si="0"/>
        <v>946.52474133885539</v>
      </c>
      <c r="E24" s="16">
        <v>6353.5</v>
      </c>
      <c r="F24" s="16">
        <v>559157</v>
      </c>
      <c r="H24" s="16"/>
    </row>
    <row r="25" spans="1:8">
      <c r="A25" s="10">
        <v>2000</v>
      </c>
      <c r="B25" s="16">
        <v>15517.2</v>
      </c>
      <c r="C25" s="16">
        <v>13053</v>
      </c>
      <c r="D25" s="16">
        <f t="shared" si="0"/>
        <v>986.07216731785797</v>
      </c>
      <c r="E25" s="16">
        <v>6435.6</v>
      </c>
      <c r="F25" s="16">
        <v>667800</v>
      </c>
      <c r="H25" s="16"/>
    </row>
    <row r="26" spans="1:8">
      <c r="A26" s="10">
        <v>2001</v>
      </c>
      <c r="B26" s="16">
        <v>15768.5</v>
      </c>
      <c r="C26" s="16">
        <v>13827.7</v>
      </c>
      <c r="D26" s="16">
        <f t="shared" si="0"/>
        <v>1077.8654440000867</v>
      </c>
      <c r="E26" s="16">
        <v>7452.2</v>
      </c>
      <c r="F26" s="16">
        <v>667348</v>
      </c>
      <c r="H26" s="16"/>
    </row>
    <row r="27" spans="1:8">
      <c r="A27" s="10">
        <v>2002</v>
      </c>
      <c r="B27" s="16">
        <v>13957.9</v>
      </c>
      <c r="C27" s="16">
        <v>24872.761999999999</v>
      </c>
      <c r="D27" s="16">
        <f t="shared" si="0"/>
        <v>497.24272680291801</v>
      </c>
      <c r="E27" s="16">
        <v>6183.9</v>
      </c>
      <c r="F27" s="16">
        <v>616352</v>
      </c>
      <c r="H27" s="16"/>
    </row>
    <row r="28" spans="1:8">
      <c r="A28" s="10">
        <v>2003</v>
      </c>
      <c r="B28" s="16">
        <v>13479.6</v>
      </c>
      <c r="C28" s="16">
        <v>12003.4</v>
      </c>
      <c r="D28" s="16">
        <f t="shared" ref="D28:D33" si="1">+E28*2000/C28</f>
        <v>1110.4520385890664</v>
      </c>
      <c r="E28" s="16">
        <v>6664.6</v>
      </c>
      <c r="F28" s="16">
        <v>778994</v>
      </c>
      <c r="H28" s="16"/>
    </row>
    <row r="29" spans="1:8">
      <c r="A29" s="10">
        <v>2004</v>
      </c>
      <c r="B29" s="16">
        <v>13658.6</v>
      </c>
      <c r="C29" s="16">
        <v>13057</v>
      </c>
      <c r="D29" s="16">
        <f t="shared" si="1"/>
        <v>1255.7402159761048</v>
      </c>
      <c r="E29" s="16">
        <v>8198.1</v>
      </c>
      <c r="F29" s="16">
        <v>872796</v>
      </c>
      <c r="H29" s="16"/>
    </row>
    <row r="30" spans="1:8">
      <c r="A30" s="10">
        <v>2005</v>
      </c>
      <c r="B30" s="16">
        <v>14245.4</v>
      </c>
      <c r="C30" s="16">
        <v>13802.6</v>
      </c>
      <c r="D30" s="16">
        <f t="shared" si="1"/>
        <v>1184.1392201469289</v>
      </c>
      <c r="E30" s="16">
        <v>8172.1</v>
      </c>
      <c r="F30" s="16">
        <v>779500</v>
      </c>
      <c r="H30" s="16"/>
    </row>
    <row r="31" spans="1:8">
      <c r="A31" s="10">
        <v>2006</v>
      </c>
      <c r="B31" s="16">
        <v>15274</v>
      </c>
      <c r="C31" s="16">
        <v>12731.5</v>
      </c>
      <c r="D31" s="16">
        <f t="shared" si="1"/>
        <v>1154.2866119467462</v>
      </c>
      <c r="E31" s="16">
        <v>7347.9</v>
      </c>
      <c r="F31" s="16">
        <v>814151</v>
      </c>
      <c r="H31" s="16"/>
    </row>
    <row r="32" spans="1:8">
      <c r="A32" s="10">
        <v>2007</v>
      </c>
      <c r="B32" s="16">
        <v>10827.2</v>
      </c>
      <c r="C32" s="16">
        <v>20982.338</v>
      </c>
      <c r="D32" s="16">
        <f t="shared" si="1"/>
        <v>628.0234357105486</v>
      </c>
      <c r="E32" s="16">
        <v>6588.7</v>
      </c>
      <c r="F32" s="16">
        <v>1069849</v>
      </c>
      <c r="H32" s="16"/>
    </row>
    <row r="33" spans="1:10">
      <c r="A33" s="10">
        <v>2008</v>
      </c>
      <c r="B33" s="16">
        <v>9471</v>
      </c>
      <c r="C33" s="16">
        <v>7568.7</v>
      </c>
      <c r="D33" s="16">
        <f t="shared" si="1"/>
        <v>1136.3378123059442</v>
      </c>
      <c r="E33" s="16">
        <v>4300.3</v>
      </c>
      <c r="F33" s="16">
        <v>962708</v>
      </c>
      <c r="H33" s="16"/>
    </row>
    <row r="34" spans="1:10">
      <c r="A34" s="10">
        <v>2009</v>
      </c>
      <c r="B34" s="16">
        <v>9149.5</v>
      </c>
      <c r="C34" s="16">
        <v>7533.7</v>
      </c>
      <c r="D34" s="16">
        <f t="shared" ref="D34:D39" si="2">+E34*2000/C34</f>
        <v>1101.3977195800205</v>
      </c>
      <c r="E34" s="16">
        <v>4148.8</v>
      </c>
      <c r="F34" s="16">
        <v>670027</v>
      </c>
      <c r="H34" s="16"/>
    </row>
    <row r="35" spans="1:10">
      <c r="A35" s="10">
        <v>2010</v>
      </c>
      <c r="B35" s="16">
        <v>10974.2</v>
      </c>
      <c r="C35" s="16">
        <v>10698.7</v>
      </c>
      <c r="D35" s="16">
        <f t="shared" si="2"/>
        <v>1139.5963995625636</v>
      </c>
      <c r="E35" s="16">
        <v>6096.1</v>
      </c>
      <c r="F35" s="16">
        <v>988656</v>
      </c>
      <c r="H35" s="16"/>
    </row>
    <row r="36" spans="1:10">
      <c r="A36" s="10">
        <v>2011</v>
      </c>
      <c r="B36" s="16">
        <v>14735.4</v>
      </c>
      <c r="C36" s="16">
        <v>9460.9</v>
      </c>
      <c r="D36" s="16">
        <f t="shared" si="2"/>
        <v>1135.1985540487692</v>
      </c>
      <c r="E36" s="16">
        <v>5370</v>
      </c>
      <c r="F36" s="16">
        <v>1413343</v>
      </c>
      <c r="H36" s="16"/>
    </row>
    <row r="37" spans="1:10">
      <c r="A37" s="10">
        <v>2012</v>
      </c>
      <c r="B37" s="16">
        <v>12264.4</v>
      </c>
      <c r="C37" s="16">
        <v>18705.88</v>
      </c>
      <c r="D37" s="16">
        <f t="shared" si="2"/>
        <v>605.798818339474</v>
      </c>
      <c r="E37" s="16">
        <v>5666</v>
      </c>
      <c r="F37" s="16">
        <v>1456245</v>
      </c>
      <c r="H37" s="16"/>
    </row>
    <row r="38" spans="1:10">
      <c r="A38" s="10">
        <v>2013</v>
      </c>
      <c r="B38" s="16">
        <v>10407</v>
      </c>
      <c r="C38" s="16">
        <v>7539.4</v>
      </c>
      <c r="D38" s="16">
        <f t="shared" si="2"/>
        <v>1114.9428336472399</v>
      </c>
      <c r="E38" s="16">
        <v>4203</v>
      </c>
      <c r="F38" s="16">
        <v>1054003</v>
      </c>
      <c r="H38" s="16"/>
    </row>
    <row r="39" spans="1:10">
      <c r="A39" s="10">
        <v>2014</v>
      </c>
      <c r="B39" s="16">
        <v>11148.4</v>
      </c>
      <c r="C39" s="16">
        <v>9351.7999999999993</v>
      </c>
      <c r="D39" s="16">
        <f t="shared" si="2"/>
        <v>1096.0456810453604</v>
      </c>
      <c r="E39" s="16">
        <v>5125</v>
      </c>
      <c r="F39" s="16">
        <v>1015607</v>
      </c>
      <c r="H39" s="16"/>
    </row>
    <row r="40" spans="1:10">
      <c r="A40" s="10">
        <v>2015</v>
      </c>
      <c r="B40" s="16">
        <v>8580.5</v>
      </c>
      <c r="C40" s="16">
        <v>8074.9</v>
      </c>
      <c r="D40" s="16">
        <f t="shared" ref="D40:D47" si="3">+E40*2000/C40</f>
        <v>1001.3746300263781</v>
      </c>
      <c r="E40" s="16">
        <v>4043</v>
      </c>
      <c r="F40" s="16">
        <v>932894</v>
      </c>
      <c r="H40" s="16"/>
    </row>
    <row r="41" spans="1:10">
      <c r="A41" s="10">
        <v>2016</v>
      </c>
      <c r="B41" s="16">
        <v>10073.5</v>
      </c>
      <c r="C41" s="16">
        <v>9507.7999999999993</v>
      </c>
      <c r="D41" s="16">
        <f t="shared" si="3"/>
        <v>1129.3885020719831</v>
      </c>
      <c r="E41" s="16">
        <v>5369</v>
      </c>
      <c r="F41" s="16">
        <v>1055924</v>
      </c>
      <c r="H41" s="16"/>
    </row>
    <row r="42" spans="1:10" s="194" customFormat="1">
      <c r="A42" s="200">
        <v>2017</v>
      </c>
      <c r="B42" s="250">
        <v>12717.5</v>
      </c>
      <c r="C42" s="250">
        <v>11100.4</v>
      </c>
      <c r="D42" s="250">
        <f t="shared" si="3"/>
        <v>1157.0754207055602</v>
      </c>
      <c r="E42" s="250">
        <v>6422</v>
      </c>
      <c r="F42" s="250">
        <v>911925</v>
      </c>
      <c r="J42" s="250"/>
    </row>
    <row r="43" spans="1:10" s="194" customFormat="1">
      <c r="A43" s="200">
        <v>2018</v>
      </c>
      <c r="B43" s="250">
        <v>14100.3</v>
      </c>
      <c r="C43" s="250">
        <v>9990.7999999999993</v>
      </c>
      <c r="D43" s="250">
        <f t="shared" si="3"/>
        <v>1127.237058093446</v>
      </c>
      <c r="E43" s="250">
        <v>5631</v>
      </c>
      <c r="F43" s="250">
        <v>878254</v>
      </c>
      <c r="J43" s="250"/>
    </row>
    <row r="44" spans="1:10" s="194" customFormat="1">
      <c r="A44" s="200">
        <v>2019</v>
      </c>
      <c r="B44" s="250">
        <v>13735.7</v>
      </c>
      <c r="C44" s="250">
        <v>11497.4</v>
      </c>
      <c r="D44" s="250">
        <f t="shared" si="3"/>
        <v>1034.1468505923078</v>
      </c>
      <c r="E44" s="250">
        <v>5945</v>
      </c>
      <c r="F44" s="250">
        <v>968027</v>
      </c>
      <c r="J44" s="250"/>
    </row>
    <row r="45" spans="1:10" s="194" customFormat="1">
      <c r="A45" s="200">
        <v>2020</v>
      </c>
      <c r="B45" s="250">
        <v>12092</v>
      </c>
      <c r="C45" s="250">
        <v>8216.5</v>
      </c>
      <c r="D45" s="250">
        <f t="shared" si="3"/>
        <v>1087.5676991419705</v>
      </c>
      <c r="E45" s="250">
        <v>4468</v>
      </c>
      <c r="F45" s="250">
        <v>875057</v>
      </c>
      <c r="J45" s="250"/>
    </row>
    <row r="46" spans="1:10" s="194" customFormat="1">
      <c r="A46" s="200">
        <v>2021</v>
      </c>
      <c r="B46" s="250">
        <v>11215.5</v>
      </c>
      <c r="C46" s="250">
        <v>10272.299999999999</v>
      </c>
      <c r="D46" s="250">
        <f t="shared" si="3"/>
        <v>1036.3793892312335</v>
      </c>
      <c r="E46" s="250">
        <v>5323</v>
      </c>
      <c r="F46" s="250">
        <v>1301600</v>
      </c>
      <c r="J46" s="250"/>
    </row>
    <row r="47" spans="1:10" s="194" customFormat="1">
      <c r="A47" s="239" t="s">
        <v>612</v>
      </c>
      <c r="B47" s="251">
        <v>13763</v>
      </c>
      <c r="C47" s="251">
        <v>7440.7</v>
      </c>
      <c r="D47" s="251">
        <f t="shared" si="3"/>
        <v>1197.4679801631567</v>
      </c>
      <c r="E47" s="251">
        <v>4455</v>
      </c>
      <c r="F47" s="251">
        <v>1501289</v>
      </c>
      <c r="H47" s="250"/>
    </row>
    <row r="48" spans="1:10" s="194" customFormat="1">
      <c r="A48" s="194" t="s">
        <v>541</v>
      </c>
      <c r="H48" s="250"/>
    </row>
    <row r="49" spans="1:8" s="194" customFormat="1">
      <c r="A49" s="194" t="s">
        <v>677</v>
      </c>
      <c r="G49" s="252"/>
      <c r="H49" s="250"/>
    </row>
    <row r="50" spans="1:8" s="194" customFormat="1" ht="10.15" customHeight="1">
      <c r="F50" s="225" t="s">
        <v>592</v>
      </c>
      <c r="G50" s="253"/>
      <c r="H50" s="250"/>
    </row>
    <row r="51" spans="1:8" s="194" customFormat="1"/>
  </sheetData>
  <phoneticPr fontId="0" type="noConversion"/>
  <pageMargins left="0.7" right="0.7" top="0.75" bottom="1.25" header="0.3" footer="0.3"/>
  <pageSetup scale="95" firstPageNumber="17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R54"/>
  <sheetViews>
    <sheetView zoomScaleNormal="100" zoomScaleSheetLayoutView="100" workbookViewId="0">
      <pane ySplit="6" topLeftCell="A7" activePane="bottomLeft" state="frozen"/>
      <selection pane="bottomLeft"/>
    </sheetView>
  </sheetViews>
  <sheetFormatPr defaultRowHeight="11.25"/>
  <cols>
    <col min="1" max="10" width="11.6640625" customWidth="1"/>
    <col min="11" max="11" width="14.5" customWidth="1"/>
    <col min="12" max="12" width="18.6640625" bestFit="1" customWidth="1"/>
    <col min="14" max="14" width="32" bestFit="1" customWidth="1"/>
  </cols>
  <sheetData>
    <row r="1" spans="1:12">
      <c r="A1" s="259" t="s">
        <v>616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>
      <c r="A2" s="118" t="s">
        <v>15</v>
      </c>
      <c r="B2" s="121"/>
      <c r="C2" s="4" t="s">
        <v>75</v>
      </c>
      <c r="D2" s="4"/>
      <c r="E2" s="120"/>
      <c r="F2" s="9"/>
      <c r="G2" s="9" t="s">
        <v>73</v>
      </c>
      <c r="H2" s="9"/>
      <c r="I2" s="120"/>
      <c r="J2" s="7"/>
      <c r="K2" s="121" t="s">
        <v>74</v>
      </c>
    </row>
    <row r="3" spans="1:12">
      <c r="A3" s="112" t="s">
        <v>59</v>
      </c>
      <c r="B3" s="109" t="s">
        <v>96</v>
      </c>
      <c r="C3" s="7" t="s">
        <v>40</v>
      </c>
      <c r="D3" s="7" t="s">
        <v>49</v>
      </c>
      <c r="E3" s="112" t="s">
        <v>191</v>
      </c>
      <c r="F3" s="7" t="s">
        <v>67</v>
      </c>
      <c r="G3" s="7" t="s">
        <v>50</v>
      </c>
      <c r="H3" s="7" t="s">
        <v>166</v>
      </c>
      <c r="I3" s="112" t="s">
        <v>2</v>
      </c>
      <c r="J3" s="7" t="s">
        <v>98</v>
      </c>
      <c r="K3" s="109" t="s">
        <v>266</v>
      </c>
    </row>
    <row r="4" spans="1:12">
      <c r="A4" s="112" t="s">
        <v>61</v>
      </c>
      <c r="B4" s="109" t="s">
        <v>66</v>
      </c>
      <c r="C4" s="7"/>
      <c r="D4" s="7"/>
      <c r="E4" s="112"/>
      <c r="F4" s="7"/>
      <c r="G4" s="7"/>
      <c r="H4" s="7"/>
      <c r="I4" s="112"/>
      <c r="J4" s="7" t="s">
        <v>66</v>
      </c>
      <c r="K4" s="109" t="s">
        <v>70</v>
      </c>
    </row>
    <row r="5" spans="1:12">
      <c r="A5" s="114"/>
      <c r="B5" s="116"/>
      <c r="C5" s="9"/>
      <c r="D5" s="9"/>
      <c r="E5" s="114"/>
      <c r="F5" s="9"/>
      <c r="G5" s="9"/>
      <c r="H5" s="9"/>
      <c r="I5" s="114"/>
      <c r="J5" s="9"/>
      <c r="K5" s="116" t="s">
        <v>116</v>
      </c>
    </row>
    <row r="6" spans="1:12">
      <c r="A6" s="73"/>
      <c r="B6" s="73"/>
      <c r="C6" s="157"/>
      <c r="D6" s="157"/>
      <c r="E6" s="157"/>
      <c r="F6" s="164" t="s">
        <v>219</v>
      </c>
      <c r="G6" s="157"/>
      <c r="H6" s="157"/>
      <c r="I6" s="157"/>
      <c r="J6" s="157"/>
      <c r="K6" s="150" t="s">
        <v>355</v>
      </c>
    </row>
    <row r="7" spans="1:12">
      <c r="B7" s="74"/>
      <c r="C7" s="74"/>
      <c r="D7" s="74"/>
      <c r="E7" s="74"/>
      <c r="F7" s="74"/>
      <c r="G7" s="74"/>
      <c r="H7" s="74"/>
      <c r="I7" s="74"/>
      <c r="J7" s="74"/>
      <c r="K7" s="7"/>
    </row>
    <row r="8" spans="1:12">
      <c r="A8" s="10" t="s">
        <v>181</v>
      </c>
      <c r="B8" s="27">
        <v>1058.4000000000001</v>
      </c>
      <c r="C8" s="27">
        <f>+'tab 17'!E5</f>
        <v>4470.5</v>
      </c>
      <c r="D8" s="27">
        <v>0</v>
      </c>
      <c r="E8" s="27">
        <f t="shared" ref="E8:E17" si="0">SUM(B8:D8)</f>
        <v>5528.9</v>
      </c>
      <c r="F8" s="27">
        <v>4075.7999999999997</v>
      </c>
      <c r="G8" s="27">
        <v>132.59999999999997</v>
      </c>
      <c r="H8" s="27">
        <f t="shared" ref="H8:H30" si="1">+I8-F8-G8</f>
        <v>923</v>
      </c>
      <c r="I8" s="27">
        <f t="shared" ref="I8:I49" si="2">+E8-J8</f>
        <v>5131.3999999999996</v>
      </c>
      <c r="J8" s="27">
        <v>397.5</v>
      </c>
      <c r="K8" s="26">
        <v>129</v>
      </c>
      <c r="L8" s="27"/>
    </row>
    <row r="9" spans="1:12">
      <c r="A9" s="10" t="s">
        <v>182</v>
      </c>
      <c r="B9" s="27">
        <f t="shared" ref="B9:B29" si="3">+J8</f>
        <v>397.5</v>
      </c>
      <c r="C9" s="27">
        <f>+'tab 17'!E6</f>
        <v>6396.9</v>
      </c>
      <c r="D9" s="27">
        <v>0</v>
      </c>
      <c r="E9" s="27">
        <f t="shared" si="0"/>
        <v>6794.4</v>
      </c>
      <c r="F9" s="27">
        <v>4584.7</v>
      </c>
      <c r="G9" s="27">
        <v>44.8</v>
      </c>
      <c r="H9" s="27">
        <f t="shared" si="1"/>
        <v>1383.5000000000002</v>
      </c>
      <c r="I9" s="27">
        <f t="shared" si="2"/>
        <v>6013</v>
      </c>
      <c r="J9" s="27">
        <v>781.4</v>
      </c>
      <c r="K9" s="26">
        <v>86</v>
      </c>
      <c r="L9" s="27"/>
    </row>
    <row r="10" spans="1:12">
      <c r="A10" s="10" t="s">
        <v>183</v>
      </c>
      <c r="B10" s="27">
        <f t="shared" si="3"/>
        <v>781.4</v>
      </c>
      <c r="C10" s="27">
        <f>+'tab 17'!E7</f>
        <v>4743.8999999999996</v>
      </c>
      <c r="D10" s="27">
        <v>0</v>
      </c>
      <c r="E10" s="27">
        <f t="shared" si="0"/>
        <v>5525.2999999999993</v>
      </c>
      <c r="F10" s="27">
        <v>3799.4999999999995</v>
      </c>
      <c r="G10" s="27">
        <v>12.2</v>
      </c>
      <c r="H10" s="27">
        <f t="shared" si="1"/>
        <v>1342.7999999999995</v>
      </c>
      <c r="I10" s="27">
        <f t="shared" si="2"/>
        <v>5154.4999999999991</v>
      </c>
      <c r="J10" s="27">
        <v>370.8</v>
      </c>
      <c r="K10" s="26">
        <v>77</v>
      </c>
      <c r="L10" s="27"/>
    </row>
    <row r="11" spans="1:12">
      <c r="A11" s="10" t="s">
        <v>184</v>
      </c>
      <c r="B11" s="27">
        <f t="shared" si="3"/>
        <v>370.8</v>
      </c>
      <c r="C11" s="27">
        <f>+'tab 17'!E8</f>
        <v>3075.7</v>
      </c>
      <c r="D11" s="27">
        <v>0</v>
      </c>
      <c r="E11" s="27">
        <f t="shared" si="0"/>
        <v>3446.5</v>
      </c>
      <c r="F11" s="27">
        <v>2583</v>
      </c>
      <c r="G11" s="27">
        <v>49.8</v>
      </c>
      <c r="H11" s="27">
        <f t="shared" si="1"/>
        <v>697.50000000000023</v>
      </c>
      <c r="I11" s="27">
        <f t="shared" si="2"/>
        <v>3330.3</v>
      </c>
      <c r="J11" s="27">
        <v>116.2</v>
      </c>
      <c r="K11" s="26">
        <v>166</v>
      </c>
      <c r="L11" s="27"/>
    </row>
    <row r="12" spans="1:12">
      <c r="A12" s="10" t="s">
        <v>185</v>
      </c>
      <c r="B12" s="27">
        <f t="shared" si="3"/>
        <v>116.2</v>
      </c>
      <c r="C12" s="27">
        <f>+'tab 17'!E9</f>
        <v>5148.8999999999996</v>
      </c>
      <c r="D12" s="27">
        <v>0</v>
      </c>
      <c r="E12" s="27">
        <f t="shared" si="0"/>
        <v>5265.0999999999995</v>
      </c>
      <c r="F12" s="27">
        <v>3514.1000000000004</v>
      </c>
      <c r="G12" s="27">
        <v>59.8</v>
      </c>
      <c r="H12" s="27">
        <f t="shared" si="1"/>
        <v>1285.2999999999995</v>
      </c>
      <c r="I12" s="27">
        <f t="shared" si="2"/>
        <v>4859.2</v>
      </c>
      <c r="J12" s="27">
        <v>405.9</v>
      </c>
      <c r="K12" s="26">
        <v>99.5</v>
      </c>
      <c r="L12" s="27"/>
    </row>
    <row r="13" spans="1:12">
      <c r="A13" s="10" t="s">
        <v>186</v>
      </c>
      <c r="B13" s="27">
        <f t="shared" si="3"/>
        <v>405.9</v>
      </c>
      <c r="C13" s="27">
        <f>+'tab 17'!E10</f>
        <v>5279.2</v>
      </c>
      <c r="D13" s="27">
        <v>0</v>
      </c>
      <c r="E13" s="27">
        <f t="shared" si="0"/>
        <v>5685.0999999999995</v>
      </c>
      <c r="F13" s="27">
        <v>3417.0000000000009</v>
      </c>
      <c r="G13" s="27">
        <v>8.8000000000000007</v>
      </c>
      <c r="H13" s="27">
        <f t="shared" si="1"/>
        <v>1912.6999999999982</v>
      </c>
      <c r="I13" s="27">
        <f t="shared" si="2"/>
        <v>5338.4999999999991</v>
      </c>
      <c r="J13" s="27">
        <v>346.6</v>
      </c>
      <c r="K13" s="26">
        <v>66</v>
      </c>
      <c r="L13" s="27"/>
    </row>
    <row r="14" spans="1:12">
      <c r="A14" s="10" t="s">
        <v>187</v>
      </c>
      <c r="B14" s="27">
        <f t="shared" si="3"/>
        <v>346.6</v>
      </c>
      <c r="C14" s="27">
        <f>+'tab 17'!E11</f>
        <v>3800.9</v>
      </c>
      <c r="D14" s="27">
        <v>2</v>
      </c>
      <c r="E14" s="27">
        <f t="shared" si="0"/>
        <v>4149.5</v>
      </c>
      <c r="F14" s="27">
        <v>2519.7000000000003</v>
      </c>
      <c r="G14" s="27">
        <v>16.899999999999999</v>
      </c>
      <c r="H14" s="27">
        <f t="shared" si="1"/>
        <v>1423.8999999999996</v>
      </c>
      <c r="I14" s="27">
        <f t="shared" si="2"/>
        <v>3960.5</v>
      </c>
      <c r="J14" s="27">
        <v>189</v>
      </c>
      <c r="K14" s="26">
        <v>80</v>
      </c>
      <c r="L14" s="27"/>
    </row>
    <row r="15" spans="1:12">
      <c r="A15" s="10" t="s">
        <v>188</v>
      </c>
      <c r="B15" s="27">
        <f t="shared" si="3"/>
        <v>189</v>
      </c>
      <c r="C15" s="27">
        <f>+'tab 17'!E12</f>
        <v>5769.2</v>
      </c>
      <c r="D15" s="27">
        <v>2</v>
      </c>
      <c r="E15" s="27">
        <f t="shared" si="0"/>
        <v>5960.2</v>
      </c>
      <c r="F15" s="27">
        <v>3396.2999999999997</v>
      </c>
      <c r="G15" s="27">
        <v>50.300000000000004</v>
      </c>
      <c r="H15" s="27">
        <f t="shared" si="1"/>
        <v>2154.7000000000003</v>
      </c>
      <c r="I15" s="27">
        <f t="shared" si="2"/>
        <v>5601.3</v>
      </c>
      <c r="J15" s="27">
        <v>358.9</v>
      </c>
      <c r="K15" s="26">
        <v>82.5</v>
      </c>
      <c r="L15" s="27"/>
    </row>
    <row r="16" spans="1:12">
      <c r="A16" s="10" t="s">
        <v>189</v>
      </c>
      <c r="B16" s="27">
        <f t="shared" si="3"/>
        <v>358.9</v>
      </c>
      <c r="C16" s="27">
        <f>+'tab 17'!E13</f>
        <v>6061.8</v>
      </c>
      <c r="D16" s="27">
        <v>4</v>
      </c>
      <c r="E16" s="27">
        <f t="shared" si="0"/>
        <v>6424.7</v>
      </c>
      <c r="F16" s="27">
        <v>3730.2000000000003</v>
      </c>
      <c r="G16" s="27">
        <v>38.700000000000003</v>
      </c>
      <c r="H16" s="27">
        <f t="shared" si="1"/>
        <v>1990.8999999999999</v>
      </c>
      <c r="I16" s="27">
        <f t="shared" si="2"/>
        <v>5759.8</v>
      </c>
      <c r="J16" s="27">
        <v>664.9</v>
      </c>
      <c r="K16" s="26">
        <v>119</v>
      </c>
      <c r="L16" s="27"/>
    </row>
    <row r="17" spans="1:12">
      <c r="A17" s="10" t="s">
        <v>4</v>
      </c>
      <c r="B17" s="27">
        <f t="shared" si="3"/>
        <v>664.9</v>
      </c>
      <c r="C17" s="27">
        <f>+'tab 17'!E14</f>
        <v>4677.3999999999996</v>
      </c>
      <c r="D17" s="27">
        <v>0.43935911837999997</v>
      </c>
      <c r="E17" s="27">
        <f t="shared" si="0"/>
        <v>5342.7393591183791</v>
      </c>
      <c r="F17" s="27">
        <v>2973.7000000000003</v>
      </c>
      <c r="G17" s="27">
        <v>45.850223701485</v>
      </c>
      <c r="H17" s="27">
        <f t="shared" si="1"/>
        <v>1956.7891354168942</v>
      </c>
      <c r="I17" s="27">
        <f t="shared" si="2"/>
        <v>4976.3393591183794</v>
      </c>
      <c r="J17" s="27">
        <v>366.4</v>
      </c>
      <c r="K17" s="26">
        <v>105</v>
      </c>
      <c r="L17" s="27"/>
    </row>
    <row r="18" spans="1:12">
      <c r="A18" s="10" t="s">
        <v>5</v>
      </c>
      <c r="B18" s="27">
        <f t="shared" si="3"/>
        <v>366.4</v>
      </c>
      <c r="C18" s="27">
        <f>+'tab 17'!E15</f>
        <v>5968.5</v>
      </c>
      <c r="D18" s="27">
        <v>3.1168427749830006</v>
      </c>
      <c r="E18" s="27">
        <f t="shared" ref="E18:E29" si="4">SUM(B18:D18)</f>
        <v>6338.0168427749823</v>
      </c>
      <c r="F18" s="27">
        <v>3368.9</v>
      </c>
      <c r="G18" s="27">
        <v>53.173908539891997</v>
      </c>
      <c r="H18" s="27">
        <f t="shared" si="1"/>
        <v>2264.94293423509</v>
      </c>
      <c r="I18" s="27">
        <f t="shared" si="2"/>
        <v>5687.0168427749823</v>
      </c>
      <c r="J18" s="27">
        <v>651</v>
      </c>
      <c r="K18" s="26">
        <v>121</v>
      </c>
      <c r="L18" s="27"/>
    </row>
    <row r="19" spans="1:12">
      <c r="A19" s="10" t="s">
        <v>6</v>
      </c>
      <c r="B19" s="27">
        <f t="shared" si="3"/>
        <v>651</v>
      </c>
      <c r="C19" s="27">
        <f>+'tab 17'!E16</f>
        <v>6925.5</v>
      </c>
      <c r="D19" s="27">
        <v>1.8814475633309999</v>
      </c>
      <c r="E19" s="27">
        <f t="shared" si="4"/>
        <v>7578.3814475633308</v>
      </c>
      <c r="F19" s="27">
        <v>3981.0000000000005</v>
      </c>
      <c r="G19" s="27">
        <v>161.41153972349704</v>
      </c>
      <c r="H19" s="27">
        <f t="shared" si="1"/>
        <v>2976.0699078398338</v>
      </c>
      <c r="I19" s="27">
        <f t="shared" si="2"/>
        <v>7118.4814475633311</v>
      </c>
      <c r="J19" s="27">
        <v>459.9</v>
      </c>
      <c r="K19" s="26">
        <v>71</v>
      </c>
      <c r="L19" s="27"/>
    </row>
    <row r="20" spans="1:12">
      <c r="A20" s="10" t="s">
        <v>7</v>
      </c>
      <c r="B20" s="27">
        <f t="shared" si="3"/>
        <v>459.9</v>
      </c>
      <c r="C20" s="27">
        <f>+'tab 17'!E17</f>
        <v>6230.1</v>
      </c>
      <c r="D20" s="27">
        <v>0.244662335694</v>
      </c>
      <c r="E20" s="27">
        <f t="shared" si="4"/>
        <v>6690.2446623356936</v>
      </c>
      <c r="F20" s="27">
        <v>3629.2999999999997</v>
      </c>
      <c r="G20" s="27">
        <v>191.82015772875903</v>
      </c>
      <c r="H20" s="27">
        <f t="shared" si="1"/>
        <v>2503.8245046069346</v>
      </c>
      <c r="I20" s="27">
        <f t="shared" si="2"/>
        <v>6324.9446623356935</v>
      </c>
      <c r="J20" s="27">
        <v>365.3</v>
      </c>
      <c r="K20" s="26">
        <v>97.5</v>
      </c>
      <c r="L20" s="27"/>
    </row>
    <row r="21" spans="1:12">
      <c r="A21" s="10" t="s">
        <v>8</v>
      </c>
      <c r="B21" s="27">
        <f t="shared" si="3"/>
        <v>365.3</v>
      </c>
      <c r="C21" s="27">
        <f>+'tab 17'!E18</f>
        <v>6343.2</v>
      </c>
      <c r="D21" s="27">
        <v>3.8790324090000008E-2</v>
      </c>
      <c r="E21" s="27">
        <f t="shared" si="4"/>
        <v>6708.5387903240899</v>
      </c>
      <c r="F21" s="27">
        <v>3470.0999999999995</v>
      </c>
      <c r="G21" s="27">
        <v>157.28252696252699</v>
      </c>
      <c r="H21" s="27">
        <f t="shared" si="1"/>
        <v>2649.0562633615632</v>
      </c>
      <c r="I21" s="27">
        <f t="shared" si="2"/>
        <v>6276.4387903240895</v>
      </c>
      <c r="J21" s="27">
        <v>432.1</v>
      </c>
      <c r="K21" s="26">
        <v>113</v>
      </c>
      <c r="L21" s="27"/>
    </row>
    <row r="22" spans="1:12">
      <c r="A22" s="10" t="s">
        <v>9</v>
      </c>
      <c r="B22" s="27">
        <f t="shared" si="3"/>
        <v>432.1</v>
      </c>
      <c r="C22" s="27">
        <f>+'tab 17'!E19</f>
        <v>7603.9</v>
      </c>
      <c r="D22" s="27">
        <v>2.0035604736000003E-2</v>
      </c>
      <c r="E22" s="27">
        <f t="shared" si="4"/>
        <v>8036.0200356047362</v>
      </c>
      <c r="F22" s="27">
        <v>3947.2000000000003</v>
      </c>
      <c r="G22" s="27">
        <v>232.1</v>
      </c>
      <c r="H22" s="27">
        <f t="shared" si="1"/>
        <v>3308.220035604736</v>
      </c>
      <c r="I22" s="27">
        <f t="shared" si="2"/>
        <v>7487.5200356047362</v>
      </c>
      <c r="J22" s="27">
        <v>548.5</v>
      </c>
      <c r="K22" s="26">
        <v>101</v>
      </c>
      <c r="L22" s="27"/>
    </row>
    <row r="23" spans="1:12">
      <c r="A23" s="10" t="s">
        <v>10</v>
      </c>
      <c r="B23" s="27">
        <f t="shared" si="3"/>
        <v>548.5</v>
      </c>
      <c r="C23" s="27">
        <f>+'tab 17'!E20</f>
        <v>6848.7</v>
      </c>
      <c r="D23" s="27">
        <v>1.8297624051629999</v>
      </c>
      <c r="E23" s="27">
        <f t="shared" si="4"/>
        <v>7399.0297624051627</v>
      </c>
      <c r="F23" s="27">
        <v>3882</v>
      </c>
      <c r="G23" s="27">
        <v>114.19999999999999</v>
      </c>
      <c r="H23" s="27">
        <f t="shared" si="1"/>
        <v>2908.0297624051627</v>
      </c>
      <c r="I23" s="27">
        <f t="shared" si="2"/>
        <v>6904.2297624051625</v>
      </c>
      <c r="J23" s="27">
        <v>494.8</v>
      </c>
      <c r="K23" s="26">
        <v>106</v>
      </c>
      <c r="L23" s="27"/>
    </row>
    <row r="24" spans="1:12">
      <c r="A24" s="10" t="s">
        <v>11</v>
      </c>
      <c r="B24" s="27">
        <f t="shared" si="3"/>
        <v>494.8</v>
      </c>
      <c r="C24" s="27">
        <f>+'tab 17'!E21</f>
        <v>7143.5</v>
      </c>
      <c r="D24" s="27">
        <v>20.183158984149003</v>
      </c>
      <c r="E24" s="27">
        <f t="shared" si="4"/>
        <v>7658.4831589841488</v>
      </c>
      <c r="F24" s="27">
        <v>3860.0129999999995</v>
      </c>
      <c r="G24" s="27">
        <v>115.67322150000001</v>
      </c>
      <c r="H24" s="27">
        <f t="shared" si="1"/>
        <v>3159.9969374841489</v>
      </c>
      <c r="I24" s="27">
        <f t="shared" si="2"/>
        <v>7135.6831589841486</v>
      </c>
      <c r="J24" s="27">
        <v>522.79999999999995</v>
      </c>
      <c r="K24" s="26">
        <v>126</v>
      </c>
      <c r="L24" s="27"/>
    </row>
    <row r="25" spans="1:12">
      <c r="A25" s="10" t="s">
        <v>12</v>
      </c>
      <c r="B25" s="27">
        <f t="shared" si="3"/>
        <v>522.79999999999995</v>
      </c>
      <c r="C25" s="27">
        <f>+'tab 17'!E22</f>
        <v>6934.6</v>
      </c>
      <c r="D25" s="27">
        <v>96.4</v>
      </c>
      <c r="E25" s="27">
        <f t="shared" si="4"/>
        <v>7553.8</v>
      </c>
      <c r="F25" s="27">
        <v>3888.6050000000005</v>
      </c>
      <c r="G25" s="27">
        <v>149.40000000000003</v>
      </c>
      <c r="H25" s="27">
        <f t="shared" si="1"/>
        <v>2952.7949999999996</v>
      </c>
      <c r="I25" s="27">
        <f t="shared" si="2"/>
        <v>6990.8</v>
      </c>
      <c r="J25" s="27">
        <v>563</v>
      </c>
      <c r="K25" s="26">
        <v>121</v>
      </c>
      <c r="L25" s="27"/>
    </row>
    <row r="26" spans="1:12">
      <c r="A26" s="10" t="s">
        <v>13</v>
      </c>
      <c r="B26" s="27">
        <f t="shared" si="3"/>
        <v>563</v>
      </c>
      <c r="C26" s="27">
        <f>+'tab 17'!E23</f>
        <v>5365.4</v>
      </c>
      <c r="D26" s="27">
        <v>206.4</v>
      </c>
      <c r="E26" s="27">
        <f t="shared" si="4"/>
        <v>6134.7999999999993</v>
      </c>
      <c r="F26" s="27">
        <v>2719.0469999999996</v>
      </c>
      <c r="G26" s="27">
        <v>68.05054347235199</v>
      </c>
      <c r="H26" s="27">
        <f t="shared" si="1"/>
        <v>2954.5024565276481</v>
      </c>
      <c r="I26" s="27">
        <f t="shared" si="2"/>
        <v>5741.5999999999995</v>
      </c>
      <c r="J26" s="27">
        <v>393.2</v>
      </c>
      <c r="K26" s="26">
        <v>129</v>
      </c>
      <c r="L26" s="27"/>
    </row>
    <row r="27" spans="1:12">
      <c r="A27" s="10" t="s">
        <v>14</v>
      </c>
      <c r="B27" s="27">
        <f t="shared" si="3"/>
        <v>393.2</v>
      </c>
      <c r="C27" s="27">
        <f>+'tab 17'!E24</f>
        <v>6353.5</v>
      </c>
      <c r="D27" s="27">
        <v>308.5</v>
      </c>
      <c r="E27" s="27">
        <f t="shared" si="4"/>
        <v>7055.2</v>
      </c>
      <c r="F27" s="27">
        <v>3063.9160000000002</v>
      </c>
      <c r="G27" s="27">
        <v>198.19867592101502</v>
      </c>
      <c r="H27" s="27">
        <f t="shared" si="1"/>
        <v>3518.6853240789851</v>
      </c>
      <c r="I27" s="27">
        <f t="shared" si="2"/>
        <v>6780.8</v>
      </c>
      <c r="J27" s="27">
        <v>274.39999999999998</v>
      </c>
      <c r="K27" s="26">
        <v>89</v>
      </c>
      <c r="L27" s="27"/>
    </row>
    <row r="28" spans="1:12">
      <c r="A28" s="10" t="s">
        <v>397</v>
      </c>
      <c r="B28" s="27">
        <f t="shared" si="3"/>
        <v>274.39999999999998</v>
      </c>
      <c r="C28" s="27">
        <f>+'tab 17'!E25</f>
        <v>6435.6</v>
      </c>
      <c r="D28" s="27">
        <v>373.7</v>
      </c>
      <c r="E28" s="27">
        <f t="shared" si="4"/>
        <v>7083.7</v>
      </c>
      <c r="F28" s="27">
        <v>2752.8</v>
      </c>
      <c r="G28" s="27">
        <v>234.794297707704</v>
      </c>
      <c r="H28" s="27">
        <f t="shared" si="1"/>
        <v>3669.0057022922952</v>
      </c>
      <c r="I28" s="27">
        <f t="shared" si="2"/>
        <v>6656.5999999999995</v>
      </c>
      <c r="J28" s="27">
        <v>427.1</v>
      </c>
      <c r="K28" s="26">
        <v>105</v>
      </c>
      <c r="L28" s="27"/>
    </row>
    <row r="29" spans="1:12">
      <c r="A29" s="10" t="s">
        <v>210</v>
      </c>
      <c r="B29" s="27">
        <f t="shared" si="3"/>
        <v>427.1</v>
      </c>
      <c r="C29" s="27">
        <f>+'tab 17'!E26</f>
        <v>7452.2</v>
      </c>
      <c r="D29" s="27">
        <v>327</v>
      </c>
      <c r="E29" s="27">
        <f t="shared" si="4"/>
        <v>8206.2999999999993</v>
      </c>
      <c r="F29" s="27">
        <v>2791.1570000000002</v>
      </c>
      <c r="G29" s="27">
        <v>273.57759236045695</v>
      </c>
      <c r="H29" s="27">
        <f t="shared" si="1"/>
        <v>4741.9654076395418</v>
      </c>
      <c r="I29" s="27">
        <f t="shared" si="2"/>
        <v>7806.6999999999989</v>
      </c>
      <c r="J29" s="27">
        <v>399.6</v>
      </c>
      <c r="K29" s="26">
        <v>90.5</v>
      </c>
      <c r="L29" s="27"/>
    </row>
    <row r="30" spans="1:12">
      <c r="A30" s="10" t="s">
        <v>217</v>
      </c>
      <c r="B30" s="27">
        <f t="shared" ref="B30:B35" si="5">+J29</f>
        <v>399.6</v>
      </c>
      <c r="C30" s="27">
        <f>+'tab 17'!E27</f>
        <v>6183.9</v>
      </c>
      <c r="D30" s="27">
        <v>103.9</v>
      </c>
      <c r="E30" s="27">
        <f t="shared" ref="E30:E35" si="6">SUM(B30:D30)</f>
        <v>6687.4</v>
      </c>
      <c r="F30" s="27">
        <v>2494.7009999999996</v>
      </c>
      <c r="G30" s="27">
        <v>369.52324114734</v>
      </c>
      <c r="H30" s="27">
        <f t="shared" si="1"/>
        <v>3476.5757588526599</v>
      </c>
      <c r="I30" s="27">
        <f t="shared" si="2"/>
        <v>6340.7999999999993</v>
      </c>
      <c r="J30" s="27">
        <v>346.6</v>
      </c>
      <c r="K30" s="26">
        <v>101</v>
      </c>
      <c r="L30" s="27"/>
    </row>
    <row r="31" spans="1:12">
      <c r="A31" s="10" t="s">
        <v>398</v>
      </c>
      <c r="B31" s="27">
        <f t="shared" si="5"/>
        <v>346.6</v>
      </c>
      <c r="C31" s="27">
        <f>+'tab 17'!E28</f>
        <v>6664.6</v>
      </c>
      <c r="D31" s="27">
        <v>1.6</v>
      </c>
      <c r="E31" s="27">
        <f t="shared" si="6"/>
        <v>7012.8000000000011</v>
      </c>
      <c r="F31" s="27">
        <v>2642.68</v>
      </c>
      <c r="G31" s="27">
        <v>354.43291551135297</v>
      </c>
      <c r="H31" s="27">
        <f t="shared" ref="H31:H36" si="7">+I31-F31-G31</f>
        <v>3594.8870844886483</v>
      </c>
      <c r="I31" s="27">
        <f t="shared" si="2"/>
        <v>6592.0000000000009</v>
      </c>
      <c r="J31" s="27">
        <v>420.8</v>
      </c>
      <c r="K31" s="26">
        <v>117</v>
      </c>
      <c r="L31" s="27"/>
    </row>
    <row r="32" spans="1:12">
      <c r="A32" s="10" t="s">
        <v>222</v>
      </c>
      <c r="B32" s="27">
        <f t="shared" si="5"/>
        <v>420.8</v>
      </c>
      <c r="C32" s="27">
        <f>+'tab 17'!E29</f>
        <v>8198.1</v>
      </c>
      <c r="D32" s="27">
        <v>1.1000000000000001</v>
      </c>
      <c r="E32" s="27">
        <f t="shared" si="6"/>
        <v>8620</v>
      </c>
      <c r="F32" s="27">
        <v>2922.7440000000001</v>
      </c>
      <c r="G32" s="27">
        <v>378.92510189093707</v>
      </c>
      <c r="H32" s="27">
        <f t="shared" si="7"/>
        <v>4726.2308981090619</v>
      </c>
      <c r="I32" s="27">
        <f t="shared" si="2"/>
        <v>8027.9</v>
      </c>
      <c r="J32" s="27">
        <v>592.1</v>
      </c>
      <c r="K32" s="26">
        <v>107</v>
      </c>
      <c r="L32" s="27"/>
    </row>
    <row r="33" spans="1:18">
      <c r="A33" s="10" t="s">
        <v>225</v>
      </c>
      <c r="B33" s="27">
        <f t="shared" si="5"/>
        <v>592.1</v>
      </c>
      <c r="C33" s="27">
        <f>+'tab 17'!E30</f>
        <v>8172.1</v>
      </c>
      <c r="D33" s="27">
        <v>0.2</v>
      </c>
      <c r="E33" s="27">
        <f t="shared" si="6"/>
        <v>8764.4000000000015</v>
      </c>
      <c r="F33" s="27">
        <v>3009.9070000000002</v>
      </c>
      <c r="G33" s="27">
        <v>522.91839498154206</v>
      </c>
      <c r="H33" s="27">
        <f t="shared" si="7"/>
        <v>4630.0746050184589</v>
      </c>
      <c r="I33" s="27">
        <f t="shared" si="2"/>
        <v>8162.9000000000015</v>
      </c>
      <c r="J33" s="27">
        <v>601.5</v>
      </c>
      <c r="K33" s="26">
        <v>96</v>
      </c>
      <c r="L33" s="27"/>
    </row>
    <row r="34" spans="1:18">
      <c r="A34" s="10" t="s">
        <v>227</v>
      </c>
      <c r="B34" s="27">
        <f t="shared" si="5"/>
        <v>601.5</v>
      </c>
      <c r="C34" s="27">
        <f>+'tab 17'!E31</f>
        <v>7347.9</v>
      </c>
      <c r="D34" s="27">
        <v>0.5</v>
      </c>
      <c r="E34" s="27">
        <f t="shared" si="6"/>
        <v>7949.9</v>
      </c>
      <c r="F34" s="27">
        <v>2679.97</v>
      </c>
      <c r="G34" s="27">
        <v>615.80090668767298</v>
      </c>
      <c r="H34" s="27">
        <f t="shared" si="7"/>
        <v>4165.0290933123269</v>
      </c>
      <c r="I34" s="27">
        <f t="shared" si="2"/>
        <v>7460.7999999999993</v>
      </c>
      <c r="J34" s="27">
        <v>489.1</v>
      </c>
      <c r="K34" s="26">
        <v>111</v>
      </c>
      <c r="L34" s="27"/>
    </row>
    <row r="35" spans="1:18">
      <c r="A35" s="10" t="s">
        <v>230</v>
      </c>
      <c r="B35" s="27">
        <f t="shared" si="5"/>
        <v>489.1</v>
      </c>
      <c r="C35" s="27">
        <f>+'tab 17'!E32</f>
        <v>6588.7</v>
      </c>
      <c r="D35" s="27">
        <v>2.6</v>
      </c>
      <c r="E35" s="27">
        <f t="shared" si="6"/>
        <v>7080.4000000000005</v>
      </c>
      <c r="F35" s="27">
        <v>2705.8790799999997</v>
      </c>
      <c r="G35" s="27">
        <v>599.28577684321499</v>
      </c>
      <c r="H35" s="27">
        <f t="shared" si="7"/>
        <v>3132.1351431567855</v>
      </c>
      <c r="I35" s="27">
        <f t="shared" si="2"/>
        <v>6437.3</v>
      </c>
      <c r="J35" s="27">
        <v>643.1</v>
      </c>
      <c r="K35" s="26">
        <v>162</v>
      </c>
      <c r="L35" s="27"/>
    </row>
    <row r="36" spans="1:18">
      <c r="A36" s="10" t="s">
        <v>231</v>
      </c>
      <c r="B36" s="27">
        <f t="shared" ref="B36:B41" si="8">+J35</f>
        <v>643.1</v>
      </c>
      <c r="C36" s="27">
        <f>+'tab 17'!E33</f>
        <v>4300.3</v>
      </c>
      <c r="D36" s="27">
        <v>0</v>
      </c>
      <c r="E36" s="27">
        <f t="shared" ref="E36:E41" si="9">SUM(B36:D36)</f>
        <v>4943.4000000000005</v>
      </c>
      <c r="F36" s="27">
        <v>2239.8269</v>
      </c>
      <c r="G36" s="27">
        <v>190.12105996260303</v>
      </c>
      <c r="H36" s="27">
        <f t="shared" si="7"/>
        <v>1999.352040037397</v>
      </c>
      <c r="I36" s="27">
        <f t="shared" si="2"/>
        <v>4429.3</v>
      </c>
      <c r="J36" s="27">
        <v>514.1</v>
      </c>
      <c r="K36" s="26">
        <v>223</v>
      </c>
      <c r="L36" s="27"/>
    </row>
    <row r="37" spans="1:18">
      <c r="A37" s="55" t="s">
        <v>237</v>
      </c>
      <c r="B37" s="27">
        <f t="shared" si="8"/>
        <v>514.1</v>
      </c>
      <c r="C37" s="27">
        <f>+'tab 17'!E34</f>
        <v>4148.8</v>
      </c>
      <c r="D37" s="27">
        <v>24.2</v>
      </c>
      <c r="E37" s="27">
        <f t="shared" si="9"/>
        <v>4687.1000000000004</v>
      </c>
      <c r="F37" s="27">
        <v>1900.6969299999996</v>
      </c>
      <c r="G37" s="27">
        <v>295.32461539266001</v>
      </c>
      <c r="H37" s="27">
        <f t="shared" ref="H37:H44" si="10">+I37-F37-G37</f>
        <v>2149.4784546073406</v>
      </c>
      <c r="I37" s="27">
        <f t="shared" si="2"/>
        <v>4345.5</v>
      </c>
      <c r="J37" s="27">
        <v>341.6</v>
      </c>
      <c r="K37" s="26">
        <v>158</v>
      </c>
      <c r="L37" s="27"/>
    </row>
    <row r="38" spans="1:18">
      <c r="A38" s="55" t="s">
        <v>238</v>
      </c>
      <c r="B38" s="27">
        <f t="shared" si="8"/>
        <v>341.6</v>
      </c>
      <c r="C38" s="27">
        <f>+'tab 17'!E35</f>
        <v>6096.1</v>
      </c>
      <c r="D38" s="27">
        <v>0.3</v>
      </c>
      <c r="E38" s="27">
        <f t="shared" si="9"/>
        <v>6438.0000000000009</v>
      </c>
      <c r="F38" s="27">
        <v>2562.5510700000004</v>
      </c>
      <c r="G38" s="27">
        <v>275.15730984531302</v>
      </c>
      <c r="H38" s="27">
        <f t="shared" si="10"/>
        <v>2982.6916201546869</v>
      </c>
      <c r="I38" s="27">
        <f t="shared" si="2"/>
        <v>5820.4000000000005</v>
      </c>
      <c r="J38" s="27">
        <v>617.6</v>
      </c>
      <c r="K38" s="26">
        <v>161</v>
      </c>
      <c r="L38" s="27"/>
    </row>
    <row r="39" spans="1:18">
      <c r="A39" s="55" t="s">
        <v>239</v>
      </c>
      <c r="B39" s="27">
        <f t="shared" si="8"/>
        <v>617.6</v>
      </c>
      <c r="C39" s="27">
        <f>+'tab 17'!E36</f>
        <v>5370</v>
      </c>
      <c r="D39" s="27">
        <v>71.599999999999994</v>
      </c>
      <c r="E39" s="27">
        <f t="shared" si="9"/>
        <v>6059.2000000000007</v>
      </c>
      <c r="F39" s="27">
        <v>2400</v>
      </c>
      <c r="G39" s="27">
        <v>132.68900780534699</v>
      </c>
      <c r="H39" s="27">
        <f t="shared" si="10"/>
        <v>3096.5109921946537</v>
      </c>
      <c r="I39" s="27">
        <f t="shared" si="2"/>
        <v>5629.2000000000007</v>
      </c>
      <c r="J39" s="27">
        <v>430</v>
      </c>
      <c r="K39" s="26">
        <v>260</v>
      </c>
      <c r="L39" s="27"/>
    </row>
    <row r="40" spans="1:18">
      <c r="A40" s="55" t="s">
        <v>241</v>
      </c>
      <c r="B40" s="27">
        <f t="shared" si="8"/>
        <v>430</v>
      </c>
      <c r="C40" s="27">
        <f>+'tab 17'!E37</f>
        <v>5666</v>
      </c>
      <c r="D40" s="27">
        <v>0</v>
      </c>
      <c r="E40" s="27">
        <f t="shared" si="9"/>
        <v>6096</v>
      </c>
      <c r="F40" s="27">
        <v>2500</v>
      </c>
      <c r="G40" s="27">
        <v>191.37798110346301</v>
      </c>
      <c r="H40" s="27">
        <f t="shared" si="10"/>
        <v>2912.6220188965372</v>
      </c>
      <c r="I40" s="27">
        <f t="shared" si="2"/>
        <v>5604</v>
      </c>
      <c r="J40" s="27">
        <v>492</v>
      </c>
      <c r="K40" s="26">
        <v>252</v>
      </c>
      <c r="L40" s="27"/>
    </row>
    <row r="41" spans="1:18">
      <c r="A41" s="55" t="s">
        <v>253</v>
      </c>
      <c r="B41" s="27">
        <f t="shared" si="8"/>
        <v>492</v>
      </c>
      <c r="C41" s="27">
        <f>+'tab 17'!E38</f>
        <v>4203</v>
      </c>
      <c r="D41" s="27">
        <v>90.6</v>
      </c>
      <c r="E41" s="27">
        <f t="shared" si="9"/>
        <v>4785.6000000000004</v>
      </c>
      <c r="F41" s="27">
        <v>2000</v>
      </c>
      <c r="G41" s="27">
        <v>218.92546272334502</v>
      </c>
      <c r="H41" s="27">
        <f t="shared" si="10"/>
        <v>2141.0045372766554</v>
      </c>
      <c r="I41" s="27">
        <f t="shared" si="2"/>
        <v>4359.93</v>
      </c>
      <c r="J41" s="27">
        <v>425.67</v>
      </c>
      <c r="K41" s="26">
        <v>246</v>
      </c>
      <c r="L41" s="27"/>
    </row>
    <row r="42" spans="1:18">
      <c r="A42" s="55" t="s">
        <v>258</v>
      </c>
      <c r="B42" s="27">
        <f>+J41</f>
        <v>425.67</v>
      </c>
      <c r="C42" s="27">
        <f>+'tab 17'!E39</f>
        <v>5125</v>
      </c>
      <c r="D42" s="27">
        <v>60</v>
      </c>
      <c r="E42" s="27">
        <f t="shared" ref="E42:E50" si="11">SUM(B42:D42)</f>
        <v>5610.67</v>
      </c>
      <c r="F42" s="27">
        <v>1900</v>
      </c>
      <c r="G42" s="27">
        <v>228.13998571249201</v>
      </c>
      <c r="H42" s="27">
        <f t="shared" si="10"/>
        <v>3045.030014287508</v>
      </c>
      <c r="I42" s="27">
        <f t="shared" si="2"/>
        <v>5173.17</v>
      </c>
      <c r="J42" s="27">
        <v>437.5</v>
      </c>
      <c r="K42" s="26">
        <v>194</v>
      </c>
      <c r="L42" s="27"/>
    </row>
    <row r="43" spans="1:18">
      <c r="A43" s="55" t="s">
        <v>265</v>
      </c>
      <c r="B43" s="27">
        <f>+J42</f>
        <v>437.5</v>
      </c>
      <c r="C43" s="27">
        <f>+'tab 17'!E40</f>
        <v>4043</v>
      </c>
      <c r="D43" s="27">
        <v>16.399999999999999</v>
      </c>
      <c r="E43" s="27">
        <f t="shared" si="11"/>
        <v>4496.8999999999996</v>
      </c>
      <c r="F43" s="27">
        <v>1500</v>
      </c>
      <c r="G43" s="27">
        <v>136.11302056359</v>
      </c>
      <c r="H43" s="27">
        <f t="shared" si="10"/>
        <v>2469.7869794364096</v>
      </c>
      <c r="I43" s="27">
        <f t="shared" si="2"/>
        <v>4105.8999999999996</v>
      </c>
      <c r="J43" s="27">
        <v>391</v>
      </c>
      <c r="K43" s="26">
        <v>227</v>
      </c>
      <c r="L43" s="27"/>
    </row>
    <row r="44" spans="1:18">
      <c r="A44" s="55" t="s">
        <v>271</v>
      </c>
      <c r="B44" s="27">
        <f>+J43</f>
        <v>391</v>
      </c>
      <c r="C44" s="27">
        <f>+'tab 17'!E41</f>
        <v>5369</v>
      </c>
      <c r="D44" s="27">
        <v>51.1</v>
      </c>
      <c r="E44" s="27">
        <f t="shared" si="11"/>
        <v>5811.1</v>
      </c>
      <c r="F44" s="27">
        <v>1769.4399999999998</v>
      </c>
      <c r="G44" s="27">
        <v>341.65464751467005</v>
      </c>
      <c r="H44" s="27">
        <f t="shared" si="10"/>
        <v>3300.2353524853302</v>
      </c>
      <c r="I44" s="27">
        <f t="shared" si="2"/>
        <v>5411.33</v>
      </c>
      <c r="J44" s="27">
        <v>399.77</v>
      </c>
      <c r="K44" s="26">
        <v>195</v>
      </c>
      <c r="L44" s="27"/>
    </row>
    <row r="45" spans="1:18">
      <c r="A45" s="254" t="s">
        <v>296</v>
      </c>
      <c r="B45" s="255">
        <f>+J44</f>
        <v>399.77</v>
      </c>
      <c r="C45" s="255">
        <f>+'tab 17'!E42</f>
        <v>6422</v>
      </c>
      <c r="D45" s="255">
        <v>0</v>
      </c>
      <c r="E45" s="255">
        <f t="shared" si="11"/>
        <v>6821.77</v>
      </c>
      <c r="F45" s="255">
        <v>1853.576</v>
      </c>
      <c r="G45" s="255">
        <v>478.09633530242689</v>
      </c>
      <c r="H45" s="255">
        <f t="shared" ref="H45:H49" si="12">+I45-F45-G45</f>
        <v>4038.9995558541991</v>
      </c>
      <c r="I45" s="255">
        <f t="shared" si="2"/>
        <v>6370.6718911566259</v>
      </c>
      <c r="J45" s="255">
        <v>451.09810884337458</v>
      </c>
      <c r="K45" s="257">
        <v>142</v>
      </c>
      <c r="L45" s="27"/>
      <c r="N45" s="190"/>
      <c r="O45" s="27"/>
      <c r="P45" s="27"/>
      <c r="Q45" s="27"/>
      <c r="R45" s="27"/>
    </row>
    <row r="46" spans="1:18">
      <c r="A46" s="254" t="s">
        <v>335</v>
      </c>
      <c r="B46" s="255">
        <f>+J45</f>
        <v>451.09810884337458</v>
      </c>
      <c r="C46" s="255">
        <f>+'tab 17'!E43</f>
        <v>5631</v>
      </c>
      <c r="D46" s="255">
        <v>0.50408696206299985</v>
      </c>
      <c r="E46" s="255">
        <f t="shared" si="11"/>
        <v>6082.602195805438</v>
      </c>
      <c r="F46" s="255">
        <v>1760.4090000000001</v>
      </c>
      <c r="G46" s="255">
        <v>387.21716119852488</v>
      </c>
      <c r="H46" s="255">
        <f t="shared" si="12"/>
        <v>3457.9999999999995</v>
      </c>
      <c r="I46" s="255">
        <f t="shared" si="2"/>
        <v>5605.6261611985246</v>
      </c>
      <c r="J46" s="255">
        <v>476.97603460691334</v>
      </c>
      <c r="K46" s="257">
        <v>155</v>
      </c>
      <c r="L46" s="27"/>
      <c r="N46" s="190"/>
      <c r="O46" s="27"/>
      <c r="P46" s="27"/>
      <c r="Q46" s="27"/>
      <c r="R46" s="27"/>
    </row>
    <row r="47" spans="1:18">
      <c r="A47" s="254" t="s">
        <v>334</v>
      </c>
      <c r="B47" s="255">
        <f t="shared" ref="B47:B50" si="13">+J46</f>
        <v>476.97603460691334</v>
      </c>
      <c r="C47" s="255">
        <f>+'tab 17'!E44</f>
        <v>5945</v>
      </c>
      <c r="D47" s="255">
        <v>1.0883119563629997</v>
      </c>
      <c r="E47" s="255">
        <f t="shared" si="11"/>
        <v>6423.0643465632766</v>
      </c>
      <c r="F47" s="255">
        <v>1712.01</v>
      </c>
      <c r="G47" s="255">
        <v>340.64748459156186</v>
      </c>
      <c r="H47" s="255">
        <f t="shared" si="12"/>
        <v>3914.3999999999996</v>
      </c>
      <c r="I47" s="255">
        <f t="shared" si="2"/>
        <v>5967.0574845915617</v>
      </c>
      <c r="J47" s="255">
        <v>456.0068619717149</v>
      </c>
      <c r="K47" s="257">
        <v>161</v>
      </c>
      <c r="L47" s="27"/>
      <c r="N47" s="190"/>
      <c r="O47" s="27"/>
      <c r="P47" s="27"/>
      <c r="Q47" s="27"/>
      <c r="R47" s="27"/>
    </row>
    <row r="48" spans="1:18" ht="10.15" customHeight="1">
      <c r="A48" s="254" t="s">
        <v>350</v>
      </c>
      <c r="B48" s="255">
        <f t="shared" si="13"/>
        <v>456.0068619717149</v>
      </c>
      <c r="C48" s="255">
        <f>+'tab 17'!E45</f>
        <v>4468</v>
      </c>
      <c r="D48" s="255">
        <v>0.93222467486699978</v>
      </c>
      <c r="E48" s="255">
        <f t="shared" si="11"/>
        <v>4924.9390866465819</v>
      </c>
      <c r="F48" s="255">
        <v>1562.7429999999999</v>
      </c>
      <c r="G48" s="255">
        <v>279.55353370177693</v>
      </c>
      <c r="H48" s="255">
        <f t="shared" si="12"/>
        <v>2687.0000000000009</v>
      </c>
      <c r="I48" s="255">
        <f t="shared" si="2"/>
        <v>4529.2965337017777</v>
      </c>
      <c r="J48" s="255">
        <v>395.64255294480427</v>
      </c>
      <c r="K48" s="257">
        <v>194</v>
      </c>
      <c r="L48" s="27"/>
      <c r="N48" s="190"/>
      <c r="O48" s="27"/>
      <c r="P48" s="27"/>
      <c r="Q48" s="27"/>
      <c r="R48" s="27"/>
    </row>
    <row r="49" spans="1:18" ht="10.15" customHeight="1">
      <c r="A49" s="254" t="s">
        <v>615</v>
      </c>
      <c r="B49" s="255">
        <f t="shared" si="13"/>
        <v>395.64255294480427</v>
      </c>
      <c r="C49" s="255">
        <f>+'tab 17'!E46</f>
        <v>5323</v>
      </c>
      <c r="D49" s="255">
        <v>24.765738432900992</v>
      </c>
      <c r="E49" s="255">
        <f t="shared" si="11"/>
        <v>5743.4082913777056</v>
      </c>
      <c r="F49" s="255">
        <v>1556.9839999999999</v>
      </c>
      <c r="G49" s="255">
        <v>297.69790855776995</v>
      </c>
      <c r="H49" s="255">
        <f t="shared" si="12"/>
        <v>3493.7999999999993</v>
      </c>
      <c r="I49" s="255">
        <f t="shared" si="2"/>
        <v>5348.4819085577692</v>
      </c>
      <c r="J49" s="255">
        <v>394.92638281993641</v>
      </c>
      <c r="K49" s="257">
        <v>243</v>
      </c>
      <c r="L49" s="27"/>
      <c r="N49" s="190"/>
      <c r="O49" s="27"/>
      <c r="P49" s="27"/>
      <c r="Q49" s="27"/>
      <c r="R49" s="27"/>
    </row>
    <row r="50" spans="1:18" ht="10.15" customHeight="1">
      <c r="A50" s="256" t="s">
        <v>614</v>
      </c>
      <c r="B50" s="240">
        <f t="shared" si="13"/>
        <v>394.92638281993641</v>
      </c>
      <c r="C50" s="240">
        <f>+'tab 17'!E47</f>
        <v>4455</v>
      </c>
      <c r="D50" s="240">
        <v>55</v>
      </c>
      <c r="E50" s="240">
        <f t="shared" si="11"/>
        <v>4904.9263828199364</v>
      </c>
      <c r="F50" s="240">
        <v>1500</v>
      </c>
      <c r="G50" s="240">
        <v>200</v>
      </c>
      <c r="H50" s="240">
        <v>2782</v>
      </c>
      <c r="I50" s="240">
        <f>SUM(F50:H50)</f>
        <v>4482</v>
      </c>
      <c r="J50" s="240">
        <f>E50-I50</f>
        <v>422.92638281993641</v>
      </c>
      <c r="K50" s="258">
        <v>335</v>
      </c>
      <c r="L50" s="27"/>
      <c r="N50" s="190"/>
    </row>
    <row r="51" spans="1:18">
      <c r="A51" s="61" t="s">
        <v>514</v>
      </c>
      <c r="B51" s="27"/>
      <c r="C51" s="27"/>
      <c r="D51" s="27"/>
      <c r="E51" s="27"/>
      <c r="F51" s="27"/>
      <c r="G51" s="27"/>
      <c r="H51" s="27"/>
      <c r="I51" s="27"/>
      <c r="J51" s="27"/>
      <c r="K51" s="26"/>
      <c r="L51" s="27"/>
    </row>
    <row r="52" spans="1:18">
      <c r="A52" t="s">
        <v>725</v>
      </c>
    </row>
    <row r="53" spans="1:18">
      <c r="A53" t="s">
        <v>724</v>
      </c>
    </row>
    <row r="54" spans="1:18">
      <c r="J54" s="101"/>
      <c r="K54" s="225" t="s">
        <v>592</v>
      </c>
    </row>
  </sheetData>
  <phoneticPr fontId="0" type="noConversion"/>
  <pageMargins left="0.75" right="0.75" top="1" bottom="1" header="0.5" footer="0.5"/>
  <pageSetup scale="85" firstPageNumber="18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46"/>
  <sheetViews>
    <sheetView zoomScaleNormal="100" zoomScaleSheetLayoutView="90" workbookViewId="0">
      <pane ySplit="3" topLeftCell="A4" activePane="bottomLeft" state="frozen"/>
      <selection pane="bottomLeft"/>
    </sheetView>
  </sheetViews>
  <sheetFormatPr defaultRowHeight="11.25"/>
  <cols>
    <col min="1" max="1" width="20.83203125" customWidth="1"/>
    <col min="2" max="4" width="26.83203125" customWidth="1"/>
    <col min="5" max="5" width="9.6640625" customWidth="1"/>
  </cols>
  <sheetData>
    <row r="1" spans="1:4">
      <c r="A1" s="227" t="s">
        <v>595</v>
      </c>
      <c r="B1" s="1"/>
      <c r="C1" s="1"/>
      <c r="D1" s="1"/>
    </row>
    <row r="2" spans="1:4">
      <c r="A2" s="4" t="s">
        <v>0</v>
      </c>
      <c r="B2" s="4" t="s">
        <v>530</v>
      </c>
      <c r="C2" s="4" t="s">
        <v>1</v>
      </c>
      <c r="D2" s="4" t="s">
        <v>2</v>
      </c>
    </row>
    <row r="3" spans="1:4">
      <c r="C3" s="148" t="s">
        <v>3</v>
      </c>
      <c r="D3" s="100"/>
    </row>
    <row r="4" spans="1:4">
      <c r="A4" t="s">
        <v>14</v>
      </c>
      <c r="B4" s="5"/>
      <c r="C4" s="5"/>
      <c r="D4" s="5"/>
    </row>
    <row r="5" spans="1:4">
      <c r="A5" t="s">
        <v>375</v>
      </c>
      <c r="B5" s="5">
        <v>1150000</v>
      </c>
      <c r="C5" s="5">
        <v>1032666</v>
      </c>
      <c r="D5" s="5">
        <f>B5+C5</f>
        <v>2182666</v>
      </c>
    </row>
    <row r="6" spans="1:4">
      <c r="A6" t="s">
        <v>376</v>
      </c>
      <c r="B6" s="5">
        <v>730000</v>
      </c>
      <c r="C6" s="5">
        <v>665986</v>
      </c>
      <c r="D6" s="5">
        <f>B6+C6</f>
        <v>1395986</v>
      </c>
    </row>
    <row r="7" spans="1:4">
      <c r="A7" t="s">
        <v>111</v>
      </c>
      <c r="B7" s="5">
        <v>370000</v>
      </c>
      <c r="C7" s="5">
        <v>404425</v>
      </c>
      <c r="D7" s="5">
        <f>B7+C7</f>
        <v>774425</v>
      </c>
    </row>
    <row r="8" spans="1:4">
      <c r="A8" t="s">
        <v>377</v>
      </c>
      <c r="B8" s="5">
        <v>112500</v>
      </c>
      <c r="C8" s="5">
        <v>177662</v>
      </c>
      <c r="D8" s="5">
        <f>B8+C8</f>
        <v>290162</v>
      </c>
    </row>
    <row r="9" spans="1:4">
      <c r="B9" s="5"/>
      <c r="C9" s="5"/>
      <c r="D9" s="5"/>
    </row>
    <row r="10" spans="1:4">
      <c r="A10" t="s">
        <v>209</v>
      </c>
      <c r="B10" s="5"/>
      <c r="C10" s="5"/>
      <c r="D10" s="5"/>
    </row>
    <row r="11" spans="1:4">
      <c r="A11" t="s">
        <v>375</v>
      </c>
      <c r="B11" s="5">
        <v>1217000</v>
      </c>
      <c r="C11" s="5">
        <v>1022991</v>
      </c>
      <c r="D11" s="5">
        <f>B11+C11</f>
        <v>2239991</v>
      </c>
    </row>
    <row r="12" spans="1:4">
      <c r="A12" t="s">
        <v>376</v>
      </c>
      <c r="B12" s="5">
        <v>780000</v>
      </c>
      <c r="C12" s="5">
        <v>623908</v>
      </c>
      <c r="D12" s="5">
        <f>B12+C12</f>
        <v>1403908</v>
      </c>
    </row>
    <row r="13" spans="1:4">
      <c r="A13" t="s">
        <v>111</v>
      </c>
      <c r="B13" s="5">
        <v>365000</v>
      </c>
      <c r="C13" s="5">
        <v>343180</v>
      </c>
      <c r="D13" s="5">
        <f>B13+C13</f>
        <v>708180</v>
      </c>
    </row>
    <row r="14" spans="1:4">
      <c r="A14" t="s">
        <v>377</v>
      </c>
      <c r="B14" s="5">
        <v>83500</v>
      </c>
      <c r="C14" s="5">
        <v>164247</v>
      </c>
      <c r="D14" s="5">
        <f>B14+C14</f>
        <v>247747</v>
      </c>
    </row>
    <row r="15" spans="1:4">
      <c r="B15" s="5"/>
      <c r="C15" s="5"/>
      <c r="D15" s="5"/>
    </row>
    <row r="16" spans="1:4">
      <c r="A16" t="s">
        <v>210</v>
      </c>
      <c r="B16" s="5"/>
      <c r="C16" s="5"/>
      <c r="D16" s="43"/>
    </row>
    <row r="17" spans="1:4">
      <c r="A17" t="s">
        <v>375</v>
      </c>
      <c r="B17" s="5">
        <v>1240000</v>
      </c>
      <c r="C17" s="5">
        <v>1035618</v>
      </c>
      <c r="D17" s="5">
        <f>B17+C17</f>
        <v>2275618</v>
      </c>
    </row>
    <row r="18" spans="1:4">
      <c r="A18" t="s">
        <v>376</v>
      </c>
      <c r="B18" s="5">
        <v>687000</v>
      </c>
      <c r="C18" s="5">
        <v>648987</v>
      </c>
      <c r="D18" s="5">
        <f>B18+C18</f>
        <v>1335987</v>
      </c>
    </row>
    <row r="19" spans="1:4">
      <c r="A19" t="s">
        <v>111</v>
      </c>
      <c r="B19" s="5">
        <v>301200</v>
      </c>
      <c r="C19" s="5">
        <v>383721</v>
      </c>
      <c r="D19" s="5">
        <f>B19+C19</f>
        <v>684921</v>
      </c>
    </row>
    <row r="20" spans="1:4">
      <c r="A20" t="s">
        <v>377</v>
      </c>
      <c r="B20" s="5">
        <v>62700</v>
      </c>
      <c r="C20" s="5">
        <v>145361</v>
      </c>
      <c r="D20" s="5">
        <f>B20+C20</f>
        <v>208061</v>
      </c>
    </row>
    <row r="21" spans="1:4">
      <c r="B21" s="5"/>
      <c r="C21" s="5"/>
      <c r="D21" s="5"/>
    </row>
    <row r="22" spans="1:4">
      <c r="A22" t="s">
        <v>217</v>
      </c>
      <c r="B22" s="5"/>
      <c r="C22" s="43"/>
      <c r="D22" s="43"/>
    </row>
    <row r="23" spans="1:4">
      <c r="A23" t="s">
        <v>375</v>
      </c>
      <c r="B23" s="5">
        <v>1172000</v>
      </c>
      <c r="C23" s="5">
        <v>943373</v>
      </c>
      <c r="D23" s="5">
        <f>B23+C23</f>
        <v>2115373</v>
      </c>
    </row>
    <row r="24" spans="1:4">
      <c r="A24" t="s">
        <v>376</v>
      </c>
      <c r="B24" s="5">
        <v>636500</v>
      </c>
      <c r="C24" s="5">
        <v>565528</v>
      </c>
      <c r="D24" s="5">
        <f>B24+C24</f>
        <v>1202028</v>
      </c>
    </row>
    <row r="25" spans="1:4">
      <c r="A25" t="s">
        <v>111</v>
      </c>
      <c r="B25" s="5">
        <v>272500</v>
      </c>
      <c r="C25" s="5">
        <v>329862</v>
      </c>
      <c r="D25" s="5">
        <f>B25+C25</f>
        <v>602362</v>
      </c>
    </row>
    <row r="26" spans="1:4">
      <c r="A26" t="s">
        <v>377</v>
      </c>
      <c r="B26" s="5">
        <v>58000</v>
      </c>
      <c r="C26" s="5">
        <v>120329</v>
      </c>
      <c r="D26" s="5">
        <f>B26+C26</f>
        <v>178329</v>
      </c>
    </row>
    <row r="27" spans="1:4">
      <c r="B27" s="5"/>
      <c r="C27" s="5"/>
      <c r="D27" s="5"/>
    </row>
    <row r="28" spans="1:4">
      <c r="A28" t="s">
        <v>221</v>
      </c>
      <c r="B28" s="5"/>
      <c r="C28" s="5"/>
      <c r="D28" s="5"/>
    </row>
    <row r="29" spans="1:4">
      <c r="A29" t="s">
        <v>375</v>
      </c>
      <c r="B29" s="5">
        <v>820000</v>
      </c>
      <c r="C29" s="5">
        <v>868653</v>
      </c>
      <c r="D29" s="5">
        <f>B29+C29</f>
        <v>1688653</v>
      </c>
    </row>
    <row r="30" spans="1:4">
      <c r="A30" t="s">
        <v>376</v>
      </c>
      <c r="B30" s="5">
        <v>355900</v>
      </c>
      <c r="C30" s="5">
        <v>549947</v>
      </c>
      <c r="D30" s="5">
        <f>B30+C30</f>
        <v>905847</v>
      </c>
    </row>
    <row r="31" spans="1:4">
      <c r="A31" t="s">
        <v>111</v>
      </c>
      <c r="B31" s="5">
        <v>110000</v>
      </c>
      <c r="C31" s="5">
        <v>300604</v>
      </c>
      <c r="D31" s="5">
        <f>B31+C31</f>
        <v>410604</v>
      </c>
    </row>
    <row r="32" spans="1:4">
      <c r="A32" t="s">
        <v>377</v>
      </c>
      <c r="B32" s="5">
        <v>29400</v>
      </c>
      <c r="C32" s="5">
        <v>83014</v>
      </c>
      <c r="D32" s="5">
        <f>+B32+C32</f>
        <v>112414</v>
      </c>
    </row>
    <row r="33" spans="1:4">
      <c r="B33" s="5"/>
      <c r="C33" s="5"/>
      <c r="D33" s="5"/>
    </row>
    <row r="34" spans="1:4">
      <c r="A34" s="57" t="s">
        <v>222</v>
      </c>
      <c r="B34" s="5"/>
      <c r="C34" s="5"/>
      <c r="D34" s="5"/>
    </row>
    <row r="35" spans="1:4">
      <c r="A35" t="s">
        <v>375</v>
      </c>
      <c r="B35" s="5">
        <v>1300000</v>
      </c>
      <c r="C35" s="5">
        <v>1004640</v>
      </c>
      <c r="D35" s="5">
        <f>+B35+C35</f>
        <v>2304640</v>
      </c>
    </row>
    <row r="36" spans="1:4">
      <c r="A36" t="s">
        <v>376</v>
      </c>
      <c r="B36" s="5">
        <v>795000</v>
      </c>
      <c r="C36" s="5">
        <v>586364</v>
      </c>
      <c r="D36" s="5">
        <f>+B36+C36</f>
        <v>1381364</v>
      </c>
    </row>
    <row r="37" spans="1:4">
      <c r="A37" t="s">
        <v>111</v>
      </c>
      <c r="B37" s="5">
        <v>356100</v>
      </c>
      <c r="C37" s="5">
        <v>343174</v>
      </c>
      <c r="D37" s="5">
        <f>+B37+C37</f>
        <v>699274</v>
      </c>
    </row>
    <row r="38" spans="1:4">
      <c r="A38" t="s">
        <v>377</v>
      </c>
      <c r="B38" s="5">
        <v>99700</v>
      </c>
      <c r="C38" s="5">
        <v>156038</v>
      </c>
      <c r="D38" s="5">
        <f>+B38+C38</f>
        <v>255738</v>
      </c>
    </row>
    <row r="39" spans="1:4">
      <c r="B39" s="5"/>
      <c r="C39" s="5"/>
      <c r="D39" s="5"/>
    </row>
    <row r="40" spans="1:4">
      <c r="A40" s="57" t="s">
        <v>225</v>
      </c>
      <c r="B40" s="5"/>
      <c r="C40" s="5"/>
      <c r="D40" s="5"/>
    </row>
    <row r="41" spans="1:4">
      <c r="A41" t="s">
        <v>375</v>
      </c>
      <c r="B41" s="5">
        <v>1345000</v>
      </c>
      <c r="C41" s="5">
        <v>1156426</v>
      </c>
      <c r="D41" s="5">
        <f>B41+C41</f>
        <v>2501426</v>
      </c>
    </row>
    <row r="42" spans="1:4">
      <c r="A42" t="s">
        <v>376</v>
      </c>
      <c r="B42" s="5">
        <v>872000</v>
      </c>
      <c r="C42" s="5">
        <v>797206</v>
      </c>
      <c r="D42" s="5">
        <f>B42+C42</f>
        <v>1669206</v>
      </c>
    </row>
    <row r="43" spans="1:4">
      <c r="A43" t="s">
        <v>111</v>
      </c>
      <c r="B43" s="5">
        <v>495500</v>
      </c>
      <c r="C43" s="5">
        <v>495199</v>
      </c>
      <c r="D43" s="5">
        <f>B43+C43</f>
        <v>990699</v>
      </c>
    </row>
    <row r="44" spans="1:4">
      <c r="A44" t="s">
        <v>377</v>
      </c>
      <c r="B44" s="5">
        <v>176300</v>
      </c>
      <c r="C44" s="5">
        <v>273026</v>
      </c>
      <c r="D44" s="5">
        <f>B44+C44</f>
        <v>449326</v>
      </c>
    </row>
    <row r="45" spans="1:4">
      <c r="B45" s="5"/>
      <c r="C45" s="5"/>
      <c r="D45" s="5"/>
    </row>
    <row r="46" spans="1:4">
      <c r="A46" s="57" t="s">
        <v>227</v>
      </c>
      <c r="B46" s="5"/>
      <c r="C46" s="5"/>
      <c r="D46" s="5"/>
    </row>
    <row r="47" spans="1:4">
      <c r="A47" t="s">
        <v>375</v>
      </c>
      <c r="B47" s="5">
        <v>1461000</v>
      </c>
      <c r="C47" s="5">
        <v>1240366</v>
      </c>
      <c r="D47" s="5">
        <f>+B47+C47</f>
        <v>2701366</v>
      </c>
    </row>
    <row r="48" spans="1:4">
      <c r="A48" t="s">
        <v>376</v>
      </c>
      <c r="B48" s="5">
        <v>910000</v>
      </c>
      <c r="C48" s="5">
        <v>876887</v>
      </c>
      <c r="D48" s="5">
        <f>+B48+C48</f>
        <v>1786887</v>
      </c>
    </row>
    <row r="49" spans="1:4">
      <c r="A49" t="s">
        <v>111</v>
      </c>
      <c r="B49" s="5">
        <v>500000</v>
      </c>
      <c r="C49" s="5">
        <v>592185</v>
      </c>
      <c r="D49" s="5">
        <f>+B49+C49</f>
        <v>1092185</v>
      </c>
    </row>
    <row r="50" spans="1:4">
      <c r="A50" t="s">
        <v>377</v>
      </c>
      <c r="B50" s="5">
        <v>143000</v>
      </c>
      <c r="C50" s="5">
        <v>430810</v>
      </c>
      <c r="D50" s="5">
        <f>+B50+C50</f>
        <v>573810</v>
      </c>
    </row>
    <row r="51" spans="1:4">
      <c r="B51" s="5"/>
      <c r="C51" s="5"/>
      <c r="D51" s="5"/>
    </row>
    <row r="52" spans="1:4">
      <c r="A52" s="57" t="s">
        <v>230</v>
      </c>
      <c r="B52" s="5"/>
      <c r="C52" s="5"/>
      <c r="D52" s="5"/>
    </row>
    <row r="53" spans="1:4">
      <c r="A53" t="s">
        <v>375</v>
      </c>
      <c r="B53" s="5">
        <v>1128500</v>
      </c>
      <c r="C53" s="5">
        <v>1231860</v>
      </c>
      <c r="D53" s="5">
        <f>+B53+C53</f>
        <v>2360360</v>
      </c>
    </row>
    <row r="54" spans="1:4">
      <c r="A54" t="s">
        <v>376</v>
      </c>
      <c r="B54" s="5">
        <v>593000</v>
      </c>
      <c r="C54" s="5">
        <v>840982</v>
      </c>
      <c r="D54" s="5">
        <f>+B54+C54</f>
        <v>1433982</v>
      </c>
    </row>
    <row r="55" spans="1:4">
      <c r="A55" t="s">
        <v>111</v>
      </c>
      <c r="B55" s="5">
        <v>226600</v>
      </c>
      <c r="C55" s="5">
        <v>449543</v>
      </c>
      <c r="D55" s="5">
        <f>+B55+C55</f>
        <v>676143</v>
      </c>
    </row>
    <row r="56" spans="1:4">
      <c r="A56" t="s">
        <v>377</v>
      </c>
      <c r="B56" s="5">
        <v>47000</v>
      </c>
      <c r="C56" s="5">
        <v>158034</v>
      </c>
      <c r="D56" s="5">
        <f>+B56+C56</f>
        <v>205034</v>
      </c>
    </row>
    <row r="57" spans="1:4">
      <c r="B57" s="5"/>
      <c r="C57" s="5"/>
      <c r="D57" s="5"/>
    </row>
    <row r="58" spans="1:4">
      <c r="A58" s="57" t="s">
        <v>231</v>
      </c>
      <c r="B58" s="5"/>
      <c r="C58" s="5"/>
      <c r="D58" s="5"/>
    </row>
    <row r="59" spans="1:4">
      <c r="A59" t="s">
        <v>375</v>
      </c>
      <c r="B59" s="5">
        <v>1189000</v>
      </c>
      <c r="C59" s="5">
        <v>1086432</v>
      </c>
      <c r="D59" s="5">
        <f>+B59+C59</f>
        <v>2275432</v>
      </c>
    </row>
    <row r="60" spans="1:4">
      <c r="A60" t="s">
        <v>376</v>
      </c>
      <c r="B60" s="5">
        <v>656500</v>
      </c>
      <c r="C60" s="5">
        <v>645289</v>
      </c>
      <c r="D60" s="5">
        <f>+B60+C60</f>
        <v>1301789</v>
      </c>
    </row>
    <row r="61" spans="1:4">
      <c r="A61" t="s">
        <v>111</v>
      </c>
      <c r="B61" s="5">
        <v>226300</v>
      </c>
      <c r="C61" s="5">
        <v>369859</v>
      </c>
      <c r="D61" s="5">
        <f>+B61+C61</f>
        <v>596159</v>
      </c>
    </row>
    <row r="62" spans="1:4">
      <c r="A62" t="s">
        <v>377</v>
      </c>
      <c r="B62" s="5">
        <v>35100</v>
      </c>
      <c r="C62" s="5">
        <v>103098</v>
      </c>
      <c r="D62" s="5">
        <f>+B62+C62</f>
        <v>138198</v>
      </c>
    </row>
    <row r="63" spans="1:4">
      <c r="B63" s="5"/>
      <c r="C63" s="5"/>
      <c r="D63" s="5"/>
    </row>
    <row r="64" spans="1:4">
      <c r="A64" s="57" t="s">
        <v>234</v>
      </c>
      <c r="B64" s="5"/>
      <c r="C64" s="5"/>
      <c r="D64" s="5"/>
    </row>
    <row r="65" spans="1:4">
      <c r="A65" t="s">
        <v>375</v>
      </c>
      <c r="B65" s="5">
        <v>1229500</v>
      </c>
      <c r="C65" s="5">
        <v>1109050</v>
      </c>
      <c r="D65" s="5">
        <f>+B65+C65</f>
        <v>2338550</v>
      </c>
    </row>
    <row r="66" spans="1:4">
      <c r="A66" t="s">
        <v>376</v>
      </c>
      <c r="B66" s="5">
        <v>609200</v>
      </c>
      <c r="C66" s="5">
        <v>660868</v>
      </c>
      <c r="D66" s="5">
        <f>+B66+C66</f>
        <v>1270068</v>
      </c>
    </row>
    <row r="67" spans="1:4">
      <c r="A67" t="s">
        <v>111</v>
      </c>
      <c r="B67" s="5">
        <v>232600</v>
      </c>
      <c r="C67" s="5">
        <v>338523</v>
      </c>
      <c r="D67" s="5">
        <f>+B67+C67</f>
        <v>571123</v>
      </c>
    </row>
    <row r="68" spans="1:4">
      <c r="A68" t="s">
        <v>377</v>
      </c>
      <c r="B68" s="5">
        <v>35400</v>
      </c>
      <c r="C68" s="5">
        <v>115485</v>
      </c>
      <c r="D68" s="5">
        <f>+B68+C68</f>
        <v>150885</v>
      </c>
    </row>
    <row r="69" spans="1:4">
      <c r="B69" s="5"/>
      <c r="C69" s="5"/>
      <c r="D69" s="5"/>
    </row>
    <row r="70" spans="1:4">
      <c r="A70" s="66" t="s">
        <v>236</v>
      </c>
      <c r="B70" s="5"/>
      <c r="C70" s="5"/>
      <c r="D70" s="5"/>
    </row>
    <row r="71" spans="1:4">
      <c r="A71" t="s">
        <v>375</v>
      </c>
      <c r="B71" s="5">
        <v>1091000</v>
      </c>
      <c r="C71" s="5">
        <v>1187084</v>
      </c>
      <c r="D71" s="5">
        <f>+B71+C71</f>
        <v>2278084</v>
      </c>
    </row>
    <row r="72" spans="1:4">
      <c r="A72" t="s">
        <v>376</v>
      </c>
      <c r="B72" s="5">
        <v>505000</v>
      </c>
      <c r="C72" s="5">
        <v>743800</v>
      </c>
      <c r="D72" s="5">
        <f>+B72+C72</f>
        <v>1248800</v>
      </c>
    </row>
    <row r="73" spans="1:4">
      <c r="A73" t="s">
        <v>111</v>
      </c>
      <c r="B73" s="5">
        <v>217700</v>
      </c>
      <c r="C73" s="5">
        <v>401583</v>
      </c>
      <c r="D73" s="5">
        <f>+B73+C73</f>
        <v>619283</v>
      </c>
    </row>
    <row r="74" spans="1:4">
      <c r="A74" t="s">
        <v>377</v>
      </c>
      <c r="B74" s="5">
        <v>48500</v>
      </c>
      <c r="C74" s="5">
        <v>166513</v>
      </c>
      <c r="D74" s="5">
        <f>+B74+C74</f>
        <v>215013</v>
      </c>
    </row>
    <row r="75" spans="1:4">
      <c r="B75" s="5"/>
      <c r="C75" s="5"/>
      <c r="D75" s="5"/>
    </row>
    <row r="76" spans="1:4">
      <c r="A76" s="66" t="s">
        <v>239</v>
      </c>
      <c r="B76" s="5"/>
      <c r="C76" s="5"/>
      <c r="D76" s="5"/>
    </row>
    <row r="77" spans="1:4">
      <c r="A77" t="s">
        <v>375</v>
      </c>
      <c r="B77" s="5">
        <v>1139000</v>
      </c>
      <c r="C77" s="5">
        <v>1230885</v>
      </c>
      <c r="D77" s="5">
        <f>B77+C77</f>
        <v>2369885</v>
      </c>
    </row>
    <row r="78" spans="1:4">
      <c r="A78" t="s">
        <v>376</v>
      </c>
      <c r="B78" s="5">
        <v>555000</v>
      </c>
      <c r="C78" s="5">
        <v>819488</v>
      </c>
      <c r="D78" s="5">
        <f>B78+C78</f>
        <v>1374488</v>
      </c>
    </row>
    <row r="79" spans="1:4">
      <c r="A79" t="s">
        <v>111</v>
      </c>
      <c r="B79" s="5">
        <v>179000</v>
      </c>
      <c r="C79" s="5">
        <v>488465</v>
      </c>
      <c r="D79" s="5">
        <f>B79+C79</f>
        <v>667465</v>
      </c>
    </row>
    <row r="80" spans="1:4">
      <c r="A80" t="s">
        <v>377</v>
      </c>
      <c r="B80" s="5">
        <v>38250</v>
      </c>
      <c r="C80" s="5">
        <v>131120</v>
      </c>
      <c r="D80" s="5">
        <f>B80+C80</f>
        <v>169370</v>
      </c>
    </row>
    <row r="81" spans="1:4">
      <c r="B81" s="5"/>
      <c r="C81" s="5"/>
      <c r="D81" s="5"/>
    </row>
    <row r="82" spans="1:4">
      <c r="A82" s="66" t="s">
        <v>241</v>
      </c>
      <c r="B82" s="5"/>
      <c r="C82" s="5"/>
      <c r="D82" s="5"/>
    </row>
    <row r="83" spans="1:4">
      <c r="A83" t="s">
        <v>375</v>
      </c>
      <c r="B83" s="5">
        <v>910000</v>
      </c>
      <c r="C83" s="5">
        <v>1056161</v>
      </c>
      <c r="D83" s="5">
        <f>B83+C83</f>
        <v>1966161</v>
      </c>
    </row>
    <row r="84" spans="1:4">
      <c r="A84" t="s">
        <v>376</v>
      </c>
      <c r="B84" s="5">
        <v>456700</v>
      </c>
      <c r="C84" s="5">
        <v>541320</v>
      </c>
      <c r="D84" s="5">
        <f>B84+C84</f>
        <v>998020</v>
      </c>
    </row>
    <row r="85" spans="1:4">
      <c r="A85" t="s">
        <v>111</v>
      </c>
      <c r="B85" s="5">
        <v>171100</v>
      </c>
      <c r="C85" s="5">
        <v>263564</v>
      </c>
      <c r="D85" s="5">
        <f>B85+C85</f>
        <v>434664</v>
      </c>
    </row>
    <row r="86" spans="1:4">
      <c r="A86" t="s">
        <v>377</v>
      </c>
      <c r="B86" s="5">
        <v>39550</v>
      </c>
      <c r="C86" s="5">
        <v>101007</v>
      </c>
      <c r="D86" s="5">
        <f>B86+C86</f>
        <v>140557</v>
      </c>
    </row>
    <row r="87" spans="1:4">
      <c r="B87" s="5"/>
      <c r="C87" s="5"/>
      <c r="D87" s="5"/>
    </row>
    <row r="88" spans="1:4">
      <c r="A88" s="66" t="s">
        <v>253</v>
      </c>
      <c r="B88" s="5"/>
      <c r="C88" s="5"/>
      <c r="D88" s="5"/>
    </row>
    <row r="89" spans="1:4">
      <c r="A89" t="s">
        <v>375</v>
      </c>
      <c r="B89" s="5">
        <v>955000</v>
      </c>
      <c r="C89" s="5">
        <v>1198621</v>
      </c>
      <c r="D89" s="5">
        <f>B89+C89</f>
        <v>2153621</v>
      </c>
    </row>
    <row r="90" spans="1:4">
      <c r="A90" t="s">
        <v>376</v>
      </c>
      <c r="B90" s="5">
        <v>381900</v>
      </c>
      <c r="C90" s="5">
        <v>611928</v>
      </c>
      <c r="D90" s="5">
        <f>B90+C90</f>
        <v>993828</v>
      </c>
    </row>
    <row r="91" spans="1:4">
      <c r="A91" t="s">
        <v>111</v>
      </c>
      <c r="B91" s="5">
        <v>109100</v>
      </c>
      <c r="C91" s="5">
        <v>295945</v>
      </c>
      <c r="D91" s="5">
        <f>B91+C91</f>
        <v>405045</v>
      </c>
    </row>
    <row r="92" spans="1:4">
      <c r="A92" t="s">
        <v>377</v>
      </c>
      <c r="B92" s="5">
        <v>21325</v>
      </c>
      <c r="C92" s="5">
        <v>70666</v>
      </c>
      <c r="D92" s="5">
        <f>B92+C92</f>
        <v>91991</v>
      </c>
    </row>
    <row r="93" spans="1:4">
      <c r="B93" s="5"/>
      <c r="C93" s="5"/>
      <c r="D93" s="5"/>
    </row>
    <row r="94" spans="1:4">
      <c r="A94" s="66" t="s">
        <v>258</v>
      </c>
      <c r="B94" s="5"/>
      <c r="C94" s="5"/>
      <c r="D94" s="5"/>
    </row>
    <row r="95" spans="1:4">
      <c r="A95" t="s">
        <v>375</v>
      </c>
      <c r="B95" s="5">
        <v>1218000</v>
      </c>
      <c r="C95" s="5">
        <v>1309744</v>
      </c>
      <c r="D95" s="5">
        <f>B95+C95</f>
        <v>2527744</v>
      </c>
    </row>
    <row r="96" spans="1:4">
      <c r="A96" t="s">
        <v>376</v>
      </c>
      <c r="B96" s="5">
        <v>609200</v>
      </c>
      <c r="C96" s="5">
        <v>717399</v>
      </c>
      <c r="D96" s="5">
        <f>B96+C96</f>
        <v>1326599</v>
      </c>
    </row>
    <row r="97" spans="1:4">
      <c r="A97" t="s">
        <v>111</v>
      </c>
      <c r="B97" s="5">
        <v>246300</v>
      </c>
      <c r="C97" s="5">
        <v>380768</v>
      </c>
      <c r="D97" s="5">
        <f>B97+C97</f>
        <v>627068</v>
      </c>
    </row>
    <row r="98" spans="1:4">
      <c r="A98" t="s">
        <v>377</v>
      </c>
      <c r="B98" s="5">
        <v>49700</v>
      </c>
      <c r="C98" s="5">
        <v>140910</v>
      </c>
      <c r="D98" s="5">
        <f>B98+C98</f>
        <v>190610</v>
      </c>
    </row>
    <row r="99" spans="1:4">
      <c r="B99" s="5"/>
      <c r="C99" s="5"/>
      <c r="D99" s="5"/>
    </row>
    <row r="100" spans="1:4">
      <c r="A100" s="66" t="s">
        <v>260</v>
      </c>
      <c r="B100" s="5"/>
      <c r="C100" s="5"/>
      <c r="D100" s="5"/>
    </row>
    <row r="101" spans="1:4">
      <c r="A101" t="s">
        <v>375</v>
      </c>
      <c r="B101" s="5">
        <v>1308500</v>
      </c>
      <c r="C101" s="5">
        <v>1405577</v>
      </c>
      <c r="D101" s="5">
        <f>B101+C101</f>
        <v>2714077</v>
      </c>
    </row>
    <row r="102" spans="1:4">
      <c r="A102" t="s">
        <v>376</v>
      </c>
      <c r="B102" s="5">
        <v>727500</v>
      </c>
      <c r="C102" s="5">
        <v>803406</v>
      </c>
      <c r="D102" s="5">
        <f>B102+C102</f>
        <v>1530906</v>
      </c>
    </row>
    <row r="103" spans="1:4">
      <c r="A103" t="s">
        <v>111</v>
      </c>
      <c r="B103" s="5">
        <v>281300</v>
      </c>
      <c r="C103" s="5">
        <v>590481</v>
      </c>
      <c r="D103" s="5">
        <f>B103+C103</f>
        <v>871781</v>
      </c>
    </row>
    <row r="104" spans="1:4">
      <c r="A104" t="s">
        <v>377</v>
      </c>
      <c r="B104" s="5">
        <v>41560</v>
      </c>
      <c r="C104" s="5">
        <v>155169</v>
      </c>
      <c r="D104" s="5">
        <f>B104+C104</f>
        <v>196729</v>
      </c>
    </row>
    <row r="105" spans="1:4">
      <c r="B105" s="5"/>
      <c r="C105" s="5"/>
      <c r="D105" s="5"/>
    </row>
    <row r="106" spans="1:4">
      <c r="A106" s="66" t="s">
        <v>262</v>
      </c>
      <c r="B106" s="5"/>
      <c r="C106" s="5"/>
      <c r="D106" s="5"/>
    </row>
    <row r="107" spans="1:4">
      <c r="A107" t="s">
        <v>375</v>
      </c>
      <c r="B107" s="5">
        <v>1335000</v>
      </c>
      <c r="C107" s="5">
        <v>1564056</v>
      </c>
      <c r="D107" s="5">
        <f>B107+C107</f>
        <v>2899056</v>
      </c>
    </row>
    <row r="108" spans="1:4">
      <c r="A108" t="s">
        <v>376</v>
      </c>
      <c r="B108" s="5">
        <v>668500</v>
      </c>
      <c r="C108" s="5">
        <v>1070433</v>
      </c>
      <c r="D108" s="5">
        <f>B108+C108</f>
        <v>1738933</v>
      </c>
    </row>
    <row r="109" spans="1:4">
      <c r="A109" t="s">
        <v>111</v>
      </c>
      <c r="B109" s="5">
        <v>332500</v>
      </c>
      <c r="C109" s="5">
        <v>633356</v>
      </c>
      <c r="D109" s="5">
        <f>B109+C109</f>
        <v>965856</v>
      </c>
    </row>
    <row r="110" spans="1:4">
      <c r="A110" t="s">
        <v>377</v>
      </c>
      <c r="B110" s="5">
        <v>87900</v>
      </c>
      <c r="C110" s="5">
        <v>213695</v>
      </c>
      <c r="D110" s="5">
        <f>B110+C110</f>
        <v>301595</v>
      </c>
    </row>
    <row r="111" spans="1:4">
      <c r="B111" s="5"/>
      <c r="C111" s="5"/>
      <c r="D111" s="5"/>
    </row>
    <row r="112" spans="1:4">
      <c r="A112" s="66" t="s">
        <v>270</v>
      </c>
      <c r="B112" s="5"/>
      <c r="C112" s="5"/>
      <c r="D112" s="5"/>
    </row>
    <row r="113" spans="1:5">
      <c r="A113" t="s">
        <v>375</v>
      </c>
      <c r="B113" s="5">
        <v>1485000</v>
      </c>
      <c r="C113" s="5">
        <v>1675679</v>
      </c>
      <c r="D113" s="5">
        <f>B113+C113</f>
        <v>3160679</v>
      </c>
    </row>
    <row r="114" spans="1:5">
      <c r="A114" t="s">
        <v>376</v>
      </c>
      <c r="B114" s="5">
        <v>855000</v>
      </c>
      <c r="C114" s="5">
        <v>1254303</v>
      </c>
      <c r="D114" s="5">
        <f>B114+C114</f>
        <v>2109303</v>
      </c>
    </row>
    <row r="115" spans="1:5">
      <c r="A115" t="s">
        <v>111</v>
      </c>
      <c r="B115" s="5">
        <v>377000</v>
      </c>
      <c r="C115" s="5">
        <v>842329</v>
      </c>
      <c r="D115" s="5">
        <f>B115+C115</f>
        <v>1219329</v>
      </c>
    </row>
    <row r="116" spans="1:5">
      <c r="A116" t="s">
        <v>377</v>
      </c>
      <c r="B116" s="5">
        <v>101000</v>
      </c>
      <c r="C116" s="5">
        <v>337105</v>
      </c>
      <c r="D116" s="5">
        <f>B116+C116</f>
        <v>438105</v>
      </c>
    </row>
    <row r="117" spans="1:5">
      <c r="B117" s="5"/>
      <c r="C117" s="5"/>
      <c r="D117" s="5"/>
    </row>
    <row r="118" spans="1:5">
      <c r="A118" s="66" t="s">
        <v>295</v>
      </c>
      <c r="B118" s="5"/>
      <c r="C118" s="5"/>
      <c r="D118" s="5"/>
    </row>
    <row r="119" spans="1:5">
      <c r="A119" t="s">
        <v>375</v>
      </c>
      <c r="B119" s="5">
        <v>1935000</v>
      </c>
      <c r="C119" s="5">
        <v>1810824</v>
      </c>
      <c r="D119" s="5">
        <f>B119+C119</f>
        <v>3745824</v>
      </c>
    </row>
    <row r="120" spans="1:5">
      <c r="A120" t="s">
        <v>376</v>
      </c>
      <c r="B120" s="5">
        <v>1270000</v>
      </c>
      <c r="C120" s="5">
        <v>1457069</v>
      </c>
      <c r="D120" s="5">
        <f>B120+C120</f>
        <v>2727069</v>
      </c>
    </row>
    <row r="121" spans="1:5">
      <c r="A121" t="s">
        <v>111</v>
      </c>
      <c r="B121" s="5">
        <v>730000</v>
      </c>
      <c r="C121" s="5">
        <v>1053080</v>
      </c>
      <c r="D121" s="5">
        <f>B121+C121</f>
        <v>1783080</v>
      </c>
    </row>
    <row r="122" spans="1:5">
      <c r="A122" t="s">
        <v>377</v>
      </c>
      <c r="B122" s="5">
        <v>265000</v>
      </c>
      <c r="C122" s="5">
        <v>644052</v>
      </c>
      <c r="D122" s="5">
        <f>B122+C122</f>
        <v>909052</v>
      </c>
    </row>
    <row r="123" spans="1:5">
      <c r="B123" s="5"/>
      <c r="C123" s="5"/>
      <c r="D123" s="5"/>
    </row>
    <row r="124" spans="1:5">
      <c r="A124" s="66" t="s">
        <v>334</v>
      </c>
      <c r="B124" s="5"/>
      <c r="C124" s="5"/>
      <c r="D124" s="5"/>
    </row>
    <row r="125" spans="1:5">
      <c r="A125" t="s">
        <v>375</v>
      </c>
      <c r="B125" s="5">
        <v>1519500</v>
      </c>
      <c r="C125" s="5">
        <v>1732988</v>
      </c>
      <c r="D125" s="5">
        <f>B125+C125</f>
        <v>3252488</v>
      </c>
      <c r="E125" s="5"/>
    </row>
    <row r="126" spans="1:5">
      <c r="A126" t="s">
        <v>376</v>
      </c>
      <c r="B126" s="5">
        <v>1011500</v>
      </c>
      <c r="C126" s="5">
        <v>1243382</v>
      </c>
      <c r="D126" s="5">
        <f>B126+C126</f>
        <v>2254882</v>
      </c>
    </row>
    <row r="127" spans="1:5">
      <c r="A127" t="s">
        <v>111</v>
      </c>
      <c r="B127" s="5">
        <v>633000</v>
      </c>
      <c r="C127" s="5">
        <v>748394</v>
      </c>
      <c r="D127" s="5">
        <f>B127+C127</f>
        <v>1381394</v>
      </c>
    </row>
    <row r="128" spans="1:5">
      <c r="A128" t="s">
        <v>377</v>
      </c>
      <c r="B128" s="5">
        <v>141200</v>
      </c>
      <c r="C128" s="5">
        <v>383341</v>
      </c>
      <c r="D128" s="5">
        <f>B128+C128</f>
        <v>524541</v>
      </c>
    </row>
    <row r="129" spans="1:4">
      <c r="B129" s="5"/>
      <c r="C129" s="5"/>
      <c r="D129" s="5"/>
    </row>
    <row r="130" spans="1:4">
      <c r="A130" s="66" t="s">
        <v>350</v>
      </c>
      <c r="B130" s="5"/>
      <c r="C130" s="5"/>
      <c r="D130" s="5"/>
    </row>
    <row r="131" spans="1:4">
      <c r="A131" s="57" t="s">
        <v>375</v>
      </c>
      <c r="B131" s="5">
        <v>1308500</v>
      </c>
      <c r="C131" s="5">
        <v>1638240</v>
      </c>
      <c r="D131" s="5">
        <f>SUM(B131:C131)</f>
        <v>2946740</v>
      </c>
    </row>
    <row r="132" spans="1:4">
      <c r="A132" t="s">
        <v>376</v>
      </c>
      <c r="B132" s="5">
        <v>594000</v>
      </c>
      <c r="C132" s="5">
        <v>967684</v>
      </c>
      <c r="D132" s="5">
        <f t="shared" ref="D132:D134" si="0">SUM(B132:C132)</f>
        <v>1561684</v>
      </c>
    </row>
    <row r="133" spans="1:4">
      <c r="A133" t="s">
        <v>111</v>
      </c>
      <c r="B133" s="5">
        <v>219900</v>
      </c>
      <c r="C133" s="5">
        <v>549140</v>
      </c>
      <c r="D133" s="5">
        <f t="shared" si="0"/>
        <v>769040</v>
      </c>
    </row>
    <row r="134" spans="1:4">
      <c r="A134" t="s">
        <v>377</v>
      </c>
      <c r="B134" s="5">
        <v>68100</v>
      </c>
      <c r="C134" s="5">
        <v>188879</v>
      </c>
      <c r="D134" s="5">
        <f t="shared" si="0"/>
        <v>256979</v>
      </c>
    </row>
    <row r="135" spans="1:4">
      <c r="B135" s="5"/>
      <c r="C135" s="5"/>
      <c r="D135" s="5"/>
    </row>
    <row r="136" spans="1:4">
      <c r="A136" t="s">
        <v>503</v>
      </c>
      <c r="B136" s="5"/>
      <c r="C136" s="5"/>
      <c r="D136" s="5"/>
    </row>
    <row r="137" spans="1:4">
      <c r="A137" s="57" t="s">
        <v>375</v>
      </c>
      <c r="B137" s="5">
        <v>1522000</v>
      </c>
      <c r="C137" s="5">
        <v>1614524</v>
      </c>
      <c r="D137" s="5">
        <f>SUM(B137:C137)</f>
        <v>3136524</v>
      </c>
    </row>
    <row r="138" spans="1:4">
      <c r="A138" t="s">
        <v>376</v>
      </c>
      <c r="B138" s="5">
        <v>750000</v>
      </c>
      <c r="C138" s="5">
        <v>1181817</v>
      </c>
      <c r="D138" s="5">
        <f t="shared" ref="D138:D140" si="1">SUM(B138:C138)</f>
        <v>1931817</v>
      </c>
    </row>
    <row r="139" spans="1:4">
      <c r="A139" t="s">
        <v>111</v>
      </c>
      <c r="B139" s="5">
        <v>331400</v>
      </c>
      <c r="C139" s="5">
        <v>636125</v>
      </c>
      <c r="D139" s="5">
        <f t="shared" si="1"/>
        <v>967525</v>
      </c>
    </row>
    <row r="140" spans="1:4">
      <c r="A140" t="s">
        <v>377</v>
      </c>
      <c r="B140" s="5">
        <v>62930</v>
      </c>
      <c r="C140" s="5">
        <v>211464</v>
      </c>
      <c r="D140" s="5">
        <f t="shared" si="1"/>
        <v>274394</v>
      </c>
    </row>
    <row r="141" spans="1:4">
      <c r="A141" s="57"/>
      <c r="B141" s="5"/>
      <c r="C141" s="5"/>
      <c r="D141" s="5"/>
    </row>
    <row r="142" spans="1:4">
      <c r="A142" t="s">
        <v>591</v>
      </c>
      <c r="B142" s="5"/>
      <c r="C142" s="5"/>
      <c r="D142" s="5"/>
    </row>
    <row r="143" spans="1:4">
      <c r="A143" s="228" t="s">
        <v>375</v>
      </c>
      <c r="B143" s="229">
        <v>1477000</v>
      </c>
      <c r="C143" s="229">
        <v>1545044</v>
      </c>
      <c r="D143" s="229">
        <f>SUM(B143:C143)</f>
        <v>3022044</v>
      </c>
    </row>
    <row r="144" spans="1:4" ht="13.15" customHeight="1">
      <c r="A144" t="s">
        <v>647</v>
      </c>
    </row>
    <row r="145" spans="2:5">
      <c r="D145" s="101" t="s">
        <v>592</v>
      </c>
    </row>
    <row r="146" spans="2:5">
      <c r="B146" s="75"/>
      <c r="E146" s="76"/>
    </row>
  </sheetData>
  <phoneticPr fontId="0" type="noConversion"/>
  <pageMargins left="0.7" right="0.7" top="0.75" bottom="1.25" header="0.3" footer="0.3"/>
  <pageSetup scale="93" fitToHeight="0" orientation="portrait" useFirstPageNumber="1" r:id="rId1"/>
  <headerFooter alignWithMargins="0">
    <oddFooter>&amp;COil Crops Yearbook/OCS-2023
March 2023
Economic Research Service
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R58"/>
  <sheetViews>
    <sheetView zoomScaleNormal="100" zoomScaleSheetLayoutView="100" workbookViewId="0">
      <pane ySplit="6" topLeftCell="A7" activePane="bottomLeft" state="frozen"/>
      <selection pane="bottomLeft"/>
    </sheetView>
  </sheetViews>
  <sheetFormatPr defaultRowHeight="11.25"/>
  <cols>
    <col min="1" max="9" width="13.83203125" customWidth="1"/>
    <col min="10" max="10" width="14.6640625" customWidth="1"/>
    <col min="12" max="12" width="12" customWidth="1"/>
    <col min="15" max="15" width="19.83203125" bestFit="1" customWidth="1"/>
  </cols>
  <sheetData>
    <row r="1" spans="1:11">
      <c r="A1" s="259" t="s">
        <v>617</v>
      </c>
      <c r="B1" s="1"/>
      <c r="C1" s="1"/>
      <c r="D1" s="1"/>
      <c r="E1" s="1"/>
      <c r="F1" s="1"/>
      <c r="G1" s="1"/>
      <c r="H1" s="1"/>
      <c r="I1" s="1"/>
      <c r="J1" s="1"/>
    </row>
    <row r="2" spans="1:11">
      <c r="A2" s="7" t="s">
        <v>378</v>
      </c>
      <c r="B2" s="121"/>
      <c r="C2" s="4" t="s">
        <v>75</v>
      </c>
      <c r="D2" s="4"/>
      <c r="E2" s="120"/>
      <c r="F2" s="4"/>
      <c r="G2" s="4" t="s">
        <v>73</v>
      </c>
      <c r="H2" s="120"/>
      <c r="I2" s="7"/>
      <c r="J2" s="121" t="s">
        <v>74</v>
      </c>
    </row>
    <row r="3" spans="1:11">
      <c r="A3" s="7" t="s">
        <v>59</v>
      </c>
      <c r="B3" s="109" t="s">
        <v>96</v>
      </c>
      <c r="C3" s="7" t="s">
        <v>40</v>
      </c>
      <c r="D3" s="7" t="s">
        <v>49</v>
      </c>
      <c r="E3" s="112" t="s">
        <v>2</v>
      </c>
      <c r="F3" s="7" t="s">
        <v>97</v>
      </c>
      <c r="G3" s="7" t="s">
        <v>50</v>
      </c>
      <c r="H3" s="112" t="s">
        <v>2</v>
      </c>
      <c r="I3" s="7" t="s">
        <v>98</v>
      </c>
      <c r="J3" s="109" t="s">
        <v>167</v>
      </c>
    </row>
    <row r="4" spans="1:11">
      <c r="A4" s="7" t="s">
        <v>95</v>
      </c>
      <c r="B4" s="109" t="s">
        <v>66</v>
      </c>
      <c r="C4" s="7"/>
      <c r="D4" s="7"/>
      <c r="E4" s="112"/>
      <c r="F4" s="7"/>
      <c r="G4" s="7"/>
      <c r="H4" s="112"/>
      <c r="I4" s="7" t="s">
        <v>66</v>
      </c>
      <c r="J4" s="109" t="s">
        <v>484</v>
      </c>
    </row>
    <row r="5" spans="1:11">
      <c r="A5" s="9"/>
      <c r="B5" s="116"/>
      <c r="C5" s="9"/>
      <c r="D5" s="9"/>
      <c r="E5" s="114"/>
      <c r="F5" s="9"/>
      <c r="G5" s="9"/>
      <c r="H5" s="114"/>
      <c r="I5" s="9"/>
      <c r="J5" s="116" t="s">
        <v>124</v>
      </c>
    </row>
    <row r="6" spans="1:11">
      <c r="A6" s="73"/>
      <c r="B6" s="73"/>
      <c r="C6" s="157"/>
      <c r="D6" s="157"/>
      <c r="E6" s="157"/>
      <c r="F6" s="164" t="s">
        <v>219</v>
      </c>
      <c r="G6" s="157"/>
      <c r="H6" s="157"/>
      <c r="I6" s="157"/>
      <c r="J6" s="150" t="s">
        <v>355</v>
      </c>
    </row>
    <row r="7" spans="1:11">
      <c r="B7" s="74"/>
      <c r="C7" s="74"/>
      <c r="D7" s="74"/>
      <c r="E7" s="74"/>
      <c r="F7" s="74"/>
      <c r="G7" s="74"/>
      <c r="H7" s="74"/>
      <c r="I7" s="74"/>
      <c r="J7" s="7"/>
    </row>
    <row r="8" spans="1:11">
      <c r="A8" s="10" t="s">
        <v>181</v>
      </c>
      <c r="B8" s="27">
        <v>52.5</v>
      </c>
      <c r="C8" s="27">
        <v>1785.8</v>
      </c>
      <c r="D8" s="27">
        <v>0</v>
      </c>
      <c r="E8" s="27">
        <f t="shared" ref="E8:E27" si="0">SUM(B8:D8)</f>
        <v>1838.3</v>
      </c>
      <c r="F8" s="27">
        <f t="shared" ref="F8:F29" si="1">+H8-G8</f>
        <v>1631.3999999999999</v>
      </c>
      <c r="G8" s="27">
        <v>98.9</v>
      </c>
      <c r="H8" s="27">
        <f t="shared" ref="H8:H49" si="2">+E8-I8</f>
        <v>1730.3</v>
      </c>
      <c r="I8" s="27">
        <v>108</v>
      </c>
      <c r="J8" s="26">
        <v>197.0625</v>
      </c>
      <c r="K8" s="64"/>
    </row>
    <row r="9" spans="1:11">
      <c r="A9" s="10" t="s">
        <v>182</v>
      </c>
      <c r="B9" s="27">
        <f t="shared" ref="B9:B27" si="3">+I8</f>
        <v>108</v>
      </c>
      <c r="C9" s="27">
        <v>2189.8000000000002</v>
      </c>
      <c r="D9" s="27">
        <v>0.2</v>
      </c>
      <c r="E9" s="27">
        <f t="shared" si="0"/>
        <v>2298</v>
      </c>
      <c r="F9" s="27">
        <f t="shared" si="1"/>
        <v>2036.8</v>
      </c>
      <c r="G9" s="27">
        <v>107.2</v>
      </c>
      <c r="H9" s="27">
        <f t="shared" si="2"/>
        <v>2144</v>
      </c>
      <c r="I9" s="27">
        <v>154</v>
      </c>
      <c r="J9" s="26">
        <v>156.15</v>
      </c>
      <c r="K9" s="64"/>
    </row>
    <row r="10" spans="1:11">
      <c r="A10" s="10" t="s">
        <v>183</v>
      </c>
      <c r="B10" s="27">
        <f t="shared" si="3"/>
        <v>154</v>
      </c>
      <c r="C10" s="27">
        <v>1588.3</v>
      </c>
      <c r="D10" s="27">
        <v>0</v>
      </c>
      <c r="E10" s="27">
        <f t="shared" si="0"/>
        <v>1742.3</v>
      </c>
      <c r="F10" s="27">
        <f t="shared" si="1"/>
        <v>1647.8999999999999</v>
      </c>
      <c r="G10" s="27">
        <v>1.4</v>
      </c>
      <c r="H10" s="27">
        <f t="shared" si="2"/>
        <v>1649.3</v>
      </c>
      <c r="I10" s="27">
        <v>93</v>
      </c>
      <c r="J10" s="26">
        <v>176.5625</v>
      </c>
      <c r="K10" s="64"/>
    </row>
    <row r="11" spans="1:11">
      <c r="A11" s="10" t="s">
        <v>184</v>
      </c>
      <c r="B11" s="27">
        <f t="shared" si="3"/>
        <v>93</v>
      </c>
      <c r="C11" s="27">
        <v>1133.7</v>
      </c>
      <c r="D11" s="27">
        <v>0</v>
      </c>
      <c r="E11" s="27">
        <f t="shared" si="0"/>
        <v>1226.7</v>
      </c>
      <c r="F11" s="27">
        <f t="shared" si="1"/>
        <v>1125.8000000000002</v>
      </c>
      <c r="G11" s="27">
        <v>1.1000000000000001</v>
      </c>
      <c r="H11" s="27">
        <f t="shared" si="2"/>
        <v>1126.9000000000001</v>
      </c>
      <c r="I11" s="27">
        <v>99.8</v>
      </c>
      <c r="J11" s="26">
        <v>190.21666666666667</v>
      </c>
      <c r="K11" s="64"/>
    </row>
    <row r="12" spans="1:11">
      <c r="A12" s="10" t="s">
        <v>185</v>
      </c>
      <c r="B12" s="27">
        <f t="shared" si="3"/>
        <v>99.8</v>
      </c>
      <c r="C12" s="27">
        <v>1731.8</v>
      </c>
      <c r="D12" s="27">
        <v>0</v>
      </c>
      <c r="E12" s="27">
        <f t="shared" si="0"/>
        <v>1831.6</v>
      </c>
      <c r="F12" s="27">
        <f t="shared" si="1"/>
        <v>1757.6999999999998</v>
      </c>
      <c r="G12" s="27">
        <v>5.7</v>
      </c>
      <c r="H12" s="27">
        <f t="shared" si="2"/>
        <v>1763.3999999999999</v>
      </c>
      <c r="I12" s="27">
        <v>68.2</v>
      </c>
      <c r="J12" s="26">
        <v>99.354166666666671</v>
      </c>
      <c r="K12" s="64"/>
    </row>
    <row r="13" spans="1:11">
      <c r="A13" s="10" t="s">
        <v>186</v>
      </c>
      <c r="B13" s="27">
        <f t="shared" si="3"/>
        <v>68.2</v>
      </c>
      <c r="C13" s="27">
        <v>1526.3</v>
      </c>
      <c r="D13" s="27">
        <v>0</v>
      </c>
      <c r="E13" s="27">
        <f t="shared" si="0"/>
        <v>1594.5</v>
      </c>
      <c r="F13" s="27">
        <f t="shared" si="1"/>
        <v>1521.2</v>
      </c>
      <c r="G13" s="27">
        <v>4.7</v>
      </c>
      <c r="H13" s="27">
        <f t="shared" si="2"/>
        <v>1525.9</v>
      </c>
      <c r="I13" s="27">
        <v>68.599999999999994</v>
      </c>
      <c r="J13" s="26">
        <v>133.27250000000001</v>
      </c>
      <c r="K13" s="64"/>
    </row>
    <row r="14" spans="1:11">
      <c r="A14" s="10" t="s">
        <v>187</v>
      </c>
      <c r="B14" s="27">
        <f t="shared" si="3"/>
        <v>68.599999999999994</v>
      </c>
      <c r="C14" s="27">
        <v>1111.5</v>
      </c>
      <c r="D14" s="27">
        <v>0</v>
      </c>
      <c r="E14" s="27">
        <f t="shared" si="0"/>
        <v>1180.0999999999999</v>
      </c>
      <c r="F14" s="27">
        <f t="shared" si="1"/>
        <v>1130.8999999999999</v>
      </c>
      <c r="G14" s="27">
        <v>17.7</v>
      </c>
      <c r="H14" s="27">
        <f t="shared" si="2"/>
        <v>1148.5999999999999</v>
      </c>
      <c r="I14" s="27">
        <v>31.5</v>
      </c>
      <c r="J14" s="26">
        <v>148.52500000000001</v>
      </c>
      <c r="K14" s="64"/>
    </row>
    <row r="15" spans="1:11">
      <c r="A15" s="10" t="s">
        <v>188</v>
      </c>
      <c r="B15" s="27">
        <f t="shared" si="3"/>
        <v>31.5</v>
      </c>
      <c r="C15" s="27">
        <v>1647.3</v>
      </c>
      <c r="D15" s="27">
        <v>0</v>
      </c>
      <c r="E15" s="27">
        <f t="shared" si="0"/>
        <v>1678.8</v>
      </c>
      <c r="F15" s="27">
        <f t="shared" si="1"/>
        <v>1589.8</v>
      </c>
      <c r="G15" s="27">
        <v>44.9</v>
      </c>
      <c r="H15" s="27">
        <f t="shared" si="2"/>
        <v>1634.7</v>
      </c>
      <c r="I15" s="27">
        <v>44.1</v>
      </c>
      <c r="J15" s="26">
        <v>178.49583333333331</v>
      </c>
      <c r="K15" s="64"/>
    </row>
    <row r="16" spans="1:11">
      <c r="A16" s="10" t="s">
        <v>189</v>
      </c>
      <c r="B16" s="27">
        <f t="shared" si="3"/>
        <v>44.1</v>
      </c>
      <c r="C16" s="27">
        <v>1688.9</v>
      </c>
      <c r="D16" s="27">
        <v>3.1</v>
      </c>
      <c r="E16" s="27">
        <f t="shared" si="0"/>
        <v>1736.1</v>
      </c>
      <c r="F16" s="27">
        <f t="shared" si="1"/>
        <v>1633.6999999999998</v>
      </c>
      <c r="G16" s="27">
        <v>21.5</v>
      </c>
      <c r="H16" s="27">
        <f t="shared" si="2"/>
        <v>1655.1999999999998</v>
      </c>
      <c r="I16" s="27">
        <v>80.900000000000006</v>
      </c>
      <c r="J16" s="26">
        <v>186.80000000000004</v>
      </c>
      <c r="K16" s="64"/>
    </row>
    <row r="17" spans="1:11">
      <c r="A17" s="10" t="s">
        <v>4</v>
      </c>
      <c r="B17" s="27">
        <f t="shared" si="3"/>
        <v>80.900000000000006</v>
      </c>
      <c r="C17" s="27">
        <v>1327.1</v>
      </c>
      <c r="D17" s="27">
        <v>22.414154877135001</v>
      </c>
      <c r="E17" s="27">
        <f t="shared" si="0"/>
        <v>1430.4141548771349</v>
      </c>
      <c r="F17" s="27">
        <f t="shared" si="1"/>
        <v>1366.2940585709198</v>
      </c>
      <c r="G17" s="27">
        <v>16.420096306215004</v>
      </c>
      <c r="H17" s="27">
        <f t="shared" si="2"/>
        <v>1382.7141548771349</v>
      </c>
      <c r="I17" s="27">
        <v>47.7</v>
      </c>
      <c r="J17" s="26">
        <v>163.32083333333333</v>
      </c>
      <c r="K17" s="64"/>
    </row>
    <row r="18" spans="1:11">
      <c r="A18" s="10" t="s">
        <v>5</v>
      </c>
      <c r="B18" s="27">
        <f t="shared" si="3"/>
        <v>47.7</v>
      </c>
      <c r="C18" s="27">
        <v>1695.6</v>
      </c>
      <c r="D18" s="27">
        <v>7.4732441902650004</v>
      </c>
      <c r="E18" s="27">
        <f t="shared" si="0"/>
        <v>1750.7732441902649</v>
      </c>
      <c r="F18" s="27">
        <f t="shared" si="1"/>
        <v>1625.2086872023369</v>
      </c>
      <c r="G18" s="27">
        <v>31.864556987928005</v>
      </c>
      <c r="H18" s="27">
        <f t="shared" si="2"/>
        <v>1657.0732441902649</v>
      </c>
      <c r="I18" s="27">
        <v>93.7</v>
      </c>
      <c r="J18" s="26">
        <v>130.99166666666667</v>
      </c>
      <c r="K18" s="64"/>
    </row>
    <row r="19" spans="1:11">
      <c r="A19" s="10" t="s">
        <v>6</v>
      </c>
      <c r="B19" s="27">
        <f t="shared" si="3"/>
        <v>93.7</v>
      </c>
      <c r="C19" s="27">
        <v>1765.3</v>
      </c>
      <c r="D19" s="27">
        <v>1.8739970432820001</v>
      </c>
      <c r="E19" s="27">
        <f t="shared" si="0"/>
        <v>1860.8739970432821</v>
      </c>
      <c r="F19" s="27">
        <f t="shared" si="1"/>
        <v>1746.0239523480641</v>
      </c>
      <c r="G19" s="27">
        <v>72.150044695218014</v>
      </c>
      <c r="H19" s="27">
        <f t="shared" si="2"/>
        <v>1818.173997043282</v>
      </c>
      <c r="I19" s="27">
        <v>42.7</v>
      </c>
      <c r="J19" s="26">
        <v>140.49166666666667</v>
      </c>
      <c r="K19" s="64"/>
    </row>
    <row r="20" spans="1:11">
      <c r="A20" s="10" t="s">
        <v>7</v>
      </c>
      <c r="B20" s="27">
        <f t="shared" si="3"/>
        <v>42.7</v>
      </c>
      <c r="C20" s="27">
        <v>1532.8</v>
      </c>
      <c r="D20" s="27">
        <v>0</v>
      </c>
      <c r="E20" s="27">
        <f t="shared" si="0"/>
        <v>1575.5</v>
      </c>
      <c r="F20" s="27">
        <f t="shared" si="1"/>
        <v>1418.2881815432888</v>
      </c>
      <c r="G20" s="27">
        <v>128.01181845671101</v>
      </c>
      <c r="H20" s="27">
        <f t="shared" si="2"/>
        <v>1546.3</v>
      </c>
      <c r="I20" s="27">
        <v>29.2</v>
      </c>
      <c r="J20" s="26">
        <v>161.77916666666664</v>
      </c>
      <c r="K20" s="64"/>
    </row>
    <row r="21" spans="1:11">
      <c r="A21" s="10" t="s">
        <v>8</v>
      </c>
      <c r="B21" s="27">
        <f t="shared" si="3"/>
        <v>29.2</v>
      </c>
      <c r="C21" s="27">
        <v>1562.5</v>
      </c>
      <c r="D21" s="27">
        <v>0</v>
      </c>
      <c r="E21" s="27">
        <f t="shared" si="0"/>
        <v>1591.7</v>
      </c>
      <c r="F21" s="27">
        <f t="shared" si="1"/>
        <v>1418.9</v>
      </c>
      <c r="G21" s="27">
        <v>119.6</v>
      </c>
      <c r="H21" s="27">
        <f t="shared" si="2"/>
        <v>1538.5</v>
      </c>
      <c r="I21" s="27">
        <v>53.2</v>
      </c>
      <c r="J21" s="26">
        <v>164.29999999999998</v>
      </c>
      <c r="K21" s="64"/>
    </row>
    <row r="22" spans="1:11">
      <c r="A22" s="10" t="s">
        <v>9</v>
      </c>
      <c r="B22" s="27">
        <f t="shared" si="3"/>
        <v>53.2</v>
      </c>
      <c r="C22" s="27">
        <v>1829.7</v>
      </c>
      <c r="D22" s="27">
        <v>0</v>
      </c>
      <c r="E22" s="27">
        <f t="shared" si="0"/>
        <v>1882.9</v>
      </c>
      <c r="F22" s="27">
        <f t="shared" si="1"/>
        <v>1748.2000000000003</v>
      </c>
      <c r="G22" s="27">
        <v>88.1</v>
      </c>
      <c r="H22" s="27">
        <f t="shared" si="2"/>
        <v>1836.3000000000002</v>
      </c>
      <c r="I22" s="27">
        <v>46.6</v>
      </c>
      <c r="J22" s="26">
        <v>112.02083333333333</v>
      </c>
      <c r="K22" s="64"/>
    </row>
    <row r="23" spans="1:11">
      <c r="A23" s="10" t="s">
        <v>10</v>
      </c>
      <c r="B23" s="27">
        <f t="shared" si="3"/>
        <v>46.6</v>
      </c>
      <c r="C23" s="27">
        <v>1748.1</v>
      </c>
      <c r="D23" s="27">
        <v>0.28106395184699995</v>
      </c>
      <c r="E23" s="27">
        <f t="shared" si="0"/>
        <v>1794.9810639518469</v>
      </c>
      <c r="F23" s="27">
        <f t="shared" si="1"/>
        <v>1632.4810639518469</v>
      </c>
      <c r="G23" s="27">
        <v>111.3</v>
      </c>
      <c r="H23" s="27">
        <f t="shared" si="2"/>
        <v>1743.7810639518468</v>
      </c>
      <c r="I23" s="27">
        <v>51.2</v>
      </c>
      <c r="J23" s="26">
        <v>191.87166666666667</v>
      </c>
      <c r="K23" s="64"/>
    </row>
    <row r="24" spans="1:11">
      <c r="A24" s="10" t="s">
        <v>11</v>
      </c>
      <c r="B24" s="27">
        <f t="shared" si="3"/>
        <v>51.2</v>
      </c>
      <c r="C24" s="27">
        <v>1752</v>
      </c>
      <c r="D24" s="27">
        <v>3.7450586323709998</v>
      </c>
      <c r="E24" s="27">
        <f t="shared" si="0"/>
        <v>1806.945058632371</v>
      </c>
      <c r="F24" s="27">
        <f t="shared" si="1"/>
        <v>1648.945058632371</v>
      </c>
      <c r="G24" s="27">
        <v>132</v>
      </c>
      <c r="H24" s="27">
        <f t="shared" si="2"/>
        <v>1780.945058632371</v>
      </c>
      <c r="I24" s="27">
        <v>26</v>
      </c>
      <c r="J24" s="26">
        <v>191.37916666666663</v>
      </c>
      <c r="K24" s="64"/>
    </row>
    <row r="25" spans="1:11">
      <c r="A25" s="10" t="s">
        <v>12</v>
      </c>
      <c r="B25" s="27">
        <f t="shared" si="3"/>
        <v>26</v>
      </c>
      <c r="C25" s="27">
        <v>1769.0719999999999</v>
      </c>
      <c r="D25" s="27">
        <v>0.13170081134700001</v>
      </c>
      <c r="E25" s="27">
        <f t="shared" si="0"/>
        <v>1795.2037008113468</v>
      </c>
      <c r="F25" s="27">
        <f t="shared" si="1"/>
        <v>1598.0987008113468</v>
      </c>
      <c r="G25" s="27">
        <v>109.2</v>
      </c>
      <c r="H25" s="27">
        <f t="shared" si="2"/>
        <v>1707.2987008113469</v>
      </c>
      <c r="I25" s="27">
        <v>87.905000000000001</v>
      </c>
      <c r="J25" s="26">
        <v>144.02916666666667</v>
      </c>
      <c r="K25" s="64"/>
    </row>
    <row r="26" spans="1:11">
      <c r="A26" s="10" t="s">
        <v>13</v>
      </c>
      <c r="B26" s="27">
        <f t="shared" si="3"/>
        <v>87.905000000000001</v>
      </c>
      <c r="C26" s="27">
        <v>1231.6080000000002</v>
      </c>
      <c r="D26" s="27">
        <v>2.5999999999999999E-2</v>
      </c>
      <c r="E26" s="27">
        <f t="shared" si="0"/>
        <v>1319.5390000000002</v>
      </c>
      <c r="F26" s="27">
        <f t="shared" si="1"/>
        <v>1174.0600000000002</v>
      </c>
      <c r="G26" s="27">
        <v>121.4</v>
      </c>
      <c r="H26" s="27">
        <f t="shared" si="2"/>
        <v>1295.4600000000003</v>
      </c>
      <c r="I26" s="27">
        <v>24.079000000000001</v>
      </c>
      <c r="J26" s="26">
        <v>109.55000000000001</v>
      </c>
      <c r="K26" s="64"/>
    </row>
    <row r="27" spans="1:11">
      <c r="A27" s="10" t="s">
        <v>14</v>
      </c>
      <c r="B27" s="27">
        <f t="shared" si="3"/>
        <v>24.079000000000001</v>
      </c>
      <c r="C27" s="27">
        <v>1389.8070000000002</v>
      </c>
      <c r="D27" s="27">
        <v>9.5746733459999997E-2</v>
      </c>
      <c r="E27" s="27">
        <f t="shared" si="0"/>
        <v>1413.9817467334601</v>
      </c>
      <c r="F27" s="27">
        <f t="shared" si="1"/>
        <v>1289.1837467334601</v>
      </c>
      <c r="G27" s="27">
        <v>104</v>
      </c>
      <c r="H27" s="27">
        <f t="shared" si="2"/>
        <v>1393.1837467334601</v>
      </c>
      <c r="I27" s="27">
        <v>20.797999999999998</v>
      </c>
      <c r="J27" s="26">
        <v>127.42916666666667</v>
      </c>
      <c r="K27" s="64"/>
    </row>
    <row r="28" spans="1:11">
      <c r="A28" s="10" t="s">
        <v>397</v>
      </c>
      <c r="B28" s="27">
        <f t="shared" ref="B28:B33" si="4">+I27</f>
        <v>20.797999999999998</v>
      </c>
      <c r="C28" s="27">
        <v>1337.6</v>
      </c>
      <c r="D28" s="27">
        <v>0.42176843944200004</v>
      </c>
      <c r="E28" s="27">
        <f t="shared" ref="E28:E33" si="5">SUM(B28:D28)</f>
        <v>1358.819768439442</v>
      </c>
      <c r="F28" s="27">
        <f t="shared" si="1"/>
        <v>1165.5197684394418</v>
      </c>
      <c r="G28" s="27">
        <v>153.4</v>
      </c>
      <c r="H28" s="27">
        <f t="shared" si="2"/>
        <v>1318.9197684394419</v>
      </c>
      <c r="I28" s="27">
        <v>39.9</v>
      </c>
      <c r="J28" s="26">
        <v>142.93000000000004</v>
      </c>
      <c r="K28" s="64"/>
    </row>
    <row r="29" spans="1:11">
      <c r="A29" s="10" t="s">
        <v>210</v>
      </c>
      <c r="B29" s="27">
        <f t="shared" si="4"/>
        <v>39.9</v>
      </c>
      <c r="C29" s="27">
        <v>1293.9359999999999</v>
      </c>
      <c r="D29" s="27">
        <v>0.195911529408</v>
      </c>
      <c r="E29" s="27">
        <f t="shared" si="5"/>
        <v>1334.031911529408</v>
      </c>
      <c r="F29" s="27">
        <f t="shared" si="1"/>
        <v>1160.503911529408</v>
      </c>
      <c r="G29" s="27">
        <v>111.1</v>
      </c>
      <c r="H29" s="27">
        <f t="shared" si="2"/>
        <v>1271.6039115294079</v>
      </c>
      <c r="I29" s="27">
        <v>62.427999999999997</v>
      </c>
      <c r="J29" s="26">
        <v>136.15583333333333</v>
      </c>
      <c r="K29" s="64"/>
    </row>
    <row r="30" spans="1:11">
      <c r="A30" s="10" t="s">
        <v>217</v>
      </c>
      <c r="B30" s="27">
        <f t="shared" si="4"/>
        <v>62.427999999999997</v>
      </c>
      <c r="C30" s="27">
        <v>1115.0350000000001</v>
      </c>
      <c r="D30" s="27">
        <v>0</v>
      </c>
      <c r="E30" s="27">
        <f t="shared" si="5"/>
        <v>1177.4630000000002</v>
      </c>
      <c r="F30" s="27">
        <f t="shared" ref="F30:F35" si="6">+H30-G30</f>
        <v>1091.0630000000001</v>
      </c>
      <c r="G30" s="27">
        <v>51</v>
      </c>
      <c r="H30" s="27">
        <f t="shared" si="2"/>
        <v>1142.0630000000001</v>
      </c>
      <c r="I30" s="27">
        <v>35.4</v>
      </c>
      <c r="J30" s="26">
        <v>147.10416666666666</v>
      </c>
      <c r="K30" s="64"/>
    </row>
    <row r="31" spans="1:11">
      <c r="A31" s="10" t="s">
        <v>398</v>
      </c>
      <c r="B31" s="27">
        <f t="shared" si="4"/>
        <v>35.4</v>
      </c>
      <c r="C31" s="27">
        <v>1243.575</v>
      </c>
      <c r="D31" s="27">
        <v>3.2661474929999997E-2</v>
      </c>
      <c r="E31" s="27">
        <f t="shared" si="5"/>
        <v>1279.00766147493</v>
      </c>
      <c r="F31" s="27">
        <f t="shared" si="6"/>
        <v>1131.9556614749299</v>
      </c>
      <c r="G31" s="27">
        <v>70.400000000000006</v>
      </c>
      <c r="H31" s="27">
        <f t="shared" si="2"/>
        <v>1202.35566147493</v>
      </c>
      <c r="I31" s="27">
        <v>76.652000000000001</v>
      </c>
      <c r="J31" s="26">
        <v>183.46916666666667</v>
      </c>
      <c r="K31" s="64"/>
    </row>
    <row r="32" spans="1:11">
      <c r="A32" s="10" t="s">
        <v>222</v>
      </c>
      <c r="B32" s="27">
        <f t="shared" si="4"/>
        <v>76.652000000000001</v>
      </c>
      <c r="C32" s="27">
        <v>1362.421</v>
      </c>
      <c r="D32" s="27">
        <v>0</v>
      </c>
      <c r="E32" s="27">
        <f t="shared" si="5"/>
        <v>1439.0730000000001</v>
      </c>
      <c r="F32" s="27">
        <f t="shared" si="6"/>
        <v>1279.1350000000002</v>
      </c>
      <c r="G32" s="27">
        <v>107.3</v>
      </c>
      <c r="H32" s="27">
        <f t="shared" si="2"/>
        <v>1386.4350000000002</v>
      </c>
      <c r="I32" s="27">
        <v>52.637999999999998</v>
      </c>
      <c r="J32" s="26">
        <v>124.03749999999998</v>
      </c>
      <c r="K32" s="64"/>
    </row>
    <row r="33" spans="1:18">
      <c r="A33" s="10" t="s">
        <v>225</v>
      </c>
      <c r="B33" s="27">
        <f t="shared" si="4"/>
        <v>52.637999999999998</v>
      </c>
      <c r="C33" s="27">
        <v>1372.3869999999999</v>
      </c>
      <c r="D33" s="27">
        <v>0</v>
      </c>
      <c r="E33" s="27">
        <f t="shared" si="5"/>
        <v>1425.0249999999999</v>
      </c>
      <c r="F33" s="27">
        <f t="shared" si="6"/>
        <v>1225.0139999999999</v>
      </c>
      <c r="G33" s="27">
        <v>140.69999999999999</v>
      </c>
      <c r="H33" s="27">
        <f t="shared" si="2"/>
        <v>1365.7139999999999</v>
      </c>
      <c r="I33" s="27">
        <v>59.311</v>
      </c>
      <c r="J33" s="26">
        <v>144.27166666666668</v>
      </c>
      <c r="K33" s="64"/>
    </row>
    <row r="34" spans="1:18">
      <c r="A34" s="10" t="s">
        <v>227</v>
      </c>
      <c r="B34" s="27">
        <f t="shared" ref="B34:B39" si="7">+I33</f>
        <v>59.311</v>
      </c>
      <c r="C34" s="27">
        <v>1241.4686400000001</v>
      </c>
      <c r="D34" s="27">
        <v>0.10286766252</v>
      </c>
      <c r="E34" s="27">
        <f t="shared" ref="E34:E39" si="8">SUM(B34:D34)</f>
        <v>1300.8825076625201</v>
      </c>
      <c r="F34" s="27">
        <f t="shared" si="6"/>
        <v>1133.5715076625199</v>
      </c>
      <c r="G34" s="27">
        <v>105.2</v>
      </c>
      <c r="H34" s="27">
        <f t="shared" si="2"/>
        <v>1238.77150766252</v>
      </c>
      <c r="I34" s="27">
        <v>62.110999999999997</v>
      </c>
      <c r="J34" s="26">
        <v>150.35666666666665</v>
      </c>
      <c r="K34" s="64"/>
    </row>
    <row r="35" spans="1:18">
      <c r="A35" s="10" t="s">
        <v>230</v>
      </c>
      <c r="B35" s="27">
        <f t="shared" si="7"/>
        <v>62.110999999999997</v>
      </c>
      <c r="C35" s="27">
        <v>1261.7386899999999</v>
      </c>
      <c r="D35" s="27">
        <v>0</v>
      </c>
      <c r="E35" s="27">
        <f t="shared" si="8"/>
        <v>1323.84969</v>
      </c>
      <c r="F35" s="27">
        <f t="shared" si="6"/>
        <v>1149.44669</v>
      </c>
      <c r="G35" s="27">
        <v>119</v>
      </c>
      <c r="H35" s="27">
        <f t="shared" si="2"/>
        <v>1268.44669</v>
      </c>
      <c r="I35" s="27">
        <v>55.402999999999999</v>
      </c>
      <c r="J35" s="26">
        <v>253.80583333333334</v>
      </c>
      <c r="K35" s="64"/>
    </row>
    <row r="36" spans="1:18">
      <c r="A36" s="55" t="s">
        <v>231</v>
      </c>
      <c r="B36" s="27">
        <f t="shared" si="7"/>
        <v>55.402999999999999</v>
      </c>
      <c r="C36" s="27">
        <v>938.38984000000005</v>
      </c>
      <c r="D36" s="27">
        <v>0</v>
      </c>
      <c r="E36" s="27">
        <f t="shared" si="8"/>
        <v>993.79284000000007</v>
      </c>
      <c r="F36" s="27">
        <f t="shared" ref="F36:F49" si="9">+H36-G36</f>
        <v>886.74984000000006</v>
      </c>
      <c r="G36" s="27">
        <v>89.7</v>
      </c>
      <c r="H36" s="27">
        <f t="shared" si="2"/>
        <v>976.44984000000011</v>
      </c>
      <c r="I36" s="27">
        <v>17.343</v>
      </c>
      <c r="J36" s="26">
        <v>255.22916666666666</v>
      </c>
      <c r="K36" s="64"/>
    </row>
    <row r="37" spans="1:18">
      <c r="A37" s="55" t="s">
        <v>234</v>
      </c>
      <c r="B37" s="27">
        <f t="shared" si="7"/>
        <v>17.343</v>
      </c>
      <c r="C37" s="27">
        <v>883.33389</v>
      </c>
      <c r="D37" s="27">
        <v>0</v>
      </c>
      <c r="E37" s="27">
        <f t="shared" si="8"/>
        <v>900.67688999999996</v>
      </c>
      <c r="F37" s="27">
        <f t="shared" si="9"/>
        <v>766.54389000000003</v>
      </c>
      <c r="G37" s="27">
        <v>79.900000000000006</v>
      </c>
      <c r="H37" s="27">
        <f t="shared" si="2"/>
        <v>846.44389000000001</v>
      </c>
      <c r="I37" s="27">
        <v>54.232999999999997</v>
      </c>
      <c r="J37" s="26">
        <v>220.89583333333334</v>
      </c>
      <c r="K37" s="64"/>
    </row>
    <row r="38" spans="1:18">
      <c r="A38" s="55" t="s">
        <v>236</v>
      </c>
      <c r="B38" s="27">
        <f t="shared" si="7"/>
        <v>54.232999999999997</v>
      </c>
      <c r="C38" s="27">
        <v>1163</v>
      </c>
      <c r="D38" s="27">
        <v>0</v>
      </c>
      <c r="E38" s="27">
        <f t="shared" si="8"/>
        <v>1217.2329999999999</v>
      </c>
      <c r="F38" s="27">
        <f t="shared" si="9"/>
        <v>1079.133</v>
      </c>
      <c r="G38" s="27">
        <v>93.1</v>
      </c>
      <c r="H38" s="27">
        <f t="shared" si="2"/>
        <v>1172.2329999999999</v>
      </c>
      <c r="I38" s="27">
        <v>45</v>
      </c>
      <c r="J38" s="26">
        <v>273.83999999999997</v>
      </c>
      <c r="K38" s="64"/>
    </row>
    <row r="39" spans="1:18">
      <c r="A39" s="55" t="s">
        <v>239</v>
      </c>
      <c r="B39" s="27">
        <f t="shared" si="7"/>
        <v>45</v>
      </c>
      <c r="C39" s="27">
        <v>1090</v>
      </c>
      <c r="D39" s="27">
        <v>0</v>
      </c>
      <c r="E39" s="27">
        <f t="shared" si="8"/>
        <v>1135</v>
      </c>
      <c r="F39" s="27">
        <f t="shared" si="9"/>
        <v>982</v>
      </c>
      <c r="G39" s="27">
        <v>103</v>
      </c>
      <c r="H39" s="27">
        <f t="shared" si="2"/>
        <v>1085</v>
      </c>
      <c r="I39" s="27">
        <v>50</v>
      </c>
      <c r="J39" s="26">
        <v>275.13</v>
      </c>
      <c r="K39" s="64"/>
    </row>
    <row r="40" spans="1:18">
      <c r="A40" s="55" t="s">
        <v>241</v>
      </c>
      <c r="B40" s="27">
        <f t="shared" ref="B40:B50" si="10">+I39</f>
        <v>50</v>
      </c>
      <c r="C40" s="27">
        <v>1125</v>
      </c>
      <c r="D40" s="27">
        <v>0</v>
      </c>
      <c r="E40" s="27">
        <f t="shared" ref="E40:E44" si="11">SUM(B40:D40)</f>
        <v>1175</v>
      </c>
      <c r="F40" s="27">
        <f t="shared" si="9"/>
        <v>1012</v>
      </c>
      <c r="G40" s="27">
        <v>113</v>
      </c>
      <c r="H40" s="27">
        <f t="shared" si="2"/>
        <v>1125</v>
      </c>
      <c r="I40" s="27">
        <v>50</v>
      </c>
      <c r="J40" s="26">
        <v>331.52</v>
      </c>
      <c r="K40" s="64"/>
    </row>
    <row r="41" spans="1:18">
      <c r="A41" s="55" t="s">
        <v>253</v>
      </c>
      <c r="B41" s="27">
        <f t="shared" si="10"/>
        <v>50</v>
      </c>
      <c r="C41" s="27">
        <v>900</v>
      </c>
      <c r="D41" s="27">
        <v>0</v>
      </c>
      <c r="E41" s="27">
        <f t="shared" si="11"/>
        <v>950</v>
      </c>
      <c r="F41" s="27">
        <f t="shared" si="9"/>
        <v>811.4</v>
      </c>
      <c r="G41" s="27">
        <v>88.6</v>
      </c>
      <c r="H41" s="27">
        <f t="shared" si="2"/>
        <v>900</v>
      </c>
      <c r="I41" s="27">
        <v>50</v>
      </c>
      <c r="J41" s="26">
        <v>377.51</v>
      </c>
      <c r="K41" s="64"/>
    </row>
    <row r="42" spans="1:18">
      <c r="A42" s="55" t="s">
        <v>258</v>
      </c>
      <c r="B42" s="27">
        <f t="shared" si="10"/>
        <v>50</v>
      </c>
      <c r="C42" s="27">
        <v>855</v>
      </c>
      <c r="D42" s="27">
        <v>2.8779135588000004E-2</v>
      </c>
      <c r="E42" s="27">
        <f t="shared" si="11"/>
        <v>905.02877913558802</v>
      </c>
      <c r="F42" s="27">
        <f t="shared" si="9"/>
        <v>794.21277913558799</v>
      </c>
      <c r="G42" s="27">
        <v>68.5</v>
      </c>
      <c r="H42" s="27">
        <f t="shared" si="2"/>
        <v>862.71277913558799</v>
      </c>
      <c r="I42" s="27">
        <v>42.316000000000003</v>
      </c>
      <c r="J42" s="26">
        <v>304.27</v>
      </c>
      <c r="K42" s="64"/>
    </row>
    <row r="43" spans="1:18">
      <c r="A43" s="55" t="s">
        <v>260</v>
      </c>
      <c r="B43" s="27">
        <f t="shared" si="10"/>
        <v>42.316000000000003</v>
      </c>
      <c r="C43" s="27">
        <v>705</v>
      </c>
      <c r="D43" s="27">
        <v>0</v>
      </c>
      <c r="E43" s="27">
        <f t="shared" si="11"/>
        <v>747.31600000000003</v>
      </c>
      <c r="F43" s="27">
        <f t="shared" si="9"/>
        <v>637.93999999999994</v>
      </c>
      <c r="G43" s="27">
        <v>89.7</v>
      </c>
      <c r="H43" s="27">
        <f t="shared" si="2"/>
        <v>727.64</v>
      </c>
      <c r="I43" s="27">
        <v>19.675999999999998</v>
      </c>
      <c r="J43" s="26">
        <v>261.19</v>
      </c>
      <c r="K43" s="64"/>
    </row>
    <row r="44" spans="1:18">
      <c r="A44" s="55" t="s">
        <v>262</v>
      </c>
      <c r="B44" s="27">
        <f t="shared" si="10"/>
        <v>19.675999999999998</v>
      </c>
      <c r="C44" s="27">
        <v>805.29299999999989</v>
      </c>
      <c r="D44" s="27">
        <v>0</v>
      </c>
      <c r="E44" s="27">
        <f t="shared" si="11"/>
        <v>824.96899999999994</v>
      </c>
      <c r="F44" s="27">
        <f t="shared" si="9"/>
        <v>687.0329999999999</v>
      </c>
      <c r="G44" s="27">
        <v>110.2</v>
      </c>
      <c r="H44" s="27">
        <f t="shared" si="2"/>
        <v>797.23299999999995</v>
      </c>
      <c r="I44" s="27">
        <v>27.736000000000001</v>
      </c>
      <c r="J44" s="26">
        <v>208.61249999999998</v>
      </c>
      <c r="K44" s="64"/>
    </row>
    <row r="45" spans="1:18">
      <c r="A45" s="61" t="s">
        <v>270</v>
      </c>
      <c r="B45" s="255">
        <f t="shared" si="10"/>
        <v>27.736000000000001</v>
      </c>
      <c r="C45" s="255">
        <v>844.63199999999995</v>
      </c>
      <c r="D45" s="255">
        <v>0</v>
      </c>
      <c r="E45" s="255">
        <f>SUM(B45:D45)</f>
        <v>872.36799999999994</v>
      </c>
      <c r="F45" s="255">
        <f t="shared" si="9"/>
        <v>708.10791674089796</v>
      </c>
      <c r="G45" s="255">
        <v>119.45108325910196</v>
      </c>
      <c r="H45" s="255">
        <f t="shared" si="2"/>
        <v>827.55899999999997</v>
      </c>
      <c r="I45" s="255">
        <v>44.808999999999997</v>
      </c>
      <c r="J45" s="257">
        <v>260.88</v>
      </c>
      <c r="K45" s="64"/>
      <c r="O45" s="260"/>
      <c r="R45" s="190"/>
    </row>
    <row r="46" spans="1:18">
      <c r="A46" s="61" t="s">
        <v>295</v>
      </c>
      <c r="B46" s="255">
        <f t="shared" si="10"/>
        <v>44.808999999999997</v>
      </c>
      <c r="C46" s="255">
        <v>747.56500000000005</v>
      </c>
      <c r="D46" s="255">
        <v>0</v>
      </c>
      <c r="E46" s="255">
        <f t="shared" ref="E46:E50" si="12">SUM(B46:D46)</f>
        <v>792.37400000000002</v>
      </c>
      <c r="F46" s="255">
        <f t="shared" si="9"/>
        <v>635.48716377151607</v>
      </c>
      <c r="G46" s="255">
        <v>113.88683622848397</v>
      </c>
      <c r="H46" s="255">
        <f t="shared" si="2"/>
        <v>749.37400000000002</v>
      </c>
      <c r="I46" s="255">
        <v>43</v>
      </c>
      <c r="J46" s="257">
        <v>228.64</v>
      </c>
      <c r="K46" s="64"/>
      <c r="O46" s="260"/>
      <c r="R46" s="190"/>
    </row>
    <row r="47" spans="1:18">
      <c r="A47" s="61" t="s">
        <v>334</v>
      </c>
      <c r="B47" s="255">
        <f t="shared" si="10"/>
        <v>43</v>
      </c>
      <c r="C47" s="255">
        <v>779.976</v>
      </c>
      <c r="D47" s="255">
        <v>0</v>
      </c>
      <c r="E47" s="255">
        <f t="shared" si="12"/>
        <v>822.976</v>
      </c>
      <c r="F47" s="255">
        <f t="shared" si="9"/>
        <v>688.44474810762813</v>
      </c>
      <c r="G47" s="255">
        <v>109.65925189237197</v>
      </c>
      <c r="H47" s="255">
        <f t="shared" si="2"/>
        <v>798.10400000000004</v>
      </c>
      <c r="I47" s="255">
        <v>24.872</v>
      </c>
      <c r="J47" s="257">
        <v>247.04</v>
      </c>
      <c r="K47" s="64"/>
      <c r="O47" s="260"/>
      <c r="R47" s="190"/>
    </row>
    <row r="48" spans="1:18">
      <c r="A48" s="262" t="s">
        <v>350</v>
      </c>
      <c r="B48" s="255">
        <f t="shared" si="10"/>
        <v>24.872</v>
      </c>
      <c r="C48" s="255">
        <v>648.57100000000003</v>
      </c>
      <c r="D48" s="255">
        <v>0</v>
      </c>
      <c r="E48" s="255">
        <f t="shared" si="12"/>
        <v>673.44299999999998</v>
      </c>
      <c r="F48" s="255">
        <f t="shared" si="9"/>
        <v>573.32821704611194</v>
      </c>
      <c r="G48" s="255">
        <v>60.808782953887984</v>
      </c>
      <c r="H48" s="255">
        <f t="shared" si="2"/>
        <v>634.13699999999994</v>
      </c>
      <c r="I48" s="255">
        <v>39.305999999999997</v>
      </c>
      <c r="J48" s="257">
        <v>375.51</v>
      </c>
      <c r="K48" s="64"/>
      <c r="O48" s="260"/>
      <c r="R48" s="190"/>
    </row>
    <row r="49" spans="1:18">
      <c r="A49" s="262" t="s">
        <v>615</v>
      </c>
      <c r="B49" s="255">
        <f t="shared" si="10"/>
        <v>39.305999999999997</v>
      </c>
      <c r="C49" s="255">
        <v>695</v>
      </c>
      <c r="D49" s="255">
        <v>0.10141264051999997</v>
      </c>
      <c r="E49" s="255">
        <f t="shared" si="12"/>
        <v>734.40741264052008</v>
      </c>
      <c r="F49" s="255">
        <f t="shared" si="9"/>
        <v>658.743182863843</v>
      </c>
      <c r="G49" s="255">
        <v>53.348229776676988</v>
      </c>
      <c r="H49" s="255">
        <f t="shared" si="2"/>
        <v>712.09141264052005</v>
      </c>
      <c r="I49" s="255">
        <v>22.315999999999999</v>
      </c>
      <c r="J49" s="257">
        <v>355.33</v>
      </c>
      <c r="K49" s="64"/>
      <c r="O49" s="260"/>
      <c r="R49" s="190"/>
    </row>
    <row r="50" spans="1:18">
      <c r="A50" s="259" t="s">
        <v>614</v>
      </c>
      <c r="B50" s="240">
        <f t="shared" si="10"/>
        <v>22.315999999999999</v>
      </c>
      <c r="C50" s="240">
        <v>640</v>
      </c>
      <c r="D50" s="240">
        <v>0</v>
      </c>
      <c r="E50" s="240">
        <f t="shared" si="12"/>
        <v>662.31600000000003</v>
      </c>
      <c r="F50" s="240">
        <v>562</v>
      </c>
      <c r="G50" s="240">
        <v>60</v>
      </c>
      <c r="H50" s="240">
        <f>SUM(F50:G50)</f>
        <v>622</v>
      </c>
      <c r="I50" s="240">
        <f>E50-H50</f>
        <v>40.316000000000031</v>
      </c>
      <c r="J50" s="258">
        <v>400</v>
      </c>
      <c r="K50" s="64"/>
    </row>
    <row r="51" spans="1:18">
      <c r="A51" t="s">
        <v>518</v>
      </c>
      <c r="B51" s="27"/>
      <c r="C51" s="27"/>
      <c r="D51" s="27"/>
      <c r="E51" s="27"/>
      <c r="F51" s="27"/>
      <c r="G51" s="27"/>
      <c r="H51" s="27"/>
      <c r="I51" s="27"/>
      <c r="J51" s="26"/>
      <c r="K51" s="64"/>
    </row>
    <row r="52" spans="1:18">
      <c r="A52" s="52" t="s">
        <v>514</v>
      </c>
    </row>
    <row r="53" spans="1:18">
      <c r="A53" s="52" t="s">
        <v>727</v>
      </c>
    </row>
    <row r="54" spans="1:18">
      <c r="A54" t="s">
        <v>726</v>
      </c>
    </row>
    <row r="55" spans="1:18">
      <c r="I55" s="225"/>
      <c r="J55" s="225" t="s">
        <v>592</v>
      </c>
    </row>
    <row r="58" spans="1:18" ht="15">
      <c r="C58" s="107"/>
    </row>
  </sheetData>
  <phoneticPr fontId="0" type="noConversion"/>
  <pageMargins left="0.75" right="0.75" top="1" bottom="1" header="0.5" footer="0.5"/>
  <pageSetup scale="71" firstPageNumber="19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K56"/>
  <sheetViews>
    <sheetView zoomScaleNormal="100" zoomScaleSheetLayoutView="100" workbookViewId="0">
      <pane ySplit="6" topLeftCell="A7" activePane="bottomLeft" state="frozen"/>
      <selection pane="bottomLeft"/>
    </sheetView>
  </sheetViews>
  <sheetFormatPr defaultRowHeight="11.25"/>
  <cols>
    <col min="1" max="1" width="12.1640625" customWidth="1"/>
    <col min="2" max="10" width="12.6640625" customWidth="1"/>
  </cols>
  <sheetData>
    <row r="1" spans="1:11">
      <c r="A1" s="259" t="s">
        <v>618</v>
      </c>
      <c r="B1" s="1"/>
      <c r="C1" s="1"/>
      <c r="D1" s="1"/>
      <c r="E1" s="1"/>
      <c r="F1" s="1"/>
      <c r="G1" s="1"/>
      <c r="H1" s="1"/>
      <c r="I1" s="1"/>
      <c r="J1" s="1"/>
    </row>
    <row r="2" spans="1:11">
      <c r="A2" s="7" t="s">
        <v>378</v>
      </c>
      <c r="B2" s="121"/>
      <c r="C2" s="4" t="s">
        <v>75</v>
      </c>
      <c r="D2" s="4"/>
      <c r="E2" s="4"/>
      <c r="F2" s="121"/>
      <c r="G2" s="4" t="s">
        <v>73</v>
      </c>
      <c r="H2" s="120"/>
      <c r="I2" s="7"/>
      <c r="J2" s="121" t="s">
        <v>147</v>
      </c>
    </row>
    <row r="3" spans="1:11">
      <c r="A3" s="7" t="s">
        <v>59</v>
      </c>
      <c r="B3" s="109" t="s">
        <v>96</v>
      </c>
      <c r="C3" s="7" t="s">
        <v>40</v>
      </c>
      <c r="D3" s="7" t="s">
        <v>49</v>
      </c>
      <c r="E3" s="7" t="s">
        <v>2</v>
      </c>
      <c r="F3" s="109" t="s">
        <v>97</v>
      </c>
      <c r="G3" s="7" t="s">
        <v>50</v>
      </c>
      <c r="H3" s="112" t="s">
        <v>2</v>
      </c>
      <c r="I3" s="7" t="s">
        <v>98</v>
      </c>
      <c r="J3" s="109" t="s">
        <v>167</v>
      </c>
    </row>
    <row r="4" spans="1:11">
      <c r="A4" s="7" t="s">
        <v>95</v>
      </c>
      <c r="B4" s="109" t="s">
        <v>66</v>
      </c>
      <c r="C4" s="7"/>
      <c r="D4" s="7"/>
      <c r="E4" s="7"/>
      <c r="F4" s="109"/>
      <c r="G4" s="7"/>
      <c r="H4" s="112"/>
      <c r="I4" s="7" t="s">
        <v>66</v>
      </c>
      <c r="J4" s="109" t="s">
        <v>169</v>
      </c>
    </row>
    <row r="5" spans="1:11">
      <c r="A5" s="9"/>
      <c r="B5" s="116"/>
      <c r="C5" s="9"/>
      <c r="D5" s="9"/>
      <c r="E5" s="9"/>
      <c r="F5" s="116"/>
      <c r="G5" s="9"/>
      <c r="H5" s="114"/>
      <c r="I5" s="9"/>
      <c r="J5" s="116" t="s">
        <v>170</v>
      </c>
    </row>
    <row r="6" spans="1:11">
      <c r="A6" s="73"/>
      <c r="B6" s="73"/>
      <c r="C6" s="154"/>
      <c r="D6" s="154"/>
      <c r="E6" s="154"/>
      <c r="F6" s="165" t="s">
        <v>168</v>
      </c>
      <c r="G6" s="154"/>
      <c r="H6" s="154"/>
      <c r="I6" s="154"/>
      <c r="J6" s="150" t="s">
        <v>248</v>
      </c>
    </row>
    <row r="7" spans="1:11">
      <c r="B7" s="74"/>
      <c r="C7" s="74"/>
      <c r="D7" s="74"/>
      <c r="E7" s="74"/>
      <c r="F7" s="74"/>
      <c r="G7" s="74"/>
      <c r="H7" s="74"/>
      <c r="I7" s="74"/>
      <c r="J7" s="7"/>
    </row>
    <row r="8" spans="1:11">
      <c r="A8" s="10" t="s">
        <v>181</v>
      </c>
      <c r="B8" s="27">
        <v>121.9</v>
      </c>
      <c r="C8" s="27">
        <v>1191.1590000000001</v>
      </c>
      <c r="D8" s="27">
        <v>0</v>
      </c>
      <c r="E8" s="27">
        <f>SUM(B8:D8)</f>
        <v>1313.0590000000002</v>
      </c>
      <c r="F8" s="27">
        <f t="shared" ref="F8:F17" si="0">+H8-G8</f>
        <v>523.38700000000028</v>
      </c>
      <c r="G8" s="27">
        <v>709.678</v>
      </c>
      <c r="H8" s="27">
        <f t="shared" ref="H8:H50" si="1">+E8-I8</f>
        <v>1233.0650000000003</v>
      </c>
      <c r="I8" s="27">
        <v>79.994</v>
      </c>
      <c r="J8" s="24">
        <v>25.855000000000004</v>
      </c>
      <c r="K8" s="27"/>
    </row>
    <row r="9" spans="1:11">
      <c r="A9" s="10" t="s">
        <v>182</v>
      </c>
      <c r="B9" s="27">
        <f t="shared" ref="B9:B27" si="2">+I8</f>
        <v>79.994</v>
      </c>
      <c r="C9" s="27">
        <v>1551.3409999999999</v>
      </c>
      <c r="D9" s="27">
        <v>0</v>
      </c>
      <c r="E9" s="27">
        <f t="shared" ref="E9:E31" si="3">SUM(B9:D9)</f>
        <v>1631.3349999999998</v>
      </c>
      <c r="F9" s="27">
        <f t="shared" si="0"/>
        <v>680.2249999999998</v>
      </c>
      <c r="G9" s="27">
        <v>847.50400000000002</v>
      </c>
      <c r="H9" s="27">
        <f t="shared" si="1"/>
        <v>1527.7289999999998</v>
      </c>
      <c r="I9" s="27">
        <v>103.60599999999999</v>
      </c>
      <c r="J9" s="24">
        <v>20.064999999999998</v>
      </c>
      <c r="K9" s="27"/>
    </row>
    <row r="10" spans="1:11">
      <c r="A10" s="10" t="s">
        <v>183</v>
      </c>
      <c r="B10" s="27">
        <f t="shared" si="2"/>
        <v>103.60599999999999</v>
      </c>
      <c r="C10" s="27">
        <v>1133.414</v>
      </c>
      <c r="D10" s="27">
        <v>2</v>
      </c>
      <c r="E10" s="27">
        <f t="shared" si="3"/>
        <v>1239.02</v>
      </c>
      <c r="F10" s="27">
        <f t="shared" si="0"/>
        <v>603.89699999999993</v>
      </c>
      <c r="G10" s="27">
        <v>545.56700000000001</v>
      </c>
      <c r="H10" s="27">
        <f t="shared" si="1"/>
        <v>1149.4639999999999</v>
      </c>
      <c r="I10" s="27">
        <v>89.555999999999997</v>
      </c>
      <c r="J10" s="24">
        <v>21.818333333333332</v>
      </c>
      <c r="K10" s="27"/>
    </row>
    <row r="11" spans="1:11">
      <c r="A11" s="10" t="s">
        <v>184</v>
      </c>
      <c r="B11" s="27">
        <f t="shared" si="2"/>
        <v>89.555999999999997</v>
      </c>
      <c r="C11" s="27">
        <v>776.60199999999998</v>
      </c>
      <c r="D11" s="27">
        <v>18</v>
      </c>
      <c r="E11" s="27">
        <f t="shared" si="3"/>
        <v>884.15800000000002</v>
      </c>
      <c r="F11" s="27">
        <f t="shared" si="0"/>
        <v>531.57400000000007</v>
      </c>
      <c r="G11" s="27">
        <v>302.81</v>
      </c>
      <c r="H11" s="27">
        <f t="shared" si="1"/>
        <v>834.38400000000001</v>
      </c>
      <c r="I11" s="27">
        <v>49.774000000000001</v>
      </c>
      <c r="J11" s="24">
        <v>32.791666666666664</v>
      </c>
      <c r="K11" s="27"/>
    </row>
    <row r="12" spans="1:11">
      <c r="A12" s="10" t="s">
        <v>185</v>
      </c>
      <c r="B12" s="27">
        <f t="shared" si="2"/>
        <v>49.774000000000001</v>
      </c>
      <c r="C12" s="27">
        <v>1174.1199999999999</v>
      </c>
      <c r="D12" s="27">
        <v>0</v>
      </c>
      <c r="E12" s="27">
        <f t="shared" si="3"/>
        <v>1223.8939999999998</v>
      </c>
      <c r="F12" s="27">
        <f t="shared" si="0"/>
        <v>684.86599999999976</v>
      </c>
      <c r="G12" s="27">
        <v>432.15199999999999</v>
      </c>
      <c r="H12" s="27">
        <f t="shared" si="1"/>
        <v>1117.0179999999998</v>
      </c>
      <c r="I12" s="27">
        <v>106.876</v>
      </c>
      <c r="J12" s="24">
        <v>29.158333333333335</v>
      </c>
      <c r="K12" s="27"/>
    </row>
    <row r="13" spans="1:11">
      <c r="A13" s="10" t="s">
        <v>186</v>
      </c>
      <c r="B13" s="27">
        <f t="shared" si="2"/>
        <v>106.876</v>
      </c>
      <c r="C13" s="27">
        <v>1069.7639999999999</v>
      </c>
      <c r="D13" s="27">
        <v>0</v>
      </c>
      <c r="E13" s="27">
        <f t="shared" si="3"/>
        <v>1176.6399999999999</v>
      </c>
      <c r="F13" s="27">
        <f t="shared" si="0"/>
        <v>658.22299999999996</v>
      </c>
      <c r="G13" s="27">
        <v>433.49200000000002</v>
      </c>
      <c r="H13" s="27">
        <f t="shared" si="1"/>
        <v>1091.7149999999999</v>
      </c>
      <c r="I13" s="27">
        <v>84.924999999999997</v>
      </c>
      <c r="J13" s="24">
        <v>17.595833333333335</v>
      </c>
      <c r="K13" s="27"/>
    </row>
    <row r="14" spans="1:11">
      <c r="A14" s="10" t="s">
        <v>187</v>
      </c>
      <c r="B14" s="27">
        <f t="shared" si="2"/>
        <v>84.924999999999997</v>
      </c>
      <c r="C14" s="27">
        <v>780.98900000000003</v>
      </c>
      <c r="D14" s="27">
        <v>11.157</v>
      </c>
      <c r="E14" s="27">
        <f t="shared" si="3"/>
        <v>877.07100000000003</v>
      </c>
      <c r="F14" s="27">
        <f t="shared" si="0"/>
        <v>572.654</v>
      </c>
      <c r="G14" s="27">
        <v>214.226</v>
      </c>
      <c r="H14" s="27">
        <f t="shared" si="1"/>
        <v>786.88</v>
      </c>
      <c r="I14" s="27">
        <v>90.191000000000003</v>
      </c>
      <c r="J14" s="24">
        <v>17.714166666666667</v>
      </c>
      <c r="K14" s="27"/>
    </row>
    <row r="15" spans="1:11">
      <c r="A15" s="10" t="s">
        <v>188</v>
      </c>
      <c r="B15" s="27">
        <f t="shared" si="2"/>
        <v>90.191000000000003</v>
      </c>
      <c r="C15" s="27">
        <v>1203.7650000000001</v>
      </c>
      <c r="D15" s="27">
        <v>25.498999999999999</v>
      </c>
      <c r="E15" s="27">
        <f t="shared" si="3"/>
        <v>1319.4550000000002</v>
      </c>
      <c r="F15" s="27">
        <f t="shared" si="0"/>
        <v>750.43900000000031</v>
      </c>
      <c r="G15" s="27">
        <v>408.59</v>
      </c>
      <c r="H15" s="27">
        <f t="shared" si="1"/>
        <v>1159.0290000000002</v>
      </c>
      <c r="I15" s="27">
        <v>160.42599999999999</v>
      </c>
      <c r="J15" s="24">
        <v>21.831666666666667</v>
      </c>
      <c r="K15" s="27"/>
    </row>
    <row r="16" spans="1:11">
      <c r="A16" s="10" t="s">
        <v>189</v>
      </c>
      <c r="B16" s="27">
        <f t="shared" si="2"/>
        <v>160.42599999999999</v>
      </c>
      <c r="C16" s="27">
        <v>1242.451</v>
      </c>
      <c r="D16" s="27">
        <v>0.1111129488</v>
      </c>
      <c r="E16" s="27">
        <f t="shared" si="3"/>
        <v>1402.9881129487999</v>
      </c>
      <c r="F16" s="27">
        <f t="shared" si="0"/>
        <v>849.13011294879993</v>
      </c>
      <c r="G16" s="27">
        <v>406.55799999999999</v>
      </c>
      <c r="H16" s="27">
        <f t="shared" si="1"/>
        <v>1255.6881129487999</v>
      </c>
      <c r="I16" s="27">
        <v>147.30000000000001</v>
      </c>
      <c r="J16" s="24">
        <v>19.930833333333332</v>
      </c>
      <c r="K16" s="27"/>
    </row>
    <row r="17" spans="1:11">
      <c r="A17" s="10" t="s">
        <v>4</v>
      </c>
      <c r="B17" s="27">
        <f t="shared" si="2"/>
        <v>147.30000000000001</v>
      </c>
      <c r="C17" s="27">
        <v>1039.5170000000001</v>
      </c>
      <c r="D17" s="27">
        <v>12.63792947634</v>
      </c>
      <c r="E17" s="27">
        <f t="shared" si="3"/>
        <v>1199.4549294763401</v>
      </c>
      <c r="F17" s="27">
        <f t="shared" si="0"/>
        <v>783.10084141035202</v>
      </c>
      <c r="G17" s="27">
        <v>335.954088065988</v>
      </c>
      <c r="H17" s="27">
        <f t="shared" si="1"/>
        <v>1119.05492947634</v>
      </c>
      <c r="I17" s="27">
        <v>80.400000000000006</v>
      </c>
      <c r="J17" s="24">
        <v>23.035833333333333</v>
      </c>
      <c r="K17" s="27"/>
    </row>
    <row r="18" spans="1:11">
      <c r="A18" s="10" t="s">
        <v>5</v>
      </c>
      <c r="B18" s="27">
        <f t="shared" si="2"/>
        <v>80.400000000000006</v>
      </c>
      <c r="C18" s="27">
        <v>1153.893</v>
      </c>
      <c r="D18" s="27">
        <v>3.4392918910140002</v>
      </c>
      <c r="E18" s="27">
        <f t="shared" si="3"/>
        <v>1237.732291891014</v>
      </c>
      <c r="F18" s="27">
        <f>+H18-G18</f>
        <v>865.98386409934392</v>
      </c>
      <c r="G18" s="27">
        <v>234.84842779167002</v>
      </c>
      <c r="H18" s="27">
        <f t="shared" si="1"/>
        <v>1100.8322918910139</v>
      </c>
      <c r="I18" s="27">
        <v>136.9</v>
      </c>
      <c r="J18" s="24">
        <v>22.321666666666669</v>
      </c>
      <c r="K18" s="27"/>
    </row>
    <row r="19" spans="1:11">
      <c r="A19" s="10" t="s">
        <v>6</v>
      </c>
      <c r="B19" s="27">
        <f t="shared" si="2"/>
        <v>136.9</v>
      </c>
      <c r="C19" s="27">
        <v>1279.5</v>
      </c>
      <c r="D19" s="27">
        <v>17.819313671753999</v>
      </c>
      <c r="E19" s="27">
        <f t="shared" si="3"/>
        <v>1434.219313671754</v>
      </c>
      <c r="F19" s="27">
        <f t="shared" ref="F19:F27" si="4">+H19-G19</f>
        <v>1087.522605605498</v>
      </c>
      <c r="G19" s="27">
        <v>269.0967080662561</v>
      </c>
      <c r="H19" s="27">
        <f t="shared" si="1"/>
        <v>1356.6193136717541</v>
      </c>
      <c r="I19" s="27">
        <v>77.599999999999994</v>
      </c>
      <c r="J19" s="24">
        <v>20.002500000000001</v>
      </c>
      <c r="K19" s="27"/>
    </row>
    <row r="20" spans="1:11">
      <c r="A20" s="10" t="s">
        <v>7</v>
      </c>
      <c r="B20" s="27">
        <f t="shared" si="2"/>
        <v>77.599999999999994</v>
      </c>
      <c r="C20" s="27">
        <v>1125.5</v>
      </c>
      <c r="D20" s="27">
        <v>37.672585145244007</v>
      </c>
      <c r="E20" s="27">
        <f t="shared" si="3"/>
        <v>1240.772585145244</v>
      </c>
      <c r="F20" s="27">
        <f t="shared" si="4"/>
        <v>975.4497637159659</v>
      </c>
      <c r="G20" s="27">
        <v>184.32282142927804</v>
      </c>
      <c r="H20" s="27">
        <f t="shared" si="1"/>
        <v>1159.772585145244</v>
      </c>
      <c r="I20" s="27">
        <v>81</v>
      </c>
      <c r="J20" s="24">
        <v>24.965000000000003</v>
      </c>
      <c r="K20" s="27"/>
    </row>
    <row r="21" spans="1:11">
      <c r="A21" s="10" t="s">
        <v>8</v>
      </c>
      <c r="B21" s="27">
        <f t="shared" si="2"/>
        <v>81</v>
      </c>
      <c r="C21" s="27">
        <v>1118.865</v>
      </c>
      <c r="D21" s="27">
        <v>26.286999999999999</v>
      </c>
      <c r="E21" s="27">
        <f t="shared" si="3"/>
        <v>1226.152</v>
      </c>
      <c r="F21" s="27">
        <f t="shared" si="4"/>
        <v>872.73199999999997</v>
      </c>
      <c r="G21" s="27">
        <v>247.828</v>
      </c>
      <c r="H21" s="27">
        <f t="shared" si="1"/>
        <v>1120.56</v>
      </c>
      <c r="I21" s="27">
        <v>105.592</v>
      </c>
      <c r="J21" s="24">
        <v>27.759999999999994</v>
      </c>
      <c r="K21" s="27"/>
    </row>
    <row r="22" spans="1:11">
      <c r="A22" s="10" t="s">
        <v>9</v>
      </c>
      <c r="B22" s="27">
        <f t="shared" si="2"/>
        <v>105.592</v>
      </c>
      <c r="C22" s="27">
        <v>1311.5060000000001</v>
      </c>
      <c r="D22" s="27">
        <v>0.188</v>
      </c>
      <c r="E22" s="27">
        <f t="shared" si="3"/>
        <v>1417.2860000000003</v>
      </c>
      <c r="F22" s="27">
        <f t="shared" si="4"/>
        <v>1006.5010000000003</v>
      </c>
      <c r="G22" s="27">
        <v>328.65899999999999</v>
      </c>
      <c r="H22" s="27">
        <f t="shared" si="1"/>
        <v>1335.1600000000003</v>
      </c>
      <c r="I22" s="27">
        <v>82.126000000000005</v>
      </c>
      <c r="J22" s="24">
        <v>27.870000000000005</v>
      </c>
      <c r="K22" s="27"/>
    </row>
    <row r="23" spans="1:11">
      <c r="A23" s="10" t="s">
        <v>10</v>
      </c>
      <c r="B23" s="27">
        <f t="shared" si="2"/>
        <v>82.126000000000005</v>
      </c>
      <c r="C23" s="27">
        <v>1228.7670000000001</v>
      </c>
      <c r="D23" s="27">
        <v>0.26202300000000001</v>
      </c>
      <c r="E23" s="27">
        <f t="shared" si="3"/>
        <v>1311.155023</v>
      </c>
      <c r="F23" s="27">
        <f t="shared" si="4"/>
        <v>995.78702299999998</v>
      </c>
      <c r="G23" s="27">
        <v>221.23599999999999</v>
      </c>
      <c r="H23" s="27">
        <f t="shared" si="1"/>
        <v>1217.023023</v>
      </c>
      <c r="I23" s="27">
        <v>94.132000000000005</v>
      </c>
      <c r="J23" s="24">
        <v>26.515833333333333</v>
      </c>
      <c r="K23" s="27"/>
    </row>
    <row r="24" spans="1:11">
      <c r="A24" s="10" t="s">
        <v>11</v>
      </c>
      <c r="B24" s="27">
        <f t="shared" si="2"/>
        <v>94.132000000000005</v>
      </c>
      <c r="C24" s="27">
        <v>1215.788</v>
      </c>
      <c r="D24" s="27">
        <v>0.251</v>
      </c>
      <c r="E24" s="27">
        <f t="shared" si="3"/>
        <v>1310.171</v>
      </c>
      <c r="F24" s="27">
        <f t="shared" si="4"/>
        <v>1011.6170000000002</v>
      </c>
      <c r="G24" s="27">
        <v>232.14699999999999</v>
      </c>
      <c r="H24" s="27">
        <f t="shared" si="1"/>
        <v>1243.7640000000001</v>
      </c>
      <c r="I24" s="27">
        <v>66.406999999999996</v>
      </c>
      <c r="J24" s="24">
        <v>25.577499999999997</v>
      </c>
      <c r="K24" s="27"/>
    </row>
    <row r="25" spans="1:11">
      <c r="A25" s="10" t="s">
        <v>12</v>
      </c>
      <c r="B25" s="27">
        <f t="shared" si="2"/>
        <v>66.406999999999996</v>
      </c>
      <c r="C25" s="27">
        <v>1224.075</v>
      </c>
      <c r="D25" s="27">
        <v>5.7915987544000007E-2</v>
      </c>
      <c r="E25" s="27">
        <f t="shared" si="3"/>
        <v>1290.539915987544</v>
      </c>
      <c r="F25" s="27">
        <f t="shared" si="4"/>
        <v>1004.119670018994</v>
      </c>
      <c r="G25" s="27">
        <v>207.81224596855</v>
      </c>
      <c r="H25" s="27">
        <f t="shared" si="1"/>
        <v>1211.931915987544</v>
      </c>
      <c r="I25" s="27">
        <v>78.608000000000004</v>
      </c>
      <c r="J25" s="24">
        <v>29.889166666666664</v>
      </c>
      <c r="K25" s="27"/>
    </row>
    <row r="26" spans="1:11">
      <c r="A26" s="10" t="s">
        <v>13</v>
      </c>
      <c r="B26" s="27">
        <f t="shared" si="2"/>
        <v>78.608000000000004</v>
      </c>
      <c r="C26" s="27">
        <v>831.69799999999998</v>
      </c>
      <c r="D26" s="27">
        <v>48.183014708388001</v>
      </c>
      <c r="E26" s="27">
        <f t="shared" si="3"/>
        <v>958.48901470838803</v>
      </c>
      <c r="F26" s="27">
        <f t="shared" si="4"/>
        <v>771.83058711065007</v>
      </c>
      <c r="G26" s="27">
        <v>110.65742759773799</v>
      </c>
      <c r="H26" s="27">
        <f t="shared" si="1"/>
        <v>882.48801470838805</v>
      </c>
      <c r="I26" s="27">
        <v>76.001000000000005</v>
      </c>
      <c r="J26" s="24">
        <v>27.324166666666667</v>
      </c>
      <c r="K26" s="27"/>
    </row>
    <row r="27" spans="1:11">
      <c r="A27" s="10" t="s">
        <v>14</v>
      </c>
      <c r="B27" s="27">
        <f t="shared" si="2"/>
        <v>76.001000000000005</v>
      </c>
      <c r="C27" s="27">
        <v>939.19299999999998</v>
      </c>
      <c r="D27" s="27">
        <v>8.0656206101100008</v>
      </c>
      <c r="E27" s="27">
        <f t="shared" si="3"/>
        <v>1023.25962061011</v>
      </c>
      <c r="F27" s="27">
        <f t="shared" si="4"/>
        <v>832.78599363538797</v>
      </c>
      <c r="G27" s="27">
        <v>141.48062697472199</v>
      </c>
      <c r="H27" s="27">
        <f t="shared" si="1"/>
        <v>974.26662061010995</v>
      </c>
      <c r="I27" s="27">
        <v>48.993000000000002</v>
      </c>
      <c r="J27" s="24">
        <v>21.518333333333331</v>
      </c>
      <c r="K27" s="27"/>
    </row>
    <row r="28" spans="1:11">
      <c r="A28" s="10" t="s">
        <v>397</v>
      </c>
      <c r="B28" s="27">
        <f t="shared" ref="B28:B33" si="5">+I27</f>
        <v>48.993000000000002</v>
      </c>
      <c r="C28" s="27">
        <v>846.8</v>
      </c>
      <c r="D28" s="27">
        <v>0.2695150395</v>
      </c>
      <c r="E28" s="27">
        <f t="shared" si="3"/>
        <v>896.0625150395</v>
      </c>
      <c r="F28" s="27">
        <f t="shared" ref="F28:F33" si="6">+H28-G28</f>
        <v>672.02830055291588</v>
      </c>
      <c r="G28" s="27">
        <v>131.01621448658403</v>
      </c>
      <c r="H28" s="27">
        <f t="shared" si="1"/>
        <v>803.04451503949997</v>
      </c>
      <c r="I28" s="27">
        <v>93.018000000000001</v>
      </c>
      <c r="J28" s="24">
        <v>15.981666666666667</v>
      </c>
      <c r="K28" s="27"/>
    </row>
    <row r="29" spans="1:11">
      <c r="A29" s="10" t="s">
        <v>210</v>
      </c>
      <c r="B29" s="27">
        <f t="shared" si="5"/>
        <v>93.018000000000001</v>
      </c>
      <c r="C29" s="27">
        <v>876.23099999999999</v>
      </c>
      <c r="D29" s="27">
        <v>0.12749329026</v>
      </c>
      <c r="E29" s="27">
        <f t="shared" si="3"/>
        <v>969.37649329025999</v>
      </c>
      <c r="F29" s="27">
        <f t="shared" si="6"/>
        <v>779.70969033625204</v>
      </c>
      <c r="G29" s="27">
        <v>150.17480295400799</v>
      </c>
      <c r="H29" s="27">
        <f t="shared" si="1"/>
        <v>929.88449329026002</v>
      </c>
      <c r="I29" s="27">
        <v>39.491999999999997</v>
      </c>
      <c r="J29" s="24">
        <v>17.984166666666663</v>
      </c>
      <c r="K29" s="27"/>
    </row>
    <row r="30" spans="1:11">
      <c r="A30" s="10" t="s">
        <v>217</v>
      </c>
      <c r="B30" s="27">
        <f t="shared" si="5"/>
        <v>39.491999999999997</v>
      </c>
      <c r="C30" s="27">
        <v>725.13099999999997</v>
      </c>
      <c r="D30" s="27">
        <v>21.442828186332001</v>
      </c>
      <c r="E30" s="27">
        <f t="shared" si="3"/>
        <v>786.06582818633194</v>
      </c>
      <c r="F30" s="27">
        <f t="shared" si="6"/>
        <v>638.8989943723559</v>
      </c>
      <c r="G30" s="27">
        <v>110.23883381397599</v>
      </c>
      <c r="H30" s="27">
        <f t="shared" si="1"/>
        <v>749.13782818633194</v>
      </c>
      <c r="I30" s="27">
        <v>36.927999999999997</v>
      </c>
      <c r="J30" s="24">
        <v>37.74916666666666</v>
      </c>
      <c r="K30" s="27"/>
    </row>
    <row r="31" spans="1:11">
      <c r="A31" s="10" t="s">
        <v>398</v>
      </c>
      <c r="B31" s="27">
        <f t="shared" si="5"/>
        <v>36.927999999999997</v>
      </c>
      <c r="C31" s="27">
        <v>873.67899999999997</v>
      </c>
      <c r="D31" s="27">
        <v>0.20212194958199997</v>
      </c>
      <c r="E31" s="27">
        <f t="shared" si="3"/>
        <v>910.80912194958194</v>
      </c>
      <c r="F31" s="27">
        <f t="shared" si="6"/>
        <v>690.91212968108596</v>
      </c>
      <c r="G31" s="27">
        <v>110.86199226849601</v>
      </c>
      <c r="H31" s="27">
        <f t="shared" si="1"/>
        <v>801.77412194958197</v>
      </c>
      <c r="I31" s="27">
        <v>109.035</v>
      </c>
      <c r="J31" s="24">
        <v>31.206666666666674</v>
      </c>
      <c r="K31" s="27"/>
    </row>
    <row r="32" spans="1:11">
      <c r="A32" s="10" t="s">
        <v>222</v>
      </c>
      <c r="B32" s="27">
        <f t="shared" si="5"/>
        <v>109.035</v>
      </c>
      <c r="C32" s="27">
        <v>957.03700000000003</v>
      </c>
      <c r="D32" s="27">
        <v>1.621691283114</v>
      </c>
      <c r="E32" s="27">
        <f t="shared" ref="E32:E37" si="7">SUM(B32:D32)</f>
        <v>1067.693691283114</v>
      </c>
      <c r="F32" s="27">
        <f t="shared" si="6"/>
        <v>934.60530939473404</v>
      </c>
      <c r="G32" s="27">
        <v>56.734381888380007</v>
      </c>
      <c r="H32" s="27">
        <f t="shared" si="1"/>
        <v>991.33969128311401</v>
      </c>
      <c r="I32" s="27">
        <v>76.353999999999999</v>
      </c>
      <c r="J32" s="24">
        <v>28.008124999999996</v>
      </c>
      <c r="K32" s="27"/>
    </row>
    <row r="33" spans="1:11">
      <c r="A33" s="10" t="s">
        <v>225</v>
      </c>
      <c r="B33" s="27">
        <f t="shared" si="5"/>
        <v>76.353999999999999</v>
      </c>
      <c r="C33" s="27">
        <v>950.572</v>
      </c>
      <c r="D33" s="27">
        <v>1.4005368318060001</v>
      </c>
      <c r="E33" s="27">
        <f t="shared" si="7"/>
        <v>1028.3265368318059</v>
      </c>
      <c r="F33" s="27">
        <f t="shared" si="6"/>
        <v>859.72269348941802</v>
      </c>
      <c r="G33" s="27">
        <v>67.466843342387989</v>
      </c>
      <c r="H33" s="27">
        <f t="shared" si="1"/>
        <v>927.18953683180598</v>
      </c>
      <c r="I33" s="27">
        <v>101.137</v>
      </c>
      <c r="J33" s="24">
        <v>29.465</v>
      </c>
      <c r="K33" s="27"/>
    </row>
    <row r="34" spans="1:11">
      <c r="A34" s="10" t="s">
        <v>227</v>
      </c>
      <c r="B34" s="27">
        <f t="shared" ref="B34:B39" si="8">+I33</f>
        <v>101.137</v>
      </c>
      <c r="C34" s="27">
        <v>848.70311000000004</v>
      </c>
      <c r="D34" s="27">
        <v>1.317682727802</v>
      </c>
      <c r="E34" s="27">
        <f t="shared" si="7"/>
        <v>951.15779272780208</v>
      </c>
      <c r="F34" s="27">
        <f t="shared" ref="F34:F43" si="9">+H34-G34</f>
        <v>713.9124309085521</v>
      </c>
      <c r="G34" s="27">
        <v>137.81836181925001</v>
      </c>
      <c r="H34" s="27">
        <f t="shared" si="1"/>
        <v>851.73079272780205</v>
      </c>
      <c r="I34" s="27">
        <v>99.427000000000007</v>
      </c>
      <c r="J34" s="24">
        <v>35.700833333333328</v>
      </c>
      <c r="K34" s="27"/>
    </row>
    <row r="35" spans="1:11">
      <c r="A35" s="10" t="s">
        <v>230</v>
      </c>
      <c r="B35" s="27">
        <f t="shared" si="8"/>
        <v>99.427000000000007</v>
      </c>
      <c r="C35" s="27">
        <v>856.2844399999999</v>
      </c>
      <c r="D35" s="27">
        <v>5.0926768200000002E-3</v>
      </c>
      <c r="E35" s="27">
        <f t="shared" si="7"/>
        <v>955.71653267681995</v>
      </c>
      <c r="F35" s="27">
        <f t="shared" si="9"/>
        <v>622.62017890968195</v>
      </c>
      <c r="G35" s="27">
        <v>186.49135376713801</v>
      </c>
      <c r="H35" s="27">
        <f t="shared" si="1"/>
        <v>809.11153267681993</v>
      </c>
      <c r="I35" s="27">
        <v>146.60499999999999</v>
      </c>
      <c r="J35" s="24">
        <v>73.553124999999994</v>
      </c>
      <c r="K35" s="27"/>
    </row>
    <row r="36" spans="1:11">
      <c r="A36" s="10" t="s">
        <v>231</v>
      </c>
      <c r="B36" s="27">
        <f t="shared" si="8"/>
        <v>146.60499999999999</v>
      </c>
      <c r="C36" s="27">
        <v>668.67881000000011</v>
      </c>
      <c r="D36" s="27">
        <v>9.5998060368000002E-2</v>
      </c>
      <c r="E36" s="27">
        <f t="shared" si="7"/>
        <v>815.37980806036808</v>
      </c>
      <c r="F36" s="27">
        <f t="shared" si="9"/>
        <v>502.05297804131203</v>
      </c>
      <c r="G36" s="27">
        <v>192.22683001905602</v>
      </c>
      <c r="H36" s="27">
        <f t="shared" si="1"/>
        <v>694.27980806036805</v>
      </c>
      <c r="I36" s="27">
        <v>121.1</v>
      </c>
      <c r="J36" s="24">
        <v>37.096875000000004</v>
      </c>
      <c r="K36" s="27"/>
    </row>
    <row r="37" spans="1:11">
      <c r="A37" s="55" t="s">
        <v>234</v>
      </c>
      <c r="B37" s="27">
        <f t="shared" si="8"/>
        <v>121.1</v>
      </c>
      <c r="C37" s="27">
        <v>617.29017999999996</v>
      </c>
      <c r="D37" s="27">
        <v>9.9728280791999996E-2</v>
      </c>
      <c r="E37" s="27">
        <f t="shared" si="7"/>
        <v>738.48990828079195</v>
      </c>
      <c r="F37" s="27">
        <f t="shared" si="9"/>
        <v>551.92322662066999</v>
      </c>
      <c r="G37" s="27">
        <v>94.027681660121999</v>
      </c>
      <c r="H37" s="27">
        <f t="shared" si="1"/>
        <v>645.95090828079196</v>
      </c>
      <c r="I37" s="27">
        <v>92.539000000000001</v>
      </c>
      <c r="J37" s="24">
        <v>40.270833333333336</v>
      </c>
      <c r="K37" s="27"/>
    </row>
    <row r="38" spans="1:11">
      <c r="A38" s="55" t="s">
        <v>236</v>
      </c>
      <c r="B38" s="27">
        <f t="shared" si="8"/>
        <v>92.539000000000001</v>
      </c>
      <c r="C38" s="27">
        <v>835</v>
      </c>
      <c r="D38" s="27">
        <v>0.20214620042399997</v>
      </c>
      <c r="E38" s="27">
        <f t="shared" ref="E38:E43" si="10">SUM(B38:D38)</f>
        <v>927.74114620042394</v>
      </c>
      <c r="F38" s="27">
        <f t="shared" si="9"/>
        <v>599.50524319104193</v>
      </c>
      <c r="G38" s="27">
        <v>163.23590300938201</v>
      </c>
      <c r="H38" s="27">
        <f t="shared" si="1"/>
        <v>762.74114620042394</v>
      </c>
      <c r="I38" s="27">
        <v>165</v>
      </c>
      <c r="J38" s="24">
        <v>54.5</v>
      </c>
      <c r="K38" s="27"/>
    </row>
    <row r="39" spans="1:11">
      <c r="A39" s="55" t="s">
        <v>239</v>
      </c>
      <c r="B39" s="27">
        <f t="shared" si="8"/>
        <v>165</v>
      </c>
      <c r="C39" s="27">
        <v>755</v>
      </c>
      <c r="D39" s="27">
        <v>10.347106756139999</v>
      </c>
      <c r="E39" s="27">
        <f t="shared" si="10"/>
        <v>930.34710675613997</v>
      </c>
      <c r="F39" s="27">
        <f t="shared" si="9"/>
        <v>571.61889468866798</v>
      </c>
      <c r="G39" s="27">
        <v>258.72821206747204</v>
      </c>
      <c r="H39" s="27">
        <f t="shared" si="1"/>
        <v>830.34710675613997</v>
      </c>
      <c r="I39" s="27">
        <v>100</v>
      </c>
      <c r="J39" s="24">
        <v>53.22</v>
      </c>
      <c r="K39" s="27"/>
    </row>
    <row r="40" spans="1:11">
      <c r="A40" s="55" t="s">
        <v>254</v>
      </c>
      <c r="B40" s="27">
        <f t="shared" ref="B40:B50" si="11">+I39</f>
        <v>100</v>
      </c>
      <c r="C40" s="27">
        <v>800</v>
      </c>
      <c r="D40" s="27">
        <v>19.917408336714001</v>
      </c>
      <c r="E40" s="27">
        <f t="shared" si="10"/>
        <v>919.91740833671395</v>
      </c>
      <c r="F40" s="27">
        <f t="shared" si="9"/>
        <v>584.25441577419792</v>
      </c>
      <c r="G40" s="27">
        <v>220.66299256251602</v>
      </c>
      <c r="H40" s="27">
        <f t="shared" si="1"/>
        <v>804.91740833671395</v>
      </c>
      <c r="I40" s="27">
        <v>115</v>
      </c>
      <c r="J40" s="24">
        <v>48.6</v>
      </c>
      <c r="K40" s="27"/>
    </row>
    <row r="41" spans="1:11">
      <c r="A41" s="55" t="s">
        <v>253</v>
      </c>
      <c r="B41" s="27">
        <f t="shared" si="11"/>
        <v>115</v>
      </c>
      <c r="C41" s="27">
        <v>630</v>
      </c>
      <c r="D41" s="27">
        <v>31.952836666674003</v>
      </c>
      <c r="E41" s="27">
        <f t="shared" si="10"/>
        <v>776.95283666667399</v>
      </c>
      <c r="F41" s="27">
        <f t="shared" si="9"/>
        <v>538.54962385942599</v>
      </c>
      <c r="G41" s="27">
        <v>148.403212807248</v>
      </c>
      <c r="H41" s="27">
        <f t="shared" si="1"/>
        <v>686.95283666667399</v>
      </c>
      <c r="I41" s="27">
        <v>90</v>
      </c>
      <c r="J41" s="24">
        <v>60.66</v>
      </c>
      <c r="K41" s="27"/>
    </row>
    <row r="42" spans="1:11">
      <c r="A42" s="55" t="s">
        <v>258</v>
      </c>
      <c r="B42" s="27">
        <f t="shared" si="11"/>
        <v>90</v>
      </c>
      <c r="C42" s="27">
        <v>610</v>
      </c>
      <c r="D42" s="27">
        <v>17.423747164782</v>
      </c>
      <c r="E42" s="27">
        <f t="shared" si="10"/>
        <v>717.42374716478196</v>
      </c>
      <c r="F42" s="27">
        <f t="shared" si="9"/>
        <v>540.92412416890193</v>
      </c>
      <c r="G42" s="27">
        <v>118.49962299588</v>
      </c>
      <c r="H42" s="27">
        <f t="shared" si="1"/>
        <v>659.42374716478196</v>
      </c>
      <c r="I42" s="27">
        <v>58</v>
      </c>
      <c r="J42" s="24">
        <v>45.74</v>
      </c>
      <c r="K42" s="27"/>
    </row>
    <row r="43" spans="1:11">
      <c r="A43" s="55" t="s">
        <v>260</v>
      </c>
      <c r="B43" s="27">
        <f t="shared" si="11"/>
        <v>58</v>
      </c>
      <c r="C43" s="27">
        <v>465</v>
      </c>
      <c r="D43" s="27">
        <v>6.6169480615559984</v>
      </c>
      <c r="E43" s="27">
        <f t="shared" si="10"/>
        <v>529.61694806155595</v>
      </c>
      <c r="F43" s="27">
        <f t="shared" si="9"/>
        <v>433.2408137333079</v>
      </c>
      <c r="G43" s="27">
        <v>54.82913432824801</v>
      </c>
      <c r="H43" s="27">
        <f t="shared" si="1"/>
        <v>488.06994806155592</v>
      </c>
      <c r="I43" s="27">
        <v>41.546999999999997</v>
      </c>
      <c r="J43" s="24">
        <v>45.87</v>
      </c>
      <c r="K43" s="27"/>
    </row>
    <row r="44" spans="1:11">
      <c r="A44" s="55" t="s">
        <v>271</v>
      </c>
      <c r="B44" s="27">
        <f t="shared" si="11"/>
        <v>41.546999999999997</v>
      </c>
      <c r="C44" s="27">
        <v>541.625</v>
      </c>
      <c r="D44" s="27">
        <v>0.12191563088599999</v>
      </c>
      <c r="E44" s="27">
        <f t="shared" ref="E44:E50" si="12">SUM(B44:D44)</f>
        <v>583.29391563088598</v>
      </c>
      <c r="F44" s="27">
        <f>+H44-G44</f>
        <v>436.39753451089598</v>
      </c>
      <c r="G44" s="27">
        <v>102.76738111998999</v>
      </c>
      <c r="H44" s="27">
        <f t="shared" si="1"/>
        <v>539.16491563088596</v>
      </c>
      <c r="I44" s="27">
        <v>44.128999999999998</v>
      </c>
      <c r="J44" s="24">
        <v>40.92</v>
      </c>
      <c r="K44" s="27"/>
    </row>
    <row r="45" spans="1:11">
      <c r="A45" s="254" t="s">
        <v>270</v>
      </c>
      <c r="B45" s="255">
        <f t="shared" si="11"/>
        <v>44.128999999999998</v>
      </c>
      <c r="C45" s="255">
        <v>561.30100000000004</v>
      </c>
      <c r="D45" s="255">
        <v>0.16071698899799999</v>
      </c>
      <c r="E45" s="255">
        <f t="shared" si="12"/>
        <v>605.59071698899811</v>
      </c>
      <c r="F45" s="255">
        <f t="shared" ref="F45:F50" si="13">+H45-G45</f>
        <v>474.4852966343181</v>
      </c>
      <c r="G45" s="255">
        <v>99.018420354680003</v>
      </c>
      <c r="H45" s="255">
        <f t="shared" si="1"/>
        <v>573.50371698899812</v>
      </c>
      <c r="I45" s="255">
        <v>32.087000000000003</v>
      </c>
      <c r="J45" s="263">
        <v>31.87</v>
      </c>
      <c r="K45" s="27"/>
    </row>
    <row r="46" spans="1:11">
      <c r="A46" s="254" t="s">
        <v>295</v>
      </c>
      <c r="B46" s="255">
        <f t="shared" si="11"/>
        <v>32.087000000000003</v>
      </c>
      <c r="C46" s="255">
        <v>455.77300000000002</v>
      </c>
      <c r="D46" s="255">
        <v>4.2769678828E-2</v>
      </c>
      <c r="E46" s="255">
        <f t="shared" si="12"/>
        <v>487.90276967882801</v>
      </c>
      <c r="F46" s="255">
        <f t="shared" si="13"/>
        <v>369.72258466922199</v>
      </c>
      <c r="G46" s="255">
        <v>83.139185009605995</v>
      </c>
      <c r="H46" s="255">
        <f t="shared" si="1"/>
        <v>452.86176967882801</v>
      </c>
      <c r="I46" s="255">
        <v>35.040999999999997</v>
      </c>
      <c r="J46" s="263">
        <v>35.14</v>
      </c>
      <c r="K46" s="27"/>
    </row>
    <row r="47" spans="1:11">
      <c r="A47" s="254" t="s">
        <v>334</v>
      </c>
      <c r="B47" s="255">
        <f t="shared" si="11"/>
        <v>35.040999999999997</v>
      </c>
      <c r="C47" s="255">
        <v>481.34800000000001</v>
      </c>
      <c r="D47" s="255">
        <v>0.31063132715799996</v>
      </c>
      <c r="E47" s="255">
        <f t="shared" si="12"/>
        <v>516.69963132715804</v>
      </c>
      <c r="F47" s="255">
        <f t="shared" si="13"/>
        <v>388.245757768526</v>
      </c>
      <c r="G47" s="255">
        <v>83.915873558632001</v>
      </c>
      <c r="H47" s="255">
        <f t="shared" si="1"/>
        <v>472.16163132715803</v>
      </c>
      <c r="I47" s="255">
        <v>44.537999999999997</v>
      </c>
      <c r="J47" s="263">
        <v>40.18</v>
      </c>
      <c r="K47" s="27"/>
    </row>
    <row r="48" spans="1:11">
      <c r="A48" s="254" t="s">
        <v>350</v>
      </c>
      <c r="B48" s="255">
        <f t="shared" si="11"/>
        <v>44.537999999999997</v>
      </c>
      <c r="C48" s="255">
        <v>399.91800000000001</v>
      </c>
      <c r="D48" s="255">
        <v>21.365218272682</v>
      </c>
      <c r="E48" s="255">
        <f t="shared" si="12"/>
        <v>465.82121827268202</v>
      </c>
      <c r="F48" s="255">
        <f t="shared" si="13"/>
        <v>354.93667903513006</v>
      </c>
      <c r="G48" s="255">
        <v>62.676539237551999</v>
      </c>
      <c r="H48" s="255">
        <f t="shared" si="1"/>
        <v>417.61321827268205</v>
      </c>
      <c r="I48" s="255">
        <v>48.207999999999998</v>
      </c>
      <c r="J48" s="263">
        <v>80.94</v>
      </c>
      <c r="K48" s="27"/>
    </row>
    <row r="49" spans="1:11">
      <c r="A49" s="254" t="s">
        <v>504</v>
      </c>
      <c r="B49" s="255">
        <f t="shared" si="11"/>
        <v>48.207999999999998</v>
      </c>
      <c r="C49" s="255">
        <v>430</v>
      </c>
      <c r="D49" s="255">
        <v>24.878284417651997</v>
      </c>
      <c r="E49" s="255">
        <f t="shared" si="12"/>
        <v>503.086284417652</v>
      </c>
      <c r="F49" s="255">
        <f t="shared" si="13"/>
        <v>325.59072038149202</v>
      </c>
      <c r="G49" s="255">
        <v>127.79756403616</v>
      </c>
      <c r="H49" s="255">
        <f t="shared" si="1"/>
        <v>453.38828441765202</v>
      </c>
      <c r="I49" s="255">
        <v>49.698</v>
      </c>
      <c r="J49" s="263">
        <v>107.15</v>
      </c>
      <c r="K49" s="27"/>
    </row>
    <row r="50" spans="1:11">
      <c r="A50" s="256" t="s">
        <v>597</v>
      </c>
      <c r="B50" s="240">
        <f t="shared" si="11"/>
        <v>49.698</v>
      </c>
      <c r="C50" s="240">
        <v>400</v>
      </c>
      <c r="D50" s="240">
        <v>20</v>
      </c>
      <c r="E50" s="240">
        <f t="shared" si="12"/>
        <v>469.69799999999998</v>
      </c>
      <c r="F50" s="240">
        <f t="shared" si="13"/>
        <v>355</v>
      </c>
      <c r="G50" s="240">
        <v>65</v>
      </c>
      <c r="H50" s="240">
        <f t="shared" si="1"/>
        <v>420</v>
      </c>
      <c r="I50" s="240">
        <v>49.698</v>
      </c>
      <c r="J50" s="241">
        <v>103</v>
      </c>
      <c r="K50" s="27"/>
    </row>
    <row r="51" spans="1:11">
      <c r="A51" t="s">
        <v>518</v>
      </c>
      <c r="B51" s="27"/>
      <c r="C51" s="27"/>
      <c r="D51" s="27"/>
      <c r="E51" s="27"/>
      <c r="F51" s="27"/>
      <c r="G51" s="27"/>
      <c r="H51" s="27"/>
      <c r="I51" s="27"/>
      <c r="J51" s="24"/>
      <c r="K51" s="27"/>
    </row>
    <row r="52" spans="1:11" ht="12" customHeight="1">
      <c r="A52" s="52" t="s">
        <v>519</v>
      </c>
    </row>
    <row r="53" spans="1:11" ht="12" customHeight="1">
      <c r="A53" s="52" t="s">
        <v>729</v>
      </c>
    </row>
    <row r="54" spans="1:11">
      <c r="A54" t="s">
        <v>728</v>
      </c>
    </row>
    <row r="56" spans="1:11">
      <c r="J56" s="225" t="s">
        <v>592</v>
      </c>
    </row>
  </sheetData>
  <phoneticPr fontId="0" type="noConversion"/>
  <pageMargins left="0.75" right="0.75" top="1" bottom="1" header="0.5" footer="0.5"/>
  <pageSetup scale="90" firstPageNumber="20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Q51"/>
  <sheetViews>
    <sheetView zoomScaleNormal="100" zoomScaleSheetLayoutView="100" workbookViewId="0">
      <pane ySplit="4" topLeftCell="A5" activePane="bottomLeft" state="frozen"/>
      <selection pane="bottomLeft"/>
    </sheetView>
  </sheetViews>
  <sheetFormatPr defaultColWidth="11.6640625" defaultRowHeight="11.25"/>
  <cols>
    <col min="1" max="1" width="7.6640625" customWidth="1"/>
    <col min="2" max="3" width="9.6640625" customWidth="1"/>
    <col min="4" max="4" width="12.33203125" bestFit="1" customWidth="1"/>
    <col min="5" max="5" width="13.6640625" bestFit="1" customWidth="1"/>
    <col min="6" max="7" width="9.6640625" customWidth="1"/>
    <col min="8" max="8" width="12.33203125" bestFit="1" customWidth="1"/>
    <col min="9" max="9" width="13.6640625" bestFit="1" customWidth="1"/>
    <col min="10" max="11" width="9.6640625" customWidth="1"/>
    <col min="12" max="12" width="12.33203125" bestFit="1" customWidth="1"/>
    <col min="13" max="13" width="13.6640625" bestFit="1" customWidth="1"/>
    <col min="14" max="14" width="17" style="21" customWidth="1"/>
  </cols>
  <sheetData>
    <row r="1" spans="1:14">
      <c r="A1" s="259" t="s">
        <v>619</v>
      </c>
      <c r="B1" s="31"/>
      <c r="C1" s="31"/>
      <c r="D1" s="31"/>
      <c r="E1" s="31"/>
      <c r="F1" s="31"/>
      <c r="G1" s="31"/>
      <c r="H1" s="31"/>
      <c r="I1" s="31"/>
      <c r="J1" s="1"/>
      <c r="K1" s="1"/>
      <c r="L1" s="1"/>
      <c r="M1" s="1"/>
      <c r="N1" s="22"/>
    </row>
    <row r="2" spans="1:14">
      <c r="A2" s="31"/>
      <c r="B2" s="121"/>
      <c r="C2" s="104" t="s">
        <v>581</v>
      </c>
      <c r="D2" s="3"/>
      <c r="E2" s="122"/>
      <c r="F2" s="4"/>
      <c r="G2" s="103" t="s">
        <v>580</v>
      </c>
      <c r="H2" s="3"/>
      <c r="I2" s="122"/>
      <c r="K2" s="4"/>
      <c r="L2" s="4" t="s">
        <v>224</v>
      </c>
      <c r="M2" s="3"/>
      <c r="N2" s="3"/>
    </row>
    <row r="3" spans="1:14" ht="12.6" customHeight="1">
      <c r="A3" s="4" t="s">
        <v>15</v>
      </c>
      <c r="B3" s="121" t="s">
        <v>36</v>
      </c>
      <c r="C3" s="4" t="s">
        <v>37</v>
      </c>
      <c r="D3" s="129" t="s">
        <v>38</v>
      </c>
      <c r="E3" s="120" t="s">
        <v>40</v>
      </c>
      <c r="F3" s="4" t="s">
        <v>36</v>
      </c>
      <c r="G3" s="4" t="s">
        <v>37</v>
      </c>
      <c r="H3" s="129" t="s">
        <v>38</v>
      </c>
      <c r="I3" s="120" t="s">
        <v>40</v>
      </c>
      <c r="J3" s="4" t="s">
        <v>36</v>
      </c>
      <c r="K3" s="4" t="s">
        <v>37</v>
      </c>
      <c r="L3" s="129" t="s">
        <v>38</v>
      </c>
      <c r="M3" s="4" t="s">
        <v>40</v>
      </c>
      <c r="N3" s="59" t="s">
        <v>41</v>
      </c>
    </row>
    <row r="4" spans="1:14" ht="11.65" customHeight="1">
      <c r="B4" s="149" t="s">
        <v>173</v>
      </c>
      <c r="C4" s="149"/>
      <c r="D4" s="150" t="s">
        <v>213</v>
      </c>
      <c r="E4" s="150" t="s">
        <v>51</v>
      </c>
      <c r="F4" s="149" t="s">
        <v>173</v>
      </c>
      <c r="G4" s="149"/>
      <c r="H4" s="150" t="s">
        <v>213</v>
      </c>
      <c r="I4" s="150" t="s">
        <v>51</v>
      </c>
      <c r="J4" s="149" t="s">
        <v>173</v>
      </c>
      <c r="K4" s="148"/>
      <c r="L4" s="150" t="s">
        <v>213</v>
      </c>
      <c r="M4" s="150" t="s">
        <v>51</v>
      </c>
      <c r="N4" s="166" t="s">
        <v>364</v>
      </c>
    </row>
    <row r="5" spans="1:14" ht="11.65" customHeight="1">
      <c r="B5" s="51"/>
      <c r="C5" s="51"/>
      <c r="D5" s="51"/>
      <c r="E5" s="51"/>
      <c r="F5" s="51"/>
      <c r="G5" s="51"/>
      <c r="H5" s="51"/>
      <c r="I5" s="51"/>
      <c r="J5" s="7"/>
      <c r="K5" s="7"/>
      <c r="L5" s="51"/>
      <c r="M5" s="51"/>
      <c r="N5" s="60"/>
    </row>
    <row r="6" spans="1:14">
      <c r="A6" s="10">
        <v>1980</v>
      </c>
      <c r="B6" s="47">
        <v>3649</v>
      </c>
      <c r="C6" s="47">
        <v>3442</v>
      </c>
      <c r="D6" s="47">
        <f>+E6*1000/C6</f>
        <v>1019.3811737361999</v>
      </c>
      <c r="E6" s="47">
        <v>3508.71</v>
      </c>
      <c r="F6" s="47">
        <v>261</v>
      </c>
      <c r="G6" s="47">
        <v>241</v>
      </c>
      <c r="H6" s="47">
        <f>+I6*1000/G6</f>
        <v>966.51452282157675</v>
      </c>
      <c r="I6" s="47">
        <v>232.93</v>
      </c>
      <c r="J6" s="47">
        <f>+B6+F6</f>
        <v>3910</v>
      </c>
      <c r="K6" s="47">
        <f>+C6+G6</f>
        <v>3683</v>
      </c>
      <c r="L6" s="47">
        <f>+M6*1000/K6</f>
        <v>1015.9218028780886</v>
      </c>
      <c r="M6" s="47">
        <f>+E6+I6</f>
        <v>3741.64</v>
      </c>
      <c r="N6" s="58">
        <v>413907</v>
      </c>
    </row>
    <row r="7" spans="1:14">
      <c r="A7" s="10">
        <v>1981</v>
      </c>
      <c r="B7" s="47">
        <v>3545</v>
      </c>
      <c r="C7" s="47">
        <v>3496</v>
      </c>
      <c r="D7" s="47">
        <f t="shared" ref="D7:D29" si="0">+E7*1000/C7</f>
        <v>1178.0806636155605</v>
      </c>
      <c r="E7" s="47">
        <v>4118.57</v>
      </c>
      <c r="F7" s="47">
        <v>320</v>
      </c>
      <c r="G7" s="47">
        <v>315</v>
      </c>
      <c r="H7" s="47">
        <f t="shared" ref="H7:H29" si="1">+I7*1000/G7</f>
        <v>1170.9206349206349</v>
      </c>
      <c r="I7" s="47">
        <v>368.84</v>
      </c>
      <c r="J7" s="47">
        <f t="shared" ref="J7:J42" si="2">+B7+F7</f>
        <v>3865</v>
      </c>
      <c r="K7" s="47">
        <f t="shared" ref="K7:K30" si="3">+C7+G7</f>
        <v>3811</v>
      </c>
      <c r="L7" s="47">
        <f t="shared" ref="L7:L41" si="4">+M7*1000/K7</f>
        <v>1177.4888480713723</v>
      </c>
      <c r="M7" s="47">
        <f t="shared" ref="M7:M30" si="5">+E7+I7</f>
        <v>4487.41</v>
      </c>
      <c r="N7" s="58">
        <v>485358</v>
      </c>
    </row>
    <row r="8" spans="1:14">
      <c r="A8" s="10">
        <v>1982</v>
      </c>
      <c r="B8" s="47">
        <v>4566</v>
      </c>
      <c r="C8" s="47">
        <v>4479</v>
      </c>
      <c r="D8" s="47">
        <f t="shared" si="0"/>
        <v>1126.4545657512838</v>
      </c>
      <c r="E8" s="47">
        <v>5045.3900000000003</v>
      </c>
      <c r="F8" s="47">
        <v>249</v>
      </c>
      <c r="G8" s="47">
        <v>245</v>
      </c>
      <c r="H8" s="47">
        <f t="shared" si="1"/>
        <v>1173.1836734693877</v>
      </c>
      <c r="I8" s="47">
        <v>287.43</v>
      </c>
      <c r="J8" s="47">
        <f t="shared" si="2"/>
        <v>4815</v>
      </c>
      <c r="K8" s="47">
        <f t="shared" si="3"/>
        <v>4724</v>
      </c>
      <c r="L8" s="47">
        <f t="shared" si="4"/>
        <v>1128.8780694326845</v>
      </c>
      <c r="M8" s="47">
        <f t="shared" si="5"/>
        <v>5332.8200000000006</v>
      </c>
      <c r="N8" s="58">
        <v>473504</v>
      </c>
    </row>
    <row r="9" spans="1:14">
      <c r="A9" s="10">
        <v>1983</v>
      </c>
      <c r="B9" s="47">
        <v>2954</v>
      </c>
      <c r="C9" s="47">
        <v>2909</v>
      </c>
      <c r="D9" s="47">
        <f t="shared" si="0"/>
        <v>1040.8559642488829</v>
      </c>
      <c r="E9" s="47">
        <v>3027.85</v>
      </c>
      <c r="F9" s="47">
        <v>156</v>
      </c>
      <c r="G9" s="47">
        <v>154</v>
      </c>
      <c r="H9" s="47">
        <f t="shared" si="1"/>
        <v>1108.1168831168832</v>
      </c>
      <c r="I9" s="47">
        <v>170.65</v>
      </c>
      <c r="J9" s="47">
        <f t="shared" si="2"/>
        <v>3110</v>
      </c>
      <c r="K9" s="47">
        <f t="shared" si="3"/>
        <v>3063</v>
      </c>
      <c r="L9" s="47">
        <f t="shared" si="4"/>
        <v>1044.2376754815541</v>
      </c>
      <c r="M9" s="47">
        <f t="shared" si="5"/>
        <v>3198.5</v>
      </c>
      <c r="N9" s="58">
        <v>418764</v>
      </c>
    </row>
    <row r="10" spans="1:14">
      <c r="A10" s="10">
        <v>1984</v>
      </c>
      <c r="B10" s="47">
        <v>3517</v>
      </c>
      <c r="C10" s="47">
        <v>3460</v>
      </c>
      <c r="D10" s="47">
        <f t="shared" si="0"/>
        <v>1011.3872832369942</v>
      </c>
      <c r="E10" s="47">
        <v>3499.4</v>
      </c>
      <c r="F10" s="47">
        <v>237</v>
      </c>
      <c r="G10" s="47">
        <v>232</v>
      </c>
      <c r="H10" s="47">
        <f t="shared" si="1"/>
        <v>1056.594827586207</v>
      </c>
      <c r="I10" s="47">
        <v>245.13</v>
      </c>
      <c r="J10" s="47">
        <f t="shared" si="2"/>
        <v>3754</v>
      </c>
      <c r="K10" s="47">
        <f t="shared" si="3"/>
        <v>3692</v>
      </c>
      <c r="L10" s="47">
        <f t="shared" si="4"/>
        <v>1014.2280606717227</v>
      </c>
      <c r="M10" s="47">
        <f t="shared" si="5"/>
        <v>3744.53</v>
      </c>
      <c r="N10" s="58">
        <v>415584</v>
      </c>
    </row>
    <row r="11" spans="1:14">
      <c r="A11" s="10">
        <v>1985</v>
      </c>
      <c r="B11" s="47">
        <v>2807</v>
      </c>
      <c r="C11" s="47">
        <v>2608</v>
      </c>
      <c r="D11" s="47">
        <f t="shared" si="0"/>
        <v>1099.6625766871166</v>
      </c>
      <c r="E11" s="47">
        <v>2867.92</v>
      </c>
      <c r="F11" s="47">
        <v>248</v>
      </c>
      <c r="G11" s="47">
        <v>236</v>
      </c>
      <c r="H11" s="47">
        <f t="shared" si="1"/>
        <v>1208.050847457627</v>
      </c>
      <c r="I11" s="47">
        <v>285.10000000000002</v>
      </c>
      <c r="J11" s="47">
        <f t="shared" si="2"/>
        <v>3055</v>
      </c>
      <c r="K11" s="47">
        <f t="shared" si="3"/>
        <v>2844</v>
      </c>
      <c r="L11" s="47">
        <f t="shared" si="4"/>
        <v>1108.6568213783403</v>
      </c>
      <c r="M11" s="47">
        <f t="shared" si="5"/>
        <v>3153.02</v>
      </c>
      <c r="N11" s="58">
        <v>251505</v>
      </c>
    </row>
    <row r="12" spans="1:14">
      <c r="A12" s="10">
        <v>1986</v>
      </c>
      <c r="B12" s="47">
        <v>1777</v>
      </c>
      <c r="C12" s="47">
        <v>1716</v>
      </c>
      <c r="D12" s="47">
        <f t="shared" si="0"/>
        <v>1366.6142191142192</v>
      </c>
      <c r="E12" s="47">
        <v>2345.11</v>
      </c>
      <c r="F12" s="47">
        <v>248</v>
      </c>
      <c r="G12" s="47">
        <v>239</v>
      </c>
      <c r="H12" s="47">
        <f t="shared" si="1"/>
        <v>1383.4309623430963</v>
      </c>
      <c r="I12" s="47">
        <v>330.64</v>
      </c>
      <c r="J12" s="47">
        <f t="shared" si="2"/>
        <v>2025</v>
      </c>
      <c r="K12" s="47">
        <f t="shared" si="3"/>
        <v>1955</v>
      </c>
      <c r="L12" s="47">
        <f t="shared" si="4"/>
        <v>1368.6700767263428</v>
      </c>
      <c r="M12" s="47">
        <f t="shared" si="5"/>
        <v>2675.75</v>
      </c>
      <c r="N12" s="58">
        <v>185119</v>
      </c>
    </row>
    <row r="13" spans="1:14">
      <c r="A13" s="10">
        <v>1987</v>
      </c>
      <c r="B13" s="47">
        <v>1587</v>
      </c>
      <c r="C13" s="47">
        <v>1563</v>
      </c>
      <c r="D13" s="47">
        <f t="shared" si="0"/>
        <v>1472.9686500319897</v>
      </c>
      <c r="E13" s="47">
        <v>2302.25</v>
      </c>
      <c r="F13" s="47">
        <v>218</v>
      </c>
      <c r="G13" s="47">
        <v>212</v>
      </c>
      <c r="H13" s="47">
        <f t="shared" si="1"/>
        <v>1442.9245283018868</v>
      </c>
      <c r="I13" s="47">
        <v>305.89999999999998</v>
      </c>
      <c r="J13" s="47">
        <f t="shared" si="2"/>
        <v>1805</v>
      </c>
      <c r="K13" s="47">
        <f t="shared" si="3"/>
        <v>1775</v>
      </c>
      <c r="L13" s="47">
        <f t="shared" si="4"/>
        <v>1469.3802816901409</v>
      </c>
      <c r="M13" s="47">
        <f t="shared" si="5"/>
        <v>2608.15</v>
      </c>
      <c r="N13" s="58">
        <v>217618</v>
      </c>
    </row>
    <row r="14" spans="1:14">
      <c r="A14" s="10">
        <v>1988</v>
      </c>
      <c r="B14" s="47">
        <v>1733</v>
      </c>
      <c r="C14" s="47">
        <v>1630</v>
      </c>
      <c r="D14" s="47">
        <f t="shared" si="0"/>
        <v>920.96319018404904</v>
      </c>
      <c r="E14" s="47">
        <v>1501.17</v>
      </c>
      <c r="F14" s="47">
        <v>305</v>
      </c>
      <c r="G14" s="47">
        <v>291</v>
      </c>
      <c r="H14" s="47">
        <f t="shared" si="1"/>
        <v>999.45017182130584</v>
      </c>
      <c r="I14" s="47">
        <v>290.83999999999997</v>
      </c>
      <c r="J14" s="47">
        <f t="shared" si="2"/>
        <v>2038</v>
      </c>
      <c r="K14" s="47">
        <f t="shared" si="3"/>
        <v>1921</v>
      </c>
      <c r="L14" s="47">
        <f t="shared" si="4"/>
        <v>932.85268089536703</v>
      </c>
      <c r="M14" s="47">
        <f t="shared" si="5"/>
        <v>1792.01</v>
      </c>
      <c r="N14" s="58">
        <v>208887</v>
      </c>
    </row>
    <row r="15" spans="1:14">
      <c r="A15" s="10">
        <v>1989</v>
      </c>
      <c r="B15" s="47">
        <v>1411</v>
      </c>
      <c r="C15" s="47">
        <v>1373</v>
      </c>
      <c r="D15" s="47">
        <f t="shared" si="0"/>
        <v>987.83685360524396</v>
      </c>
      <c r="E15" s="47">
        <v>1356.3</v>
      </c>
      <c r="F15" s="47">
        <v>429</v>
      </c>
      <c r="G15" s="47">
        <v>413</v>
      </c>
      <c r="H15" s="47">
        <f t="shared" si="1"/>
        <v>976.90072639225184</v>
      </c>
      <c r="I15" s="47">
        <v>403.46</v>
      </c>
      <c r="J15" s="47">
        <f t="shared" si="2"/>
        <v>1840</v>
      </c>
      <c r="K15" s="47">
        <f t="shared" si="3"/>
        <v>1786</v>
      </c>
      <c r="L15" s="47">
        <f t="shared" si="4"/>
        <v>985.30795072788351</v>
      </c>
      <c r="M15" s="47">
        <f t="shared" si="5"/>
        <v>1759.76</v>
      </c>
      <c r="N15" s="58">
        <v>190452</v>
      </c>
    </row>
    <row r="16" spans="1:14">
      <c r="A16" s="10">
        <v>1990</v>
      </c>
      <c r="B16" s="18">
        <v>1390</v>
      </c>
      <c r="C16" s="47">
        <v>1343</v>
      </c>
      <c r="D16" s="47">
        <f t="shared" si="0"/>
        <v>1205.1005212211467</v>
      </c>
      <c r="E16" s="47">
        <v>1618.45</v>
      </c>
      <c r="F16" s="47">
        <v>515</v>
      </c>
      <c r="G16" s="47">
        <v>508</v>
      </c>
      <c r="H16" s="47">
        <f t="shared" si="1"/>
        <v>1291.25</v>
      </c>
      <c r="I16" s="47">
        <v>655.95500000000004</v>
      </c>
      <c r="J16" s="47">
        <f t="shared" si="2"/>
        <v>1905</v>
      </c>
      <c r="K16" s="47">
        <f t="shared" si="3"/>
        <v>1851</v>
      </c>
      <c r="L16" s="47">
        <f t="shared" si="4"/>
        <v>1228.743922204214</v>
      </c>
      <c r="M16" s="47">
        <f t="shared" si="5"/>
        <v>2274.4050000000002</v>
      </c>
      <c r="N16" s="58">
        <v>245754</v>
      </c>
    </row>
    <row r="17" spans="1:14">
      <c r="A17" s="10">
        <v>1991</v>
      </c>
      <c r="B17" s="47">
        <v>2294</v>
      </c>
      <c r="C17" s="47">
        <v>2232</v>
      </c>
      <c r="D17" s="47">
        <f t="shared" si="0"/>
        <v>1356.5188172043011</v>
      </c>
      <c r="E17" s="47">
        <v>3027.75</v>
      </c>
      <c r="F17" s="47">
        <v>463</v>
      </c>
      <c r="G17" s="47">
        <v>441</v>
      </c>
      <c r="H17" s="47">
        <f t="shared" si="1"/>
        <v>1327.1655328798186</v>
      </c>
      <c r="I17" s="47">
        <v>585.28</v>
      </c>
      <c r="J17" s="47">
        <f t="shared" si="2"/>
        <v>2757</v>
      </c>
      <c r="K17" s="47">
        <f t="shared" si="3"/>
        <v>2673</v>
      </c>
      <c r="L17" s="47">
        <f t="shared" si="4"/>
        <v>1351.6760194537972</v>
      </c>
      <c r="M17" s="47">
        <f t="shared" si="5"/>
        <v>3613.0299999999997</v>
      </c>
      <c r="N17" s="58">
        <v>316847</v>
      </c>
    </row>
    <row r="18" spans="1:14">
      <c r="A18" s="10">
        <v>1992</v>
      </c>
      <c r="B18" s="47">
        <v>1899</v>
      </c>
      <c r="C18" s="47">
        <v>1790</v>
      </c>
      <c r="D18" s="47">
        <f t="shared" si="0"/>
        <v>1249.1620111731843</v>
      </c>
      <c r="E18" s="47">
        <v>2236</v>
      </c>
      <c r="F18" s="47">
        <v>288</v>
      </c>
      <c r="G18" s="47">
        <v>253</v>
      </c>
      <c r="H18" s="47">
        <f t="shared" si="1"/>
        <v>1300.3359683794467</v>
      </c>
      <c r="I18" s="47">
        <v>328.98500000000001</v>
      </c>
      <c r="J18" s="47">
        <f t="shared" si="2"/>
        <v>2187</v>
      </c>
      <c r="K18" s="47">
        <f t="shared" si="3"/>
        <v>2043</v>
      </c>
      <c r="L18" s="47">
        <f t="shared" si="4"/>
        <v>1255.4992657856094</v>
      </c>
      <c r="M18" s="47">
        <f t="shared" si="5"/>
        <v>2564.9850000000001</v>
      </c>
      <c r="N18" s="58">
        <v>250748</v>
      </c>
    </row>
    <row r="19" spans="1:14">
      <c r="A19" s="10">
        <v>1993</v>
      </c>
      <c r="B19" s="47">
        <v>2297</v>
      </c>
      <c r="C19" s="47">
        <v>2074</v>
      </c>
      <c r="D19" s="47">
        <f t="shared" si="0"/>
        <v>1041.5949855351978</v>
      </c>
      <c r="E19" s="47">
        <v>2160.268</v>
      </c>
      <c r="F19" s="47">
        <v>460</v>
      </c>
      <c r="G19" s="47">
        <v>412</v>
      </c>
      <c r="H19" s="47">
        <f t="shared" si="1"/>
        <v>999.502427184466</v>
      </c>
      <c r="I19" s="47">
        <v>411.79500000000002</v>
      </c>
      <c r="J19" s="47">
        <f t="shared" si="2"/>
        <v>2757</v>
      </c>
      <c r="K19" s="47">
        <f t="shared" si="3"/>
        <v>2486</v>
      </c>
      <c r="L19" s="47">
        <f t="shared" si="4"/>
        <v>1034.619066773934</v>
      </c>
      <c r="M19" s="47">
        <f t="shared" si="5"/>
        <v>2572.0630000000001</v>
      </c>
      <c r="N19" s="58">
        <v>326432</v>
      </c>
    </row>
    <row r="20" spans="1:14">
      <c r="A20" s="10">
        <v>1994</v>
      </c>
      <c r="B20" s="47">
        <v>3041</v>
      </c>
      <c r="C20" s="47">
        <v>2943</v>
      </c>
      <c r="D20" s="47">
        <f t="shared" si="0"/>
        <v>1435.0917431192661</v>
      </c>
      <c r="E20" s="47">
        <v>4223.4750000000004</v>
      </c>
      <c r="F20" s="47">
        <v>526</v>
      </c>
      <c r="G20" s="47">
        <v>487</v>
      </c>
      <c r="H20" s="47">
        <f t="shared" si="1"/>
        <v>1257.3921971252566</v>
      </c>
      <c r="I20" s="47">
        <v>612.35</v>
      </c>
      <c r="J20" s="47">
        <f t="shared" si="2"/>
        <v>3567</v>
      </c>
      <c r="K20" s="47">
        <f t="shared" si="3"/>
        <v>3430</v>
      </c>
      <c r="L20" s="47">
        <f t="shared" si="4"/>
        <v>1409.8615160349857</v>
      </c>
      <c r="M20" s="47">
        <f t="shared" si="5"/>
        <v>4835.8250000000007</v>
      </c>
      <c r="N20" s="58">
        <v>512747</v>
      </c>
    </row>
    <row r="21" spans="1:14">
      <c r="A21" s="10">
        <v>1995</v>
      </c>
      <c r="B21" s="47">
        <v>2911</v>
      </c>
      <c r="C21" s="47">
        <v>2829</v>
      </c>
      <c r="D21" s="47">
        <f t="shared" si="0"/>
        <v>1201.2856132909155</v>
      </c>
      <c r="E21" s="47">
        <v>3398.4369999999999</v>
      </c>
      <c r="F21" s="47">
        <v>567</v>
      </c>
      <c r="G21" s="47">
        <v>539</v>
      </c>
      <c r="H21" s="47">
        <f t="shared" si="1"/>
        <v>1133.3858998144713</v>
      </c>
      <c r="I21" s="47">
        <v>610.89499999999998</v>
      </c>
      <c r="J21" s="47">
        <f t="shared" si="2"/>
        <v>3478</v>
      </c>
      <c r="K21" s="47">
        <f t="shared" si="3"/>
        <v>3368</v>
      </c>
      <c r="L21" s="47">
        <f t="shared" si="4"/>
        <v>1190.4192399049882</v>
      </c>
      <c r="M21" s="47">
        <f t="shared" si="5"/>
        <v>4009.3319999999999</v>
      </c>
      <c r="N21" s="58">
        <v>457573</v>
      </c>
    </row>
    <row r="22" spans="1:14">
      <c r="A22" s="10">
        <v>1996</v>
      </c>
      <c r="B22" s="47">
        <v>1967</v>
      </c>
      <c r="C22" s="47">
        <v>1934</v>
      </c>
      <c r="D22" s="47">
        <f t="shared" si="0"/>
        <v>1470.404860392968</v>
      </c>
      <c r="E22" s="47">
        <v>2843.7629999999999</v>
      </c>
      <c r="F22" s="47">
        <v>569</v>
      </c>
      <c r="G22" s="47">
        <v>545</v>
      </c>
      <c r="H22" s="47">
        <f t="shared" si="1"/>
        <v>1312.9908256880733</v>
      </c>
      <c r="I22" s="47">
        <v>715.58</v>
      </c>
      <c r="J22" s="47">
        <f t="shared" si="2"/>
        <v>2536</v>
      </c>
      <c r="K22" s="47">
        <f t="shared" si="3"/>
        <v>2479</v>
      </c>
      <c r="L22" s="47">
        <f t="shared" si="4"/>
        <v>1435.7979023799919</v>
      </c>
      <c r="M22" s="47">
        <f t="shared" si="5"/>
        <v>3559.3429999999998</v>
      </c>
      <c r="N22" s="58">
        <v>414842</v>
      </c>
    </row>
    <row r="23" spans="1:14">
      <c r="A23" s="10">
        <v>1997</v>
      </c>
      <c r="B23" s="47">
        <v>2284</v>
      </c>
      <c r="C23" s="47">
        <v>2212</v>
      </c>
      <c r="D23" s="47">
        <f t="shared" si="0"/>
        <v>1349.7739602169981</v>
      </c>
      <c r="E23" s="47">
        <v>2985.7</v>
      </c>
      <c r="F23" s="47">
        <v>604</v>
      </c>
      <c r="G23" s="47">
        <v>580</v>
      </c>
      <c r="H23" s="47">
        <f t="shared" si="1"/>
        <v>1191.8137931034482</v>
      </c>
      <c r="I23" s="47">
        <v>691.25199999999995</v>
      </c>
      <c r="J23" s="47">
        <f t="shared" si="2"/>
        <v>2888</v>
      </c>
      <c r="K23" s="47">
        <f t="shared" si="3"/>
        <v>2792</v>
      </c>
      <c r="L23" s="47">
        <f t="shared" si="4"/>
        <v>1316.9598853868195</v>
      </c>
      <c r="M23" s="47">
        <f t="shared" si="5"/>
        <v>3676.9519999999998</v>
      </c>
      <c r="N23" s="58">
        <v>426766</v>
      </c>
    </row>
    <row r="24" spans="1:14">
      <c r="A24" s="10">
        <v>1998</v>
      </c>
      <c r="B24" s="47">
        <v>2953</v>
      </c>
      <c r="C24" s="47">
        <v>2897</v>
      </c>
      <c r="D24" s="47">
        <f t="shared" si="0"/>
        <v>1548.6227131515361</v>
      </c>
      <c r="E24" s="47">
        <v>4486.3599999999997</v>
      </c>
      <c r="F24" s="47">
        <v>615</v>
      </c>
      <c r="G24" s="47">
        <v>595</v>
      </c>
      <c r="H24" s="47">
        <f t="shared" si="1"/>
        <v>1322.3563025210085</v>
      </c>
      <c r="I24" s="47">
        <v>786.80200000000002</v>
      </c>
      <c r="J24" s="47">
        <f t="shared" si="2"/>
        <v>3568</v>
      </c>
      <c r="K24" s="47">
        <f t="shared" si="3"/>
        <v>3492</v>
      </c>
      <c r="L24" s="47">
        <f t="shared" si="4"/>
        <v>1510.0693012600227</v>
      </c>
      <c r="M24" s="47">
        <f t="shared" si="5"/>
        <v>5273.1619999999994</v>
      </c>
      <c r="N24" s="58">
        <v>536971</v>
      </c>
    </row>
    <row r="25" spans="1:14">
      <c r="A25" s="10">
        <v>1999</v>
      </c>
      <c r="B25" s="47">
        <v>2757</v>
      </c>
      <c r="C25" s="47">
        <v>2695</v>
      </c>
      <c r="D25" s="47">
        <f t="shared" si="0"/>
        <v>1297.8923933209649</v>
      </c>
      <c r="E25" s="47">
        <v>3497.82</v>
      </c>
      <c r="F25" s="47">
        <v>796</v>
      </c>
      <c r="G25" s="47">
        <v>746</v>
      </c>
      <c r="H25" s="47">
        <f t="shared" si="1"/>
        <v>1131.4235924932975</v>
      </c>
      <c r="I25" s="47">
        <v>844.04200000000003</v>
      </c>
      <c r="J25" s="47">
        <f t="shared" si="2"/>
        <v>3553</v>
      </c>
      <c r="K25" s="47">
        <f t="shared" si="3"/>
        <v>3441</v>
      </c>
      <c r="L25" s="47">
        <f t="shared" si="4"/>
        <v>1261.8023830281895</v>
      </c>
      <c r="M25" s="47">
        <f t="shared" si="5"/>
        <v>4341.8620000000001</v>
      </c>
      <c r="N25" s="58">
        <v>339985</v>
      </c>
    </row>
    <row r="26" spans="1:14">
      <c r="A26" s="10">
        <v>2000</v>
      </c>
      <c r="B26" s="47">
        <v>2248</v>
      </c>
      <c r="C26" s="47">
        <v>2116</v>
      </c>
      <c r="D26" s="47">
        <f t="shared" si="0"/>
        <v>1375.1625708884687</v>
      </c>
      <c r="E26" s="47">
        <v>2909.8440000000001</v>
      </c>
      <c r="F26" s="47">
        <v>592</v>
      </c>
      <c r="G26" s="47">
        <v>531</v>
      </c>
      <c r="H26" s="47">
        <f t="shared" si="1"/>
        <v>1195.0734463276835</v>
      </c>
      <c r="I26" s="47">
        <v>634.58399999999995</v>
      </c>
      <c r="J26" s="47">
        <f t="shared" si="2"/>
        <v>2840</v>
      </c>
      <c r="K26" s="47">
        <f t="shared" si="3"/>
        <v>2647</v>
      </c>
      <c r="L26" s="47">
        <f t="shared" si="4"/>
        <v>1339.0358896864375</v>
      </c>
      <c r="M26" s="47">
        <f t="shared" si="5"/>
        <v>3544.4279999999999</v>
      </c>
      <c r="N26" s="58">
        <v>246869</v>
      </c>
    </row>
    <row r="27" spans="1:14">
      <c r="A27" s="10">
        <v>2001</v>
      </c>
      <c r="B27" s="47">
        <v>2117</v>
      </c>
      <c r="C27" s="47">
        <v>2060</v>
      </c>
      <c r="D27" s="47">
        <f t="shared" si="0"/>
        <v>1361.021359223301</v>
      </c>
      <c r="E27" s="47">
        <v>2803.7040000000002</v>
      </c>
      <c r="F27" s="47">
        <v>516</v>
      </c>
      <c r="G27" s="47">
        <v>495</v>
      </c>
      <c r="H27" s="47">
        <f t="shared" si="1"/>
        <v>1242.5353535353536</v>
      </c>
      <c r="I27" s="47">
        <v>615.05499999999995</v>
      </c>
      <c r="J27" s="47">
        <f t="shared" si="2"/>
        <v>2633</v>
      </c>
      <c r="K27" s="47">
        <f t="shared" si="3"/>
        <v>2555</v>
      </c>
      <c r="L27" s="47">
        <f t="shared" si="4"/>
        <v>1338.06614481409</v>
      </c>
      <c r="M27" s="47">
        <f t="shared" si="5"/>
        <v>3418.759</v>
      </c>
      <c r="N27" s="58">
        <v>325950</v>
      </c>
    </row>
    <row r="28" spans="1:14">
      <c r="A28" s="10">
        <v>2002</v>
      </c>
      <c r="B28" s="47">
        <v>2126</v>
      </c>
      <c r="C28" s="47">
        <v>1806</v>
      </c>
      <c r="D28" s="47">
        <f t="shared" si="0"/>
        <v>1143.9086378737541</v>
      </c>
      <c r="E28" s="47">
        <v>2065.8989999999999</v>
      </c>
      <c r="F28" s="47">
        <v>455</v>
      </c>
      <c r="G28" s="47">
        <v>361</v>
      </c>
      <c r="H28" s="47">
        <f t="shared" si="1"/>
        <v>1067.4459833795013</v>
      </c>
      <c r="I28" s="47">
        <v>385.34800000000001</v>
      </c>
      <c r="J28" s="47">
        <f t="shared" si="2"/>
        <v>2581</v>
      </c>
      <c r="K28" s="47">
        <f t="shared" si="3"/>
        <v>2167</v>
      </c>
      <c r="L28" s="47">
        <f t="shared" si="4"/>
        <v>1131.170742962621</v>
      </c>
      <c r="M28" s="47">
        <f t="shared" si="5"/>
        <v>2451.2469999999998</v>
      </c>
      <c r="N28" s="58">
        <v>294595</v>
      </c>
    </row>
    <row r="29" spans="1:14">
      <c r="A29" s="10">
        <v>2003</v>
      </c>
      <c r="B29" s="47">
        <v>1998</v>
      </c>
      <c r="C29" s="47">
        <v>1874</v>
      </c>
      <c r="D29" s="47">
        <f t="shared" si="0"/>
        <v>1205.7982924226253</v>
      </c>
      <c r="E29" s="47">
        <v>2259.6660000000002</v>
      </c>
      <c r="F29" s="47">
        <v>346</v>
      </c>
      <c r="G29" s="47">
        <v>323</v>
      </c>
      <c r="H29" s="47">
        <f t="shared" si="1"/>
        <v>1255.6037151702787</v>
      </c>
      <c r="I29" s="47">
        <v>405.56</v>
      </c>
      <c r="J29" s="47">
        <f t="shared" si="2"/>
        <v>2344</v>
      </c>
      <c r="K29" s="47">
        <f t="shared" si="3"/>
        <v>2197</v>
      </c>
      <c r="L29" s="47">
        <f t="shared" si="4"/>
        <v>1213.1206190259445</v>
      </c>
      <c r="M29" s="47">
        <f t="shared" si="5"/>
        <v>2665.2260000000001</v>
      </c>
      <c r="N29" s="58">
        <v>316214</v>
      </c>
    </row>
    <row r="30" spans="1:14">
      <c r="A30" s="10">
        <v>2004</v>
      </c>
      <c r="B30" s="47">
        <v>1533</v>
      </c>
      <c r="C30" s="47">
        <v>1424</v>
      </c>
      <c r="D30" s="47">
        <f t="shared" ref="D30:D35" si="6">+E30*1000/C30</f>
        <v>1238.3272471910113</v>
      </c>
      <c r="E30" s="47">
        <v>1763.3779999999999</v>
      </c>
      <c r="F30" s="47">
        <v>340</v>
      </c>
      <c r="G30" s="47">
        <v>287</v>
      </c>
      <c r="H30" s="47">
        <f t="shared" ref="H30:H35" si="7">+I30*1000/G30</f>
        <v>997.33449477351917</v>
      </c>
      <c r="I30" s="47">
        <v>286.23500000000001</v>
      </c>
      <c r="J30" s="47">
        <f t="shared" si="2"/>
        <v>1873</v>
      </c>
      <c r="K30" s="47">
        <f t="shared" si="3"/>
        <v>1711</v>
      </c>
      <c r="L30" s="47">
        <f t="shared" si="4"/>
        <v>1197.903565166569</v>
      </c>
      <c r="M30" s="47">
        <f t="shared" si="5"/>
        <v>2049.6129999999998</v>
      </c>
      <c r="N30" s="58">
        <v>272732</v>
      </c>
    </row>
    <row r="31" spans="1:14">
      <c r="A31" s="10">
        <v>2005</v>
      </c>
      <c r="B31" s="47">
        <v>2104</v>
      </c>
      <c r="C31" s="47">
        <v>2032</v>
      </c>
      <c r="D31" s="47">
        <f t="shared" si="6"/>
        <v>1563.7967519685039</v>
      </c>
      <c r="E31" s="47">
        <v>3177.6350000000002</v>
      </c>
      <c r="F31" s="47">
        <v>605</v>
      </c>
      <c r="G31" s="47">
        <v>578</v>
      </c>
      <c r="H31" s="47">
        <f t="shared" si="7"/>
        <v>1452.4567474048442</v>
      </c>
      <c r="I31" s="47">
        <v>839.52</v>
      </c>
      <c r="J31" s="47">
        <f t="shared" si="2"/>
        <v>2709</v>
      </c>
      <c r="K31" s="47">
        <f t="shared" ref="K31:K36" si="8">+C31+G31</f>
        <v>2610</v>
      </c>
      <c r="L31" s="47">
        <f t="shared" si="4"/>
        <v>1539.139846743295</v>
      </c>
      <c r="M31" s="47">
        <f t="shared" ref="M31:M36" si="9">+E31+I31</f>
        <v>4017.1550000000002</v>
      </c>
      <c r="N31" s="58">
        <v>487420</v>
      </c>
    </row>
    <row r="32" spans="1:14">
      <c r="A32" s="10">
        <v>2006</v>
      </c>
      <c r="B32" s="47">
        <v>1658</v>
      </c>
      <c r="C32" s="47">
        <v>1514</v>
      </c>
      <c r="D32" s="47">
        <f t="shared" si="6"/>
        <v>1180.9550858652576</v>
      </c>
      <c r="E32" s="47">
        <v>1787.9659999999999</v>
      </c>
      <c r="F32" s="47">
        <v>292</v>
      </c>
      <c r="G32" s="47">
        <v>256</v>
      </c>
      <c r="H32" s="47">
        <f t="shared" si="7"/>
        <v>1389.24609375</v>
      </c>
      <c r="I32" s="47">
        <v>355.64699999999999</v>
      </c>
      <c r="J32" s="47">
        <f t="shared" si="2"/>
        <v>1950</v>
      </c>
      <c r="K32" s="47">
        <f t="shared" si="8"/>
        <v>1770</v>
      </c>
      <c r="L32" s="47">
        <f t="shared" si="4"/>
        <v>1211.0807909604521</v>
      </c>
      <c r="M32" s="47">
        <f t="shared" si="9"/>
        <v>2143.6129999999998</v>
      </c>
      <c r="N32" s="58">
        <v>308832</v>
      </c>
    </row>
    <row r="33" spans="1:17">
      <c r="A33" s="10">
        <v>2007</v>
      </c>
      <c r="B33" s="47">
        <v>1765.5</v>
      </c>
      <c r="C33" s="47">
        <v>1719</v>
      </c>
      <c r="D33" s="47">
        <f t="shared" si="6"/>
        <v>1444.78475858057</v>
      </c>
      <c r="E33" s="47">
        <v>2483.585</v>
      </c>
      <c r="F33" s="47">
        <v>304.5</v>
      </c>
      <c r="G33" s="47">
        <v>293</v>
      </c>
      <c r="H33" s="47">
        <f t="shared" si="7"/>
        <v>1314.9658703071673</v>
      </c>
      <c r="I33" s="47">
        <v>385.28500000000003</v>
      </c>
      <c r="J33" s="47">
        <f t="shared" si="2"/>
        <v>2070</v>
      </c>
      <c r="K33" s="47">
        <f t="shared" si="8"/>
        <v>2012</v>
      </c>
      <c r="L33" s="47">
        <f t="shared" si="4"/>
        <v>1425.8797216699802</v>
      </c>
      <c r="M33" s="47">
        <f t="shared" si="9"/>
        <v>2868.87</v>
      </c>
      <c r="N33" s="58">
        <v>614736</v>
      </c>
    </row>
    <row r="34" spans="1:17">
      <c r="A34" s="10">
        <v>2008</v>
      </c>
      <c r="B34" s="47">
        <v>2163</v>
      </c>
      <c r="C34" s="47">
        <v>2062</v>
      </c>
      <c r="D34" s="47">
        <f t="shared" si="6"/>
        <v>1451.7507274490786</v>
      </c>
      <c r="E34" s="47">
        <v>2993.51</v>
      </c>
      <c r="F34" s="47">
        <v>353.5</v>
      </c>
      <c r="G34" s="47">
        <v>334</v>
      </c>
      <c r="H34" s="47">
        <f t="shared" si="7"/>
        <v>1285.4191616766468</v>
      </c>
      <c r="I34" s="47">
        <v>429.33</v>
      </c>
      <c r="J34" s="47">
        <f t="shared" si="2"/>
        <v>2516.5</v>
      </c>
      <c r="K34" s="47">
        <f t="shared" si="8"/>
        <v>2396</v>
      </c>
      <c r="L34" s="47">
        <f t="shared" si="4"/>
        <v>1428.5642737896494</v>
      </c>
      <c r="M34" s="47">
        <f t="shared" si="9"/>
        <v>3422.84</v>
      </c>
      <c r="N34" s="58">
        <v>704105</v>
      </c>
    </row>
    <row r="35" spans="1:17">
      <c r="A35" s="10">
        <v>2009</v>
      </c>
      <c r="B35" s="47">
        <v>1698</v>
      </c>
      <c r="C35" s="47">
        <v>1653</v>
      </c>
      <c r="D35" s="47">
        <f t="shared" si="6"/>
        <v>1563.2244404113733</v>
      </c>
      <c r="E35" s="47">
        <v>2584.0100000000002</v>
      </c>
      <c r="F35" s="47">
        <v>332</v>
      </c>
      <c r="G35" s="47">
        <v>300.5</v>
      </c>
      <c r="H35" s="47">
        <f t="shared" si="7"/>
        <v>1505.6572379367719</v>
      </c>
      <c r="I35" s="47">
        <v>452.45</v>
      </c>
      <c r="J35" s="47">
        <f t="shared" si="2"/>
        <v>2030</v>
      </c>
      <c r="K35" s="47">
        <f t="shared" si="8"/>
        <v>1953.5</v>
      </c>
      <c r="L35" s="47">
        <f t="shared" si="4"/>
        <v>1554.3690811364218</v>
      </c>
      <c r="M35" s="47">
        <f t="shared" si="9"/>
        <v>3036.46</v>
      </c>
      <c r="N35" s="58">
        <v>458959</v>
      </c>
    </row>
    <row r="36" spans="1:17">
      <c r="A36" s="10">
        <v>2010</v>
      </c>
      <c r="B36" s="47">
        <v>1463</v>
      </c>
      <c r="C36" s="47">
        <v>1422.5</v>
      </c>
      <c r="D36" s="47">
        <f t="shared" ref="D36:D41" si="10">+E36*1000/C36</f>
        <v>1458.347978910369</v>
      </c>
      <c r="E36" s="47">
        <v>2074.5</v>
      </c>
      <c r="F36" s="47">
        <v>488.5</v>
      </c>
      <c r="G36" s="47">
        <v>451.3</v>
      </c>
      <c r="H36" s="47">
        <f t="shared" ref="H36:H41" si="11">+I36*1000/G36</f>
        <v>1464.8127631287391</v>
      </c>
      <c r="I36" s="47">
        <v>661.07</v>
      </c>
      <c r="J36" s="47">
        <f t="shared" si="2"/>
        <v>1951.5</v>
      </c>
      <c r="K36" s="47">
        <f t="shared" si="8"/>
        <v>1873.8</v>
      </c>
      <c r="L36" s="47">
        <f t="shared" si="4"/>
        <v>1459.9050058704238</v>
      </c>
      <c r="M36" s="47">
        <f t="shared" si="9"/>
        <v>2735.57</v>
      </c>
      <c r="N36" s="58">
        <v>633778</v>
      </c>
    </row>
    <row r="37" spans="1:17">
      <c r="A37" s="10">
        <v>2011</v>
      </c>
      <c r="B37" s="47">
        <v>1289.5</v>
      </c>
      <c r="C37" s="47">
        <v>1233.4000000000001</v>
      </c>
      <c r="D37" s="47">
        <f t="shared" si="10"/>
        <v>1396.6880168639532</v>
      </c>
      <c r="E37" s="47">
        <v>1722.675</v>
      </c>
      <c r="F37" s="47">
        <v>253.5</v>
      </c>
      <c r="G37" s="47">
        <v>224.4</v>
      </c>
      <c r="H37" s="47">
        <f t="shared" si="11"/>
        <v>1406.4171122994653</v>
      </c>
      <c r="I37" s="47">
        <v>315.60000000000002</v>
      </c>
      <c r="J37" s="47">
        <f t="shared" si="2"/>
        <v>1543</v>
      </c>
      <c r="K37" s="47">
        <f t="shared" ref="K37:K42" si="12">+C37+G37</f>
        <v>1457.8000000000002</v>
      </c>
      <c r="L37" s="47">
        <f t="shared" si="4"/>
        <v>1398.1856221703936</v>
      </c>
      <c r="M37" s="47">
        <f t="shared" ref="M37:M42" si="13">+E37+I37</f>
        <v>2038.2750000000001</v>
      </c>
      <c r="N37" s="58">
        <v>589282</v>
      </c>
    </row>
    <row r="38" spans="1:17">
      <c r="A38" s="10">
        <v>2012</v>
      </c>
      <c r="B38" s="47">
        <v>1658</v>
      </c>
      <c r="C38" s="47">
        <v>1589.8</v>
      </c>
      <c r="D38" s="47">
        <f t="shared" si="10"/>
        <v>1484.3219272864512</v>
      </c>
      <c r="E38" s="47">
        <v>2359.7750000000001</v>
      </c>
      <c r="F38" s="47">
        <v>262</v>
      </c>
      <c r="G38" s="47">
        <v>250.2</v>
      </c>
      <c r="H38" s="47">
        <f t="shared" si="11"/>
        <v>1503.9368505195844</v>
      </c>
      <c r="I38" s="47">
        <v>376.28500000000003</v>
      </c>
      <c r="J38" s="47">
        <f t="shared" si="2"/>
        <v>1920</v>
      </c>
      <c r="K38" s="47">
        <f t="shared" si="12"/>
        <v>1840</v>
      </c>
      <c r="L38" s="47">
        <f t="shared" si="4"/>
        <v>1486.9891304347825</v>
      </c>
      <c r="M38" s="47">
        <f t="shared" si="13"/>
        <v>2736.06</v>
      </c>
      <c r="N38" s="58">
        <v>699970</v>
      </c>
    </row>
    <row r="39" spans="1:17">
      <c r="A39" s="10">
        <v>2013</v>
      </c>
      <c r="B39" s="47">
        <v>1279</v>
      </c>
      <c r="C39" s="47">
        <v>1200.9000000000001</v>
      </c>
      <c r="D39" s="47">
        <f t="shared" si="10"/>
        <v>1363.3150137396951</v>
      </c>
      <c r="E39" s="47">
        <v>1637.2049999999999</v>
      </c>
      <c r="F39" s="47">
        <v>296.5</v>
      </c>
      <c r="G39" s="47">
        <v>263.7</v>
      </c>
      <c r="H39" s="47">
        <f t="shared" si="11"/>
        <v>1458.323852863102</v>
      </c>
      <c r="I39" s="47">
        <v>384.56</v>
      </c>
      <c r="J39" s="47">
        <f t="shared" si="2"/>
        <v>1575.5</v>
      </c>
      <c r="K39" s="47">
        <f t="shared" si="12"/>
        <v>1464.6000000000001</v>
      </c>
      <c r="L39" s="47">
        <f t="shared" si="4"/>
        <v>1380.4212754335651</v>
      </c>
      <c r="M39" s="47">
        <f t="shared" si="13"/>
        <v>2021.7649999999999</v>
      </c>
      <c r="N39" s="58">
        <v>443296</v>
      </c>
    </row>
    <row r="40" spans="1:17">
      <c r="A40" s="10">
        <v>2014</v>
      </c>
      <c r="B40" s="47">
        <v>1174</v>
      </c>
      <c r="C40" s="47">
        <v>1134.5</v>
      </c>
      <c r="D40" s="47">
        <f t="shared" si="10"/>
        <v>1460.8990744821508</v>
      </c>
      <c r="E40" s="47">
        <v>1657.39</v>
      </c>
      <c r="F40" s="47">
        <v>391.3</v>
      </c>
      <c r="G40" s="47">
        <v>370.6</v>
      </c>
      <c r="H40" s="47">
        <f t="shared" si="11"/>
        <v>1497.4635725849971</v>
      </c>
      <c r="I40" s="47">
        <v>554.96</v>
      </c>
      <c r="J40" s="47">
        <f t="shared" si="2"/>
        <v>1565.3</v>
      </c>
      <c r="K40" s="47">
        <f t="shared" si="12"/>
        <v>1505.1</v>
      </c>
      <c r="L40" s="47">
        <f t="shared" si="4"/>
        <v>1469.9023320709591</v>
      </c>
      <c r="M40" s="47">
        <f t="shared" si="13"/>
        <v>2212.3500000000004</v>
      </c>
      <c r="N40" s="96">
        <v>496469</v>
      </c>
    </row>
    <row r="41" spans="1:17">
      <c r="A41" s="10">
        <v>2015</v>
      </c>
      <c r="B41" s="47">
        <v>1550.5</v>
      </c>
      <c r="C41" s="47">
        <v>1510</v>
      </c>
      <c r="D41" s="47">
        <f t="shared" si="10"/>
        <v>1578.7218543046358</v>
      </c>
      <c r="E41" s="47">
        <v>2383.87</v>
      </c>
      <c r="F41" s="47">
        <v>309.60000000000002</v>
      </c>
      <c r="G41" s="47">
        <v>290.39999999999998</v>
      </c>
      <c r="H41" s="47">
        <f t="shared" si="11"/>
        <v>1863.4986225895318</v>
      </c>
      <c r="I41" s="47">
        <v>541.16</v>
      </c>
      <c r="J41" s="47">
        <f t="shared" si="2"/>
        <v>1860.1</v>
      </c>
      <c r="K41" s="47">
        <f t="shared" si="12"/>
        <v>1800.4</v>
      </c>
      <c r="L41" s="47">
        <f t="shared" si="4"/>
        <v>1624.6556320817592</v>
      </c>
      <c r="M41" s="47">
        <f t="shared" si="13"/>
        <v>2925.0299999999997</v>
      </c>
      <c r="N41" s="96">
        <v>574481</v>
      </c>
    </row>
    <row r="42" spans="1:17">
      <c r="A42" s="10">
        <v>2016</v>
      </c>
      <c r="B42" s="47">
        <f>1418</f>
        <v>1418</v>
      </c>
      <c r="C42" s="47">
        <v>1368.5</v>
      </c>
      <c r="D42" s="273">
        <f t="shared" ref="D42:D48" si="14">+E42*1000/C42</f>
        <v>1731.1033978808914</v>
      </c>
      <c r="E42" s="47">
        <v>2369.0149999999999</v>
      </c>
      <c r="F42" s="47">
        <v>178.6</v>
      </c>
      <c r="G42" s="47">
        <v>163.5</v>
      </c>
      <c r="H42" s="47">
        <f t="shared" ref="H42:H48" si="15">+I42*1000/G42</f>
        <v>1728.5626911314985</v>
      </c>
      <c r="I42" s="47">
        <v>282.62</v>
      </c>
      <c r="J42" s="47">
        <f t="shared" si="2"/>
        <v>1596.6</v>
      </c>
      <c r="K42" s="47">
        <f t="shared" si="12"/>
        <v>1532</v>
      </c>
      <c r="L42" s="47">
        <f t="shared" ref="L42:L48" si="16">+M42*1000/K42</f>
        <v>1730.8322454308091</v>
      </c>
      <c r="M42" s="47">
        <f t="shared" si="13"/>
        <v>2651.6349999999998</v>
      </c>
      <c r="N42" s="96">
        <v>464015</v>
      </c>
    </row>
    <row r="43" spans="1:17">
      <c r="A43" s="55">
        <v>2017</v>
      </c>
      <c r="B43" s="273">
        <v>1216</v>
      </c>
      <c r="C43" s="273">
        <v>1168</v>
      </c>
      <c r="D43" s="273">
        <f t="shared" si="14"/>
        <v>1581.785102739726</v>
      </c>
      <c r="E43" s="273">
        <v>1847.5250000000001</v>
      </c>
      <c r="F43" s="273">
        <v>187</v>
      </c>
      <c r="G43" s="273">
        <v>165.8</v>
      </c>
      <c r="H43" s="273">
        <f t="shared" si="15"/>
        <v>1750.4523522316042</v>
      </c>
      <c r="I43" s="273">
        <v>290.22500000000002</v>
      </c>
      <c r="J43" s="273">
        <f t="shared" ref="J43:K48" si="17">B43+F43</f>
        <v>1403</v>
      </c>
      <c r="K43" s="273">
        <f t="shared" si="17"/>
        <v>1333.8</v>
      </c>
      <c r="L43" s="273">
        <f t="shared" si="16"/>
        <v>1602.7515369620633</v>
      </c>
      <c r="M43" s="273">
        <f t="shared" ref="M43:M48" si="18">+E43+I43</f>
        <v>2137.75</v>
      </c>
      <c r="N43" s="276">
        <v>375077</v>
      </c>
      <c r="Q43" s="18"/>
    </row>
    <row r="44" spans="1:17">
      <c r="A44" s="55">
        <v>2018</v>
      </c>
      <c r="B44" s="273">
        <v>1164</v>
      </c>
      <c r="C44" s="273">
        <v>1094</v>
      </c>
      <c r="D44" s="273">
        <f t="shared" si="14"/>
        <v>1725.1005484460695</v>
      </c>
      <c r="E44" s="273">
        <v>1887.26</v>
      </c>
      <c r="F44" s="273">
        <v>137</v>
      </c>
      <c r="G44" s="273">
        <v>123.4</v>
      </c>
      <c r="H44" s="273">
        <f t="shared" si="15"/>
        <v>1781.0777957860614</v>
      </c>
      <c r="I44" s="273">
        <v>219.785</v>
      </c>
      <c r="J44" s="273">
        <f t="shared" si="17"/>
        <v>1301</v>
      </c>
      <c r="K44" s="273">
        <f t="shared" si="17"/>
        <v>1217.4000000000001</v>
      </c>
      <c r="L44" s="273">
        <f t="shared" si="16"/>
        <v>1730.7746016099884</v>
      </c>
      <c r="M44" s="273">
        <f t="shared" si="18"/>
        <v>2107.0450000000001</v>
      </c>
      <c r="N44" s="276">
        <v>370446</v>
      </c>
      <c r="Q44" s="18"/>
    </row>
    <row r="45" spans="1:17">
      <c r="A45" s="55">
        <v>2019</v>
      </c>
      <c r="B45" s="273">
        <v>1197</v>
      </c>
      <c r="C45" s="273">
        <v>1131</v>
      </c>
      <c r="D45" s="273">
        <f t="shared" si="14"/>
        <v>1561.0521662245801</v>
      </c>
      <c r="E45" s="273">
        <v>1765.55</v>
      </c>
      <c r="F45" s="273">
        <v>153.6</v>
      </c>
      <c r="G45" s="273">
        <v>122.5</v>
      </c>
      <c r="H45" s="273">
        <f t="shared" si="15"/>
        <v>1554.9795918367347</v>
      </c>
      <c r="I45" s="273">
        <v>190.48500000000001</v>
      </c>
      <c r="J45" s="273">
        <f t="shared" si="17"/>
        <v>1350.6</v>
      </c>
      <c r="K45" s="273">
        <f t="shared" si="17"/>
        <v>1253.5</v>
      </c>
      <c r="L45" s="273">
        <f t="shared" si="16"/>
        <v>1560.4587155963302</v>
      </c>
      <c r="M45" s="273">
        <f t="shared" si="18"/>
        <v>1956.0349999999999</v>
      </c>
      <c r="N45" s="276">
        <v>386346</v>
      </c>
      <c r="Q45" s="18"/>
    </row>
    <row r="46" spans="1:17">
      <c r="A46" s="55">
        <v>2020</v>
      </c>
      <c r="B46" s="273">
        <v>1490</v>
      </c>
      <c r="C46" s="273">
        <v>1452.5</v>
      </c>
      <c r="D46" s="273">
        <f t="shared" si="14"/>
        <v>1801.9552495697073</v>
      </c>
      <c r="E46" s="273">
        <v>2617.34</v>
      </c>
      <c r="F46" s="273">
        <v>229.1</v>
      </c>
      <c r="G46" s="273">
        <v>213.6</v>
      </c>
      <c r="H46" s="273">
        <f t="shared" si="15"/>
        <v>1711.3764044943821</v>
      </c>
      <c r="I46" s="273">
        <v>365.55</v>
      </c>
      <c r="J46" s="273">
        <v>1718.7</v>
      </c>
      <c r="K46" s="273">
        <f t="shared" si="17"/>
        <v>1666.1</v>
      </c>
      <c r="L46" s="273">
        <f t="shared" si="16"/>
        <v>1790.3427165236185</v>
      </c>
      <c r="M46" s="273">
        <f t="shared" si="18"/>
        <v>2982.8900000000003</v>
      </c>
      <c r="N46" s="276">
        <v>631976</v>
      </c>
      <c r="Q46" s="18"/>
    </row>
    <row r="47" spans="1:17">
      <c r="A47" s="55">
        <v>2021</v>
      </c>
      <c r="B47" s="273">
        <v>1180</v>
      </c>
      <c r="C47" s="273">
        <v>1141.5</v>
      </c>
      <c r="D47" s="273">
        <f t="shared" si="14"/>
        <v>1522.6982041173894</v>
      </c>
      <c r="E47" s="273">
        <v>1738.16</v>
      </c>
      <c r="F47" s="273">
        <v>110.5</v>
      </c>
      <c r="G47" s="273">
        <v>104.3</v>
      </c>
      <c r="H47" s="273">
        <f t="shared" si="15"/>
        <v>1602.3489932885907</v>
      </c>
      <c r="I47" s="273">
        <v>167.125</v>
      </c>
      <c r="J47" s="273">
        <f>B47+F47</f>
        <v>1290.5</v>
      </c>
      <c r="K47" s="273">
        <f t="shared" si="17"/>
        <v>1245.8</v>
      </c>
      <c r="L47" s="273">
        <f t="shared" si="16"/>
        <v>1529.3666720179804</v>
      </c>
      <c r="M47" s="273">
        <f t="shared" si="18"/>
        <v>1905.2850000000001</v>
      </c>
      <c r="N47" s="276">
        <v>618098</v>
      </c>
      <c r="Q47" s="18"/>
    </row>
    <row r="48" spans="1:17">
      <c r="A48" s="239">
        <v>2022</v>
      </c>
      <c r="B48" s="274">
        <v>1550</v>
      </c>
      <c r="C48" s="274">
        <v>1479</v>
      </c>
      <c r="D48" s="274">
        <f t="shared" si="14"/>
        <v>1738.9114266396214</v>
      </c>
      <c r="E48" s="274">
        <v>2571.85</v>
      </c>
      <c r="F48" s="274">
        <v>143</v>
      </c>
      <c r="G48" s="274">
        <v>128</v>
      </c>
      <c r="H48" s="274">
        <f t="shared" si="15"/>
        <v>1880.390625</v>
      </c>
      <c r="I48" s="274">
        <v>240.69</v>
      </c>
      <c r="J48" s="274">
        <f>B48+F48</f>
        <v>1693</v>
      </c>
      <c r="K48" s="274">
        <f t="shared" si="17"/>
        <v>1607</v>
      </c>
      <c r="L48" s="274">
        <f t="shared" si="16"/>
        <v>1750.1804604853764</v>
      </c>
      <c r="M48" s="274">
        <f t="shared" si="18"/>
        <v>2812.54</v>
      </c>
      <c r="N48" s="277">
        <v>794214</v>
      </c>
      <c r="Q48" s="18"/>
    </row>
    <row r="49" spans="1:14">
      <c r="A49" s="52" t="s">
        <v>678</v>
      </c>
      <c r="B49" s="33"/>
      <c r="C49" s="33"/>
      <c r="D49" s="33"/>
      <c r="E49" s="33"/>
      <c r="F49" s="275"/>
      <c r="G49" s="33"/>
      <c r="H49" s="33"/>
      <c r="I49" s="33"/>
      <c r="M49" s="78"/>
    </row>
    <row r="50" spans="1:14" ht="12" customHeight="1">
      <c r="N50" s="225" t="s">
        <v>592</v>
      </c>
    </row>
    <row r="51" spans="1:14">
      <c r="A51" t="s">
        <v>35</v>
      </c>
    </row>
  </sheetData>
  <phoneticPr fontId="0" type="noConversion"/>
  <pageMargins left="0.75" right="0.75" top="1" bottom="1" header="0.5" footer="0.5"/>
  <pageSetup scale="70" firstPageNumber="21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O56"/>
  <sheetViews>
    <sheetView zoomScaleNormal="100" zoomScaleSheetLayoutView="100" workbookViewId="0">
      <pane ySplit="6" topLeftCell="A7" activePane="bottomLeft" state="frozen"/>
      <selection pane="bottomLeft"/>
    </sheetView>
  </sheetViews>
  <sheetFormatPr defaultRowHeight="11.25"/>
  <cols>
    <col min="1" max="1" width="23.1640625" customWidth="1"/>
    <col min="2" max="10" width="10.6640625" customWidth="1"/>
    <col min="11" max="11" width="13.83203125" customWidth="1"/>
    <col min="12" max="12" width="9.83203125" customWidth="1"/>
    <col min="14" max="14" width="8.5" customWidth="1"/>
  </cols>
  <sheetData>
    <row r="1" spans="1:12">
      <c r="A1" s="249" t="s">
        <v>620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7" t="s">
        <v>175</v>
      </c>
      <c r="B2" s="121"/>
      <c r="C2" s="4" t="s">
        <v>75</v>
      </c>
      <c r="D2" s="4"/>
      <c r="E2" s="120"/>
      <c r="F2" s="4"/>
      <c r="G2" s="4" t="s">
        <v>399</v>
      </c>
      <c r="H2" s="4"/>
      <c r="I2" s="120"/>
      <c r="J2" s="7" t="s">
        <v>98</v>
      </c>
      <c r="K2" s="121" t="s">
        <v>74</v>
      </c>
      <c r="L2" s="9"/>
    </row>
    <row r="3" spans="1:12">
      <c r="A3" s="7" t="s">
        <v>59</v>
      </c>
      <c r="B3" s="109" t="s">
        <v>96</v>
      </c>
      <c r="C3" s="7" t="s">
        <v>40</v>
      </c>
      <c r="D3" s="7" t="s">
        <v>49</v>
      </c>
      <c r="E3" s="112" t="s">
        <v>2</v>
      </c>
      <c r="F3" s="7" t="s">
        <v>67</v>
      </c>
      <c r="G3" s="7" t="s">
        <v>582</v>
      </c>
      <c r="H3" s="7" t="s">
        <v>50</v>
      </c>
      <c r="I3" s="112" t="s">
        <v>2</v>
      </c>
      <c r="J3" s="7" t="s">
        <v>66</v>
      </c>
      <c r="K3" s="109" t="s">
        <v>266</v>
      </c>
      <c r="L3" s="7" t="s">
        <v>249</v>
      </c>
    </row>
    <row r="4" spans="1:12">
      <c r="A4" s="74" t="s">
        <v>119</v>
      </c>
      <c r="B4" s="109" t="s">
        <v>66</v>
      </c>
      <c r="C4" s="7"/>
      <c r="D4" s="7"/>
      <c r="E4" s="112"/>
      <c r="F4" s="7"/>
      <c r="G4" s="7" t="s">
        <v>554</v>
      </c>
      <c r="H4" s="7"/>
      <c r="I4" s="112"/>
      <c r="J4" s="7"/>
      <c r="K4" s="109" t="s">
        <v>70</v>
      </c>
      <c r="L4" s="7"/>
    </row>
    <row r="5" spans="1:12">
      <c r="A5" s="9"/>
      <c r="B5" s="116"/>
      <c r="C5" s="9"/>
      <c r="D5" s="9"/>
      <c r="E5" s="114"/>
      <c r="F5" s="9"/>
      <c r="G5" s="9" t="s">
        <v>174</v>
      </c>
      <c r="H5" s="9"/>
      <c r="I5" s="114"/>
      <c r="J5" s="9"/>
      <c r="K5" s="116" t="s">
        <v>116</v>
      </c>
      <c r="L5" s="9"/>
    </row>
    <row r="6" spans="1:12" ht="12" customHeight="1">
      <c r="A6" s="150"/>
      <c r="B6" s="150"/>
      <c r="C6" s="148"/>
      <c r="D6" s="148"/>
      <c r="E6" s="148"/>
      <c r="F6" s="148" t="s">
        <v>190</v>
      </c>
      <c r="G6" s="148"/>
      <c r="H6" s="148"/>
      <c r="I6" s="148"/>
      <c r="J6" s="148"/>
      <c r="K6" s="408" t="s">
        <v>366</v>
      </c>
      <c r="L6" s="408"/>
    </row>
    <row r="7" spans="1:12" ht="12" customHeight="1">
      <c r="B7" s="178"/>
      <c r="C7" s="178"/>
      <c r="D7" s="178"/>
      <c r="E7" s="178"/>
      <c r="F7" s="178"/>
      <c r="G7" s="178"/>
      <c r="H7" s="178"/>
      <c r="I7" s="178"/>
      <c r="J7" s="178"/>
      <c r="K7" s="179"/>
      <c r="L7" s="142"/>
    </row>
    <row r="8" spans="1:12">
      <c r="A8" s="10" t="s">
        <v>181</v>
      </c>
      <c r="B8" s="180">
        <v>1975.341312</v>
      </c>
      <c r="C8" s="180">
        <f>+'tab21'!M6</f>
        <v>3741.64</v>
      </c>
      <c r="D8" s="180">
        <v>61.729416000000001</v>
      </c>
      <c r="E8" s="180">
        <f>SUM(B8:D8)</f>
        <v>5778.710728</v>
      </c>
      <c r="F8" s="180">
        <v>1719.588</v>
      </c>
      <c r="G8" s="180">
        <f>+I8-F8-H8</f>
        <v>339.92541400000027</v>
      </c>
      <c r="H8" s="180">
        <v>3317.9561100000001</v>
      </c>
      <c r="I8" s="180">
        <f t="shared" ref="I8:I46" si="0">+E8-J8</f>
        <v>5377.4695240000001</v>
      </c>
      <c r="J8" s="180">
        <v>401.24120399999998</v>
      </c>
      <c r="K8" s="184">
        <v>10.9</v>
      </c>
      <c r="L8" s="185" t="s">
        <v>229</v>
      </c>
    </row>
    <row r="9" spans="1:12">
      <c r="A9" s="10" t="s">
        <v>182</v>
      </c>
      <c r="B9" s="181">
        <f t="shared" ref="B9:B28" si="1">+J8</f>
        <v>401.24120399999998</v>
      </c>
      <c r="C9" s="180">
        <f>+'tab21'!M7</f>
        <v>4487.41</v>
      </c>
      <c r="D9" s="180">
        <v>70.547904000000003</v>
      </c>
      <c r="E9" s="180">
        <f t="shared" ref="E9:E28" si="2">SUM(B9:D9)</f>
        <v>4959.1991079999998</v>
      </c>
      <c r="F9" s="180">
        <v>824.5204</v>
      </c>
      <c r="G9" s="180">
        <f t="shared" ref="G9:G29" si="3">+I9-F9-H9</f>
        <v>391.23055199999953</v>
      </c>
      <c r="H9" s="180">
        <v>3428.1872100000001</v>
      </c>
      <c r="I9" s="180">
        <f t="shared" si="0"/>
        <v>4643.9381619999995</v>
      </c>
      <c r="J9" s="180">
        <v>315.26094599999999</v>
      </c>
      <c r="K9" s="186">
        <v>10.8</v>
      </c>
      <c r="L9" s="185" t="s">
        <v>229</v>
      </c>
    </row>
    <row r="10" spans="1:12">
      <c r="A10" s="10" t="s">
        <v>183</v>
      </c>
      <c r="B10" s="181">
        <f t="shared" si="1"/>
        <v>315.26094599999999</v>
      </c>
      <c r="C10" s="180">
        <f>+'tab21'!M8</f>
        <v>5332.8200000000006</v>
      </c>
      <c r="D10" s="180">
        <v>88.184880000000007</v>
      </c>
      <c r="E10" s="180">
        <f t="shared" si="2"/>
        <v>5736.2658260000007</v>
      </c>
      <c r="F10" s="180">
        <v>1688.7236</v>
      </c>
      <c r="G10" s="180">
        <f t="shared" si="3"/>
        <v>420.93903600000021</v>
      </c>
      <c r="H10" s="180">
        <v>2971.8304560000001</v>
      </c>
      <c r="I10" s="180">
        <f t="shared" si="0"/>
        <v>5081.4930920000006</v>
      </c>
      <c r="J10" s="180">
        <v>654.77273400000001</v>
      </c>
      <c r="K10" s="186">
        <v>9.0299999999999994</v>
      </c>
      <c r="L10" s="185" t="s">
        <v>229</v>
      </c>
    </row>
    <row r="11" spans="1:12">
      <c r="A11" s="10" t="s">
        <v>184</v>
      </c>
      <c r="B11" s="181">
        <f t="shared" si="1"/>
        <v>654.77273400000001</v>
      </c>
      <c r="C11" s="180">
        <f>+'tab21'!M9</f>
        <v>3198.5</v>
      </c>
      <c r="D11" s="180">
        <v>68.343282000000002</v>
      </c>
      <c r="E11" s="180">
        <f t="shared" si="2"/>
        <v>3921.6160159999999</v>
      </c>
      <c r="F11" s="180">
        <v>1300.7139999999999</v>
      </c>
      <c r="G11" s="180">
        <f t="shared" si="3"/>
        <v>247.85411199999999</v>
      </c>
      <c r="H11" s="180">
        <v>2302.5</v>
      </c>
      <c r="I11" s="180">
        <f t="shared" si="0"/>
        <v>3851.0681119999999</v>
      </c>
      <c r="J11" s="180">
        <v>70.547904000000003</v>
      </c>
      <c r="K11" s="186">
        <v>13</v>
      </c>
      <c r="L11" s="185" t="s">
        <v>229</v>
      </c>
    </row>
    <row r="12" spans="1:12">
      <c r="A12" s="10" t="s">
        <v>185</v>
      </c>
      <c r="B12" s="181">
        <f t="shared" si="1"/>
        <v>70.547904000000003</v>
      </c>
      <c r="C12" s="180">
        <f>+'tab21'!M10</f>
        <v>3744.53</v>
      </c>
      <c r="D12" s="180">
        <v>57.320171999999999</v>
      </c>
      <c r="E12" s="180">
        <f t="shared" si="2"/>
        <v>3872.3980760000004</v>
      </c>
      <c r="F12" s="180">
        <v>1250.0082</v>
      </c>
      <c r="G12" s="180">
        <f t="shared" si="3"/>
        <v>281.60947400000032</v>
      </c>
      <c r="H12" s="180">
        <v>2183.7804019999999</v>
      </c>
      <c r="I12" s="180">
        <f t="shared" si="0"/>
        <v>3715.3980760000004</v>
      </c>
      <c r="J12" s="180">
        <v>157</v>
      </c>
      <c r="K12" s="186">
        <v>11.3</v>
      </c>
      <c r="L12" s="185" t="s">
        <v>229</v>
      </c>
    </row>
    <row r="13" spans="1:12">
      <c r="A13" s="10" t="s">
        <v>186</v>
      </c>
      <c r="B13" s="181">
        <f t="shared" si="1"/>
        <v>157</v>
      </c>
      <c r="C13" s="180">
        <f>+'tab21'!M11</f>
        <v>3153.02</v>
      </c>
      <c r="D13" s="180">
        <v>57.319600000000001</v>
      </c>
      <c r="E13" s="180">
        <f t="shared" si="2"/>
        <v>3367.3395999999998</v>
      </c>
      <c r="F13" s="180">
        <v>1485.9004</v>
      </c>
      <c r="G13" s="180">
        <f t="shared" si="3"/>
        <v>608.46939999999995</v>
      </c>
      <c r="H13" s="180">
        <v>803.99620000000004</v>
      </c>
      <c r="I13" s="180">
        <f t="shared" si="0"/>
        <v>2898.366</v>
      </c>
      <c r="J13" s="180">
        <v>468.97359999999998</v>
      </c>
      <c r="K13" s="186">
        <v>7.93</v>
      </c>
      <c r="L13" s="185" t="s">
        <v>229</v>
      </c>
    </row>
    <row r="14" spans="1:12">
      <c r="A14" s="10" t="s">
        <v>187</v>
      </c>
      <c r="B14" s="181">
        <f t="shared" si="1"/>
        <v>468.97359999999998</v>
      </c>
      <c r="C14" s="180">
        <f>+'tab21'!M12</f>
        <v>2675.75</v>
      </c>
      <c r="D14" s="180">
        <v>18.613866000000002</v>
      </c>
      <c r="E14" s="180">
        <f t="shared" si="2"/>
        <v>3163.3374659999999</v>
      </c>
      <c r="F14" s="180">
        <v>1399.93497</v>
      </c>
      <c r="G14" s="180">
        <f t="shared" si="3"/>
        <v>535.08619980000014</v>
      </c>
      <c r="H14" s="180">
        <v>670.1256482</v>
      </c>
      <c r="I14" s="180">
        <f t="shared" si="0"/>
        <v>2605.1468180000002</v>
      </c>
      <c r="J14" s="180">
        <v>558.19064800000001</v>
      </c>
      <c r="K14" s="186">
        <v>6.9</v>
      </c>
      <c r="L14" s="185" t="s">
        <v>229</v>
      </c>
    </row>
    <row r="15" spans="1:12">
      <c r="A15" s="10" t="s">
        <v>188</v>
      </c>
      <c r="B15" s="181">
        <f t="shared" si="1"/>
        <v>558.19064800000001</v>
      </c>
      <c r="C15" s="180">
        <f>+'tab21'!M13</f>
        <v>2608.15</v>
      </c>
      <c r="D15" s="180">
        <v>22.023</v>
      </c>
      <c r="E15" s="180">
        <f t="shared" si="2"/>
        <v>3188.3636480000005</v>
      </c>
      <c r="F15" s="180">
        <v>1984.14</v>
      </c>
      <c r="G15" s="180">
        <f t="shared" si="3"/>
        <v>175.84420440000054</v>
      </c>
      <c r="H15" s="180">
        <v>594.32929560000002</v>
      </c>
      <c r="I15" s="180">
        <f t="shared" si="0"/>
        <v>2754.3135000000007</v>
      </c>
      <c r="J15" s="180">
        <v>434.05014799999998</v>
      </c>
      <c r="K15" s="186">
        <v>8.34</v>
      </c>
      <c r="L15" s="185" t="s">
        <v>229</v>
      </c>
    </row>
    <row r="16" spans="1:12">
      <c r="A16" s="10" t="s">
        <v>189</v>
      </c>
      <c r="B16" s="181">
        <f t="shared" si="1"/>
        <v>434.05014799999998</v>
      </c>
      <c r="C16" s="180">
        <f>+'tab21'!M14</f>
        <v>1792.01</v>
      </c>
      <c r="D16" s="180">
        <v>55.091999999999999</v>
      </c>
      <c r="E16" s="180">
        <f t="shared" si="2"/>
        <v>2281.1521480000001</v>
      </c>
      <c r="F16" s="180">
        <v>1267</v>
      </c>
      <c r="G16" s="180">
        <f t="shared" si="3"/>
        <v>651.3401054000002</v>
      </c>
      <c r="H16" s="180">
        <v>186.3570426</v>
      </c>
      <c r="I16" s="180">
        <f t="shared" si="0"/>
        <v>2104.6971480000002</v>
      </c>
      <c r="J16" s="180">
        <v>176.45500000000001</v>
      </c>
      <c r="K16" s="186">
        <v>12.1</v>
      </c>
      <c r="L16" s="185" t="s">
        <v>229</v>
      </c>
    </row>
    <row r="17" spans="1:12">
      <c r="A17" s="10" t="s">
        <v>4</v>
      </c>
      <c r="B17" s="181">
        <f t="shared" si="1"/>
        <v>176.45500000000001</v>
      </c>
      <c r="C17" s="180">
        <f>+'tab21'!M15</f>
        <v>1759.76</v>
      </c>
      <c r="D17" s="180">
        <v>43.342514546654002</v>
      </c>
      <c r="E17" s="180">
        <f t="shared" si="2"/>
        <v>1979.5575145466539</v>
      </c>
      <c r="F17" s="180">
        <v>1204</v>
      </c>
      <c r="G17" s="180">
        <f t="shared" si="3"/>
        <v>506.32467833386198</v>
      </c>
      <c r="H17" s="180">
        <v>211.07583621279201</v>
      </c>
      <c r="I17" s="180">
        <f t="shared" si="0"/>
        <v>1921.400514546654</v>
      </c>
      <c r="J17" s="180">
        <v>58.156999999999996</v>
      </c>
      <c r="K17" s="186">
        <v>10.6</v>
      </c>
      <c r="L17" s="185" t="s">
        <v>229</v>
      </c>
    </row>
    <row r="18" spans="1:12">
      <c r="A18" s="10" t="s">
        <v>5</v>
      </c>
      <c r="B18" s="181">
        <f t="shared" si="1"/>
        <v>58.156999999999996</v>
      </c>
      <c r="C18" s="180">
        <f>+'tab21'!M16</f>
        <v>2274.4050000000002</v>
      </c>
      <c r="D18" s="180">
        <v>87.54264717948999</v>
      </c>
      <c r="E18" s="180">
        <f t="shared" si="2"/>
        <v>2420.1046471794903</v>
      </c>
      <c r="F18" s="180">
        <v>1307</v>
      </c>
      <c r="G18" s="180">
        <f t="shared" si="3"/>
        <v>646.57099857949004</v>
      </c>
      <c r="H18" s="180">
        <v>271.47664859999998</v>
      </c>
      <c r="I18" s="180">
        <f t="shared" si="0"/>
        <v>2225.04764717949</v>
      </c>
      <c r="J18" s="180">
        <v>195.05700000000002</v>
      </c>
      <c r="K18" s="186">
        <v>10.8</v>
      </c>
      <c r="L18" s="185" t="s">
        <v>229</v>
      </c>
    </row>
    <row r="19" spans="1:12">
      <c r="A19" s="10" t="s">
        <v>6</v>
      </c>
      <c r="B19" s="181">
        <f t="shared" si="1"/>
        <v>195.05700000000002</v>
      </c>
      <c r="C19" s="180">
        <f>+'tab21'!M17</f>
        <v>3613.0299999999997</v>
      </c>
      <c r="D19" s="180">
        <v>166</v>
      </c>
      <c r="E19" s="180">
        <f t="shared" si="2"/>
        <v>3974.0869999999995</v>
      </c>
      <c r="F19" s="180">
        <v>2099</v>
      </c>
      <c r="G19" s="180">
        <f t="shared" si="3"/>
        <v>979.58039999999937</v>
      </c>
      <c r="H19" s="180">
        <v>317.11259999999999</v>
      </c>
      <c r="I19" s="180">
        <f t="shared" si="0"/>
        <v>3395.6929999999993</v>
      </c>
      <c r="J19" s="180">
        <v>578.39400000000001</v>
      </c>
      <c r="K19" s="186">
        <v>8.69</v>
      </c>
      <c r="L19" s="186">
        <v>8.9</v>
      </c>
    </row>
    <row r="20" spans="1:12">
      <c r="A20" s="10" t="s">
        <v>7</v>
      </c>
      <c r="B20" s="181">
        <f t="shared" si="1"/>
        <v>578.39400000000001</v>
      </c>
      <c r="C20" s="180">
        <f>+'tab21'!M18</f>
        <v>2564.9850000000001</v>
      </c>
      <c r="D20" s="180">
        <v>104</v>
      </c>
      <c r="E20" s="180">
        <f t="shared" si="2"/>
        <v>3247.3789999999999</v>
      </c>
      <c r="F20" s="180">
        <v>2035.7850000000001</v>
      </c>
      <c r="G20" s="180">
        <f t="shared" si="3"/>
        <v>800.41699999999969</v>
      </c>
      <c r="H20" s="180">
        <v>260</v>
      </c>
      <c r="I20" s="180">
        <f t="shared" si="0"/>
        <v>3096.2019999999998</v>
      </c>
      <c r="J20" s="180">
        <v>151.17699999999999</v>
      </c>
      <c r="K20" s="186">
        <v>9.74</v>
      </c>
      <c r="L20" s="186">
        <v>8.9</v>
      </c>
    </row>
    <row r="21" spans="1:12">
      <c r="A21" s="10" t="s">
        <v>8</v>
      </c>
      <c r="B21" s="181">
        <f t="shared" si="1"/>
        <v>151.17699999999999</v>
      </c>
      <c r="C21" s="180">
        <f>+'tab21'!M19</f>
        <v>2572.0630000000001</v>
      </c>
      <c r="D21" s="180">
        <v>53.756966400000003</v>
      </c>
      <c r="E21" s="180">
        <f t="shared" si="2"/>
        <v>2776.9969664</v>
      </c>
      <c r="F21" s="180">
        <v>1457</v>
      </c>
      <c r="G21" s="180">
        <f t="shared" si="3"/>
        <v>945.94876860000022</v>
      </c>
      <c r="H21" s="180">
        <v>218.35019779999999</v>
      </c>
      <c r="I21" s="180">
        <f t="shared" si="0"/>
        <v>2621.2989664000002</v>
      </c>
      <c r="J21" s="180">
        <v>155.69799999999998</v>
      </c>
      <c r="K21" s="186">
        <v>12.9</v>
      </c>
      <c r="L21" s="186">
        <v>8.9</v>
      </c>
    </row>
    <row r="22" spans="1:12">
      <c r="A22" s="10" t="s">
        <v>9</v>
      </c>
      <c r="B22" s="181">
        <f t="shared" si="1"/>
        <v>155.69799999999998</v>
      </c>
      <c r="C22" s="180">
        <f>+'tab21'!M20</f>
        <v>4835.8250000000007</v>
      </c>
      <c r="D22" s="180">
        <v>92.804841600000003</v>
      </c>
      <c r="E22" s="180">
        <f t="shared" si="2"/>
        <v>5084.3278416000012</v>
      </c>
      <c r="F22" s="180">
        <v>2894.4017032000002</v>
      </c>
      <c r="G22" s="180">
        <f t="shared" si="3"/>
        <v>1330.948397000001</v>
      </c>
      <c r="H22" s="180">
        <v>631.63774139999998</v>
      </c>
      <c r="I22" s="180">
        <f t="shared" si="0"/>
        <v>4856.987841600001</v>
      </c>
      <c r="J22" s="180">
        <v>227.34</v>
      </c>
      <c r="K22" s="186">
        <v>10.7</v>
      </c>
      <c r="L22" s="186">
        <v>8.6999999999999993</v>
      </c>
    </row>
    <row r="23" spans="1:12">
      <c r="A23" s="10" t="s">
        <v>10</v>
      </c>
      <c r="B23" s="181">
        <f t="shared" si="1"/>
        <v>227.34</v>
      </c>
      <c r="C23" s="180">
        <f>+'tab21'!M21</f>
        <v>4009.3319999999999</v>
      </c>
      <c r="D23" s="180">
        <v>46.444308200000002</v>
      </c>
      <c r="E23" s="180">
        <f t="shared" si="2"/>
        <v>4283.1163081999994</v>
      </c>
      <c r="F23" s="180">
        <v>2017.8395155999999</v>
      </c>
      <c r="G23" s="180">
        <f t="shared" si="3"/>
        <v>1318.0377494736974</v>
      </c>
      <c r="H23" s="180">
        <v>494.28604312630205</v>
      </c>
      <c r="I23" s="180">
        <f t="shared" si="0"/>
        <v>3830.1633081999994</v>
      </c>
      <c r="J23" s="180">
        <v>452.95299999999997</v>
      </c>
      <c r="K23" s="186">
        <v>11.5</v>
      </c>
      <c r="L23" s="186">
        <v>8.6999999999999993</v>
      </c>
    </row>
    <row r="24" spans="1:12">
      <c r="A24" s="10" t="s">
        <v>11</v>
      </c>
      <c r="B24" s="181">
        <f t="shared" si="1"/>
        <v>452.95299999999997</v>
      </c>
      <c r="C24" s="180">
        <f>+'tab21'!M22</f>
        <v>3559.3429999999998</v>
      </c>
      <c r="D24" s="180">
        <v>39.61</v>
      </c>
      <c r="E24" s="180">
        <f t="shared" si="2"/>
        <v>4051.9059999999999</v>
      </c>
      <c r="F24" s="180">
        <v>1861.3724397999999</v>
      </c>
      <c r="G24" s="180">
        <f t="shared" si="3"/>
        <v>1428.387598484238</v>
      </c>
      <c r="H24" s="180">
        <v>329.14096171576205</v>
      </c>
      <c r="I24" s="180">
        <f t="shared" si="0"/>
        <v>3618.9009999999998</v>
      </c>
      <c r="J24" s="180">
        <v>433.005</v>
      </c>
      <c r="K24" s="186">
        <v>11.7</v>
      </c>
      <c r="L24" s="186">
        <v>8.91</v>
      </c>
    </row>
    <row r="25" spans="1:12">
      <c r="A25" s="10" t="s">
        <v>12</v>
      </c>
      <c r="B25" s="181">
        <f t="shared" si="1"/>
        <v>433.005</v>
      </c>
      <c r="C25" s="180">
        <f>+'tab21'!M23</f>
        <v>3676.9519999999998</v>
      </c>
      <c r="D25" s="180">
        <v>64.891794000000004</v>
      </c>
      <c r="E25" s="180">
        <f t="shared" si="2"/>
        <v>4174.8487939999995</v>
      </c>
      <c r="F25" s="180">
        <v>2338.1436450000001</v>
      </c>
      <c r="G25" s="180">
        <f t="shared" si="3"/>
        <v>1216.5631489999996</v>
      </c>
      <c r="H25" s="180">
        <v>417.83</v>
      </c>
      <c r="I25" s="180">
        <f t="shared" si="0"/>
        <v>3972.5367939999996</v>
      </c>
      <c r="J25" s="180">
        <v>202.31200000000001</v>
      </c>
      <c r="K25" s="186">
        <v>11.6</v>
      </c>
      <c r="L25" s="186">
        <v>9.3000000000000007</v>
      </c>
    </row>
    <row r="26" spans="1:12">
      <c r="A26" s="10" t="s">
        <v>13</v>
      </c>
      <c r="B26" s="181">
        <f t="shared" si="1"/>
        <v>202.31200000000001</v>
      </c>
      <c r="C26" s="180">
        <f>+'tab21'!M24</f>
        <v>5273.1619999999994</v>
      </c>
      <c r="D26" s="180">
        <v>75.477999999999994</v>
      </c>
      <c r="E26" s="180">
        <f t="shared" si="2"/>
        <v>5550.9519999999993</v>
      </c>
      <c r="F26" s="180">
        <v>2595.9517735999998</v>
      </c>
      <c r="G26" s="180">
        <f t="shared" si="3"/>
        <v>1874.0452274094555</v>
      </c>
      <c r="H26" s="180">
        <v>572.73099899054398</v>
      </c>
      <c r="I26" s="180">
        <f t="shared" si="0"/>
        <v>5042.7279999999992</v>
      </c>
      <c r="J26" s="180">
        <v>508.22400000000005</v>
      </c>
      <c r="K26" s="186">
        <v>10.6</v>
      </c>
      <c r="L26" s="186">
        <v>9.3000000000000007</v>
      </c>
    </row>
    <row r="27" spans="1:12">
      <c r="A27" s="10" t="s">
        <v>14</v>
      </c>
      <c r="B27" s="209">
        <f t="shared" si="1"/>
        <v>508.22400000000005</v>
      </c>
      <c r="C27" s="208">
        <f>+'tab21'!M25</f>
        <v>4341.8620000000001</v>
      </c>
      <c r="D27" s="208">
        <v>91.439342996400001</v>
      </c>
      <c r="E27" s="208">
        <f t="shared" si="2"/>
        <v>4941.5253429964005</v>
      </c>
      <c r="F27" s="208">
        <v>2511</v>
      </c>
      <c r="G27" s="208">
        <f t="shared" si="3"/>
        <v>1468.9095197934002</v>
      </c>
      <c r="H27" s="208">
        <v>451.47682320299998</v>
      </c>
      <c r="I27" s="208">
        <f t="shared" si="0"/>
        <v>4431.3863429964003</v>
      </c>
      <c r="J27" s="208">
        <v>510.13900000000001</v>
      </c>
      <c r="K27" s="187">
        <v>7.53</v>
      </c>
      <c r="L27" s="187">
        <v>9.3000000000000007</v>
      </c>
    </row>
    <row r="28" spans="1:12">
      <c r="A28" s="10" t="s">
        <v>397</v>
      </c>
      <c r="B28" s="181">
        <f t="shared" si="1"/>
        <v>510.13900000000001</v>
      </c>
      <c r="C28" s="180">
        <f>+'tab21'!M26</f>
        <v>3544.4279999999999</v>
      </c>
      <c r="D28" s="182">
        <v>144.65979992519999</v>
      </c>
      <c r="E28" s="182">
        <f t="shared" si="2"/>
        <v>4199.2267999251999</v>
      </c>
      <c r="F28" s="182">
        <v>2035.51</v>
      </c>
      <c r="G28" s="182">
        <f t="shared" si="3"/>
        <v>1375.8177999251998</v>
      </c>
      <c r="H28" s="182">
        <v>442.90800000000002</v>
      </c>
      <c r="I28" s="182">
        <f t="shared" si="0"/>
        <v>3854.2357999251999</v>
      </c>
      <c r="J28" s="182">
        <v>344.99099999999999</v>
      </c>
      <c r="K28" s="186">
        <v>6.89</v>
      </c>
      <c r="L28" s="186">
        <v>9.3000000000000007</v>
      </c>
    </row>
    <row r="29" spans="1:12">
      <c r="A29" s="10" t="s">
        <v>210</v>
      </c>
      <c r="B29" s="181">
        <f t="shared" ref="B29:B34" si="4">+J28</f>
        <v>344.99099999999999</v>
      </c>
      <c r="C29" s="180">
        <f>+'tab21'!M27</f>
        <v>3418.759</v>
      </c>
      <c r="D29" s="182">
        <v>168.51711689819999</v>
      </c>
      <c r="E29" s="182">
        <f t="shared" ref="E29:E34" si="5">SUM(B29:D29)</f>
        <v>3932.2671168982001</v>
      </c>
      <c r="F29" s="182">
        <v>1676.4056</v>
      </c>
      <c r="G29" s="182">
        <f t="shared" si="3"/>
        <v>1499.03340992621</v>
      </c>
      <c r="H29" s="182">
        <v>517.34110697199003</v>
      </c>
      <c r="I29" s="182">
        <f t="shared" si="0"/>
        <v>3692.7801168982</v>
      </c>
      <c r="J29" s="182">
        <v>239.48699999999999</v>
      </c>
      <c r="K29" s="186">
        <v>9.6199999999999992</v>
      </c>
      <c r="L29" s="186">
        <v>9.3000000000000007</v>
      </c>
    </row>
    <row r="30" spans="1:12">
      <c r="A30" s="10" t="s">
        <v>217</v>
      </c>
      <c r="B30" s="182">
        <f t="shared" si="4"/>
        <v>239.48699999999999</v>
      </c>
      <c r="C30" s="180">
        <f>+'tab21'!M28</f>
        <v>2451.2469999999998</v>
      </c>
      <c r="D30" s="182">
        <v>216.095</v>
      </c>
      <c r="E30" s="182">
        <f t="shared" si="5"/>
        <v>2906.8289999999997</v>
      </c>
      <c r="F30" s="182">
        <v>702.7</v>
      </c>
      <c r="G30" s="182">
        <f t="shared" ref="G30:G35" si="6">+I30-F30-H30</f>
        <v>1398.1367744705515</v>
      </c>
      <c r="H30" s="182">
        <v>366.28622552944802</v>
      </c>
      <c r="I30" s="182">
        <f t="shared" si="0"/>
        <v>2467.1229999999996</v>
      </c>
      <c r="J30" s="182">
        <v>439.70600000000002</v>
      </c>
      <c r="K30" s="186">
        <v>12.1</v>
      </c>
      <c r="L30" s="186">
        <v>9.6</v>
      </c>
    </row>
    <row r="31" spans="1:12">
      <c r="A31" s="10" t="s">
        <v>398</v>
      </c>
      <c r="B31" s="182">
        <f t="shared" si="4"/>
        <v>439.70600000000002</v>
      </c>
      <c r="C31" s="180">
        <f>+'tab21'!M29</f>
        <v>2665.2260000000001</v>
      </c>
      <c r="D31" s="182">
        <v>197.33799999999999</v>
      </c>
      <c r="E31" s="182">
        <f t="shared" si="5"/>
        <v>3302.2700000000004</v>
      </c>
      <c r="F31" s="182">
        <v>1382.9</v>
      </c>
      <c r="G31" s="182">
        <f t="shared" si="6"/>
        <v>1185.3804308256706</v>
      </c>
      <c r="H31" s="182">
        <v>374.86556917433001</v>
      </c>
      <c r="I31" s="182">
        <f t="shared" si="0"/>
        <v>2943.1460000000006</v>
      </c>
      <c r="J31" s="182">
        <v>359.12400000000002</v>
      </c>
      <c r="K31" s="186">
        <v>12.1</v>
      </c>
      <c r="L31" s="186">
        <v>9.6</v>
      </c>
    </row>
    <row r="32" spans="1:12">
      <c r="A32" s="10" t="s">
        <v>222</v>
      </c>
      <c r="B32" s="182">
        <f t="shared" si="4"/>
        <v>359.12400000000002</v>
      </c>
      <c r="C32" s="180">
        <f>+'tab21'!M30</f>
        <v>2049.6129999999998</v>
      </c>
      <c r="D32" s="182">
        <v>97.772999999999996</v>
      </c>
      <c r="E32" s="182">
        <f t="shared" si="5"/>
        <v>2506.5100000000002</v>
      </c>
      <c r="F32" s="182">
        <v>609</v>
      </c>
      <c r="G32" s="182">
        <f t="shared" si="6"/>
        <v>1386.8990000000001</v>
      </c>
      <c r="H32" s="182">
        <v>311.56799999999998</v>
      </c>
      <c r="I32" s="182">
        <f t="shared" si="0"/>
        <v>2307.4670000000001</v>
      </c>
      <c r="J32" s="182">
        <v>199.04300000000001</v>
      </c>
      <c r="K32" s="186">
        <v>13.7</v>
      </c>
      <c r="L32" s="186">
        <v>9.3000000000000007</v>
      </c>
    </row>
    <row r="33" spans="1:15">
      <c r="A33" s="10" t="s">
        <v>225</v>
      </c>
      <c r="B33" s="182">
        <f t="shared" si="4"/>
        <v>199.04300000000001</v>
      </c>
      <c r="C33" s="180">
        <f>+'tab21'!M31</f>
        <v>4017.1550000000002</v>
      </c>
      <c r="D33" s="182">
        <v>86.823000000000008</v>
      </c>
      <c r="E33" s="182">
        <f t="shared" si="5"/>
        <v>4303.0210000000006</v>
      </c>
      <c r="F33" s="182">
        <v>1248.0999999999999</v>
      </c>
      <c r="G33" s="182">
        <f t="shared" si="6"/>
        <v>1878.0320000000008</v>
      </c>
      <c r="H33" s="182">
        <v>392.74700000000001</v>
      </c>
      <c r="I33" s="182">
        <f t="shared" si="0"/>
        <v>3518.8790000000008</v>
      </c>
      <c r="J33" s="182">
        <v>784.14200000000005</v>
      </c>
      <c r="K33" s="186">
        <v>12.1</v>
      </c>
      <c r="L33" s="186">
        <v>9.3000000000000007</v>
      </c>
    </row>
    <row r="34" spans="1:15">
      <c r="A34" s="10" t="s">
        <v>227</v>
      </c>
      <c r="B34" s="182">
        <f t="shared" si="4"/>
        <v>784.14200000000005</v>
      </c>
      <c r="C34" s="180">
        <f>+'tab21'!M32</f>
        <v>2143.6129999999998</v>
      </c>
      <c r="D34" s="182">
        <v>246.71899999999999</v>
      </c>
      <c r="E34" s="182">
        <f t="shared" si="5"/>
        <v>3174.4740000000002</v>
      </c>
      <c r="F34" s="182">
        <v>1452</v>
      </c>
      <c r="G34" s="182">
        <f t="shared" si="6"/>
        <v>1020.3260000000002</v>
      </c>
      <c r="H34" s="182">
        <v>400.14799999999997</v>
      </c>
      <c r="I34" s="182">
        <f t="shared" si="0"/>
        <v>2872.4740000000002</v>
      </c>
      <c r="J34" s="182">
        <v>302</v>
      </c>
      <c r="K34" s="186">
        <v>14.5</v>
      </c>
      <c r="L34" s="186">
        <v>9.3000000000000007</v>
      </c>
    </row>
    <row r="35" spans="1:15">
      <c r="A35" s="10" t="s">
        <v>230</v>
      </c>
      <c r="B35" s="182">
        <f t="shared" ref="B35:B40" si="7">+J34</f>
        <v>302</v>
      </c>
      <c r="C35" s="180">
        <f>+'tab21'!M33</f>
        <v>2868.87</v>
      </c>
      <c r="D35" s="182">
        <v>192.32400000000001</v>
      </c>
      <c r="E35" s="182">
        <f t="shared" ref="E35:E46" si="8">SUM(B35:D35)</f>
        <v>3363.194</v>
      </c>
      <c r="F35" s="182">
        <v>1504.8</v>
      </c>
      <c r="G35" s="182">
        <f t="shared" si="6"/>
        <v>1152.58</v>
      </c>
      <c r="H35" s="182">
        <v>441.13299999999998</v>
      </c>
      <c r="I35" s="182">
        <f t="shared" si="0"/>
        <v>3098.5129999999999</v>
      </c>
      <c r="J35" s="182">
        <v>264.68099999999998</v>
      </c>
      <c r="K35" s="186">
        <v>21.7</v>
      </c>
      <c r="L35" s="186">
        <v>9.3000000000000007</v>
      </c>
    </row>
    <row r="36" spans="1:15">
      <c r="A36" s="10" t="s">
        <v>231</v>
      </c>
      <c r="B36" s="182">
        <f t="shared" si="7"/>
        <v>264.68099999999998</v>
      </c>
      <c r="C36" s="180">
        <f>+'tab21'!M34</f>
        <v>3422.84</v>
      </c>
      <c r="D36" s="182">
        <v>154.02600000000001</v>
      </c>
      <c r="E36" s="182">
        <f t="shared" si="8"/>
        <v>3841.547</v>
      </c>
      <c r="F36" s="182">
        <v>1458.3</v>
      </c>
      <c r="G36" s="182">
        <f t="shared" ref="G36:G41" si="9">+I36-F36-H36</f>
        <v>1486.3710000000001</v>
      </c>
      <c r="H36" s="182">
        <v>405.488</v>
      </c>
      <c r="I36" s="182">
        <f t="shared" si="0"/>
        <v>3350.1590000000001</v>
      </c>
      <c r="J36" s="182">
        <v>491.38799999999998</v>
      </c>
      <c r="K36" s="186">
        <v>21.8</v>
      </c>
      <c r="L36" s="186">
        <v>9.3000000000000007</v>
      </c>
    </row>
    <row r="37" spans="1:15">
      <c r="A37" s="55" t="s">
        <v>234</v>
      </c>
      <c r="B37" s="182">
        <f t="shared" si="7"/>
        <v>491.38799999999998</v>
      </c>
      <c r="C37" s="180">
        <f>+'tab21'!M35</f>
        <v>3036.46</v>
      </c>
      <c r="D37" s="182">
        <v>102.467</v>
      </c>
      <c r="E37" s="182">
        <f t="shared" si="8"/>
        <v>3630.3150000000001</v>
      </c>
      <c r="F37" s="182">
        <v>1711.5</v>
      </c>
      <c r="G37" s="182">
        <f t="shared" si="9"/>
        <v>1134.4200000000003</v>
      </c>
      <c r="H37" s="182">
        <v>395.02299999999997</v>
      </c>
      <c r="I37" s="182">
        <f t="shared" si="0"/>
        <v>3240.9430000000002</v>
      </c>
      <c r="J37" s="182">
        <v>389.37200000000001</v>
      </c>
      <c r="K37" s="186">
        <v>15.1</v>
      </c>
      <c r="L37" s="186">
        <v>9.3000000000000007</v>
      </c>
    </row>
    <row r="38" spans="1:15">
      <c r="A38" s="55" t="s">
        <v>236</v>
      </c>
      <c r="B38" s="182">
        <f t="shared" si="7"/>
        <v>389.37200000000001</v>
      </c>
      <c r="C38" s="180">
        <f>+'tab21'!M36</f>
        <v>2735.57</v>
      </c>
      <c r="D38" s="182">
        <v>89.617000000000004</v>
      </c>
      <c r="E38" s="182">
        <f t="shared" si="8"/>
        <v>3214.5590000000002</v>
      </c>
      <c r="F38" s="182">
        <v>1295.9680000000001</v>
      </c>
      <c r="G38" s="182">
        <f t="shared" si="9"/>
        <v>1306.1620000000003</v>
      </c>
      <c r="H38" s="182">
        <v>353.76</v>
      </c>
      <c r="I38" s="182">
        <f t="shared" si="0"/>
        <v>2955.8900000000003</v>
      </c>
      <c r="J38" s="182">
        <v>258.66899999999998</v>
      </c>
      <c r="K38" s="186">
        <v>23.3</v>
      </c>
      <c r="L38" s="186">
        <v>10.09</v>
      </c>
    </row>
    <row r="39" spans="1:15">
      <c r="A39" s="55" t="s">
        <v>239</v>
      </c>
      <c r="B39" s="182">
        <f t="shared" si="7"/>
        <v>258.66899999999998</v>
      </c>
      <c r="C39" s="180">
        <f>+'tab21'!M37</f>
        <v>2038.2750000000001</v>
      </c>
      <c r="D39" s="182">
        <v>97.185000000000002</v>
      </c>
      <c r="E39" s="182">
        <f t="shared" si="8"/>
        <v>2394.1289999999999</v>
      </c>
      <c r="F39" s="182">
        <v>770.25300000000004</v>
      </c>
      <c r="G39" s="182">
        <f t="shared" si="9"/>
        <v>1199.2509999999997</v>
      </c>
      <c r="H39" s="182">
        <v>233.77900000000002</v>
      </c>
      <c r="I39" s="182">
        <f t="shared" si="0"/>
        <v>2203.2829999999999</v>
      </c>
      <c r="J39" s="182">
        <v>190.846</v>
      </c>
      <c r="K39" s="186">
        <v>29.1</v>
      </c>
      <c r="L39" s="186">
        <v>10.09</v>
      </c>
    </row>
    <row r="40" spans="1:15">
      <c r="A40" s="55" t="s">
        <v>241</v>
      </c>
      <c r="B40" s="182">
        <f t="shared" si="7"/>
        <v>190.846</v>
      </c>
      <c r="C40" s="180">
        <f>+'tab21'!M38</f>
        <v>2736.06</v>
      </c>
      <c r="D40" s="182">
        <v>117.896</v>
      </c>
      <c r="E40" s="182">
        <f t="shared" si="8"/>
        <v>3044.8020000000001</v>
      </c>
      <c r="F40" s="182">
        <v>993.82799999999997</v>
      </c>
      <c r="G40" s="182">
        <f t="shared" si="9"/>
        <v>1411.3570000000002</v>
      </c>
      <c r="H40" s="182">
        <v>300.74399999999997</v>
      </c>
      <c r="I40" s="182">
        <f t="shared" si="0"/>
        <v>2705.9290000000001</v>
      </c>
      <c r="J40" s="182">
        <v>338.87300000000005</v>
      </c>
      <c r="K40" s="186">
        <v>25.4</v>
      </c>
      <c r="L40" s="186">
        <v>10.09</v>
      </c>
    </row>
    <row r="41" spans="1:15">
      <c r="A41" s="55" t="s">
        <v>259</v>
      </c>
      <c r="B41" s="182">
        <f t="shared" ref="B41:B50" si="10">+J40</f>
        <v>338.87300000000005</v>
      </c>
      <c r="C41" s="180">
        <f>+'tab21'!M39</f>
        <v>2021.7649999999999</v>
      </c>
      <c r="D41" s="182">
        <v>143.839</v>
      </c>
      <c r="E41" s="182">
        <f t="shared" si="8"/>
        <v>2504.4769999999999</v>
      </c>
      <c r="F41" s="182">
        <v>1020.18</v>
      </c>
      <c r="G41" s="182">
        <f t="shared" si="9"/>
        <v>1020.5450000000003</v>
      </c>
      <c r="H41" s="182">
        <v>264.00299999999999</v>
      </c>
      <c r="I41" s="182">
        <f t="shared" si="0"/>
        <v>2304.7280000000001</v>
      </c>
      <c r="J41" s="182">
        <v>199.749</v>
      </c>
      <c r="K41" s="186">
        <v>21.4</v>
      </c>
      <c r="L41" s="186">
        <v>10.09</v>
      </c>
    </row>
    <row r="42" spans="1:15">
      <c r="A42" s="55" t="s">
        <v>258</v>
      </c>
      <c r="B42" s="183">
        <f t="shared" si="10"/>
        <v>199.749</v>
      </c>
      <c r="C42" s="208">
        <f>+'tab21'!M40</f>
        <v>2212.3500000000004</v>
      </c>
      <c r="D42" s="183">
        <v>165.15700000000001</v>
      </c>
      <c r="E42" s="183">
        <f t="shared" si="8"/>
        <v>2577.2560000000003</v>
      </c>
      <c r="F42" s="183">
        <v>807</v>
      </c>
      <c r="G42" s="183">
        <f>+I42-F42-H42</f>
        <v>1277.7160000000001</v>
      </c>
      <c r="H42" s="183">
        <v>255.32300000000001</v>
      </c>
      <c r="I42" s="183">
        <f t="shared" si="0"/>
        <v>2340.0390000000002</v>
      </c>
      <c r="J42" s="183">
        <v>237.21699999999998</v>
      </c>
      <c r="K42" s="187">
        <v>21.7</v>
      </c>
      <c r="L42" s="187">
        <v>10.09</v>
      </c>
    </row>
    <row r="43" spans="1:15">
      <c r="A43" s="55" t="s">
        <v>265</v>
      </c>
      <c r="B43" s="182">
        <f t="shared" si="10"/>
        <v>237.21699999999998</v>
      </c>
      <c r="C43" s="180">
        <f>+'tab21'!M41</f>
        <v>2925.0299999999997</v>
      </c>
      <c r="D43" s="183">
        <v>157.75299999999999</v>
      </c>
      <c r="E43" s="182">
        <f t="shared" si="8"/>
        <v>3320</v>
      </c>
      <c r="F43" s="183">
        <v>1091</v>
      </c>
      <c r="G43" s="182">
        <f>+I43-F43-H43</f>
        <v>1598.9859999999999</v>
      </c>
      <c r="H43" s="183">
        <v>217.976</v>
      </c>
      <c r="I43" s="182">
        <f t="shared" si="0"/>
        <v>2907.962</v>
      </c>
      <c r="J43" s="183">
        <v>412.03800000000001</v>
      </c>
      <c r="K43" s="187">
        <v>19.600000000000001</v>
      </c>
      <c r="L43" s="186">
        <v>10.09</v>
      </c>
    </row>
    <row r="44" spans="1:15">
      <c r="A44" s="55" t="s">
        <v>262</v>
      </c>
      <c r="B44" s="182">
        <f t="shared" si="10"/>
        <v>412.03800000000001</v>
      </c>
      <c r="C44" s="180">
        <f>+'tab21'!M42</f>
        <v>2651.6349999999998</v>
      </c>
      <c r="D44" s="183">
        <v>175.83099999999999</v>
      </c>
      <c r="E44" s="182">
        <f t="shared" si="8"/>
        <v>3239.5039999999999</v>
      </c>
      <c r="F44" s="183">
        <v>1120</v>
      </c>
      <c r="G44" s="182">
        <f>+I44-F44-H44</f>
        <v>1331.4770000000001</v>
      </c>
      <c r="H44" s="183">
        <v>198.43899999999999</v>
      </c>
      <c r="I44" s="182">
        <f t="shared" si="0"/>
        <v>2649.9160000000002</v>
      </c>
      <c r="J44" s="183">
        <v>589.58799999999997</v>
      </c>
      <c r="K44" s="187">
        <v>17.399999999999999</v>
      </c>
      <c r="L44" s="186">
        <v>10.09</v>
      </c>
    </row>
    <row r="45" spans="1:15">
      <c r="A45" s="61" t="s">
        <v>296</v>
      </c>
      <c r="B45" s="278">
        <f t="shared" si="10"/>
        <v>589.58799999999997</v>
      </c>
      <c r="C45" s="278">
        <f>+'tab21'!M43</f>
        <v>2137.75</v>
      </c>
      <c r="D45" s="278">
        <v>213.76241385781998</v>
      </c>
      <c r="E45" s="278">
        <f t="shared" si="8"/>
        <v>2941.1004138578196</v>
      </c>
      <c r="F45" s="278">
        <v>1047.1957445</v>
      </c>
      <c r="G45" s="278">
        <f>+I45-F45-H45</f>
        <v>1334.7853540560218</v>
      </c>
      <c r="H45" s="278">
        <v>173.09131530179801</v>
      </c>
      <c r="I45" s="278">
        <f t="shared" si="0"/>
        <v>2555.0724138578198</v>
      </c>
      <c r="J45" s="278">
        <v>386.02800000000002</v>
      </c>
      <c r="K45" s="281">
        <v>17.2</v>
      </c>
      <c r="L45" s="282">
        <v>10.09</v>
      </c>
      <c r="O45" s="280"/>
    </row>
    <row r="46" spans="1:15">
      <c r="A46" s="61" t="s">
        <v>335</v>
      </c>
      <c r="B46" s="278">
        <f t="shared" si="10"/>
        <v>386.02800000000002</v>
      </c>
      <c r="C46" s="278">
        <f>+'tab21'!M44</f>
        <v>2107.0450000000001</v>
      </c>
      <c r="D46" s="278">
        <v>254.03888496486198</v>
      </c>
      <c r="E46" s="278">
        <f t="shared" si="8"/>
        <v>2747.1118849648624</v>
      </c>
      <c r="F46" s="278">
        <v>1069.2419706999999</v>
      </c>
      <c r="G46" s="278">
        <f>+I46-F46-H46</f>
        <v>1250.1936010835504</v>
      </c>
      <c r="H46" s="278">
        <v>141.92831318131201</v>
      </c>
      <c r="I46" s="278">
        <f t="shared" si="0"/>
        <v>2461.3638849648623</v>
      </c>
      <c r="J46" s="278">
        <v>285.74799999999999</v>
      </c>
      <c r="K46" s="281">
        <v>17.399999999999999</v>
      </c>
      <c r="L46" s="282">
        <v>10.09</v>
      </c>
      <c r="O46" s="280"/>
    </row>
    <row r="47" spans="1:15">
      <c r="A47" s="61" t="s">
        <v>334</v>
      </c>
      <c r="B47" s="278">
        <f t="shared" si="10"/>
        <v>285.74799999999999</v>
      </c>
      <c r="C47" s="278">
        <f>+'tab21'!M45</f>
        <v>1956.0349999999999</v>
      </c>
      <c r="D47" s="278">
        <v>399.15442106790795</v>
      </c>
      <c r="E47" s="278">
        <f>SUM(B47:D47)</f>
        <v>2640.937421067908</v>
      </c>
      <c r="F47" s="278">
        <v>857.59819917999994</v>
      </c>
      <c r="G47" s="278">
        <f t="shared" ref="G47:G48" si="11">+I47-F47-H47</f>
        <v>1490.1588194754243</v>
      </c>
      <c r="H47" s="278">
        <v>98.895402412483989</v>
      </c>
      <c r="I47" s="278">
        <f>+E47-J47</f>
        <v>2446.6524210679081</v>
      </c>
      <c r="J47" s="278">
        <v>194.28500000000003</v>
      </c>
      <c r="K47" s="281">
        <v>19.5</v>
      </c>
      <c r="L47" s="282">
        <v>10.09</v>
      </c>
      <c r="O47" s="280"/>
    </row>
    <row r="48" spans="1:15">
      <c r="A48" s="262" t="s">
        <v>350</v>
      </c>
      <c r="B48" s="278">
        <f t="shared" si="10"/>
        <v>194.28500000000003</v>
      </c>
      <c r="C48" s="278">
        <f>+'tab21'!M46</f>
        <v>2982.8900000000003</v>
      </c>
      <c r="D48" s="278">
        <v>375.85089858772199</v>
      </c>
      <c r="E48" s="278">
        <f>SUM(B48:D48)</f>
        <v>3553.0258985877222</v>
      </c>
      <c r="F48" s="278">
        <v>1111.1298004799999</v>
      </c>
      <c r="G48" s="278">
        <f t="shared" si="11"/>
        <v>1917.9147879737384</v>
      </c>
      <c r="H48" s="278">
        <v>129.37431013398398</v>
      </c>
      <c r="I48" s="278">
        <f>+E48-J48</f>
        <v>3158.4188985877222</v>
      </c>
      <c r="J48" s="278">
        <v>394.60699999999997</v>
      </c>
      <c r="K48" s="282">
        <v>21.3</v>
      </c>
      <c r="L48" s="282">
        <v>10.09</v>
      </c>
      <c r="O48" s="280"/>
    </row>
    <row r="49" spans="1:15">
      <c r="A49" s="262" t="s">
        <v>615</v>
      </c>
      <c r="B49" s="278">
        <f t="shared" si="10"/>
        <v>394.60699999999997</v>
      </c>
      <c r="C49" s="278">
        <f>+'tab21'!M47</f>
        <v>1905.2850000000001</v>
      </c>
      <c r="D49" s="278">
        <v>386.71483793455792</v>
      </c>
      <c r="E49" s="278">
        <f>SUM(B49:D49)</f>
        <v>2686.6068379345579</v>
      </c>
      <c r="F49" s="278">
        <v>959.01083969999991</v>
      </c>
      <c r="G49" s="278">
        <f>+I49-F49-H49</f>
        <v>1323.8406913938343</v>
      </c>
      <c r="H49" s="278">
        <v>109.15130684072398</v>
      </c>
      <c r="I49" s="278">
        <f>+E49-J49</f>
        <v>2392.0028379345581</v>
      </c>
      <c r="J49" s="278">
        <v>294.60399999999998</v>
      </c>
      <c r="K49" s="282">
        <v>32.9</v>
      </c>
      <c r="L49" s="282">
        <v>10.09</v>
      </c>
      <c r="O49" s="280"/>
    </row>
    <row r="50" spans="1:15">
      <c r="A50" s="259" t="s">
        <v>614</v>
      </c>
      <c r="B50" s="279">
        <f t="shared" si="10"/>
        <v>294.60399999999998</v>
      </c>
      <c r="C50" s="279">
        <f>+'tab21'!M48</f>
        <v>2812.54</v>
      </c>
      <c r="D50" s="279">
        <v>370</v>
      </c>
      <c r="E50" s="279">
        <f>SUM(B50:D50)</f>
        <v>3477.1439999999998</v>
      </c>
      <c r="F50" s="279">
        <v>1322.7735719999998</v>
      </c>
      <c r="G50" s="279">
        <f>+I50-F50-H50</f>
        <v>1672.944428</v>
      </c>
      <c r="H50" s="279">
        <v>120</v>
      </c>
      <c r="I50" s="279">
        <f>+E50-J50</f>
        <v>3115.7179999999998</v>
      </c>
      <c r="J50" s="279">
        <v>361.42600000000004</v>
      </c>
      <c r="K50" s="283">
        <v>27.85</v>
      </c>
      <c r="L50" s="283">
        <v>10.09</v>
      </c>
      <c r="O50" s="280"/>
    </row>
    <row r="51" spans="1:15">
      <c r="A51" s="61" t="s">
        <v>542</v>
      </c>
      <c r="B51" s="182"/>
      <c r="C51" s="182"/>
      <c r="D51" s="182"/>
      <c r="E51" s="182"/>
      <c r="F51" s="183"/>
      <c r="G51" s="182"/>
      <c r="H51" s="182"/>
      <c r="I51" s="182"/>
      <c r="J51" s="182"/>
      <c r="K51" s="193"/>
      <c r="L51" s="185"/>
    </row>
    <row r="52" spans="1:15" s="6" customFormat="1" ht="12" customHeight="1">
      <c r="A52" s="52" t="s">
        <v>520</v>
      </c>
      <c r="B52" s="52"/>
    </row>
    <row r="53" spans="1:15" s="6" customFormat="1">
      <c r="A53" t="s">
        <v>679</v>
      </c>
    </row>
    <row r="54" spans="1:15">
      <c r="A54" t="s">
        <v>555</v>
      </c>
    </row>
    <row r="55" spans="1:15">
      <c r="A55" t="s">
        <v>481</v>
      </c>
      <c r="K55" s="78"/>
    </row>
    <row r="56" spans="1:15">
      <c r="L56" s="225" t="s">
        <v>592</v>
      </c>
    </row>
  </sheetData>
  <mergeCells count="1">
    <mergeCell ref="K6:L6"/>
  </mergeCells>
  <phoneticPr fontId="0" type="noConversion"/>
  <pageMargins left="0.75" right="0.75" top="1" bottom="1" header="0.5" footer="0.5"/>
  <pageSetup scale="79" firstPageNumber="22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M54"/>
  <sheetViews>
    <sheetView zoomScaleNormal="100" zoomScaleSheetLayoutView="100" workbookViewId="0">
      <pane ySplit="6" topLeftCell="A7" activePane="bottomLeft" state="frozen"/>
      <selection pane="bottomLeft"/>
    </sheetView>
  </sheetViews>
  <sheetFormatPr defaultRowHeight="11.25"/>
  <cols>
    <col min="1" max="1" width="11.5" customWidth="1"/>
    <col min="2" max="9" width="13.33203125" customWidth="1"/>
    <col min="10" max="10" width="14.33203125" customWidth="1"/>
  </cols>
  <sheetData>
    <row r="1" spans="1:13">
      <c r="A1" s="249" t="s">
        <v>621</v>
      </c>
      <c r="B1" s="1"/>
      <c r="C1" s="1"/>
      <c r="D1" s="1"/>
      <c r="E1" s="1"/>
      <c r="F1" s="1"/>
      <c r="G1" s="1"/>
      <c r="H1" s="1"/>
      <c r="I1" s="1"/>
      <c r="J1" s="1"/>
    </row>
    <row r="2" spans="1:13">
      <c r="A2" s="7" t="s">
        <v>378</v>
      </c>
      <c r="B2" s="121"/>
      <c r="C2" s="4" t="s">
        <v>75</v>
      </c>
      <c r="D2" s="4"/>
      <c r="E2" s="4"/>
      <c r="F2" s="4"/>
      <c r="G2" s="4" t="s">
        <v>73</v>
      </c>
      <c r="H2" s="120"/>
      <c r="I2" s="7" t="s">
        <v>98</v>
      </c>
      <c r="J2" s="121" t="s">
        <v>74</v>
      </c>
    </row>
    <row r="3" spans="1:13">
      <c r="A3" s="7" t="s">
        <v>176</v>
      </c>
      <c r="B3" s="109" t="s">
        <v>96</v>
      </c>
      <c r="C3" s="7" t="s">
        <v>40</v>
      </c>
      <c r="D3" s="7" t="s">
        <v>49</v>
      </c>
      <c r="E3" s="7" t="s">
        <v>120</v>
      </c>
      <c r="F3" s="7" t="s">
        <v>97</v>
      </c>
      <c r="G3" s="7" t="s">
        <v>50</v>
      </c>
      <c r="H3" s="112" t="s">
        <v>2</v>
      </c>
      <c r="I3" s="7" t="s">
        <v>66</v>
      </c>
      <c r="J3" s="109" t="s">
        <v>167</v>
      </c>
    </row>
    <row r="4" spans="1:13">
      <c r="A4" s="7" t="s">
        <v>95</v>
      </c>
      <c r="B4" s="109" t="s">
        <v>66</v>
      </c>
      <c r="C4" s="7"/>
      <c r="D4" s="7"/>
      <c r="E4" s="7"/>
      <c r="F4" s="7"/>
      <c r="G4" s="7"/>
      <c r="H4" s="112"/>
      <c r="I4" s="7"/>
      <c r="J4" s="109" t="s">
        <v>257</v>
      </c>
    </row>
    <row r="5" spans="1:13">
      <c r="A5" s="9"/>
      <c r="B5" s="116"/>
      <c r="C5" s="9"/>
      <c r="D5" s="9"/>
      <c r="E5" s="9"/>
      <c r="F5" s="9"/>
      <c r="G5" s="9"/>
      <c r="H5" s="114"/>
      <c r="I5" s="9"/>
      <c r="J5" s="116" t="s">
        <v>177</v>
      </c>
    </row>
    <row r="6" spans="1:13">
      <c r="A6" s="150"/>
      <c r="B6" s="150"/>
      <c r="C6" s="148"/>
      <c r="D6" s="148"/>
      <c r="E6" s="148" t="s">
        <v>220</v>
      </c>
      <c r="F6" s="148"/>
      <c r="G6" s="148"/>
      <c r="H6" s="148"/>
      <c r="I6" s="148"/>
      <c r="J6" s="150" t="s">
        <v>355</v>
      </c>
    </row>
    <row r="7" spans="1:13">
      <c r="J7" s="52"/>
    </row>
    <row r="8" spans="1:13">
      <c r="A8" s="10" t="s">
        <v>181</v>
      </c>
      <c r="B8" s="48">
        <v>4</v>
      </c>
      <c r="C8" s="49">
        <v>483.9</v>
      </c>
      <c r="D8" s="49">
        <v>4</v>
      </c>
      <c r="E8" s="49">
        <f>SUM(B8:D8)</f>
        <v>491.9</v>
      </c>
      <c r="F8" s="49">
        <f>+H8-G8</f>
        <v>488.9</v>
      </c>
      <c r="G8" s="48">
        <v>0</v>
      </c>
      <c r="H8" s="49">
        <f t="shared" ref="H8:H50" si="0">+E8-I8</f>
        <v>488.9</v>
      </c>
      <c r="I8" s="48">
        <v>3</v>
      </c>
      <c r="J8" s="93">
        <v>110.92</v>
      </c>
      <c r="K8" s="12"/>
      <c r="M8" s="190"/>
    </row>
    <row r="9" spans="1:13">
      <c r="A9" s="10" t="s">
        <v>182</v>
      </c>
      <c r="B9" s="48">
        <f t="shared" ref="B9:B28" si="1">+I8</f>
        <v>3</v>
      </c>
      <c r="C9" s="49">
        <v>221.56451100000001</v>
      </c>
      <c r="D9" s="49">
        <v>3.3069329999999999</v>
      </c>
      <c r="E9" s="49">
        <f>SUM(B9:D9)</f>
        <v>227.871444</v>
      </c>
      <c r="F9" s="49">
        <f>+H9-G9</f>
        <v>220.15526700000001</v>
      </c>
      <c r="G9" s="48">
        <v>0</v>
      </c>
      <c r="H9" s="49">
        <f t="shared" si="0"/>
        <v>220.15526700000001</v>
      </c>
      <c r="I9" s="48">
        <v>7.7161770000000001</v>
      </c>
      <c r="J9" s="93">
        <v>106.46</v>
      </c>
      <c r="K9" s="12"/>
      <c r="M9" s="190"/>
    </row>
    <row r="10" spans="1:13">
      <c r="A10" s="10" t="s">
        <v>183</v>
      </c>
      <c r="B10" s="48">
        <f t="shared" si="1"/>
        <v>7.7161770000000001</v>
      </c>
      <c r="C10" s="49">
        <v>478.40297399999997</v>
      </c>
      <c r="D10" s="49">
        <v>4.4092440000000002</v>
      </c>
      <c r="E10" s="49">
        <f t="shared" ref="E10:E30" si="2">SUM(B10:D10)</f>
        <v>490.52839499999999</v>
      </c>
      <c r="F10" s="49">
        <f t="shared" ref="F10:F30" si="3">+H10-G10</f>
        <v>485.01684</v>
      </c>
      <c r="G10" s="48">
        <v>0</v>
      </c>
      <c r="H10" s="49">
        <f t="shared" si="0"/>
        <v>485.01684</v>
      </c>
      <c r="I10" s="48">
        <v>5.5115550000000004</v>
      </c>
      <c r="J10" s="93">
        <v>100.07</v>
      </c>
      <c r="K10" s="12"/>
      <c r="M10" s="190"/>
    </row>
    <row r="11" spans="1:13">
      <c r="A11" s="10" t="s">
        <v>184</v>
      </c>
      <c r="B11" s="48">
        <f t="shared" si="1"/>
        <v>5.5115550000000004</v>
      </c>
      <c r="C11" s="49">
        <v>292.112415</v>
      </c>
      <c r="D11" s="49">
        <v>5.5115550000000004</v>
      </c>
      <c r="E11" s="49">
        <f t="shared" si="2"/>
        <v>303.13552499999997</v>
      </c>
      <c r="F11" s="49">
        <f t="shared" si="3"/>
        <v>270.06619499999999</v>
      </c>
      <c r="G11" s="48">
        <v>27.557774999999999</v>
      </c>
      <c r="H11" s="49">
        <f t="shared" si="0"/>
        <v>297.62396999999999</v>
      </c>
      <c r="I11" s="48">
        <v>5.5115550000000004</v>
      </c>
      <c r="J11" s="93">
        <v>111.18</v>
      </c>
      <c r="K11" s="12"/>
      <c r="M11" s="190"/>
    </row>
    <row r="12" spans="1:13">
      <c r="A12" s="10" t="s">
        <v>185</v>
      </c>
      <c r="B12" s="48">
        <f t="shared" si="1"/>
        <v>5.5115550000000004</v>
      </c>
      <c r="C12" s="49">
        <v>353.75585074200001</v>
      </c>
      <c r="D12" s="49">
        <v>5.5115550000000004</v>
      </c>
      <c r="E12" s="49">
        <f t="shared" si="2"/>
        <v>364.77896074199998</v>
      </c>
      <c r="F12" s="49">
        <f t="shared" si="3"/>
        <v>343.83505174200002</v>
      </c>
      <c r="G12" s="48">
        <v>15.432354</v>
      </c>
      <c r="H12" s="49">
        <f t="shared" si="0"/>
        <v>359.26740574199999</v>
      </c>
      <c r="I12" s="48">
        <v>5.5115550000000004</v>
      </c>
      <c r="J12" s="93">
        <v>52.33</v>
      </c>
      <c r="K12" s="12"/>
      <c r="M12" s="190"/>
    </row>
    <row r="13" spans="1:13">
      <c r="A13" s="10" t="s">
        <v>186</v>
      </c>
      <c r="B13" s="48">
        <f t="shared" si="1"/>
        <v>5.5115550000000004</v>
      </c>
      <c r="C13" s="49">
        <v>393.52502700000002</v>
      </c>
      <c r="D13" s="49">
        <v>5.5115550000000004</v>
      </c>
      <c r="E13" s="49">
        <f t="shared" si="2"/>
        <v>404.548137</v>
      </c>
      <c r="F13" s="49">
        <f t="shared" si="3"/>
        <v>350.534898</v>
      </c>
      <c r="G13" s="48">
        <v>48.501683999999997</v>
      </c>
      <c r="H13" s="49">
        <f t="shared" si="0"/>
        <v>399.03658200000001</v>
      </c>
      <c r="I13" s="48">
        <v>5.5115550000000004</v>
      </c>
      <c r="J13" s="93">
        <v>68</v>
      </c>
      <c r="K13" s="12"/>
      <c r="M13" s="190"/>
    </row>
    <row r="14" spans="1:13">
      <c r="A14" s="10" t="s">
        <v>187</v>
      </c>
      <c r="B14" s="48">
        <f t="shared" si="1"/>
        <v>5.5115550000000004</v>
      </c>
      <c r="C14" s="49">
        <v>336.20485500000001</v>
      </c>
      <c r="D14" s="49">
        <v>5.5115550000000004</v>
      </c>
      <c r="E14" s="49">
        <f t="shared" si="2"/>
        <v>347.22796499999998</v>
      </c>
      <c r="F14" s="49">
        <f t="shared" si="3"/>
        <v>295.11226829999998</v>
      </c>
      <c r="G14" s="48">
        <v>46.604141700000007</v>
      </c>
      <c r="H14" s="49">
        <f t="shared" si="0"/>
        <v>341.71641</v>
      </c>
      <c r="I14" s="48">
        <v>5.5115550000000004</v>
      </c>
      <c r="J14" s="93">
        <v>75.86</v>
      </c>
      <c r="K14" s="12"/>
      <c r="M14" s="190"/>
    </row>
    <row r="15" spans="1:13">
      <c r="A15" s="10" t="s">
        <v>188</v>
      </c>
      <c r="B15" s="48">
        <f t="shared" si="1"/>
        <v>5.5115550000000004</v>
      </c>
      <c r="C15" s="49">
        <v>469.7</v>
      </c>
      <c r="D15" s="49">
        <v>0</v>
      </c>
      <c r="E15" s="49">
        <f t="shared" si="2"/>
        <v>475.21155499999998</v>
      </c>
      <c r="F15" s="49">
        <f t="shared" si="3"/>
        <v>419.48831099999995</v>
      </c>
      <c r="G15" s="48">
        <v>51.314</v>
      </c>
      <c r="H15" s="49">
        <f t="shared" si="0"/>
        <v>470.80231099999997</v>
      </c>
      <c r="I15" s="48">
        <v>4.4092440000000002</v>
      </c>
      <c r="J15" s="93">
        <v>103.42</v>
      </c>
      <c r="K15" s="12"/>
      <c r="M15" s="190"/>
    </row>
    <row r="16" spans="1:13">
      <c r="A16" s="10" t="s">
        <v>189</v>
      </c>
      <c r="B16" s="48">
        <f t="shared" si="1"/>
        <v>4.4092440000000002</v>
      </c>
      <c r="C16" s="49">
        <v>320.60000000000002</v>
      </c>
      <c r="D16" s="49">
        <v>13.8757524</v>
      </c>
      <c r="E16" s="49">
        <f t="shared" si="2"/>
        <v>338.88499640000003</v>
      </c>
      <c r="F16" s="49">
        <f t="shared" si="3"/>
        <v>328.78458850000004</v>
      </c>
      <c r="G16" s="48">
        <v>6.7934749000000005</v>
      </c>
      <c r="H16" s="49">
        <f t="shared" si="0"/>
        <v>335.57806340000002</v>
      </c>
      <c r="I16" s="48">
        <v>3.3069329999999999</v>
      </c>
      <c r="J16" s="93">
        <v>119.99</v>
      </c>
      <c r="K16" s="12"/>
      <c r="M16" s="190"/>
    </row>
    <row r="17" spans="1:13">
      <c r="A17" s="10" t="s">
        <v>4</v>
      </c>
      <c r="B17" s="48">
        <f t="shared" si="1"/>
        <v>3.3069329999999999</v>
      </c>
      <c r="C17" s="49">
        <v>290.8</v>
      </c>
      <c r="D17" s="49">
        <v>13.817330500000001</v>
      </c>
      <c r="E17" s="49">
        <f t="shared" si="2"/>
        <v>307.92426350000005</v>
      </c>
      <c r="F17" s="49">
        <f t="shared" si="3"/>
        <v>299.25153480000006</v>
      </c>
      <c r="G17" s="48">
        <v>3.2727287</v>
      </c>
      <c r="H17" s="49">
        <f t="shared" si="0"/>
        <v>302.52426350000007</v>
      </c>
      <c r="I17" s="48">
        <v>5.4</v>
      </c>
      <c r="J17" s="93">
        <v>97.13</v>
      </c>
      <c r="K17" s="12"/>
      <c r="M17" s="190"/>
    </row>
    <row r="18" spans="1:13">
      <c r="A18" s="10" t="s">
        <v>5</v>
      </c>
      <c r="B18" s="48">
        <f t="shared" si="1"/>
        <v>5.4</v>
      </c>
      <c r="C18" s="49">
        <v>323</v>
      </c>
      <c r="D18" s="49">
        <v>20.043120900000002</v>
      </c>
      <c r="E18" s="49">
        <f t="shared" si="2"/>
        <v>348.4431209</v>
      </c>
      <c r="F18" s="49">
        <f t="shared" si="3"/>
        <v>337.46204110000002</v>
      </c>
      <c r="G18" s="48">
        <v>5.9810798000000007</v>
      </c>
      <c r="H18" s="49">
        <f t="shared" si="0"/>
        <v>343.4431209</v>
      </c>
      <c r="I18" s="48">
        <v>5</v>
      </c>
      <c r="J18" s="93">
        <v>88.01</v>
      </c>
      <c r="K18" s="12"/>
      <c r="M18" s="190"/>
    </row>
    <row r="19" spans="1:13">
      <c r="A19" s="10" t="s">
        <v>6</v>
      </c>
      <c r="B19" s="48">
        <f t="shared" si="1"/>
        <v>5</v>
      </c>
      <c r="C19" s="49">
        <v>549</v>
      </c>
      <c r="D19" s="49">
        <v>8</v>
      </c>
      <c r="E19" s="49">
        <f t="shared" si="2"/>
        <v>562</v>
      </c>
      <c r="F19" s="49">
        <f t="shared" si="3"/>
        <v>495.92994759999999</v>
      </c>
      <c r="G19" s="48">
        <v>59.070052400000002</v>
      </c>
      <c r="H19" s="49">
        <f t="shared" si="0"/>
        <v>555</v>
      </c>
      <c r="I19" s="48">
        <v>7</v>
      </c>
      <c r="J19" s="93">
        <v>76.8</v>
      </c>
      <c r="K19" s="12"/>
      <c r="M19" s="190"/>
    </row>
    <row r="20" spans="1:13">
      <c r="A20" s="10" t="s">
        <v>7</v>
      </c>
      <c r="B20" s="48">
        <f t="shared" si="1"/>
        <v>7</v>
      </c>
      <c r="C20" s="49">
        <v>484.8</v>
      </c>
      <c r="D20" s="49">
        <v>5</v>
      </c>
      <c r="E20" s="49">
        <f t="shared" si="2"/>
        <v>496.8</v>
      </c>
      <c r="F20" s="49">
        <f t="shared" si="3"/>
        <v>442.2207737</v>
      </c>
      <c r="G20" s="48">
        <v>52.779226300000005</v>
      </c>
      <c r="H20" s="49">
        <f t="shared" si="0"/>
        <v>495</v>
      </c>
      <c r="I20" s="48">
        <v>1.8</v>
      </c>
      <c r="J20" s="93">
        <v>90.04</v>
      </c>
      <c r="K20" s="12"/>
      <c r="M20" s="190"/>
    </row>
    <row r="21" spans="1:13">
      <c r="A21" s="10" t="s">
        <v>8</v>
      </c>
      <c r="B21" s="48">
        <f t="shared" si="1"/>
        <v>1.8</v>
      </c>
      <c r="C21" s="49">
        <v>360</v>
      </c>
      <c r="D21" s="49">
        <v>4.5999999999999996</v>
      </c>
      <c r="E21" s="49">
        <f t="shared" si="2"/>
        <v>366.40000000000003</v>
      </c>
      <c r="F21" s="49">
        <f t="shared" si="3"/>
        <v>320.50797690000002</v>
      </c>
      <c r="G21" s="48">
        <v>40.892023100000003</v>
      </c>
      <c r="H21" s="49">
        <f t="shared" si="0"/>
        <v>361.40000000000003</v>
      </c>
      <c r="I21" s="48">
        <v>5</v>
      </c>
      <c r="J21" s="93">
        <v>94.59</v>
      </c>
      <c r="K21" s="12"/>
      <c r="M21" s="190"/>
    </row>
    <row r="22" spans="1:13">
      <c r="A22" s="10" t="s">
        <v>9</v>
      </c>
      <c r="B22" s="48">
        <f t="shared" si="1"/>
        <v>5</v>
      </c>
      <c r="C22" s="49">
        <v>720</v>
      </c>
      <c r="D22" s="49">
        <v>0.31966699999999998</v>
      </c>
      <c r="E22" s="49">
        <f t="shared" si="2"/>
        <v>725.31966699999998</v>
      </c>
      <c r="F22" s="49">
        <f t="shared" si="3"/>
        <v>622.73194569999998</v>
      </c>
      <c r="G22" s="48">
        <v>97.587721300000013</v>
      </c>
      <c r="H22" s="49">
        <f t="shared" si="0"/>
        <v>720.31966699999998</v>
      </c>
      <c r="I22" s="48">
        <v>5</v>
      </c>
      <c r="J22" s="93">
        <v>62.7</v>
      </c>
      <c r="K22" s="12"/>
      <c r="M22" s="190"/>
    </row>
    <row r="23" spans="1:13">
      <c r="A23" s="10" t="s">
        <v>10</v>
      </c>
      <c r="B23" s="48">
        <f t="shared" si="1"/>
        <v>5</v>
      </c>
      <c r="C23" s="49">
        <v>505</v>
      </c>
      <c r="D23" s="49">
        <v>0</v>
      </c>
      <c r="E23" s="49">
        <f t="shared" si="2"/>
        <v>510</v>
      </c>
      <c r="F23" s="49">
        <f t="shared" si="3"/>
        <v>477.61445880000002</v>
      </c>
      <c r="G23" s="48">
        <v>27.385541200000002</v>
      </c>
      <c r="H23" s="49">
        <f t="shared" si="0"/>
        <v>505</v>
      </c>
      <c r="I23" s="48">
        <v>5</v>
      </c>
      <c r="J23" s="93">
        <v>123.75</v>
      </c>
      <c r="K23" s="12"/>
      <c r="M23" s="190"/>
    </row>
    <row r="24" spans="1:13">
      <c r="A24" s="10" t="s">
        <v>11</v>
      </c>
      <c r="B24" s="48">
        <f t="shared" si="1"/>
        <v>5</v>
      </c>
      <c r="C24" s="49">
        <v>485</v>
      </c>
      <c r="D24" s="49">
        <v>0.13778750000000001</v>
      </c>
      <c r="E24" s="49">
        <f t="shared" si="2"/>
        <v>490.1377875</v>
      </c>
      <c r="F24" s="49">
        <f t="shared" si="3"/>
        <v>462.00491970000002</v>
      </c>
      <c r="G24" s="48">
        <v>23.132867800000003</v>
      </c>
      <c r="H24" s="49">
        <f t="shared" si="0"/>
        <v>485.1377875</v>
      </c>
      <c r="I24" s="48">
        <v>5</v>
      </c>
      <c r="J24" s="93">
        <v>110.6</v>
      </c>
      <c r="K24" s="12"/>
      <c r="M24" s="190"/>
    </row>
    <row r="25" spans="1:13">
      <c r="A25" s="10" t="s">
        <v>12</v>
      </c>
      <c r="B25" s="48">
        <f t="shared" si="1"/>
        <v>5</v>
      </c>
      <c r="C25" s="49">
        <v>545</v>
      </c>
      <c r="D25" s="49">
        <v>0.16865189999999999</v>
      </c>
      <c r="E25" s="49">
        <f t="shared" si="2"/>
        <v>550.16865189999999</v>
      </c>
      <c r="F25" s="49">
        <f t="shared" si="3"/>
        <v>530.9644141</v>
      </c>
      <c r="G25" s="48">
        <v>14.2042378</v>
      </c>
      <c r="H25" s="49">
        <f t="shared" si="0"/>
        <v>545.16865189999999</v>
      </c>
      <c r="I25" s="48">
        <v>5</v>
      </c>
      <c r="J25" s="93">
        <v>84.2</v>
      </c>
      <c r="K25" s="12"/>
      <c r="M25" s="190"/>
    </row>
    <row r="26" spans="1:13">
      <c r="A26" s="10" t="s">
        <v>13</v>
      </c>
      <c r="B26" s="48">
        <f t="shared" si="1"/>
        <v>5</v>
      </c>
      <c r="C26" s="49">
        <v>623</v>
      </c>
      <c r="D26" s="49">
        <v>0</v>
      </c>
      <c r="E26" s="49">
        <f t="shared" si="2"/>
        <v>628</v>
      </c>
      <c r="F26" s="49">
        <f t="shared" si="3"/>
        <v>577.5620917</v>
      </c>
      <c r="G26" s="48">
        <v>45.437908299999997</v>
      </c>
      <c r="H26" s="49">
        <f t="shared" si="0"/>
        <v>623</v>
      </c>
      <c r="I26" s="48">
        <v>5</v>
      </c>
      <c r="J26" s="93">
        <v>64.2</v>
      </c>
      <c r="K26" s="12"/>
      <c r="M26" s="190"/>
    </row>
    <row r="27" spans="1:13">
      <c r="A27" s="10" t="s">
        <v>14</v>
      </c>
      <c r="B27" s="48">
        <f t="shared" si="1"/>
        <v>5</v>
      </c>
      <c r="C27" s="49">
        <v>603</v>
      </c>
      <c r="D27" s="49">
        <v>1.8187950000000001E-2</v>
      </c>
      <c r="E27" s="49">
        <f t="shared" si="2"/>
        <v>608.01818794999997</v>
      </c>
      <c r="F27" s="49">
        <f t="shared" si="3"/>
        <v>580.07888402999993</v>
      </c>
      <c r="G27" s="48">
        <v>22.939303920000004</v>
      </c>
      <c r="H27" s="49">
        <f t="shared" si="0"/>
        <v>603.01818794999997</v>
      </c>
      <c r="I27" s="48">
        <v>5</v>
      </c>
      <c r="J27" s="93">
        <v>75.099999999999994</v>
      </c>
      <c r="K27" s="12"/>
      <c r="M27" s="190"/>
    </row>
    <row r="28" spans="1:13">
      <c r="A28" s="10" t="s">
        <v>397</v>
      </c>
      <c r="B28" s="48">
        <f t="shared" si="1"/>
        <v>5</v>
      </c>
      <c r="C28" s="49">
        <v>498</v>
      </c>
      <c r="D28" s="49">
        <v>4.6737986400000001E-2</v>
      </c>
      <c r="E28" s="49">
        <f t="shared" si="2"/>
        <v>503.04673798639999</v>
      </c>
      <c r="F28" s="49">
        <f t="shared" si="3"/>
        <v>489.10840774639996</v>
      </c>
      <c r="G28" s="48">
        <v>8.9383302400000009</v>
      </c>
      <c r="H28" s="49">
        <f t="shared" si="0"/>
        <v>498.04673798639999</v>
      </c>
      <c r="I28" s="48">
        <v>5</v>
      </c>
      <c r="J28" s="93">
        <v>90.5</v>
      </c>
      <c r="K28" s="12"/>
      <c r="M28" s="190"/>
    </row>
    <row r="29" spans="1:13">
      <c r="A29" s="10" t="s">
        <v>210</v>
      </c>
      <c r="B29" s="48">
        <f t="shared" ref="B29:B34" si="4">+I28</f>
        <v>5</v>
      </c>
      <c r="C29" s="49">
        <v>390</v>
      </c>
      <c r="D29" s="49">
        <v>28.38450825</v>
      </c>
      <c r="E29" s="49">
        <f t="shared" si="2"/>
        <v>423.38450825000001</v>
      </c>
      <c r="F29" s="49">
        <f t="shared" si="3"/>
        <v>390.09838795000002</v>
      </c>
      <c r="G29" s="48">
        <v>28.286120300000004</v>
      </c>
      <c r="H29" s="49">
        <f t="shared" si="0"/>
        <v>418.38450825000001</v>
      </c>
      <c r="I29" s="48">
        <v>5</v>
      </c>
      <c r="J29" s="93">
        <v>87.27</v>
      </c>
      <c r="K29" s="12"/>
      <c r="M29" s="190"/>
    </row>
    <row r="30" spans="1:13">
      <c r="A30" s="10" t="s">
        <v>217</v>
      </c>
      <c r="B30" s="48">
        <f t="shared" si="4"/>
        <v>5</v>
      </c>
      <c r="C30" s="49">
        <v>187</v>
      </c>
      <c r="D30" s="49">
        <v>69.108999999999995</v>
      </c>
      <c r="E30" s="49">
        <f t="shared" si="2"/>
        <v>261.10899999999998</v>
      </c>
      <c r="F30" s="49">
        <f t="shared" si="3"/>
        <v>252.67799999999997</v>
      </c>
      <c r="G30" s="48">
        <v>3.431</v>
      </c>
      <c r="H30" s="49">
        <f t="shared" si="0"/>
        <v>256.10899999999998</v>
      </c>
      <c r="I30" s="48">
        <v>5</v>
      </c>
      <c r="J30" s="93">
        <v>105</v>
      </c>
      <c r="K30" s="12"/>
      <c r="M30" s="190"/>
    </row>
    <row r="31" spans="1:13">
      <c r="A31" s="10" t="s">
        <v>398</v>
      </c>
      <c r="B31" s="48">
        <f t="shared" si="4"/>
        <v>5</v>
      </c>
      <c r="C31" s="49">
        <v>329</v>
      </c>
      <c r="D31" s="49">
        <v>21.771000000000001</v>
      </c>
      <c r="E31" s="49">
        <f t="shared" ref="E31:E36" si="5">SUM(B31:D31)</f>
        <v>355.77100000000002</v>
      </c>
      <c r="F31" s="49">
        <f>+H31-G31</f>
        <v>337.57</v>
      </c>
      <c r="G31" s="48">
        <v>13.201000000000001</v>
      </c>
      <c r="H31" s="49">
        <f t="shared" si="0"/>
        <v>350.77100000000002</v>
      </c>
      <c r="I31" s="48">
        <v>5</v>
      </c>
      <c r="J31" s="93">
        <v>111.14</v>
      </c>
      <c r="K31" s="12"/>
      <c r="M31" s="190"/>
    </row>
    <row r="32" spans="1:13">
      <c r="A32" s="10" t="s">
        <v>222</v>
      </c>
      <c r="B32" s="48">
        <f t="shared" si="4"/>
        <v>5</v>
      </c>
      <c r="C32" s="49">
        <v>149</v>
      </c>
      <c r="D32" s="49">
        <v>0</v>
      </c>
      <c r="E32" s="49">
        <f t="shared" si="5"/>
        <v>154</v>
      </c>
      <c r="F32" s="49">
        <f>+H32-G32</f>
        <v>145.56399999999999</v>
      </c>
      <c r="G32" s="48">
        <v>3.4359999999999999</v>
      </c>
      <c r="H32" s="49">
        <f t="shared" si="0"/>
        <v>149</v>
      </c>
      <c r="I32" s="48">
        <v>5</v>
      </c>
      <c r="J32" s="93">
        <v>85.5</v>
      </c>
      <c r="K32" s="12"/>
      <c r="M32" s="190"/>
    </row>
    <row r="33" spans="1:13">
      <c r="A33" s="10" t="s">
        <v>225</v>
      </c>
      <c r="B33" s="48">
        <f t="shared" si="4"/>
        <v>5</v>
      </c>
      <c r="C33" s="49">
        <v>322</v>
      </c>
      <c r="D33" s="49">
        <v>5.3460000000000001</v>
      </c>
      <c r="E33" s="49">
        <f t="shared" si="5"/>
        <v>332.346</v>
      </c>
      <c r="F33" s="49">
        <f>+H33-G33</f>
        <v>320.673</v>
      </c>
      <c r="G33" s="48">
        <v>6.673</v>
      </c>
      <c r="H33" s="49">
        <f t="shared" si="0"/>
        <v>327.346</v>
      </c>
      <c r="I33" s="48">
        <v>5</v>
      </c>
      <c r="J33" s="93">
        <v>77.459999999999994</v>
      </c>
      <c r="K33" s="12"/>
      <c r="M33" s="190"/>
    </row>
    <row r="34" spans="1:13">
      <c r="A34" s="10" t="s">
        <v>227</v>
      </c>
      <c r="B34" s="48">
        <f t="shared" si="4"/>
        <v>5</v>
      </c>
      <c r="C34" s="49">
        <v>350</v>
      </c>
      <c r="D34" s="49">
        <v>21.928999999999998</v>
      </c>
      <c r="E34" s="49">
        <f t="shared" si="5"/>
        <v>376.92899999999997</v>
      </c>
      <c r="F34" s="49">
        <f>+H34-G34</f>
        <v>357.25299999999999</v>
      </c>
      <c r="G34" s="48">
        <v>14.676</v>
      </c>
      <c r="H34" s="49">
        <f t="shared" si="0"/>
        <v>371.92899999999997</v>
      </c>
      <c r="I34" s="48">
        <v>5</v>
      </c>
      <c r="J34" s="93">
        <v>104.88</v>
      </c>
      <c r="K34" s="12"/>
      <c r="M34" s="190"/>
    </row>
    <row r="35" spans="1:13">
      <c r="A35" s="10" t="s">
        <v>230</v>
      </c>
      <c r="B35" s="48">
        <f t="shared" ref="B35:B40" si="6">+I34</f>
        <v>5</v>
      </c>
      <c r="C35" s="49">
        <v>368</v>
      </c>
      <c r="D35" s="49">
        <v>0</v>
      </c>
      <c r="E35" s="49">
        <f t="shared" si="5"/>
        <v>373</v>
      </c>
      <c r="F35" s="49">
        <f>+H35-G35</f>
        <v>349.69600000000003</v>
      </c>
      <c r="G35" s="48">
        <v>18.303999999999998</v>
      </c>
      <c r="H35" s="49">
        <f t="shared" si="0"/>
        <v>368</v>
      </c>
      <c r="I35" s="48">
        <v>5</v>
      </c>
      <c r="J35" s="93">
        <v>172.81</v>
      </c>
      <c r="K35" s="12"/>
      <c r="M35" s="190"/>
    </row>
    <row r="36" spans="1:13">
      <c r="A36" s="10" t="s">
        <v>231</v>
      </c>
      <c r="B36" s="48">
        <f t="shared" si="6"/>
        <v>5</v>
      </c>
      <c r="C36" s="49">
        <v>377</v>
      </c>
      <c r="D36" s="49">
        <v>0.21018425223599999</v>
      </c>
      <c r="E36" s="49">
        <f t="shared" si="5"/>
        <v>382.21018425223599</v>
      </c>
      <c r="F36" s="49">
        <f t="shared" ref="F36:F41" si="7">+H36-G36</f>
        <v>369.34518425223598</v>
      </c>
      <c r="G36" s="48">
        <v>7.8650000000000002</v>
      </c>
      <c r="H36" s="49">
        <f t="shared" si="0"/>
        <v>377.21018425223599</v>
      </c>
      <c r="I36" s="48">
        <v>5</v>
      </c>
      <c r="J36" s="93">
        <v>152.46</v>
      </c>
      <c r="K36" s="12"/>
      <c r="M36" s="190"/>
    </row>
    <row r="37" spans="1:13">
      <c r="A37" s="10" t="s">
        <v>234</v>
      </c>
      <c r="B37" s="48">
        <f t="shared" si="6"/>
        <v>5</v>
      </c>
      <c r="C37" s="49">
        <v>421</v>
      </c>
      <c r="D37" s="49">
        <v>0.36390593043000002</v>
      </c>
      <c r="E37" s="49">
        <f t="shared" ref="E37:E42" si="8">SUM(B37:D37)</f>
        <v>426.36390593043001</v>
      </c>
      <c r="F37" s="49">
        <f t="shared" si="7"/>
        <v>414.67190593043</v>
      </c>
      <c r="G37" s="48">
        <v>6.6920000000000002</v>
      </c>
      <c r="H37" s="49">
        <f t="shared" si="0"/>
        <v>421.36390593043001</v>
      </c>
      <c r="I37" s="48">
        <v>5</v>
      </c>
      <c r="J37" s="93">
        <v>151.04</v>
      </c>
      <c r="K37" s="12"/>
      <c r="M37" s="190"/>
    </row>
    <row r="38" spans="1:13">
      <c r="A38" s="10" t="s">
        <v>238</v>
      </c>
      <c r="B38" s="48">
        <f t="shared" si="6"/>
        <v>5</v>
      </c>
      <c r="C38" s="49">
        <v>284</v>
      </c>
      <c r="D38" s="49">
        <v>0</v>
      </c>
      <c r="E38" s="49">
        <f t="shared" si="8"/>
        <v>289</v>
      </c>
      <c r="F38" s="49">
        <f t="shared" si="7"/>
        <v>280.83300000000003</v>
      </c>
      <c r="G38" s="48">
        <v>3.1669999999999998</v>
      </c>
      <c r="H38" s="49">
        <f t="shared" si="0"/>
        <v>284</v>
      </c>
      <c r="I38" s="48">
        <v>5</v>
      </c>
      <c r="J38" s="93">
        <v>219.75</v>
      </c>
      <c r="K38" s="12"/>
      <c r="M38" s="190"/>
    </row>
    <row r="39" spans="1:13">
      <c r="A39" s="10" t="s">
        <v>246</v>
      </c>
      <c r="B39" s="48">
        <f t="shared" si="6"/>
        <v>5</v>
      </c>
      <c r="C39" s="49">
        <v>200</v>
      </c>
      <c r="D39" s="49">
        <v>0.50124285792000001</v>
      </c>
      <c r="E39" s="49">
        <f t="shared" si="8"/>
        <v>205.50124285792</v>
      </c>
      <c r="F39" s="49">
        <f t="shared" si="7"/>
        <v>197.02724285792002</v>
      </c>
      <c r="G39" s="48">
        <v>3.4740000000000002</v>
      </c>
      <c r="H39" s="49">
        <f t="shared" si="0"/>
        <v>200.50124285792</v>
      </c>
      <c r="I39" s="48">
        <v>5</v>
      </c>
      <c r="J39" s="93">
        <v>246.75</v>
      </c>
      <c r="K39" s="12"/>
      <c r="M39" s="190"/>
    </row>
    <row r="40" spans="1:13">
      <c r="A40" s="10" t="s">
        <v>241</v>
      </c>
      <c r="B40" s="48">
        <f t="shared" si="6"/>
        <v>5</v>
      </c>
      <c r="C40" s="49">
        <v>262</v>
      </c>
      <c r="D40" s="49">
        <v>0.43891047780299997</v>
      </c>
      <c r="E40" s="49">
        <f t="shared" si="8"/>
        <v>267.43891047780301</v>
      </c>
      <c r="F40" s="49">
        <f t="shared" si="7"/>
        <v>241.05291047780301</v>
      </c>
      <c r="G40" s="48">
        <v>21.385999999999999</v>
      </c>
      <c r="H40" s="49">
        <f t="shared" si="0"/>
        <v>262.43891047780301</v>
      </c>
      <c r="I40" s="48">
        <v>5</v>
      </c>
      <c r="J40" s="93">
        <v>241.57</v>
      </c>
      <c r="K40" s="12"/>
      <c r="M40" s="190"/>
    </row>
    <row r="41" spans="1:13">
      <c r="A41" s="10" t="s">
        <v>253</v>
      </c>
      <c r="B41" s="48">
        <f>+I40</f>
        <v>5</v>
      </c>
      <c r="C41" s="49">
        <v>265</v>
      </c>
      <c r="D41" s="49">
        <v>11.99</v>
      </c>
      <c r="E41" s="49">
        <f t="shared" si="8"/>
        <v>281.99</v>
      </c>
      <c r="F41" s="49">
        <f t="shared" si="7"/>
        <v>268.48900000000003</v>
      </c>
      <c r="G41" s="48">
        <v>8.5009999999999994</v>
      </c>
      <c r="H41" s="49">
        <f t="shared" si="0"/>
        <v>276.99</v>
      </c>
      <c r="I41" s="48">
        <v>5</v>
      </c>
      <c r="J41" s="93">
        <v>244.94</v>
      </c>
      <c r="K41" s="12"/>
      <c r="M41" s="190"/>
    </row>
    <row r="42" spans="1:13">
      <c r="A42" s="10" t="s">
        <v>258</v>
      </c>
      <c r="B42" s="48">
        <f>+I41</f>
        <v>5</v>
      </c>
      <c r="C42" s="49">
        <v>197</v>
      </c>
      <c r="D42" s="49">
        <v>22.504999999999999</v>
      </c>
      <c r="E42" s="49">
        <f t="shared" si="8"/>
        <v>224.505</v>
      </c>
      <c r="F42" s="49">
        <v>224</v>
      </c>
      <c r="G42" s="48">
        <v>8.1929999999999996</v>
      </c>
      <c r="H42" s="49">
        <f t="shared" si="0"/>
        <v>219.505</v>
      </c>
      <c r="I42" s="48">
        <v>5</v>
      </c>
      <c r="J42" s="93">
        <v>209.97</v>
      </c>
      <c r="K42" s="12"/>
    </row>
    <row r="43" spans="1:13">
      <c r="A43" s="10" t="s">
        <v>260</v>
      </c>
      <c r="B43" s="48">
        <f>+I42</f>
        <v>5</v>
      </c>
      <c r="C43" s="49">
        <v>278</v>
      </c>
      <c r="D43" s="49">
        <v>23.103999999999999</v>
      </c>
      <c r="E43" s="49">
        <f t="shared" ref="E43:E50" si="9">SUM(B43:D43)</f>
        <v>306.10399999999998</v>
      </c>
      <c r="F43" s="49">
        <f>+H43-G43</f>
        <v>288.12599999999998</v>
      </c>
      <c r="G43" s="48">
        <v>12.978</v>
      </c>
      <c r="H43" s="49">
        <f t="shared" si="0"/>
        <v>301.10399999999998</v>
      </c>
      <c r="I43" s="48">
        <v>5</v>
      </c>
      <c r="J43" s="93">
        <v>153.16999999999999</v>
      </c>
      <c r="K43" s="12"/>
    </row>
    <row r="44" spans="1:13">
      <c r="A44" s="10" t="s">
        <v>262</v>
      </c>
      <c r="B44" s="48">
        <f>+I43</f>
        <v>5</v>
      </c>
      <c r="C44" s="49">
        <v>285</v>
      </c>
      <c r="D44" s="49">
        <v>13</v>
      </c>
      <c r="E44" s="49">
        <f t="shared" si="9"/>
        <v>303</v>
      </c>
      <c r="F44" s="49">
        <f>+H44-G44</f>
        <v>292.75799999999998</v>
      </c>
      <c r="G44" s="48">
        <v>5.242</v>
      </c>
      <c r="H44" s="49">
        <f t="shared" si="0"/>
        <v>298</v>
      </c>
      <c r="I44" s="48">
        <v>5</v>
      </c>
      <c r="J44" s="93">
        <v>145.1</v>
      </c>
      <c r="K44" s="12"/>
      <c r="M44" s="12"/>
    </row>
    <row r="45" spans="1:13">
      <c r="A45" s="254" t="s">
        <v>296</v>
      </c>
      <c r="B45" s="211">
        <f>+I44</f>
        <v>5</v>
      </c>
      <c r="C45" s="199">
        <v>266.75933701999992</v>
      </c>
      <c r="D45" s="199">
        <v>0.78429449706499976</v>
      </c>
      <c r="E45" s="199">
        <f t="shared" si="9"/>
        <v>272.54363151706491</v>
      </c>
      <c r="F45" s="199">
        <f>+H45-G45</f>
        <v>261.12509322119689</v>
      </c>
      <c r="G45" s="211">
        <v>6.4185382958679984</v>
      </c>
      <c r="H45" s="199">
        <f t="shared" si="0"/>
        <v>267.54363151706491</v>
      </c>
      <c r="I45" s="287">
        <v>5</v>
      </c>
      <c r="J45" s="289">
        <v>173.53</v>
      </c>
      <c r="K45" s="12"/>
      <c r="M45" s="12"/>
    </row>
    <row r="46" spans="1:13">
      <c r="A46" s="254" t="s">
        <v>335</v>
      </c>
      <c r="B46" s="211">
        <v>5</v>
      </c>
      <c r="C46" s="199">
        <v>272.27089356999994</v>
      </c>
      <c r="D46" s="199">
        <v>1.6583171347639998</v>
      </c>
      <c r="E46" s="199">
        <f t="shared" si="9"/>
        <v>278.92921070476393</v>
      </c>
      <c r="F46" s="199">
        <f>+H46-G46</f>
        <v>257.30668684335694</v>
      </c>
      <c r="G46" s="211">
        <v>16.622523861406997</v>
      </c>
      <c r="H46" s="199">
        <f t="shared" si="0"/>
        <v>273.92921070476393</v>
      </c>
      <c r="I46" s="287">
        <v>5</v>
      </c>
      <c r="J46" s="289">
        <v>164.16</v>
      </c>
      <c r="K46" s="12"/>
      <c r="M46" s="12"/>
    </row>
    <row r="47" spans="1:13">
      <c r="A47" s="254" t="s">
        <v>334</v>
      </c>
      <c r="B47" s="211">
        <v>5</v>
      </c>
      <c r="C47" s="199">
        <v>218.25763937999994</v>
      </c>
      <c r="D47" s="199">
        <v>2.5040103717959994</v>
      </c>
      <c r="E47" s="199">
        <f t="shared" si="9"/>
        <v>225.76164975179594</v>
      </c>
      <c r="F47" s="199">
        <f t="shared" ref="F47:F50" si="10">+H47-G47</f>
        <v>198.73129683465996</v>
      </c>
      <c r="G47" s="211">
        <v>22.030352917135993</v>
      </c>
      <c r="H47" s="199">
        <f t="shared" si="0"/>
        <v>220.76164975179594</v>
      </c>
      <c r="I47" s="287">
        <v>5</v>
      </c>
      <c r="J47" s="289">
        <v>187.7</v>
      </c>
      <c r="K47" s="12"/>
      <c r="M47" s="12"/>
    </row>
    <row r="48" spans="1:13">
      <c r="A48" s="254" t="s">
        <v>350</v>
      </c>
      <c r="B48" s="211">
        <v>5</v>
      </c>
      <c r="C48" s="199">
        <v>283.29400666999993</v>
      </c>
      <c r="D48" s="199">
        <v>4.1669572140619984</v>
      </c>
      <c r="E48" s="199">
        <f t="shared" si="9"/>
        <v>292.46096388406193</v>
      </c>
      <c r="F48" s="199">
        <f t="shared" si="10"/>
        <v>256.41998762559291</v>
      </c>
      <c r="G48" s="211">
        <v>31.040976258468991</v>
      </c>
      <c r="H48" s="199">
        <f t="shared" si="0"/>
        <v>287.46096388406193</v>
      </c>
      <c r="I48" s="287">
        <v>5</v>
      </c>
      <c r="J48" s="289">
        <v>246.22</v>
      </c>
      <c r="K48" s="12"/>
      <c r="M48" s="12"/>
    </row>
    <row r="49" spans="1:13">
      <c r="A49" s="254" t="s">
        <v>504</v>
      </c>
      <c r="B49" s="211">
        <v>5</v>
      </c>
      <c r="C49" s="199">
        <v>244.71311081999994</v>
      </c>
      <c r="D49" s="199">
        <v>15.220824799610996</v>
      </c>
      <c r="E49" s="199">
        <f t="shared" si="9"/>
        <v>264.93393561961096</v>
      </c>
      <c r="F49" s="199">
        <f t="shared" si="10"/>
        <v>229.36188259241598</v>
      </c>
      <c r="G49" s="211">
        <v>30.572053027194993</v>
      </c>
      <c r="H49" s="199">
        <f t="shared" si="0"/>
        <v>259.93393561961096</v>
      </c>
      <c r="I49" s="287">
        <v>5</v>
      </c>
      <c r="J49" s="289">
        <v>279.98</v>
      </c>
      <c r="K49" s="12"/>
      <c r="M49" s="12"/>
    </row>
    <row r="50" spans="1:13">
      <c r="A50" s="256" t="s">
        <v>597</v>
      </c>
      <c r="B50" s="291">
        <v>5</v>
      </c>
      <c r="C50" s="271">
        <v>337.30726085999993</v>
      </c>
      <c r="D50" s="271">
        <v>10</v>
      </c>
      <c r="E50" s="271">
        <f t="shared" si="9"/>
        <v>352.30726085999993</v>
      </c>
      <c r="F50" s="271">
        <f t="shared" si="10"/>
        <v>327.30726085999993</v>
      </c>
      <c r="G50" s="291">
        <v>20</v>
      </c>
      <c r="H50" s="271">
        <f t="shared" si="0"/>
        <v>347.30726085999993</v>
      </c>
      <c r="I50" s="288">
        <v>5</v>
      </c>
      <c r="J50" s="290">
        <v>295</v>
      </c>
      <c r="K50" s="12"/>
      <c r="M50" s="12"/>
    </row>
    <row r="51" spans="1:13" s="6" customFormat="1" ht="12" customHeight="1">
      <c r="A51" s="52" t="s">
        <v>521</v>
      </c>
    </row>
    <row r="52" spans="1:13" s="6" customFormat="1" ht="12" customHeight="1">
      <c r="A52" s="52" t="s">
        <v>680</v>
      </c>
    </row>
    <row r="53" spans="1:13" ht="10.15" customHeight="1">
      <c r="A53" s="52" t="s">
        <v>540</v>
      </c>
      <c r="K53" s="55"/>
    </row>
    <row r="54" spans="1:13" ht="10.15" customHeight="1">
      <c r="J54" s="225" t="s">
        <v>592</v>
      </c>
    </row>
  </sheetData>
  <phoneticPr fontId="0" type="noConversion"/>
  <pageMargins left="0.75" right="0.75" top="1" bottom="1" header="0.5" footer="0.5"/>
  <pageSetup scale="84" firstPageNumber="23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N55"/>
  <sheetViews>
    <sheetView zoomScaleNormal="100" zoomScaleSheetLayoutView="100" workbookViewId="0">
      <pane ySplit="6" topLeftCell="A7" activePane="bottomLeft" state="frozen"/>
      <selection pane="bottomLeft"/>
    </sheetView>
  </sheetViews>
  <sheetFormatPr defaultRowHeight="11.25"/>
  <cols>
    <col min="1" max="1" width="12.33203125" customWidth="1"/>
    <col min="2" max="9" width="12.83203125" customWidth="1"/>
    <col min="10" max="10" width="15.83203125" customWidth="1"/>
    <col min="11" max="11" width="14" customWidth="1"/>
  </cols>
  <sheetData>
    <row r="1" spans="1:12">
      <c r="A1" s="249" t="s">
        <v>640</v>
      </c>
      <c r="B1" s="1"/>
      <c r="C1" s="1"/>
      <c r="D1" s="1"/>
      <c r="E1" s="1"/>
      <c r="F1" s="1"/>
      <c r="G1" s="1"/>
      <c r="H1" s="1"/>
      <c r="I1" s="1"/>
      <c r="J1" s="1"/>
    </row>
    <row r="2" spans="1:12">
      <c r="A2" s="7" t="s">
        <v>378</v>
      </c>
      <c r="B2" s="121"/>
      <c r="C2" s="4" t="s">
        <v>75</v>
      </c>
      <c r="D2" s="4"/>
      <c r="E2" s="4"/>
      <c r="F2" s="121"/>
      <c r="G2" s="4" t="s">
        <v>73</v>
      </c>
      <c r="H2" s="120"/>
      <c r="I2" s="7" t="s">
        <v>98</v>
      </c>
      <c r="J2" s="108" t="s">
        <v>74</v>
      </c>
    </row>
    <row r="3" spans="1:12">
      <c r="A3" s="7" t="s">
        <v>59</v>
      </c>
      <c r="B3" s="109" t="s">
        <v>96</v>
      </c>
      <c r="C3" s="7" t="s">
        <v>40</v>
      </c>
      <c r="D3" s="7" t="s">
        <v>49</v>
      </c>
      <c r="E3" s="7" t="s">
        <v>2</v>
      </c>
      <c r="F3" s="109" t="s">
        <v>97</v>
      </c>
      <c r="G3" s="7" t="s">
        <v>50</v>
      </c>
      <c r="H3" s="112" t="s">
        <v>2</v>
      </c>
      <c r="I3" s="7" t="s">
        <v>66</v>
      </c>
      <c r="J3" s="109" t="s">
        <v>367</v>
      </c>
    </row>
    <row r="4" spans="1:12">
      <c r="A4" s="7" t="s">
        <v>95</v>
      </c>
      <c r="B4" s="109" t="s">
        <v>66</v>
      </c>
      <c r="C4" s="7"/>
      <c r="D4" s="7"/>
      <c r="E4" s="7"/>
      <c r="F4" s="109"/>
      <c r="G4" s="7"/>
      <c r="H4" s="112"/>
      <c r="I4" s="7"/>
      <c r="J4" s="109" t="s">
        <v>171</v>
      </c>
    </row>
    <row r="5" spans="1:12">
      <c r="A5" s="9"/>
      <c r="B5" s="116"/>
      <c r="C5" s="9"/>
      <c r="D5" s="9"/>
      <c r="E5" s="9"/>
      <c r="F5" s="116"/>
      <c r="G5" s="9"/>
      <c r="H5" s="114"/>
      <c r="I5" s="9"/>
      <c r="J5" s="116" t="s">
        <v>370</v>
      </c>
    </row>
    <row r="6" spans="1:12">
      <c r="A6" s="73"/>
      <c r="B6" s="73"/>
      <c r="C6" s="148"/>
      <c r="D6" s="148"/>
      <c r="E6" s="148"/>
      <c r="F6" s="167" t="s">
        <v>190</v>
      </c>
      <c r="G6" s="148"/>
      <c r="H6" s="148"/>
      <c r="I6" s="148"/>
      <c r="J6" s="150" t="s">
        <v>248</v>
      </c>
    </row>
    <row r="7" spans="1:12">
      <c r="B7" s="50"/>
      <c r="C7" s="2"/>
      <c r="D7" s="2"/>
      <c r="E7" s="2"/>
      <c r="F7" s="2"/>
      <c r="G7" s="2"/>
      <c r="H7" s="2"/>
      <c r="I7" s="2"/>
      <c r="J7" s="51"/>
    </row>
    <row r="8" spans="1:12">
      <c r="A8" s="10" t="s">
        <v>181</v>
      </c>
      <c r="B8" s="49">
        <v>161</v>
      </c>
      <c r="C8" s="49">
        <v>657</v>
      </c>
      <c r="D8" s="49">
        <v>0</v>
      </c>
      <c r="E8" s="49">
        <f>SUM(B8:D8)</f>
        <v>818</v>
      </c>
      <c r="F8" s="49">
        <f t="shared" ref="F8:F28" si="0">+H8-G8</f>
        <v>64.11099999999999</v>
      </c>
      <c r="G8" s="49">
        <v>664.096</v>
      </c>
      <c r="H8" s="49">
        <f t="shared" ref="H8:H46" si="1">+E8-I8</f>
        <v>728.20699999999999</v>
      </c>
      <c r="I8" s="49">
        <v>89.793000000000006</v>
      </c>
      <c r="J8" s="53">
        <v>26.95</v>
      </c>
      <c r="L8" s="40"/>
    </row>
    <row r="9" spans="1:12">
      <c r="A9" s="10" t="s">
        <v>182</v>
      </c>
      <c r="B9" s="49">
        <f t="shared" ref="B9:B28" si="2">+I8</f>
        <v>89.793000000000006</v>
      </c>
      <c r="C9" s="49">
        <v>302.03321399999999</v>
      </c>
      <c r="D9" s="49">
        <v>0</v>
      </c>
      <c r="E9" s="49">
        <f>SUM(B9:D9)</f>
        <v>391.82621399999999</v>
      </c>
      <c r="F9" s="49">
        <f t="shared" si="0"/>
        <v>138.03221400000001</v>
      </c>
      <c r="G9" s="49">
        <v>226.49</v>
      </c>
      <c r="H9" s="49">
        <f t="shared" si="1"/>
        <v>364.52221400000002</v>
      </c>
      <c r="I9" s="49">
        <v>27.303999999999998</v>
      </c>
      <c r="J9" s="53">
        <v>24.885000000000002</v>
      </c>
      <c r="L9" s="40"/>
    </row>
    <row r="10" spans="1:12">
      <c r="A10" s="10" t="s">
        <v>183</v>
      </c>
      <c r="B10" s="49">
        <f t="shared" si="2"/>
        <v>27.303999999999998</v>
      </c>
      <c r="C10" s="49">
        <v>668.00046599999996</v>
      </c>
      <c r="D10" s="49">
        <v>0</v>
      </c>
      <c r="E10" s="49">
        <f t="shared" ref="E10:E31" si="3">SUM(B10:D10)</f>
        <v>695.30446599999993</v>
      </c>
      <c r="F10" s="49">
        <f t="shared" si="0"/>
        <v>95.554465999999934</v>
      </c>
      <c r="G10" s="49">
        <v>504.36099999999999</v>
      </c>
      <c r="H10" s="49">
        <f t="shared" si="1"/>
        <v>599.91546599999992</v>
      </c>
      <c r="I10" s="49">
        <v>95.388999999999996</v>
      </c>
      <c r="J10" s="53">
        <v>21.38</v>
      </c>
      <c r="L10" s="40"/>
    </row>
    <row r="11" spans="1:12">
      <c r="A11" s="10" t="s">
        <v>184</v>
      </c>
      <c r="B11" s="49">
        <f t="shared" si="2"/>
        <v>95.388999999999996</v>
      </c>
      <c r="C11" s="49">
        <v>449.74288799999999</v>
      </c>
      <c r="D11" s="49">
        <v>0.98299999999999998</v>
      </c>
      <c r="E11" s="49">
        <f t="shared" si="3"/>
        <v>546.11488799999995</v>
      </c>
      <c r="F11" s="49">
        <f t="shared" si="0"/>
        <v>117.01288799999992</v>
      </c>
      <c r="G11" s="49">
        <v>414.84800000000001</v>
      </c>
      <c r="H11" s="49">
        <f t="shared" si="1"/>
        <v>531.86088799999993</v>
      </c>
      <c r="I11" s="49">
        <v>14.254</v>
      </c>
      <c r="J11" s="53">
        <v>32.33</v>
      </c>
      <c r="L11" s="40"/>
    </row>
    <row r="12" spans="1:12">
      <c r="A12" s="10" t="s">
        <v>185</v>
      </c>
      <c r="B12" s="49">
        <f t="shared" si="2"/>
        <v>14.254</v>
      </c>
      <c r="C12" s="49">
        <v>482.81221799999997</v>
      </c>
      <c r="D12" s="49">
        <v>8.8999999999999996E-2</v>
      </c>
      <c r="E12" s="49">
        <f t="shared" si="3"/>
        <v>497.15521799999999</v>
      </c>
      <c r="F12" s="49">
        <f t="shared" si="0"/>
        <v>144.53021799999999</v>
      </c>
      <c r="G12" s="49">
        <v>287.08199999999999</v>
      </c>
      <c r="H12" s="49">
        <f t="shared" si="1"/>
        <v>431.61221799999998</v>
      </c>
      <c r="I12" s="49">
        <v>65.543000000000006</v>
      </c>
      <c r="J12" s="53">
        <v>30.01</v>
      </c>
      <c r="L12" s="40"/>
    </row>
    <row r="13" spans="1:12">
      <c r="A13" s="10" t="s">
        <v>186</v>
      </c>
      <c r="B13" s="49">
        <f t="shared" si="2"/>
        <v>65.543000000000006</v>
      </c>
      <c r="C13" s="49">
        <v>584.22483</v>
      </c>
      <c r="D13" s="49">
        <v>0.23100000000000001</v>
      </c>
      <c r="E13" s="49">
        <f t="shared" si="3"/>
        <v>649.99883</v>
      </c>
      <c r="F13" s="49">
        <f t="shared" si="0"/>
        <v>143.31483000000003</v>
      </c>
      <c r="G13" s="49">
        <v>452.93200000000002</v>
      </c>
      <c r="H13" s="49">
        <f t="shared" si="1"/>
        <v>596.24683000000005</v>
      </c>
      <c r="I13" s="49">
        <v>53.752000000000002</v>
      </c>
      <c r="J13" s="53">
        <v>19.100000000000001</v>
      </c>
      <c r="L13" s="40"/>
    </row>
    <row r="14" spans="1:12">
      <c r="A14" s="10" t="s">
        <v>187</v>
      </c>
      <c r="B14" s="49">
        <f t="shared" si="2"/>
        <v>53.752000000000002</v>
      </c>
      <c r="C14" s="49">
        <v>587.00585775197305</v>
      </c>
      <c r="D14" s="49">
        <v>2.5999999999999999E-2</v>
      </c>
      <c r="E14" s="49">
        <f t="shared" si="3"/>
        <v>640.78385775197296</v>
      </c>
      <c r="F14" s="49">
        <f t="shared" si="0"/>
        <v>185.21285775197299</v>
      </c>
      <c r="G14" s="49">
        <v>343.15600000000001</v>
      </c>
      <c r="H14" s="49">
        <f t="shared" si="1"/>
        <v>528.368857751973</v>
      </c>
      <c r="I14" s="49">
        <v>112.41500000000001</v>
      </c>
      <c r="J14" s="53">
        <v>15.99</v>
      </c>
      <c r="L14" s="40"/>
    </row>
    <row r="15" spans="1:12">
      <c r="A15" s="10" t="s">
        <v>188</v>
      </c>
      <c r="B15" s="49">
        <f t="shared" si="2"/>
        <v>112.41500000000001</v>
      </c>
      <c r="C15" s="49">
        <v>831</v>
      </c>
      <c r="D15" s="49">
        <v>33.44</v>
      </c>
      <c r="E15" s="49">
        <f t="shared" si="3"/>
        <v>976.85500000000002</v>
      </c>
      <c r="F15" s="49">
        <f t="shared" si="0"/>
        <v>116.80899999999997</v>
      </c>
      <c r="G15" s="49">
        <v>702.79100000000005</v>
      </c>
      <c r="H15" s="49">
        <f t="shared" si="1"/>
        <v>819.6</v>
      </c>
      <c r="I15" s="49">
        <v>157.255</v>
      </c>
      <c r="J15" s="53">
        <v>23.49</v>
      </c>
      <c r="L15" s="40"/>
    </row>
    <row r="16" spans="1:12">
      <c r="A16" s="10" t="s">
        <v>189</v>
      </c>
      <c r="B16" s="49">
        <f t="shared" si="2"/>
        <v>157.255</v>
      </c>
      <c r="C16" s="49">
        <v>518</v>
      </c>
      <c r="D16" s="49">
        <v>18.350999999999999</v>
      </c>
      <c r="E16" s="49">
        <f t="shared" si="3"/>
        <v>693.60599999999999</v>
      </c>
      <c r="F16" s="49">
        <f t="shared" si="0"/>
        <v>144.60339839999995</v>
      </c>
      <c r="G16" s="49">
        <v>468.048</v>
      </c>
      <c r="H16" s="49">
        <f t="shared" si="1"/>
        <v>612.65139839999995</v>
      </c>
      <c r="I16" s="49">
        <v>80.954601600000004</v>
      </c>
      <c r="J16" s="53">
        <v>22.66</v>
      </c>
      <c r="L16" s="40"/>
    </row>
    <row r="17" spans="1:12">
      <c r="A17" s="10" t="s">
        <v>4</v>
      </c>
      <c r="B17" s="49">
        <f t="shared" si="2"/>
        <v>80.954601600000004</v>
      </c>
      <c r="C17" s="49">
        <v>475</v>
      </c>
      <c r="D17" s="49">
        <v>4.5170000000000003</v>
      </c>
      <c r="E17" s="49">
        <f t="shared" si="3"/>
        <v>560.4716016000001</v>
      </c>
      <c r="F17" s="49">
        <f t="shared" si="0"/>
        <v>172.6376016000001</v>
      </c>
      <c r="G17" s="49">
        <v>349.834</v>
      </c>
      <c r="H17" s="49">
        <f t="shared" si="1"/>
        <v>522.4716016000001</v>
      </c>
      <c r="I17" s="49">
        <v>38</v>
      </c>
      <c r="J17" s="53">
        <v>24.37</v>
      </c>
      <c r="L17" s="40"/>
    </row>
    <row r="18" spans="1:12">
      <c r="A18" s="10" t="s">
        <v>5</v>
      </c>
      <c r="B18" s="49">
        <f t="shared" si="2"/>
        <v>38</v>
      </c>
      <c r="C18" s="49">
        <v>535.72314600000004</v>
      </c>
      <c r="D18" s="49">
        <v>32.832000000000001</v>
      </c>
      <c r="E18" s="49">
        <f t="shared" si="3"/>
        <v>606.55514600000004</v>
      </c>
      <c r="F18" s="49">
        <f t="shared" si="0"/>
        <v>200.71214600000002</v>
      </c>
      <c r="G18" s="49">
        <v>358.84300000000002</v>
      </c>
      <c r="H18" s="49">
        <f t="shared" si="1"/>
        <v>559.55514600000004</v>
      </c>
      <c r="I18" s="49">
        <v>47</v>
      </c>
      <c r="J18" s="53">
        <v>23.67</v>
      </c>
      <c r="L18" s="40"/>
    </row>
    <row r="19" spans="1:12">
      <c r="A19" s="10" t="s">
        <v>6</v>
      </c>
      <c r="B19" s="49">
        <f t="shared" si="2"/>
        <v>47</v>
      </c>
      <c r="C19" s="49">
        <v>911</v>
      </c>
      <c r="D19" s="49">
        <v>8.8916064932520005</v>
      </c>
      <c r="E19" s="49">
        <f t="shared" si="3"/>
        <v>966.89160649325197</v>
      </c>
      <c r="F19" s="49">
        <f t="shared" si="0"/>
        <v>340.16772749725192</v>
      </c>
      <c r="G19" s="49">
        <v>526.72387899600005</v>
      </c>
      <c r="H19" s="49">
        <f t="shared" si="1"/>
        <v>866.89160649325197</v>
      </c>
      <c r="I19" s="49">
        <v>100</v>
      </c>
      <c r="J19" s="53">
        <v>21.63</v>
      </c>
      <c r="L19" s="40"/>
    </row>
    <row r="20" spans="1:12">
      <c r="A20" s="10" t="s">
        <v>7</v>
      </c>
      <c r="B20" s="49">
        <f t="shared" si="2"/>
        <v>100</v>
      </c>
      <c r="C20" s="49">
        <v>729.6</v>
      </c>
      <c r="D20" s="49">
        <v>0.15870000000000001</v>
      </c>
      <c r="E20" s="49">
        <f t="shared" si="3"/>
        <v>829.75869999999998</v>
      </c>
      <c r="F20" s="49">
        <f t="shared" si="0"/>
        <v>187.74270000000001</v>
      </c>
      <c r="G20" s="49">
        <v>586.11599999999999</v>
      </c>
      <c r="H20" s="49">
        <f t="shared" si="1"/>
        <v>773.8587</v>
      </c>
      <c r="I20" s="49">
        <v>55.9</v>
      </c>
      <c r="J20" s="53">
        <v>25.37</v>
      </c>
      <c r="L20" s="40"/>
    </row>
    <row r="21" spans="1:12">
      <c r="A21" s="10" t="s">
        <v>8</v>
      </c>
      <c r="B21" s="49">
        <f t="shared" si="2"/>
        <v>55.9</v>
      </c>
      <c r="C21" s="49">
        <v>580</v>
      </c>
      <c r="D21" s="49">
        <v>7.7240000000000002</v>
      </c>
      <c r="E21" s="49">
        <f t="shared" si="3"/>
        <v>643.62400000000002</v>
      </c>
      <c r="F21" s="49">
        <f t="shared" si="0"/>
        <v>128.97726029800009</v>
      </c>
      <c r="G21" s="49">
        <v>450.05373970199997</v>
      </c>
      <c r="H21" s="49">
        <f t="shared" si="1"/>
        <v>579.03100000000006</v>
      </c>
      <c r="I21" s="49">
        <v>64.593000000000004</v>
      </c>
      <c r="J21" s="53">
        <v>31.08</v>
      </c>
      <c r="L21" s="40"/>
    </row>
    <row r="22" spans="1:12">
      <c r="A22" s="10" t="s">
        <v>9</v>
      </c>
      <c r="B22" s="49">
        <f t="shared" si="2"/>
        <v>64.593000000000004</v>
      </c>
      <c r="C22" s="49">
        <v>1165</v>
      </c>
      <c r="D22" s="49">
        <v>1.2090000000000001</v>
      </c>
      <c r="E22" s="49">
        <f t="shared" si="3"/>
        <v>1230.8020000000001</v>
      </c>
      <c r="F22" s="49">
        <f t="shared" si="0"/>
        <v>177.75000000000023</v>
      </c>
      <c r="G22" s="49">
        <v>971.40300000000002</v>
      </c>
      <c r="H22" s="49">
        <f t="shared" si="1"/>
        <v>1149.1530000000002</v>
      </c>
      <c r="I22" s="49">
        <v>81.649000000000001</v>
      </c>
      <c r="J22" s="53">
        <v>28.1</v>
      </c>
      <c r="L22" s="40"/>
    </row>
    <row r="23" spans="1:12">
      <c r="A23" s="10" t="s">
        <v>10</v>
      </c>
      <c r="B23" s="49">
        <f t="shared" si="2"/>
        <v>81.649000000000001</v>
      </c>
      <c r="C23" s="49">
        <v>859.79399999999998</v>
      </c>
      <c r="D23" s="49">
        <v>2.028232</v>
      </c>
      <c r="E23" s="49">
        <f t="shared" si="3"/>
        <v>943.47123199999999</v>
      </c>
      <c r="F23" s="49">
        <f t="shared" si="0"/>
        <v>168.71923200000003</v>
      </c>
      <c r="G23" s="49">
        <v>627.31799999999998</v>
      </c>
      <c r="H23" s="49">
        <f t="shared" si="1"/>
        <v>796.03723200000002</v>
      </c>
      <c r="I23" s="49">
        <v>147.434</v>
      </c>
      <c r="J23" s="53">
        <v>25.4</v>
      </c>
      <c r="L23" s="40"/>
    </row>
    <row r="24" spans="1:12">
      <c r="A24" s="10" t="s">
        <v>11</v>
      </c>
      <c r="B24" s="49">
        <f t="shared" si="2"/>
        <v>147.434</v>
      </c>
      <c r="C24" s="49">
        <v>839.95259999999996</v>
      </c>
      <c r="D24" s="49">
        <v>21.9666344</v>
      </c>
      <c r="E24" s="49">
        <f t="shared" si="3"/>
        <v>1009.3532343999999</v>
      </c>
      <c r="F24" s="49">
        <f t="shared" si="0"/>
        <v>207.29923439999993</v>
      </c>
      <c r="G24" s="49">
        <v>708.90499999999997</v>
      </c>
      <c r="H24" s="49">
        <f t="shared" si="1"/>
        <v>916.2042343999999</v>
      </c>
      <c r="I24" s="49">
        <v>93.149000000000001</v>
      </c>
      <c r="J24" s="53">
        <v>22.64</v>
      </c>
      <c r="L24" s="40"/>
    </row>
    <row r="25" spans="1:12">
      <c r="A25" s="10" t="s">
        <v>12</v>
      </c>
      <c r="B25" s="49">
        <f t="shared" si="2"/>
        <v>93.149000000000001</v>
      </c>
      <c r="C25" s="49">
        <v>959.00099999999998</v>
      </c>
      <c r="D25" s="49">
        <v>7.6764172000000004</v>
      </c>
      <c r="E25" s="49">
        <f t="shared" si="3"/>
        <v>1059.8264172000002</v>
      </c>
      <c r="F25" s="49">
        <f t="shared" si="0"/>
        <v>185.51741720000007</v>
      </c>
      <c r="G25" s="49">
        <v>814.73900000000003</v>
      </c>
      <c r="H25" s="49">
        <f t="shared" si="1"/>
        <v>1000.2564172000001</v>
      </c>
      <c r="I25" s="49">
        <v>59.57</v>
      </c>
      <c r="J25" s="53">
        <v>27</v>
      </c>
      <c r="L25" s="40"/>
    </row>
    <row r="26" spans="1:12">
      <c r="A26" s="10" t="s">
        <v>13</v>
      </c>
      <c r="B26" s="49">
        <f t="shared" si="2"/>
        <v>59.57</v>
      </c>
      <c r="C26" s="49">
        <v>1090</v>
      </c>
      <c r="D26" s="49">
        <v>5.1909999999999998</v>
      </c>
      <c r="E26" s="49">
        <f t="shared" si="3"/>
        <v>1154.761</v>
      </c>
      <c r="F26" s="49">
        <f t="shared" si="0"/>
        <v>233.54100000000005</v>
      </c>
      <c r="G26" s="49">
        <v>799.79399999999998</v>
      </c>
      <c r="H26" s="49">
        <f t="shared" si="1"/>
        <v>1033.335</v>
      </c>
      <c r="I26" s="49">
        <v>121.426</v>
      </c>
      <c r="J26" s="53">
        <v>20.100000000000001</v>
      </c>
      <c r="L26" s="40"/>
    </row>
    <row r="27" spans="1:12">
      <c r="A27" s="10" t="s">
        <v>14</v>
      </c>
      <c r="B27" s="49">
        <f t="shared" si="2"/>
        <v>121.426</v>
      </c>
      <c r="C27" s="49">
        <v>1055</v>
      </c>
      <c r="D27" s="49">
        <v>4.3879999999999999</v>
      </c>
      <c r="E27" s="49">
        <f t="shared" si="3"/>
        <v>1180.8139999999999</v>
      </c>
      <c r="F27" s="49">
        <f t="shared" si="0"/>
        <v>393.68168888499997</v>
      </c>
      <c r="G27" s="49">
        <v>630.48331111499999</v>
      </c>
      <c r="H27" s="49">
        <f t="shared" si="1"/>
        <v>1024.165</v>
      </c>
      <c r="I27" s="49">
        <v>156.649</v>
      </c>
      <c r="J27" s="53">
        <v>16.68</v>
      </c>
      <c r="L27" s="40"/>
    </row>
    <row r="28" spans="1:12">
      <c r="A28" s="10" t="s">
        <v>397</v>
      </c>
      <c r="B28" s="49">
        <f t="shared" si="2"/>
        <v>156.649</v>
      </c>
      <c r="C28" s="49">
        <v>854</v>
      </c>
      <c r="D28" s="49">
        <v>7.9328913425999996</v>
      </c>
      <c r="E28" s="49">
        <f t="shared" si="3"/>
        <v>1018.5818913426</v>
      </c>
      <c r="F28" s="49">
        <f t="shared" si="0"/>
        <v>337.59389134260005</v>
      </c>
      <c r="G28" s="49">
        <v>544.87699999999995</v>
      </c>
      <c r="H28" s="49">
        <f t="shared" si="1"/>
        <v>882.4708913426</v>
      </c>
      <c r="I28" s="49">
        <v>136.11099999999999</v>
      </c>
      <c r="J28" s="53">
        <v>15.89</v>
      </c>
      <c r="L28" s="40"/>
    </row>
    <row r="29" spans="1:12">
      <c r="A29" s="10" t="s">
        <v>210</v>
      </c>
      <c r="B29" s="49">
        <f t="shared" ref="B29:B34" si="4">+I28</f>
        <v>136.11099999999999</v>
      </c>
      <c r="C29" s="49">
        <v>669</v>
      </c>
      <c r="D29" s="49">
        <v>36.216648367200001</v>
      </c>
      <c r="E29" s="49">
        <f t="shared" si="3"/>
        <v>841.32764836720003</v>
      </c>
      <c r="F29" s="49">
        <f t="shared" ref="F29:F34" si="5">+H29-G29</f>
        <v>365.67364836720003</v>
      </c>
      <c r="G29" s="49">
        <v>452.84199999999998</v>
      </c>
      <c r="H29" s="49">
        <f t="shared" si="1"/>
        <v>818.51564836720001</v>
      </c>
      <c r="I29" s="49">
        <v>22.812000000000001</v>
      </c>
      <c r="J29" s="53">
        <v>23.25</v>
      </c>
      <c r="L29" s="40"/>
    </row>
    <row r="30" spans="1:12">
      <c r="A30" s="10" t="s">
        <v>217</v>
      </c>
      <c r="B30" s="49">
        <f t="shared" si="4"/>
        <v>22.812000000000001</v>
      </c>
      <c r="C30" s="49">
        <v>321</v>
      </c>
      <c r="D30" s="49">
        <v>60.750999999999998</v>
      </c>
      <c r="E30" s="49">
        <f t="shared" si="3"/>
        <v>404.56299999999999</v>
      </c>
      <c r="F30" s="49">
        <f t="shared" si="5"/>
        <v>264.21800000000002</v>
      </c>
      <c r="G30" s="49">
        <v>113.44499999999999</v>
      </c>
      <c r="H30" s="49">
        <f t="shared" si="1"/>
        <v>377.66300000000001</v>
      </c>
      <c r="I30" s="49">
        <v>26.9</v>
      </c>
      <c r="J30" s="53">
        <v>33.11</v>
      </c>
      <c r="L30" s="40"/>
    </row>
    <row r="31" spans="1:12">
      <c r="A31" s="10" t="s">
        <v>398</v>
      </c>
      <c r="B31" s="49">
        <f t="shared" si="4"/>
        <v>26.9</v>
      </c>
      <c r="C31" s="49">
        <v>564</v>
      </c>
      <c r="D31" s="49">
        <v>25.37</v>
      </c>
      <c r="E31" s="49">
        <f t="shared" si="3"/>
        <v>616.27</v>
      </c>
      <c r="F31" s="49">
        <f t="shared" si="5"/>
        <v>339.62800000000004</v>
      </c>
      <c r="G31" s="49">
        <v>236.74199999999999</v>
      </c>
      <c r="H31" s="49">
        <f t="shared" si="1"/>
        <v>576.37</v>
      </c>
      <c r="I31" s="49">
        <v>39.9</v>
      </c>
      <c r="J31" s="53">
        <v>33.409999999999997</v>
      </c>
      <c r="L31" s="40"/>
    </row>
    <row r="32" spans="1:12">
      <c r="A32" s="10" t="s">
        <v>222</v>
      </c>
      <c r="B32" s="49">
        <f t="shared" si="4"/>
        <v>39.9</v>
      </c>
      <c r="C32" s="49">
        <v>255</v>
      </c>
      <c r="D32" s="49">
        <v>75.400999999999996</v>
      </c>
      <c r="E32" s="49">
        <f t="shared" ref="E32:E37" si="6">SUM(B32:D32)</f>
        <v>370.30099999999999</v>
      </c>
      <c r="F32" s="49">
        <f t="shared" si="5"/>
        <v>222.98199999999997</v>
      </c>
      <c r="G32" s="49">
        <v>125.024</v>
      </c>
      <c r="H32" s="49">
        <f t="shared" si="1"/>
        <v>348.00599999999997</v>
      </c>
      <c r="I32" s="49">
        <v>22.295000000000002</v>
      </c>
      <c r="J32" s="53">
        <v>43.78</v>
      </c>
      <c r="L32" s="40"/>
    </row>
    <row r="33" spans="1:14">
      <c r="A33" s="10" t="s">
        <v>225</v>
      </c>
      <c r="B33" s="49">
        <f t="shared" si="4"/>
        <v>22.295000000000002</v>
      </c>
      <c r="C33" s="49">
        <v>553</v>
      </c>
      <c r="D33" s="49">
        <v>56.463000000000001</v>
      </c>
      <c r="E33" s="49">
        <f t="shared" si="6"/>
        <v>631.75799999999992</v>
      </c>
      <c r="F33" s="49">
        <f t="shared" si="5"/>
        <v>367.64899999999994</v>
      </c>
      <c r="G33" s="49">
        <v>210.00299999999999</v>
      </c>
      <c r="H33" s="49">
        <f t="shared" si="1"/>
        <v>577.65199999999993</v>
      </c>
      <c r="I33" s="49">
        <v>54.106000000000002</v>
      </c>
      <c r="J33" s="53">
        <v>37.72</v>
      </c>
      <c r="L33" s="40"/>
    </row>
    <row r="34" spans="1:14">
      <c r="A34" s="10" t="s">
        <v>227</v>
      </c>
      <c r="B34" s="49">
        <f t="shared" si="4"/>
        <v>54.106000000000002</v>
      </c>
      <c r="C34" s="49">
        <v>600</v>
      </c>
      <c r="D34" s="49">
        <v>155.797</v>
      </c>
      <c r="E34" s="49">
        <f t="shared" si="6"/>
        <v>809.90300000000002</v>
      </c>
      <c r="F34" s="49">
        <f t="shared" si="5"/>
        <v>580.06500000000005</v>
      </c>
      <c r="G34" s="49">
        <v>169.93799999999999</v>
      </c>
      <c r="H34" s="49">
        <f t="shared" si="1"/>
        <v>750.00300000000004</v>
      </c>
      <c r="I34" s="49">
        <v>59.9</v>
      </c>
      <c r="J34" s="53">
        <v>58.03</v>
      </c>
      <c r="L34" s="40"/>
    </row>
    <row r="35" spans="1:14">
      <c r="A35" s="10" t="s">
        <v>230</v>
      </c>
      <c r="B35" s="49">
        <f t="shared" ref="B35:B40" si="7">+I34</f>
        <v>59.9</v>
      </c>
      <c r="C35" s="49">
        <v>632</v>
      </c>
      <c r="D35" s="49">
        <v>103.49299999999999</v>
      </c>
      <c r="E35" s="49">
        <f t="shared" si="6"/>
        <v>795.39300000000003</v>
      </c>
      <c r="F35" s="49">
        <f t="shared" ref="F35:F41" si="8">+H35-G35</f>
        <v>600.00099999999998</v>
      </c>
      <c r="G35" s="49">
        <v>169.06700000000001</v>
      </c>
      <c r="H35" s="49">
        <f t="shared" si="1"/>
        <v>769.06799999999998</v>
      </c>
      <c r="I35" s="49">
        <v>26.324999999999999</v>
      </c>
      <c r="J35" s="53">
        <v>91.15</v>
      </c>
      <c r="L35" s="40"/>
    </row>
    <row r="36" spans="1:14">
      <c r="A36" s="10" t="s">
        <v>231</v>
      </c>
      <c r="B36" s="49">
        <f t="shared" si="7"/>
        <v>26.324999999999999</v>
      </c>
      <c r="C36" s="49">
        <v>646</v>
      </c>
      <c r="D36" s="49">
        <v>67.033000000000001</v>
      </c>
      <c r="E36" s="49">
        <f t="shared" si="6"/>
        <v>739.35800000000006</v>
      </c>
      <c r="F36" s="49">
        <f t="shared" si="8"/>
        <v>428.548</v>
      </c>
      <c r="G36" s="49">
        <v>199.71</v>
      </c>
      <c r="H36" s="49">
        <f t="shared" si="1"/>
        <v>628.25800000000004</v>
      </c>
      <c r="I36" s="49">
        <v>111.1</v>
      </c>
      <c r="J36" s="53">
        <v>50.24</v>
      </c>
      <c r="L36" s="40"/>
    </row>
    <row r="37" spans="1:14">
      <c r="A37" s="10" t="s">
        <v>234</v>
      </c>
      <c r="B37" s="49">
        <f t="shared" si="7"/>
        <v>111.1</v>
      </c>
      <c r="C37" s="49">
        <v>722</v>
      </c>
      <c r="D37" s="49">
        <v>48.64</v>
      </c>
      <c r="E37" s="49">
        <f t="shared" si="6"/>
        <v>881.74</v>
      </c>
      <c r="F37" s="49">
        <f t="shared" si="8"/>
        <v>583.27099999999996</v>
      </c>
      <c r="G37" s="49">
        <v>215.02199999999999</v>
      </c>
      <c r="H37" s="49">
        <f t="shared" si="1"/>
        <v>798.29300000000001</v>
      </c>
      <c r="I37" s="49">
        <v>83.447000000000003</v>
      </c>
      <c r="J37" s="53">
        <v>52.8</v>
      </c>
      <c r="L37" s="40"/>
    </row>
    <row r="38" spans="1:14">
      <c r="A38" s="10" t="s">
        <v>236</v>
      </c>
      <c r="B38" s="49">
        <f t="shared" si="7"/>
        <v>83.447000000000003</v>
      </c>
      <c r="C38" s="49">
        <v>487</v>
      </c>
      <c r="D38" s="49">
        <v>102.559</v>
      </c>
      <c r="E38" s="49">
        <f t="shared" ref="E38:E43" si="9">SUM(B38:D38)</f>
        <v>673.00599999999997</v>
      </c>
      <c r="F38" s="49">
        <f t="shared" si="8"/>
        <v>529.30599999999993</v>
      </c>
      <c r="G38" s="49">
        <v>83.7</v>
      </c>
      <c r="H38" s="49">
        <f t="shared" si="1"/>
        <v>613.00599999999997</v>
      </c>
      <c r="I38" s="49">
        <v>60</v>
      </c>
      <c r="J38" s="53">
        <v>86.12</v>
      </c>
      <c r="L38" s="40"/>
    </row>
    <row r="39" spans="1:14">
      <c r="A39" s="10" t="s">
        <v>246</v>
      </c>
      <c r="B39" s="49">
        <f t="shared" si="7"/>
        <v>60</v>
      </c>
      <c r="C39" s="49">
        <v>322</v>
      </c>
      <c r="D39" s="49">
        <v>162.607</v>
      </c>
      <c r="E39" s="49">
        <f t="shared" si="9"/>
        <v>544.60699999999997</v>
      </c>
      <c r="F39" s="49">
        <f t="shared" si="8"/>
        <v>453.25299999999999</v>
      </c>
      <c r="G39" s="49">
        <v>41.353999999999999</v>
      </c>
      <c r="H39" s="49">
        <f t="shared" si="1"/>
        <v>494.60699999999997</v>
      </c>
      <c r="I39" s="49">
        <v>50</v>
      </c>
      <c r="J39" s="53">
        <v>83.2</v>
      </c>
      <c r="L39" s="40"/>
    </row>
    <row r="40" spans="1:14">
      <c r="A40" s="10" t="s">
        <v>254</v>
      </c>
      <c r="B40" s="49">
        <f t="shared" si="7"/>
        <v>50</v>
      </c>
      <c r="C40" s="49">
        <v>428</v>
      </c>
      <c r="D40" s="49">
        <v>71.561000000000007</v>
      </c>
      <c r="E40" s="49">
        <f t="shared" si="9"/>
        <v>549.56100000000004</v>
      </c>
      <c r="F40" s="49">
        <f t="shared" si="8"/>
        <v>437.04200000000003</v>
      </c>
      <c r="G40" s="49">
        <v>62.518999999999998</v>
      </c>
      <c r="H40" s="49">
        <f t="shared" si="1"/>
        <v>499.56100000000004</v>
      </c>
      <c r="I40" s="49">
        <v>50</v>
      </c>
      <c r="J40" s="53">
        <v>65.87</v>
      </c>
      <c r="L40" s="40"/>
    </row>
    <row r="41" spans="1:14">
      <c r="A41" s="10" t="s">
        <v>253</v>
      </c>
      <c r="B41" s="49">
        <f>+I40</f>
        <v>50</v>
      </c>
      <c r="C41" s="49">
        <v>430</v>
      </c>
      <c r="D41" s="49">
        <v>76.418000000000006</v>
      </c>
      <c r="E41" s="49">
        <f t="shared" si="9"/>
        <v>556.41800000000001</v>
      </c>
      <c r="F41" s="49">
        <f t="shared" si="8"/>
        <v>424.60699999999997</v>
      </c>
      <c r="G41" s="49">
        <v>81.811000000000007</v>
      </c>
      <c r="H41" s="49">
        <f t="shared" si="1"/>
        <v>506.41800000000001</v>
      </c>
      <c r="I41" s="49">
        <v>50</v>
      </c>
      <c r="J41" s="53">
        <v>59.12</v>
      </c>
      <c r="L41" s="40"/>
    </row>
    <row r="42" spans="1:14">
      <c r="A42" s="10" t="s">
        <v>261</v>
      </c>
      <c r="B42" s="49">
        <f>+I41</f>
        <v>50</v>
      </c>
      <c r="C42" s="49">
        <v>322</v>
      </c>
      <c r="D42" s="49">
        <v>176.83799999999999</v>
      </c>
      <c r="E42" s="49">
        <f t="shared" si="9"/>
        <v>548.83799999999997</v>
      </c>
      <c r="F42" s="49">
        <f>+H42-G42</f>
        <v>435.28799999999995</v>
      </c>
      <c r="G42" s="49">
        <v>63.55</v>
      </c>
      <c r="H42" s="49">
        <f t="shared" si="1"/>
        <v>498.83799999999997</v>
      </c>
      <c r="I42" s="49">
        <v>50</v>
      </c>
      <c r="J42" s="53">
        <v>66.72</v>
      </c>
      <c r="L42" s="40"/>
    </row>
    <row r="43" spans="1:14">
      <c r="A43" s="10" t="s">
        <v>260</v>
      </c>
      <c r="B43" s="49">
        <f>+I42</f>
        <v>50</v>
      </c>
      <c r="C43" s="49">
        <v>452</v>
      </c>
      <c r="D43" s="49">
        <v>92.628</v>
      </c>
      <c r="E43" s="49">
        <f t="shared" si="9"/>
        <v>594.62800000000004</v>
      </c>
      <c r="F43" s="49">
        <f>+H43-G43</f>
        <v>433.32200000000006</v>
      </c>
      <c r="G43" s="49">
        <v>85.55</v>
      </c>
      <c r="H43" s="49">
        <f t="shared" si="1"/>
        <v>518.87200000000007</v>
      </c>
      <c r="I43" s="49">
        <v>75.756</v>
      </c>
      <c r="J43" s="53">
        <v>57.81</v>
      </c>
      <c r="L43" s="40"/>
    </row>
    <row r="44" spans="1:14">
      <c r="A44" s="10" t="s">
        <v>262</v>
      </c>
      <c r="B44" s="49">
        <f>+I43</f>
        <v>75.756</v>
      </c>
      <c r="C44" s="49">
        <v>465</v>
      </c>
      <c r="D44" s="49">
        <v>119.83380574593399</v>
      </c>
      <c r="E44" s="49">
        <f t="shared" ref="E44:E50" si="10">SUM(B44:D44)</f>
        <v>660.58980574593397</v>
      </c>
      <c r="F44" s="49">
        <f>+H44-G44</f>
        <v>498.77580574593401</v>
      </c>
      <c r="G44" s="49">
        <v>71</v>
      </c>
      <c r="H44" s="49">
        <f t="shared" si="1"/>
        <v>569.77580574593401</v>
      </c>
      <c r="I44" s="49">
        <v>90.813999999999993</v>
      </c>
      <c r="J44" s="53">
        <v>53.54</v>
      </c>
      <c r="K44" s="295"/>
      <c r="L44" s="40"/>
    </row>
    <row r="45" spans="1:14">
      <c r="A45" s="262" t="s">
        <v>296</v>
      </c>
      <c r="B45" s="285">
        <f t="shared" ref="B45:B50" si="11">+I44</f>
        <v>90.813999999999993</v>
      </c>
      <c r="C45" s="285">
        <v>440.92452399999996</v>
      </c>
      <c r="D45" s="285">
        <v>160.80914222351601</v>
      </c>
      <c r="E45" s="285">
        <f t="shared" si="10"/>
        <v>692.54766622351599</v>
      </c>
      <c r="F45" s="285">
        <f>+H45-G45</f>
        <v>531.01708661157795</v>
      </c>
      <c r="G45" s="285">
        <v>89.088579611938002</v>
      </c>
      <c r="H45" s="285">
        <f t="shared" si="1"/>
        <v>620.10566622351598</v>
      </c>
      <c r="I45" s="285">
        <v>72.442000000000007</v>
      </c>
      <c r="J45" s="292">
        <v>54.57</v>
      </c>
      <c r="L45" s="40"/>
      <c r="M45" s="190"/>
      <c r="N45" s="40"/>
    </row>
    <row r="46" spans="1:14">
      <c r="A46" s="262" t="s">
        <v>295</v>
      </c>
      <c r="B46" s="285">
        <f t="shared" si="11"/>
        <v>72.442000000000007</v>
      </c>
      <c r="C46" s="285">
        <v>449.74301448</v>
      </c>
      <c r="D46" s="285">
        <v>131.46363099095799</v>
      </c>
      <c r="E46" s="285">
        <f t="shared" si="10"/>
        <v>653.64864547095806</v>
      </c>
      <c r="F46" s="285">
        <f>+H46-G46</f>
        <v>489.80848944728803</v>
      </c>
      <c r="G46" s="285">
        <v>122.30915602366998</v>
      </c>
      <c r="H46" s="285">
        <f t="shared" si="1"/>
        <v>612.117645470958</v>
      </c>
      <c r="I46" s="285">
        <v>41.531000000000006</v>
      </c>
      <c r="J46" s="292">
        <v>53.28</v>
      </c>
      <c r="L46" s="40"/>
      <c r="M46" s="190"/>
      <c r="N46" s="40"/>
    </row>
    <row r="47" spans="1:14">
      <c r="A47" s="262" t="s">
        <v>351</v>
      </c>
      <c r="B47" s="285">
        <f t="shared" si="11"/>
        <v>41.531000000000006</v>
      </c>
      <c r="C47" s="285">
        <v>359.35348705999996</v>
      </c>
      <c r="D47" s="285">
        <v>372.44012693231997</v>
      </c>
      <c r="E47" s="285">
        <f t="shared" si="10"/>
        <v>773.32461399231988</v>
      </c>
      <c r="F47" s="285">
        <f t="shared" ref="F47:F49" si="12">+H47-G47</f>
        <v>637.97997136373795</v>
      </c>
      <c r="G47" s="285">
        <v>87.382642628581991</v>
      </c>
      <c r="H47" s="285">
        <f>+E47-I47</f>
        <v>725.36261399231989</v>
      </c>
      <c r="I47" s="285">
        <v>47.962000000000003</v>
      </c>
      <c r="J47" s="292">
        <v>65.03</v>
      </c>
      <c r="L47" s="40"/>
      <c r="M47" s="190"/>
      <c r="N47" s="40"/>
    </row>
    <row r="48" spans="1:14">
      <c r="A48" s="262" t="s">
        <v>350</v>
      </c>
      <c r="B48" s="285">
        <f t="shared" si="11"/>
        <v>47.962000000000003</v>
      </c>
      <c r="C48" s="285">
        <v>467.37999543999996</v>
      </c>
      <c r="D48" s="285">
        <v>294.58828835225995</v>
      </c>
      <c r="E48" s="285">
        <f t="shared" si="10"/>
        <v>809.93028379225996</v>
      </c>
      <c r="F48" s="285">
        <f t="shared" si="12"/>
        <v>654.77793941147195</v>
      </c>
      <c r="G48" s="285">
        <v>98.276344380788004</v>
      </c>
      <c r="H48" s="285">
        <f>+E48-I48</f>
        <v>753.05428379225998</v>
      </c>
      <c r="I48" s="285">
        <v>56.875999999999998</v>
      </c>
      <c r="J48" s="292">
        <v>79</v>
      </c>
      <c r="L48" s="40"/>
      <c r="M48" s="190"/>
      <c r="N48" s="40"/>
    </row>
    <row r="49" spans="1:14">
      <c r="A49" s="262" t="s">
        <v>615</v>
      </c>
      <c r="B49" s="285">
        <f t="shared" si="11"/>
        <v>56.875999999999998</v>
      </c>
      <c r="C49" s="285">
        <v>403.44593945999998</v>
      </c>
      <c r="D49" s="285">
        <v>450.18151391911795</v>
      </c>
      <c r="E49" s="285">
        <f t="shared" si="10"/>
        <v>910.5034533791179</v>
      </c>
      <c r="F49" s="285">
        <f t="shared" si="12"/>
        <v>722.61867937259592</v>
      </c>
      <c r="G49" s="285">
        <v>123.95071802652198</v>
      </c>
      <c r="H49" s="285">
        <f>+E49-I49</f>
        <v>846.56939739911786</v>
      </c>
      <c r="I49" s="285">
        <v>63.934055979999997</v>
      </c>
      <c r="J49" s="292">
        <v>111.39</v>
      </c>
      <c r="L49" s="40"/>
      <c r="M49" s="190"/>
      <c r="N49" s="40"/>
    </row>
    <row r="50" spans="1:14">
      <c r="A50" s="259" t="s">
        <v>614</v>
      </c>
      <c r="B50" s="286">
        <f t="shared" si="11"/>
        <v>63.934055979999997</v>
      </c>
      <c r="C50" s="286">
        <v>555.56490023999993</v>
      </c>
      <c r="D50" s="286">
        <v>275</v>
      </c>
      <c r="E50" s="286">
        <f t="shared" si="10"/>
        <v>894.49895621999997</v>
      </c>
      <c r="F50" s="286">
        <v>737</v>
      </c>
      <c r="G50" s="286">
        <v>100</v>
      </c>
      <c r="H50" s="286">
        <f>SUM(F50:G50)</f>
        <v>837</v>
      </c>
      <c r="I50" s="286">
        <f>E50-H50</f>
        <v>57.498956219999968</v>
      </c>
      <c r="J50" s="293">
        <v>88</v>
      </c>
      <c r="L50" s="40"/>
      <c r="M50" s="190"/>
      <c r="N50" s="40"/>
    </row>
    <row r="51" spans="1:14">
      <c r="A51" s="61" t="s">
        <v>514</v>
      </c>
      <c r="B51" s="49"/>
      <c r="C51" s="49"/>
      <c r="D51" s="49"/>
      <c r="E51" s="49"/>
      <c r="F51" s="49"/>
      <c r="G51" s="49"/>
      <c r="H51" s="49"/>
      <c r="I51" s="49"/>
      <c r="J51" s="53"/>
    </row>
    <row r="52" spans="1:14" s="6" customFormat="1" ht="12" customHeight="1">
      <c r="A52" s="52" t="s">
        <v>733</v>
      </c>
    </row>
    <row r="53" spans="1:14">
      <c r="A53" s="73" t="s">
        <v>735</v>
      </c>
    </row>
    <row r="54" spans="1:14" ht="10.15" customHeight="1">
      <c r="A54" s="10" t="s">
        <v>734</v>
      </c>
    </row>
    <row r="55" spans="1:14">
      <c r="J55" s="225" t="s">
        <v>592</v>
      </c>
    </row>
  </sheetData>
  <phoneticPr fontId="0" type="noConversion"/>
  <pageMargins left="0.75" right="0.75" top="1" bottom="1" header="0.5" footer="0.5"/>
  <pageSetup scale="77" firstPageNumber="24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V43"/>
  <sheetViews>
    <sheetView zoomScaleNormal="100" zoomScaleSheetLayoutView="100" workbookViewId="0">
      <pane ySplit="6" topLeftCell="A7" activePane="bottomLeft" state="frozen"/>
      <selection pane="bottomLeft"/>
    </sheetView>
  </sheetViews>
  <sheetFormatPr defaultRowHeight="11.25"/>
  <cols>
    <col min="1" max="1" width="11.6640625" customWidth="1"/>
    <col min="2" max="3" width="10.83203125" customWidth="1"/>
    <col min="4" max="4" width="12" bestFit="1" customWidth="1"/>
    <col min="5" max="12" width="10.83203125" customWidth="1"/>
    <col min="13" max="13" width="13.83203125" customWidth="1"/>
    <col min="14" max="14" width="10.83203125" customWidth="1"/>
    <col min="15" max="15" width="14.5" customWidth="1"/>
  </cols>
  <sheetData>
    <row r="1" spans="1:15">
      <c r="A1" s="249" t="s">
        <v>665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7" t="s">
        <v>15</v>
      </c>
      <c r="B2" s="4" t="s">
        <v>36</v>
      </c>
      <c r="C2" s="4" t="s">
        <v>37</v>
      </c>
      <c r="D2" s="4" t="s">
        <v>38</v>
      </c>
      <c r="E2" s="121"/>
      <c r="F2" s="4" t="s">
        <v>75</v>
      </c>
      <c r="G2" s="4"/>
      <c r="H2" s="4"/>
      <c r="I2" s="121"/>
      <c r="J2" s="4" t="s">
        <v>73</v>
      </c>
      <c r="K2" s="120"/>
      <c r="L2" s="4"/>
      <c r="M2" s="121" t="s">
        <v>74</v>
      </c>
      <c r="N2" s="4"/>
      <c r="O2" s="7"/>
    </row>
    <row r="3" spans="1:15">
      <c r="A3" s="7" t="s">
        <v>59</v>
      </c>
      <c r="B3" s="7"/>
      <c r="C3" s="7"/>
      <c r="D3" s="7"/>
      <c r="E3" s="109" t="s">
        <v>96</v>
      </c>
      <c r="F3" s="7" t="s">
        <v>40</v>
      </c>
      <c r="G3" s="7" t="s">
        <v>49</v>
      </c>
      <c r="H3" s="7" t="s">
        <v>2</v>
      </c>
      <c r="I3" s="109" t="s">
        <v>67</v>
      </c>
      <c r="J3" s="7" t="s">
        <v>50</v>
      </c>
      <c r="K3" s="118" t="s">
        <v>120</v>
      </c>
      <c r="L3" s="100" t="s">
        <v>400</v>
      </c>
      <c r="M3" s="109" t="s">
        <v>266</v>
      </c>
      <c r="N3" s="7" t="s">
        <v>249</v>
      </c>
      <c r="O3" s="7" t="s">
        <v>41</v>
      </c>
    </row>
    <row r="4" spans="1:15">
      <c r="A4" s="74" t="s">
        <v>178</v>
      </c>
      <c r="B4" s="7"/>
      <c r="C4" s="7"/>
      <c r="D4" s="7"/>
      <c r="E4" s="109" t="s">
        <v>66</v>
      </c>
      <c r="F4" s="7"/>
      <c r="G4" s="7"/>
      <c r="H4" s="7"/>
      <c r="I4" s="109"/>
      <c r="J4" s="7"/>
      <c r="K4" s="112"/>
      <c r="L4" s="109" t="s">
        <v>66</v>
      </c>
      <c r="M4" s="109" t="s">
        <v>70</v>
      </c>
      <c r="O4" s="7"/>
    </row>
    <row r="5" spans="1:15">
      <c r="A5" s="9"/>
      <c r="B5" s="9"/>
      <c r="C5" s="9"/>
      <c r="D5" s="9"/>
      <c r="E5" s="116"/>
      <c r="F5" s="9"/>
      <c r="G5" s="9"/>
      <c r="H5" s="9"/>
      <c r="I5" s="116"/>
      <c r="J5" s="9"/>
      <c r="K5" s="114"/>
      <c r="L5" s="116"/>
      <c r="M5" s="116" t="s">
        <v>116</v>
      </c>
      <c r="N5" s="9"/>
      <c r="O5" s="9"/>
    </row>
    <row r="6" spans="1:15">
      <c r="A6" s="73"/>
      <c r="B6" s="73"/>
      <c r="C6" s="168" t="s">
        <v>347</v>
      </c>
      <c r="D6" s="150" t="s">
        <v>213</v>
      </c>
      <c r="E6" s="73"/>
      <c r="F6" s="148"/>
      <c r="G6" s="155" t="s">
        <v>190</v>
      </c>
      <c r="H6" s="73"/>
      <c r="I6" s="148"/>
      <c r="J6" s="148"/>
      <c r="K6" s="148"/>
      <c r="L6" s="148"/>
      <c r="M6" s="408" t="s">
        <v>366</v>
      </c>
      <c r="N6" s="408"/>
      <c r="O6" s="166" t="s">
        <v>364</v>
      </c>
    </row>
    <row r="8" spans="1:15">
      <c r="A8" s="10" t="s">
        <v>6</v>
      </c>
      <c r="B8" s="27">
        <v>155</v>
      </c>
      <c r="C8" s="27">
        <v>147</v>
      </c>
      <c r="D8" s="27">
        <f t="shared" ref="D8:D39" si="0">+F8*1000/C8</f>
        <v>1300</v>
      </c>
      <c r="E8" s="27">
        <v>32</v>
      </c>
      <c r="F8" s="27">
        <v>191.1</v>
      </c>
      <c r="G8" s="27">
        <v>1.7017609495320001</v>
      </c>
      <c r="H8" s="27">
        <f t="shared" ref="H8:H17" si="1">SUM(E8:G8)</f>
        <v>224.801760949532</v>
      </c>
      <c r="I8" s="27">
        <v>111</v>
      </c>
      <c r="J8" s="27">
        <v>96.608028569094003</v>
      </c>
      <c r="K8" s="27">
        <f t="shared" ref="K8:K35" si="2">+H8-L8</f>
        <v>211.801760949532</v>
      </c>
      <c r="L8" s="27">
        <v>13</v>
      </c>
      <c r="M8" s="26">
        <v>9.7200000000000006</v>
      </c>
      <c r="N8" s="26">
        <v>8.9</v>
      </c>
      <c r="O8" s="58">
        <v>18582</v>
      </c>
    </row>
    <row r="9" spans="1:15">
      <c r="A9" s="10" t="s">
        <v>7</v>
      </c>
      <c r="B9" s="27">
        <v>140</v>
      </c>
      <c r="C9" s="27">
        <v>112</v>
      </c>
      <c r="D9" s="27">
        <f t="shared" si="0"/>
        <v>1286.0446428571429</v>
      </c>
      <c r="E9" s="27">
        <f t="shared" ref="E9:E17" si="3">+L8</f>
        <v>13</v>
      </c>
      <c r="F9" s="27">
        <v>144.03700000000001</v>
      </c>
      <c r="G9" s="27">
        <v>27</v>
      </c>
      <c r="H9" s="27">
        <f t="shared" si="1"/>
        <v>184.03700000000001</v>
      </c>
      <c r="I9" s="27">
        <v>59</v>
      </c>
      <c r="J9" s="27">
        <v>104.34911559307199</v>
      </c>
      <c r="K9" s="27">
        <f t="shared" si="2"/>
        <v>173.85500000000002</v>
      </c>
      <c r="L9" s="27">
        <v>10.182</v>
      </c>
      <c r="M9" s="26">
        <v>9.9</v>
      </c>
      <c r="N9" s="26">
        <v>8.9</v>
      </c>
      <c r="O9" s="58">
        <v>14262</v>
      </c>
    </row>
    <row r="10" spans="1:15">
      <c r="A10" s="10" t="s">
        <v>8</v>
      </c>
      <c r="B10" s="27">
        <v>199</v>
      </c>
      <c r="C10" s="27">
        <v>187</v>
      </c>
      <c r="D10" s="27">
        <f t="shared" si="0"/>
        <v>1350</v>
      </c>
      <c r="E10" s="27">
        <f t="shared" si="3"/>
        <v>10.182</v>
      </c>
      <c r="F10" s="27">
        <v>252.45</v>
      </c>
      <c r="G10" s="27">
        <v>772.91406844230607</v>
      </c>
      <c r="H10" s="27">
        <f t="shared" si="1"/>
        <v>1035.546068442306</v>
      </c>
      <c r="I10" s="27">
        <v>845</v>
      </c>
      <c r="J10" s="27">
        <v>77.515221612906004</v>
      </c>
      <c r="K10" s="27">
        <f t="shared" si="2"/>
        <v>940.26206844230603</v>
      </c>
      <c r="L10" s="27">
        <v>95.284000000000006</v>
      </c>
      <c r="M10" s="26">
        <v>10.9</v>
      </c>
      <c r="N10" s="26">
        <v>8.9</v>
      </c>
      <c r="O10" s="58">
        <v>27476</v>
      </c>
    </row>
    <row r="11" spans="1:15">
      <c r="A11" s="10" t="s">
        <v>9</v>
      </c>
      <c r="B11" s="27">
        <v>354</v>
      </c>
      <c r="C11" s="27">
        <v>340</v>
      </c>
      <c r="D11" s="27">
        <f t="shared" si="0"/>
        <v>1316</v>
      </c>
      <c r="E11" s="27">
        <f t="shared" si="3"/>
        <v>95.284000000000006</v>
      </c>
      <c r="F11" s="27">
        <v>447.44</v>
      </c>
      <c r="G11" s="27">
        <v>629.80212480481805</v>
      </c>
      <c r="H11" s="27">
        <f t="shared" si="1"/>
        <v>1172.5261248048182</v>
      </c>
      <c r="I11" s="27">
        <v>891</v>
      </c>
      <c r="J11" s="27">
        <v>226.75532656833005</v>
      </c>
      <c r="K11" s="27">
        <f t="shared" si="2"/>
        <v>1138.2761248048182</v>
      </c>
      <c r="L11" s="27">
        <v>34.25</v>
      </c>
      <c r="M11" s="26">
        <v>11.1</v>
      </c>
      <c r="N11" s="26">
        <v>8.6999999999999993</v>
      </c>
      <c r="O11" s="58">
        <v>49802</v>
      </c>
    </row>
    <row r="12" spans="1:15">
      <c r="A12" s="10" t="s">
        <v>10</v>
      </c>
      <c r="B12" s="27">
        <v>446</v>
      </c>
      <c r="C12" s="27">
        <v>429</v>
      </c>
      <c r="D12" s="27">
        <f t="shared" si="0"/>
        <v>1278.4312354312353</v>
      </c>
      <c r="E12" s="27">
        <f t="shared" si="3"/>
        <v>34.25</v>
      </c>
      <c r="F12" s="27">
        <v>548.447</v>
      </c>
      <c r="G12" s="27">
        <v>557.98296521171403</v>
      </c>
      <c r="H12" s="27">
        <f t="shared" si="1"/>
        <v>1140.679965211714</v>
      </c>
      <c r="I12" s="27">
        <v>893</v>
      </c>
      <c r="J12" s="27">
        <v>138</v>
      </c>
      <c r="K12" s="27">
        <f t="shared" si="2"/>
        <v>1052.6649652117139</v>
      </c>
      <c r="L12" s="27">
        <v>88.015000000000001</v>
      </c>
      <c r="M12" s="26">
        <v>11.1</v>
      </c>
      <c r="N12" s="26">
        <v>8.6999999999999993</v>
      </c>
      <c r="O12" s="58">
        <v>60837</v>
      </c>
    </row>
    <row r="13" spans="1:15">
      <c r="A13" s="10" t="s">
        <v>11</v>
      </c>
      <c r="B13" s="27">
        <v>367</v>
      </c>
      <c r="C13" s="27">
        <v>347</v>
      </c>
      <c r="D13" s="27">
        <f t="shared" si="0"/>
        <v>1384.78674351585</v>
      </c>
      <c r="E13" s="27">
        <f t="shared" si="3"/>
        <v>88.015000000000001</v>
      </c>
      <c r="F13" s="27">
        <v>480.52100000000002</v>
      </c>
      <c r="G13" s="27">
        <v>570</v>
      </c>
      <c r="H13" s="27">
        <f t="shared" si="1"/>
        <v>1138.5360000000001</v>
      </c>
      <c r="I13" s="27">
        <v>847</v>
      </c>
      <c r="J13" s="27">
        <v>173</v>
      </c>
      <c r="K13" s="27">
        <f t="shared" si="2"/>
        <v>1059.0260000000001</v>
      </c>
      <c r="L13" s="27">
        <v>79.510000000000005</v>
      </c>
      <c r="M13" s="26">
        <v>12.9</v>
      </c>
      <c r="N13" s="26">
        <v>8.91</v>
      </c>
      <c r="O13" s="58">
        <v>62048</v>
      </c>
    </row>
    <row r="14" spans="1:15">
      <c r="A14" s="10" t="s">
        <v>12</v>
      </c>
      <c r="B14" s="27">
        <v>671</v>
      </c>
      <c r="C14" s="27">
        <v>631</v>
      </c>
      <c r="D14" s="27">
        <f t="shared" si="0"/>
        <v>1237.2583201267828</v>
      </c>
      <c r="E14" s="27">
        <f t="shared" si="3"/>
        <v>79.510000000000005</v>
      </c>
      <c r="F14" s="27">
        <v>780.71</v>
      </c>
      <c r="G14" s="27">
        <v>782.2</v>
      </c>
      <c r="H14" s="27">
        <f t="shared" si="1"/>
        <v>1642.42</v>
      </c>
      <c r="I14" s="27">
        <v>1292</v>
      </c>
      <c r="J14" s="27">
        <v>277</v>
      </c>
      <c r="K14" s="27">
        <f t="shared" si="2"/>
        <v>1600.5130000000001</v>
      </c>
      <c r="L14" s="27">
        <v>41.906999999999996</v>
      </c>
      <c r="M14" s="26">
        <v>11.3</v>
      </c>
      <c r="N14" s="26">
        <v>9.3000000000000007</v>
      </c>
      <c r="O14" s="58">
        <v>88235</v>
      </c>
    </row>
    <row r="15" spans="1:15">
      <c r="A15" s="10" t="s">
        <v>13</v>
      </c>
      <c r="B15" s="27">
        <v>1115</v>
      </c>
      <c r="C15" s="27">
        <v>1076</v>
      </c>
      <c r="D15" s="27">
        <f t="shared" si="0"/>
        <v>1447.7695167286245</v>
      </c>
      <c r="E15" s="27">
        <f t="shared" si="3"/>
        <v>41.906999999999996</v>
      </c>
      <c r="F15" s="27">
        <v>1557.8</v>
      </c>
      <c r="G15" s="27">
        <v>683.9</v>
      </c>
      <c r="H15" s="27">
        <f t="shared" si="1"/>
        <v>2283.607</v>
      </c>
      <c r="I15" s="27">
        <v>1531</v>
      </c>
      <c r="J15" s="27">
        <v>543</v>
      </c>
      <c r="K15" s="27">
        <f t="shared" si="2"/>
        <v>2115.0659999999998</v>
      </c>
      <c r="L15" s="27">
        <v>168.541</v>
      </c>
      <c r="M15" s="26">
        <v>10.3</v>
      </c>
      <c r="N15" s="26">
        <v>9.3000000000000007</v>
      </c>
      <c r="O15" s="58">
        <v>160112</v>
      </c>
    </row>
    <row r="16" spans="1:15">
      <c r="A16" s="10" t="s">
        <v>14</v>
      </c>
      <c r="B16" s="27">
        <v>1076</v>
      </c>
      <c r="C16" s="27">
        <v>1044</v>
      </c>
      <c r="D16" s="27">
        <f t="shared" si="0"/>
        <v>1306.2068965517242</v>
      </c>
      <c r="E16" s="27">
        <f t="shared" si="3"/>
        <v>168.541</v>
      </c>
      <c r="F16" s="27">
        <v>1363.68</v>
      </c>
      <c r="G16" s="27">
        <v>533.9</v>
      </c>
      <c r="H16" s="27">
        <f t="shared" si="1"/>
        <v>2066.1210000000001</v>
      </c>
      <c r="I16" s="27">
        <v>1617</v>
      </c>
      <c r="J16" s="27">
        <v>299</v>
      </c>
      <c r="K16" s="27">
        <f t="shared" si="2"/>
        <v>1956.7040000000002</v>
      </c>
      <c r="L16" s="27">
        <v>109.417</v>
      </c>
      <c r="M16" s="26">
        <v>7.82</v>
      </c>
      <c r="N16" s="26">
        <v>9.3000000000000007</v>
      </c>
      <c r="O16" s="58">
        <v>106685</v>
      </c>
    </row>
    <row r="17" spans="1:15">
      <c r="A17" s="10" t="s">
        <v>397</v>
      </c>
      <c r="B17" s="27">
        <v>1555</v>
      </c>
      <c r="C17" s="27">
        <v>1498</v>
      </c>
      <c r="D17" s="27">
        <f t="shared" si="0"/>
        <v>1333.9853137516689</v>
      </c>
      <c r="E17" s="27">
        <f t="shared" si="3"/>
        <v>109.417</v>
      </c>
      <c r="F17" s="27">
        <v>1998.31</v>
      </c>
      <c r="G17" s="27">
        <v>479</v>
      </c>
      <c r="H17" s="27">
        <f t="shared" si="1"/>
        <v>2586.7269999999999</v>
      </c>
      <c r="I17" s="27">
        <v>1969</v>
      </c>
      <c r="J17" s="27">
        <v>485.9</v>
      </c>
      <c r="K17" s="27">
        <f t="shared" si="2"/>
        <v>2502.9169999999999</v>
      </c>
      <c r="L17" s="27">
        <v>83.81</v>
      </c>
      <c r="M17" s="26">
        <v>6.71</v>
      </c>
      <c r="N17" s="26">
        <v>9.3000000000000007</v>
      </c>
      <c r="O17" s="58">
        <v>133994</v>
      </c>
    </row>
    <row r="18" spans="1:15">
      <c r="A18" s="10" t="s">
        <v>210</v>
      </c>
      <c r="B18" s="27">
        <v>1494</v>
      </c>
      <c r="C18" s="27">
        <v>1455</v>
      </c>
      <c r="D18" s="27">
        <f t="shared" si="0"/>
        <v>1373.5498281786943</v>
      </c>
      <c r="E18" s="27">
        <f t="shared" ref="E18:E23" si="4">+L17</f>
        <v>83.81</v>
      </c>
      <c r="F18" s="27">
        <v>1998.5150000000001</v>
      </c>
      <c r="G18" s="27">
        <v>276</v>
      </c>
      <c r="H18" s="27">
        <f t="shared" ref="H18:H23" si="5">SUM(E18:G18)</f>
        <v>2358.3250000000003</v>
      </c>
      <c r="I18" s="27">
        <v>1686</v>
      </c>
      <c r="J18" s="27">
        <v>480</v>
      </c>
      <c r="K18" s="27">
        <f t="shared" si="2"/>
        <v>2209.2550000000001</v>
      </c>
      <c r="L18" s="27">
        <v>149.07</v>
      </c>
      <c r="M18" s="26">
        <v>8.77</v>
      </c>
      <c r="N18" s="26">
        <v>9.3000000000000007</v>
      </c>
      <c r="O18" s="58">
        <v>175351</v>
      </c>
    </row>
    <row r="19" spans="1:15">
      <c r="A19" s="10" t="s">
        <v>217</v>
      </c>
      <c r="B19" s="27">
        <v>1460</v>
      </c>
      <c r="C19" s="27">
        <v>1281</v>
      </c>
      <c r="D19" s="27">
        <f t="shared" si="0"/>
        <v>1197.049180327869</v>
      </c>
      <c r="E19" s="27">
        <f t="shared" si="4"/>
        <v>149.07</v>
      </c>
      <c r="F19" s="27">
        <v>1533.42</v>
      </c>
      <c r="G19" s="27">
        <v>434</v>
      </c>
      <c r="H19" s="27">
        <f t="shared" si="5"/>
        <v>2116.4899999999998</v>
      </c>
      <c r="I19" s="27">
        <v>1290</v>
      </c>
      <c r="J19" s="27">
        <v>633</v>
      </c>
      <c r="K19" s="27">
        <f t="shared" si="2"/>
        <v>1961.0159999999998</v>
      </c>
      <c r="L19" s="27">
        <v>155.47399999999999</v>
      </c>
      <c r="M19" s="26">
        <v>10.6</v>
      </c>
      <c r="N19" s="26">
        <v>9.6</v>
      </c>
      <c r="O19" s="58">
        <v>162719</v>
      </c>
    </row>
    <row r="20" spans="1:15">
      <c r="A20" s="10" t="s">
        <v>398</v>
      </c>
      <c r="B20" s="27">
        <v>1082</v>
      </c>
      <c r="C20" s="27">
        <v>1068</v>
      </c>
      <c r="D20" s="27">
        <f t="shared" si="0"/>
        <v>1415.9644194756554</v>
      </c>
      <c r="E20" s="27">
        <f t="shared" si="4"/>
        <v>155.47399999999999</v>
      </c>
      <c r="F20" s="27">
        <v>1512.25</v>
      </c>
      <c r="G20" s="27">
        <v>536.79999999999995</v>
      </c>
      <c r="H20" s="27">
        <f t="shared" si="5"/>
        <v>2204.5239999999999</v>
      </c>
      <c r="I20" s="27">
        <v>1407</v>
      </c>
      <c r="J20" s="27">
        <v>670.7</v>
      </c>
      <c r="K20" s="27">
        <f t="shared" si="2"/>
        <v>2116.364</v>
      </c>
      <c r="L20" s="27">
        <v>88.16</v>
      </c>
      <c r="M20" s="26">
        <v>10.6</v>
      </c>
      <c r="N20" s="26">
        <v>9.6</v>
      </c>
      <c r="O20" s="58">
        <v>159849</v>
      </c>
    </row>
    <row r="21" spans="1:15">
      <c r="A21" s="10" t="s">
        <v>222</v>
      </c>
      <c r="B21" s="27">
        <v>865</v>
      </c>
      <c r="C21" s="27">
        <v>828</v>
      </c>
      <c r="D21" s="27">
        <f t="shared" si="0"/>
        <v>1617.7898550724638</v>
      </c>
      <c r="E21" s="27">
        <f t="shared" si="4"/>
        <v>88.16</v>
      </c>
      <c r="F21" s="27">
        <v>1339.53</v>
      </c>
      <c r="G21" s="27">
        <v>1029.9000000000001</v>
      </c>
      <c r="H21" s="27">
        <f t="shared" si="5"/>
        <v>2457.59</v>
      </c>
      <c r="I21" s="27">
        <v>1976</v>
      </c>
      <c r="J21" s="27">
        <v>308</v>
      </c>
      <c r="K21" s="27">
        <f t="shared" si="2"/>
        <v>2327.0940000000001</v>
      </c>
      <c r="L21" s="27">
        <v>130.49600000000001</v>
      </c>
      <c r="M21" s="26">
        <v>10.7</v>
      </c>
      <c r="N21" s="26">
        <v>9.3000000000000007</v>
      </c>
      <c r="O21" s="58">
        <v>143853</v>
      </c>
    </row>
    <row r="22" spans="1:15">
      <c r="A22" s="10" t="s">
        <v>228</v>
      </c>
      <c r="B22" s="27">
        <v>1159</v>
      </c>
      <c r="C22" s="27">
        <v>1114</v>
      </c>
      <c r="D22" s="27">
        <f t="shared" si="0"/>
        <v>1419.1965888689408</v>
      </c>
      <c r="E22" s="27">
        <f t="shared" si="4"/>
        <v>130.49600000000001</v>
      </c>
      <c r="F22" s="27">
        <v>1580.9849999999999</v>
      </c>
      <c r="G22" s="27">
        <v>1142.5</v>
      </c>
      <c r="H22" s="27">
        <f t="shared" si="5"/>
        <v>2853.9809999999998</v>
      </c>
      <c r="I22" s="27">
        <v>2269</v>
      </c>
      <c r="J22" s="27">
        <v>345.9</v>
      </c>
      <c r="K22" s="27">
        <f t="shared" si="2"/>
        <v>2663.3849999999998</v>
      </c>
      <c r="L22" s="27">
        <v>190.596</v>
      </c>
      <c r="M22" s="26">
        <v>9.6199999999999992</v>
      </c>
      <c r="N22" s="26">
        <v>9.3000000000000007</v>
      </c>
      <c r="O22" s="58">
        <v>152033</v>
      </c>
    </row>
    <row r="23" spans="1:15">
      <c r="A23" s="10" t="s">
        <v>227</v>
      </c>
      <c r="B23" s="27">
        <v>1044</v>
      </c>
      <c r="C23" s="27">
        <v>1021</v>
      </c>
      <c r="D23" s="27">
        <f t="shared" si="0"/>
        <v>1365.6336924583741</v>
      </c>
      <c r="E23" s="27">
        <f t="shared" si="4"/>
        <v>190.596</v>
      </c>
      <c r="F23" s="27">
        <v>1394.3119999999999</v>
      </c>
      <c r="G23" s="27">
        <v>1427.1</v>
      </c>
      <c r="H23" s="27">
        <f t="shared" si="5"/>
        <v>3012.0079999999998</v>
      </c>
      <c r="I23" s="27">
        <v>2123</v>
      </c>
      <c r="J23" s="27">
        <v>542</v>
      </c>
      <c r="K23" s="27">
        <f t="shared" si="2"/>
        <v>2717.1030000000001</v>
      </c>
      <c r="L23" s="27">
        <v>294.90499999999997</v>
      </c>
      <c r="M23" s="26">
        <v>11.9</v>
      </c>
      <c r="N23" s="26">
        <v>9.3000000000000007</v>
      </c>
      <c r="O23" s="58">
        <v>165491</v>
      </c>
    </row>
    <row r="24" spans="1:15">
      <c r="A24" s="10" t="s">
        <v>230</v>
      </c>
      <c r="B24" s="27">
        <v>1176</v>
      </c>
      <c r="C24" s="27">
        <v>1155.5</v>
      </c>
      <c r="D24" s="27">
        <f t="shared" si="0"/>
        <v>1238.1947209000432</v>
      </c>
      <c r="E24" s="27">
        <f t="shared" ref="E24:E29" si="6">+L23</f>
        <v>294.90499999999997</v>
      </c>
      <c r="F24" s="27">
        <v>1430.7339999999999</v>
      </c>
      <c r="G24" s="27">
        <v>1925.7</v>
      </c>
      <c r="H24" s="27">
        <f t="shared" ref="H24:H29" si="7">SUM(E24:G24)</f>
        <v>3651.3389999999999</v>
      </c>
      <c r="I24" s="27">
        <v>2313</v>
      </c>
      <c r="J24" s="27">
        <v>932.84347717146602</v>
      </c>
      <c r="K24" s="27">
        <f t="shared" si="2"/>
        <v>3306.3620000000001</v>
      </c>
      <c r="L24" s="27">
        <v>344.97699999999998</v>
      </c>
      <c r="M24" s="26">
        <v>18.3</v>
      </c>
      <c r="N24" s="26">
        <v>9.3000000000000007</v>
      </c>
      <c r="O24" s="58">
        <v>260339</v>
      </c>
    </row>
    <row r="25" spans="1:15">
      <c r="A25" s="10" t="s">
        <v>231</v>
      </c>
      <c r="B25" s="27">
        <v>1011</v>
      </c>
      <c r="C25" s="27">
        <v>989</v>
      </c>
      <c r="D25" s="27">
        <f t="shared" si="0"/>
        <v>1461.1365015166834</v>
      </c>
      <c r="E25" s="27">
        <f t="shared" si="6"/>
        <v>344.97699999999998</v>
      </c>
      <c r="F25" s="27">
        <v>1445.0640000000001</v>
      </c>
      <c r="G25" s="27">
        <v>1819.2175636550585</v>
      </c>
      <c r="H25" s="27">
        <f t="shared" si="7"/>
        <v>3609.2585636550584</v>
      </c>
      <c r="I25" s="27">
        <v>2680</v>
      </c>
      <c r="J25" s="27">
        <v>420.06141165050997</v>
      </c>
      <c r="K25" s="27">
        <f t="shared" si="2"/>
        <v>3159.3015636550585</v>
      </c>
      <c r="L25" s="27">
        <v>449.95699999999999</v>
      </c>
      <c r="M25" s="26">
        <v>18.7</v>
      </c>
      <c r="N25" s="26">
        <v>9.3000000000000007</v>
      </c>
      <c r="O25" s="58">
        <v>270988</v>
      </c>
    </row>
    <row r="26" spans="1:15">
      <c r="A26" s="55" t="s">
        <v>234</v>
      </c>
      <c r="B26" s="27">
        <v>820</v>
      </c>
      <c r="C26" s="27">
        <v>808</v>
      </c>
      <c r="D26" s="27">
        <f t="shared" si="0"/>
        <v>1812.8465346534654</v>
      </c>
      <c r="E26" s="27">
        <f t="shared" si="6"/>
        <v>449.95699999999999</v>
      </c>
      <c r="F26" s="27">
        <v>1464.78</v>
      </c>
      <c r="G26" s="27">
        <v>1252.2020628115151</v>
      </c>
      <c r="H26" s="27">
        <f t="shared" si="7"/>
        <v>3166.9390628115152</v>
      </c>
      <c r="I26" s="27">
        <v>2452</v>
      </c>
      <c r="J26" s="27">
        <v>387.81815130928806</v>
      </c>
      <c r="K26" s="27">
        <f t="shared" si="2"/>
        <v>2898.0490628115153</v>
      </c>
      <c r="L26" s="27">
        <v>268.89</v>
      </c>
      <c r="M26" s="26">
        <v>16.2</v>
      </c>
      <c r="N26" s="26">
        <v>9.3000000000000007</v>
      </c>
      <c r="O26" s="58">
        <v>237156</v>
      </c>
    </row>
    <row r="27" spans="1:15">
      <c r="A27" s="55" t="s">
        <v>238</v>
      </c>
      <c r="B27" s="27">
        <v>1448.8</v>
      </c>
      <c r="C27" s="27">
        <v>1430.7</v>
      </c>
      <c r="D27" s="27">
        <f t="shared" si="0"/>
        <v>1710.7905221220381</v>
      </c>
      <c r="E27" s="27">
        <f t="shared" si="6"/>
        <v>268.89</v>
      </c>
      <c r="F27" s="27">
        <v>2447.6280000000002</v>
      </c>
      <c r="G27" s="27">
        <v>1063.0395625737131</v>
      </c>
      <c r="H27" s="27">
        <f t="shared" si="7"/>
        <v>3779.5575625737129</v>
      </c>
      <c r="I27" s="27">
        <v>2844</v>
      </c>
      <c r="J27" s="27">
        <v>647.56657976503504</v>
      </c>
      <c r="K27" s="27">
        <f t="shared" si="2"/>
        <v>3554.9035625737129</v>
      </c>
      <c r="L27" s="27">
        <v>224.654</v>
      </c>
      <c r="M27" s="26">
        <v>19.3</v>
      </c>
      <c r="N27" s="26">
        <v>10.09</v>
      </c>
      <c r="O27" s="58">
        <v>471068</v>
      </c>
    </row>
    <row r="28" spans="1:15">
      <c r="A28" s="55" t="s">
        <v>239</v>
      </c>
      <c r="B28" s="27">
        <v>1061.5</v>
      </c>
      <c r="C28" s="27">
        <v>1033</v>
      </c>
      <c r="D28" s="27">
        <f t="shared" si="0"/>
        <v>1479.1965150048402</v>
      </c>
      <c r="E28" s="27">
        <f t="shared" si="6"/>
        <v>224.654</v>
      </c>
      <c r="F28" s="27">
        <v>1528.01</v>
      </c>
      <c r="G28" s="27">
        <v>1371.204860796036</v>
      </c>
      <c r="H28" s="27">
        <f t="shared" si="7"/>
        <v>3123.8688607960357</v>
      </c>
      <c r="I28" s="27">
        <v>2572</v>
      </c>
      <c r="J28" s="27">
        <v>336.98183213608195</v>
      </c>
      <c r="K28" s="27">
        <f t="shared" si="2"/>
        <v>2969.3888607960357</v>
      </c>
      <c r="L28" s="27">
        <v>154.47999999999999</v>
      </c>
      <c r="M28" s="26">
        <v>24</v>
      </c>
      <c r="N28" s="26">
        <v>10.09</v>
      </c>
      <c r="O28" s="58">
        <v>364197</v>
      </c>
    </row>
    <row r="29" spans="1:15">
      <c r="A29" s="55" t="s">
        <v>241</v>
      </c>
      <c r="B29" s="27">
        <v>1754.4</v>
      </c>
      <c r="C29" s="27">
        <v>1717.9</v>
      </c>
      <c r="D29" s="27">
        <f t="shared" si="0"/>
        <v>1392.1706734967111</v>
      </c>
      <c r="E29" s="27">
        <f t="shared" si="6"/>
        <v>154.47999999999999</v>
      </c>
      <c r="F29" s="27">
        <v>2391.61</v>
      </c>
      <c r="G29" s="27">
        <v>868.69611994674608</v>
      </c>
      <c r="H29" s="27">
        <f t="shared" si="7"/>
        <v>3414.7861199467461</v>
      </c>
      <c r="I29" s="27">
        <v>2787</v>
      </c>
      <c r="J29" s="27">
        <v>390.50081252065797</v>
      </c>
      <c r="K29" s="27">
        <f t="shared" si="2"/>
        <v>3236.4021199467461</v>
      </c>
      <c r="L29" s="27">
        <v>178.38399999999999</v>
      </c>
      <c r="M29" s="26">
        <v>26.5</v>
      </c>
      <c r="N29" s="26">
        <v>10.09</v>
      </c>
      <c r="O29" s="58">
        <v>630253</v>
      </c>
    </row>
    <row r="30" spans="1:15">
      <c r="A30" s="55" t="s">
        <v>259</v>
      </c>
      <c r="B30" s="27">
        <v>1348</v>
      </c>
      <c r="C30" s="27">
        <v>1264.5</v>
      </c>
      <c r="D30" s="27">
        <f t="shared" si="0"/>
        <v>1742.2340846184263</v>
      </c>
      <c r="E30" s="27">
        <f>+L29</f>
        <v>178.38399999999999</v>
      </c>
      <c r="F30" s="27">
        <v>2203.0549999999998</v>
      </c>
      <c r="G30" s="27">
        <v>2044.5524191994584</v>
      </c>
      <c r="H30" s="27">
        <f t="shared" ref="H30:H35" si="8">SUM(E30:G30)</f>
        <v>4425.9914191994585</v>
      </c>
      <c r="I30" s="27">
        <v>3721</v>
      </c>
      <c r="J30" s="27">
        <v>351.59872291374603</v>
      </c>
      <c r="K30" s="27">
        <f t="shared" si="2"/>
        <v>4141.7944191994584</v>
      </c>
      <c r="L30" s="27">
        <v>284.197</v>
      </c>
      <c r="M30" s="26">
        <v>20.6</v>
      </c>
      <c r="N30" s="26">
        <v>10.09</v>
      </c>
      <c r="O30" s="58">
        <v>454935</v>
      </c>
    </row>
    <row r="31" spans="1:15">
      <c r="A31" s="55" t="s">
        <v>258</v>
      </c>
      <c r="B31" s="27">
        <v>1715</v>
      </c>
      <c r="C31" s="27">
        <v>1556.7</v>
      </c>
      <c r="D31" s="27">
        <f t="shared" si="0"/>
        <v>1610.1978544356652</v>
      </c>
      <c r="E31" s="27">
        <f t="shared" ref="E31:E37" si="9">+L30</f>
        <v>284.197</v>
      </c>
      <c r="F31" s="27">
        <v>2506.5949999999998</v>
      </c>
      <c r="G31" s="27">
        <v>1712.6889741851401</v>
      </c>
      <c r="H31" s="27">
        <f t="shared" si="8"/>
        <v>4503.4809741851404</v>
      </c>
      <c r="I31" s="27">
        <v>3826</v>
      </c>
      <c r="J31" s="27">
        <v>351.77349432279607</v>
      </c>
      <c r="K31" s="27">
        <f t="shared" si="2"/>
        <v>4262.1889741851401</v>
      </c>
      <c r="L31" s="27">
        <v>241.292</v>
      </c>
      <c r="M31" s="26">
        <v>16.899999999999999</v>
      </c>
      <c r="N31" s="26">
        <v>10.09</v>
      </c>
      <c r="O31" s="96">
        <v>422492</v>
      </c>
    </row>
    <row r="32" spans="1:15">
      <c r="A32" s="55" t="s">
        <v>260</v>
      </c>
      <c r="B32" s="27">
        <v>1777</v>
      </c>
      <c r="C32" s="27">
        <v>1713.5</v>
      </c>
      <c r="D32" s="27">
        <f t="shared" si="0"/>
        <v>1678.7721038809455</v>
      </c>
      <c r="E32" s="27">
        <f t="shared" si="9"/>
        <v>241.292</v>
      </c>
      <c r="F32" s="27">
        <v>2876.576</v>
      </c>
      <c r="G32" s="27">
        <v>791.0398796876101</v>
      </c>
      <c r="H32" s="27">
        <f t="shared" si="8"/>
        <v>3908.9078796876101</v>
      </c>
      <c r="I32" s="27">
        <v>3397.826</v>
      </c>
      <c r="J32" s="27">
        <v>388</v>
      </c>
      <c r="K32" s="27">
        <f t="shared" si="2"/>
        <v>3554.3828796876101</v>
      </c>
      <c r="L32" s="27">
        <v>354.52499999999998</v>
      </c>
      <c r="M32" s="26">
        <v>15.6</v>
      </c>
      <c r="N32" s="26">
        <v>10.09</v>
      </c>
      <c r="O32" s="96">
        <v>448253</v>
      </c>
    </row>
    <row r="33" spans="1:22">
      <c r="A33" s="55" t="s">
        <v>262</v>
      </c>
      <c r="B33" s="27">
        <v>1709</v>
      </c>
      <c r="C33" s="27">
        <v>1686.7</v>
      </c>
      <c r="D33" s="27">
        <f t="shared" si="0"/>
        <v>1825.4520661647002</v>
      </c>
      <c r="E33" s="27">
        <f t="shared" si="9"/>
        <v>354.52499999999998</v>
      </c>
      <c r="F33" s="27">
        <v>3078.99</v>
      </c>
      <c r="G33" s="27">
        <v>1537.3863173718</v>
      </c>
      <c r="H33" s="27">
        <f t="shared" si="8"/>
        <v>4970.9013173717995</v>
      </c>
      <c r="I33" s="27">
        <v>4397.8280000000004</v>
      </c>
      <c r="J33" s="27">
        <v>261.231172335</v>
      </c>
      <c r="K33" s="27">
        <f t="shared" si="2"/>
        <v>4732.4763173717993</v>
      </c>
      <c r="L33" s="27">
        <v>238.42500000000001</v>
      </c>
      <c r="M33" s="26">
        <v>16.600000000000001</v>
      </c>
      <c r="N33" s="26">
        <v>10.09</v>
      </c>
      <c r="O33" s="96">
        <v>509325</v>
      </c>
    </row>
    <row r="34" spans="1:22">
      <c r="A34" s="61" t="s">
        <v>270</v>
      </c>
      <c r="B34" s="255">
        <v>2077</v>
      </c>
      <c r="C34" s="255">
        <v>2002</v>
      </c>
      <c r="D34" s="255">
        <f t="shared" si="0"/>
        <v>1526.1788211788212</v>
      </c>
      <c r="E34" s="255">
        <f t="shared" si="9"/>
        <v>238.42500000000001</v>
      </c>
      <c r="F34" s="255">
        <v>3055.41</v>
      </c>
      <c r="G34" s="255">
        <v>1436.1846506670879</v>
      </c>
      <c r="H34" s="255">
        <f t="shared" si="8"/>
        <v>4730.0196506670882</v>
      </c>
      <c r="I34" s="255">
        <v>3874.1840000000002</v>
      </c>
      <c r="J34" s="255">
        <v>338.49400921634594</v>
      </c>
      <c r="K34" s="255">
        <f>+H34-L34</f>
        <v>4536.5876506670884</v>
      </c>
      <c r="L34" s="255">
        <v>193.43199999999999</v>
      </c>
      <c r="M34" s="257">
        <v>17.5</v>
      </c>
      <c r="N34" s="257">
        <v>10.09</v>
      </c>
      <c r="O34" s="276">
        <v>526211</v>
      </c>
      <c r="T34" s="24"/>
      <c r="U34" s="24"/>
      <c r="V34" s="24"/>
    </row>
    <row r="35" spans="1:22">
      <c r="A35" s="61" t="s">
        <v>335</v>
      </c>
      <c r="B35" s="255">
        <v>1990.7</v>
      </c>
      <c r="C35" s="255">
        <v>1942.5</v>
      </c>
      <c r="D35" s="255">
        <f t="shared" si="0"/>
        <v>1861.2303732303733</v>
      </c>
      <c r="E35" s="255">
        <f t="shared" si="9"/>
        <v>193.43199999999999</v>
      </c>
      <c r="F35" s="255">
        <v>3615.44</v>
      </c>
      <c r="G35" s="255">
        <v>1242.596297480364</v>
      </c>
      <c r="H35" s="255">
        <f t="shared" si="8"/>
        <v>5051.4682974803636</v>
      </c>
      <c r="I35" s="255">
        <v>3786.9459999999999</v>
      </c>
      <c r="J35" s="255">
        <v>398.77037580750397</v>
      </c>
      <c r="K35" s="255">
        <f t="shared" si="2"/>
        <v>4746.4752974803632</v>
      </c>
      <c r="L35" s="255">
        <v>304.99299999999999</v>
      </c>
      <c r="M35" s="257">
        <v>15.8</v>
      </c>
      <c r="N35" s="257">
        <v>10.09</v>
      </c>
      <c r="O35" s="276">
        <v>568622</v>
      </c>
      <c r="T35" s="24"/>
      <c r="U35" s="24"/>
      <c r="V35" s="24"/>
    </row>
    <row r="36" spans="1:22">
      <c r="A36" s="61" t="s">
        <v>334</v>
      </c>
      <c r="B36" s="255">
        <v>2040</v>
      </c>
      <c r="C36" s="255">
        <v>1909.5</v>
      </c>
      <c r="D36" s="255">
        <f t="shared" si="0"/>
        <v>1781.0238282272846</v>
      </c>
      <c r="E36" s="255">
        <f t="shared" si="9"/>
        <v>304.99299999999999</v>
      </c>
      <c r="F36" s="255">
        <v>3400.8649999999998</v>
      </c>
      <c r="G36" s="255">
        <v>1241.09450855162</v>
      </c>
      <c r="H36" s="255">
        <f>SUM(E36:G36)</f>
        <v>4946.9525085516198</v>
      </c>
      <c r="I36" s="255">
        <v>4021.3919999999998</v>
      </c>
      <c r="J36" s="255">
        <v>403.37208460222996</v>
      </c>
      <c r="K36" s="255">
        <f>+H36-L36</f>
        <v>4465.0555085516198</v>
      </c>
      <c r="L36" s="255">
        <v>481.89699999999999</v>
      </c>
      <c r="M36" s="257">
        <v>14.8</v>
      </c>
      <c r="N36" s="257">
        <v>10.09</v>
      </c>
      <c r="O36" s="276">
        <v>501761</v>
      </c>
      <c r="T36" s="24"/>
      <c r="U36" s="24"/>
      <c r="V36" s="24"/>
    </row>
    <row r="37" spans="1:22">
      <c r="A37" s="262" t="s">
        <v>350</v>
      </c>
      <c r="B37" s="255">
        <v>1824</v>
      </c>
      <c r="C37" s="255">
        <v>1787.8</v>
      </c>
      <c r="D37" s="255">
        <f t="shared" si="0"/>
        <v>1931.4587761494574</v>
      </c>
      <c r="E37" s="255">
        <f t="shared" si="9"/>
        <v>481.89699999999999</v>
      </c>
      <c r="F37" s="255">
        <v>3453.0619999999999</v>
      </c>
      <c r="G37" s="255">
        <v>970.56195991748996</v>
      </c>
      <c r="H37" s="255">
        <f>SUM(E37:G37)</f>
        <v>4905.5209599174896</v>
      </c>
      <c r="I37" s="255">
        <v>4568.2039999999997</v>
      </c>
      <c r="J37" s="255">
        <v>343.33536048986593</v>
      </c>
      <c r="K37" s="255">
        <f>+H37-L37</f>
        <v>4437.1419599174897</v>
      </c>
      <c r="L37" s="255">
        <v>468.37900000000002</v>
      </c>
      <c r="M37" s="257">
        <v>18.399999999999999</v>
      </c>
      <c r="N37" s="257">
        <v>10.09</v>
      </c>
      <c r="O37" s="276">
        <v>635559</v>
      </c>
      <c r="T37" s="24"/>
      <c r="U37" s="24"/>
      <c r="V37" s="24"/>
    </row>
    <row r="38" spans="1:22">
      <c r="A38" s="262" t="s">
        <v>504</v>
      </c>
      <c r="B38" s="255">
        <v>2152</v>
      </c>
      <c r="C38" s="255">
        <v>2089</v>
      </c>
      <c r="D38" s="255">
        <f t="shared" si="0"/>
        <v>1302.3216850167544</v>
      </c>
      <c r="E38" s="255">
        <f>+L37</f>
        <v>468.37900000000002</v>
      </c>
      <c r="F38" s="255">
        <v>2720.55</v>
      </c>
      <c r="G38" s="255">
        <v>1084.6480940308218</v>
      </c>
      <c r="H38" s="255">
        <f>SUM(E38:G38)</f>
        <v>4273.5770940308221</v>
      </c>
      <c r="I38" s="255">
        <v>3633.67</v>
      </c>
      <c r="J38" s="255">
        <v>281.96197368299602</v>
      </c>
      <c r="K38" s="255">
        <f>+H38-L38</f>
        <v>4032.7340940308222</v>
      </c>
      <c r="L38" s="255">
        <v>240.84299999999999</v>
      </c>
      <c r="M38" s="257">
        <v>32.9</v>
      </c>
      <c r="N38" s="257">
        <v>10.09</v>
      </c>
      <c r="O38" s="276">
        <v>889291</v>
      </c>
      <c r="T38" s="24"/>
      <c r="U38" s="24"/>
      <c r="V38" s="24"/>
    </row>
    <row r="39" spans="1:22">
      <c r="A39" s="259" t="s">
        <v>597</v>
      </c>
      <c r="B39" s="240">
        <v>2213</v>
      </c>
      <c r="C39" s="240">
        <v>2169</v>
      </c>
      <c r="D39" s="240">
        <f t="shared" si="0"/>
        <v>1762.0147533425543</v>
      </c>
      <c r="E39" s="240">
        <f>+L38</f>
        <v>240.84299999999999</v>
      </c>
      <c r="F39" s="240">
        <v>3821.81</v>
      </c>
      <c r="G39" s="240">
        <v>1349.2290434399999</v>
      </c>
      <c r="H39" s="240">
        <f>SUM(E39:G39)</f>
        <v>5411.8820434399995</v>
      </c>
      <c r="I39" s="240">
        <v>4399.5242652967991</v>
      </c>
      <c r="J39" s="240">
        <v>401.24131683999997</v>
      </c>
      <c r="K39" s="240">
        <f>+H39-L39</f>
        <v>4961.8820434399995</v>
      </c>
      <c r="L39" s="240">
        <v>450</v>
      </c>
      <c r="M39" s="258">
        <v>30</v>
      </c>
      <c r="N39" s="258">
        <v>10.09</v>
      </c>
      <c r="O39" s="277">
        <v>1145892</v>
      </c>
      <c r="T39" s="24"/>
      <c r="U39" s="24"/>
      <c r="V39" s="24"/>
    </row>
    <row r="40" spans="1:22" s="6" customFormat="1">
      <c r="A40" s="52" t="s">
        <v>522</v>
      </c>
    </row>
    <row r="41" spans="1:22" s="6" customFormat="1">
      <c r="A41" s="30" t="s">
        <v>681</v>
      </c>
      <c r="B41" s="33"/>
      <c r="C41" s="33"/>
      <c r="D41" s="33"/>
    </row>
    <row r="42" spans="1:22" ht="10.15" customHeight="1">
      <c r="A42" t="s">
        <v>583</v>
      </c>
      <c r="M42" s="78"/>
      <c r="N42" s="78"/>
    </row>
    <row r="43" spans="1:22">
      <c r="O43" s="225" t="s">
        <v>592</v>
      </c>
    </row>
  </sheetData>
  <mergeCells count="1">
    <mergeCell ref="M6:N6"/>
  </mergeCells>
  <phoneticPr fontId="0" type="noConversion"/>
  <pageMargins left="0.75" right="0.75" top="1" bottom="1" header="0.5" footer="0.5"/>
  <pageSetup scale="66" firstPageNumber="25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V45"/>
  <sheetViews>
    <sheetView zoomScaleNormal="100" zoomScaleSheetLayoutView="100" workbookViewId="0">
      <pane ySplit="5" topLeftCell="A6" activePane="bottomLeft" state="frozen"/>
      <selection pane="bottomLeft"/>
    </sheetView>
  </sheetViews>
  <sheetFormatPr defaultRowHeight="11.25"/>
  <cols>
    <col min="1" max="1" width="10.83203125" customWidth="1"/>
    <col min="2" max="7" width="11.83203125" customWidth="1"/>
    <col min="8" max="8" width="14.33203125" customWidth="1"/>
    <col min="9" max="12" width="11.83203125" customWidth="1"/>
    <col min="13" max="13" width="18.1640625" customWidth="1"/>
    <col min="18" max="18" width="10.1640625" bestFit="1" customWidth="1"/>
  </cols>
  <sheetData>
    <row r="1" spans="1:13">
      <c r="A1" s="249" t="s">
        <v>622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>
      <c r="A2" s="7" t="s">
        <v>15</v>
      </c>
      <c r="B2" s="121"/>
      <c r="C2" s="4" t="s">
        <v>75</v>
      </c>
      <c r="D2" s="4"/>
      <c r="E2" s="120"/>
      <c r="F2" s="121"/>
      <c r="G2" s="4"/>
      <c r="H2" s="4" t="s">
        <v>73</v>
      </c>
      <c r="I2" s="4"/>
      <c r="J2" s="120"/>
      <c r="K2" s="63"/>
      <c r="L2" s="121" t="s">
        <v>74</v>
      </c>
    </row>
    <row r="3" spans="1:13">
      <c r="A3" s="7" t="s">
        <v>59</v>
      </c>
      <c r="B3" s="109" t="s">
        <v>96</v>
      </c>
      <c r="C3" s="7" t="s">
        <v>172</v>
      </c>
      <c r="D3" s="7" t="s">
        <v>401</v>
      </c>
      <c r="E3" s="112" t="s">
        <v>402</v>
      </c>
      <c r="F3" s="121"/>
      <c r="G3" s="121" t="s">
        <v>336</v>
      </c>
      <c r="H3" s="4"/>
      <c r="I3" s="7" t="s">
        <v>50</v>
      </c>
      <c r="J3" s="112" t="s">
        <v>2</v>
      </c>
      <c r="K3" s="7" t="s">
        <v>98</v>
      </c>
      <c r="L3" s="109" t="s">
        <v>193</v>
      </c>
    </row>
    <row r="4" spans="1:13">
      <c r="A4" s="170" t="s">
        <v>95</v>
      </c>
      <c r="B4" s="116" t="s">
        <v>179</v>
      </c>
      <c r="C4" s="9"/>
      <c r="D4" s="9"/>
      <c r="E4" s="114"/>
      <c r="F4" s="116" t="s">
        <v>2</v>
      </c>
      <c r="G4" s="4" t="s">
        <v>532</v>
      </c>
      <c r="H4" s="9" t="s">
        <v>544</v>
      </c>
      <c r="I4" s="9"/>
      <c r="J4" s="114"/>
      <c r="K4" s="9" t="s">
        <v>66</v>
      </c>
      <c r="L4" s="116"/>
    </row>
    <row r="5" spans="1:13" ht="12.6" customHeight="1">
      <c r="A5" s="73"/>
      <c r="B5" s="73"/>
      <c r="C5" s="148"/>
      <c r="D5" s="148"/>
      <c r="E5" s="169" t="s">
        <v>51</v>
      </c>
      <c r="F5" s="148"/>
      <c r="G5" s="148"/>
      <c r="H5" s="148"/>
      <c r="I5" s="148"/>
      <c r="J5" s="148"/>
      <c r="K5" s="148"/>
      <c r="L5" s="150" t="s">
        <v>248</v>
      </c>
    </row>
    <row r="6" spans="1:13" ht="12.6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3">
      <c r="A7" s="10" t="s">
        <v>6</v>
      </c>
      <c r="B7" s="12">
        <v>41</v>
      </c>
      <c r="C7" s="12">
        <v>36.308234301863997</v>
      </c>
      <c r="D7" s="18">
        <v>815.48085931200001</v>
      </c>
      <c r="E7" s="18">
        <f t="shared" ref="E7:E16" si="0">SUM(B7:D7)</f>
        <v>892.789093613864</v>
      </c>
      <c r="F7" s="27">
        <f t="shared" ref="F7:F16" si="1">+J7-I7</f>
        <v>806.16429816129801</v>
      </c>
      <c r="G7" s="27">
        <v>0</v>
      </c>
      <c r="H7" s="27">
        <f>F7-G7</f>
        <v>806.16429816129801</v>
      </c>
      <c r="I7" s="12">
        <v>15.224795452566001</v>
      </c>
      <c r="J7" s="18">
        <f t="shared" ref="J7:J34" si="2">+E7-K7</f>
        <v>821.38909361386402</v>
      </c>
      <c r="K7" s="12">
        <v>71.400000000000006</v>
      </c>
      <c r="L7" s="35">
        <v>23.65</v>
      </c>
      <c r="M7" s="27"/>
    </row>
    <row r="8" spans="1:13">
      <c r="A8" s="10" t="s">
        <v>7</v>
      </c>
      <c r="B8" s="12">
        <f t="shared" ref="B8:B16" si="3">+K7</f>
        <v>71.400000000000006</v>
      </c>
      <c r="C8" s="12">
        <v>126.22527012051052</v>
      </c>
      <c r="D8" s="18">
        <v>861.18487799400009</v>
      </c>
      <c r="E8" s="18">
        <f t="shared" si="0"/>
        <v>1058.8101481145106</v>
      </c>
      <c r="F8" s="27">
        <f t="shared" si="1"/>
        <v>976.29388564867463</v>
      </c>
      <c r="G8" s="27">
        <v>0</v>
      </c>
      <c r="H8" s="27">
        <f t="shared" ref="H8:H38" si="4">F8-G8</f>
        <v>976.29388564867463</v>
      </c>
      <c r="I8" s="12">
        <v>15.816262465835999</v>
      </c>
      <c r="J8" s="18">
        <f t="shared" si="2"/>
        <v>992.11014811451059</v>
      </c>
      <c r="K8" s="12">
        <v>66.7</v>
      </c>
      <c r="L8" s="35">
        <v>21.98</v>
      </c>
      <c r="M8" s="27"/>
    </row>
    <row r="9" spans="1:13">
      <c r="A9" s="10" t="s">
        <v>8</v>
      </c>
      <c r="B9" s="12">
        <f t="shared" si="3"/>
        <v>66.7</v>
      </c>
      <c r="C9" s="12">
        <v>351.67289329486135</v>
      </c>
      <c r="D9" s="18">
        <v>903.742901082</v>
      </c>
      <c r="E9" s="18">
        <f t="shared" si="0"/>
        <v>1322.1157943768612</v>
      </c>
      <c r="F9" s="27">
        <f t="shared" si="1"/>
        <v>1109.3208811965594</v>
      </c>
      <c r="G9" s="27">
        <v>0</v>
      </c>
      <c r="H9" s="27">
        <f t="shared" si="4"/>
        <v>1109.3208811965594</v>
      </c>
      <c r="I9" s="12">
        <v>76.194913180302009</v>
      </c>
      <c r="J9" s="18">
        <f t="shared" si="2"/>
        <v>1185.5157943768613</v>
      </c>
      <c r="K9" s="12">
        <v>136.6</v>
      </c>
      <c r="L9" s="35">
        <v>23.97</v>
      </c>
      <c r="M9" s="27"/>
    </row>
    <row r="10" spans="1:13">
      <c r="A10" s="10" t="s">
        <v>9</v>
      </c>
      <c r="B10" s="12">
        <f t="shared" si="3"/>
        <v>136.6</v>
      </c>
      <c r="C10" s="12">
        <v>370.98611957999697</v>
      </c>
      <c r="D10" s="18">
        <v>937.5463702080001</v>
      </c>
      <c r="E10" s="18">
        <f t="shared" si="0"/>
        <v>1445.1324897879972</v>
      </c>
      <c r="F10" s="27">
        <f t="shared" si="1"/>
        <v>1237.5415004847532</v>
      </c>
      <c r="G10" s="27">
        <v>0</v>
      </c>
      <c r="H10" s="27">
        <f t="shared" si="4"/>
        <v>1237.5415004847532</v>
      </c>
      <c r="I10" s="12">
        <v>153.390989303244</v>
      </c>
      <c r="J10" s="18">
        <f t="shared" si="2"/>
        <v>1390.9324897879972</v>
      </c>
      <c r="K10" s="12">
        <v>54.2</v>
      </c>
      <c r="L10" s="35">
        <v>28.55</v>
      </c>
      <c r="M10" s="27"/>
    </row>
    <row r="11" spans="1:13">
      <c r="A11" s="10" t="s">
        <v>10</v>
      </c>
      <c r="B11" s="12">
        <f t="shared" si="3"/>
        <v>54.2</v>
      </c>
      <c r="C11" s="12">
        <v>361.390168916996</v>
      </c>
      <c r="D11" s="18">
        <v>1087.707583872</v>
      </c>
      <c r="E11" s="18">
        <f t="shared" si="0"/>
        <v>1503.2977527889959</v>
      </c>
      <c r="F11" s="27">
        <f t="shared" si="1"/>
        <v>1277.6389228865919</v>
      </c>
      <c r="G11" s="27">
        <v>0</v>
      </c>
      <c r="H11" s="27">
        <f t="shared" si="4"/>
        <v>1277.6389228865919</v>
      </c>
      <c r="I11" s="12">
        <v>147.05882990240403</v>
      </c>
      <c r="J11" s="18">
        <f t="shared" si="2"/>
        <v>1424.697752788996</v>
      </c>
      <c r="K11" s="12">
        <v>78.599999999999994</v>
      </c>
      <c r="L11" s="35">
        <v>29.03</v>
      </c>
      <c r="M11" s="27"/>
    </row>
    <row r="12" spans="1:13">
      <c r="A12" s="10" t="s">
        <v>11</v>
      </c>
      <c r="B12" s="12">
        <f t="shared" si="3"/>
        <v>78.599999999999994</v>
      </c>
      <c r="C12" s="12">
        <v>410.55523585860863</v>
      </c>
      <c r="D12" s="18">
        <v>1074.9406178700001</v>
      </c>
      <c r="E12" s="18">
        <f t="shared" si="0"/>
        <v>1564.0958537286087</v>
      </c>
      <c r="F12" s="27">
        <f t="shared" si="1"/>
        <v>1201.2958537286088</v>
      </c>
      <c r="G12" s="27">
        <v>0</v>
      </c>
      <c r="H12" s="27">
        <f t="shared" si="4"/>
        <v>1201.2958537286088</v>
      </c>
      <c r="I12" s="12">
        <v>295</v>
      </c>
      <c r="J12" s="18">
        <f t="shared" si="2"/>
        <v>1496.2958537286088</v>
      </c>
      <c r="K12" s="12">
        <v>67.8</v>
      </c>
      <c r="L12" s="35">
        <v>25.68</v>
      </c>
      <c r="M12" s="27"/>
    </row>
    <row r="13" spans="1:13">
      <c r="A13" s="10" t="s">
        <v>12</v>
      </c>
      <c r="B13" s="12">
        <f t="shared" si="3"/>
        <v>67.8</v>
      </c>
      <c r="C13" s="12">
        <v>567.03583626274815</v>
      </c>
      <c r="D13" s="18">
        <v>1088.3381057639999</v>
      </c>
      <c r="E13" s="18">
        <f t="shared" si="0"/>
        <v>1723.1739420267481</v>
      </c>
      <c r="F13" s="27">
        <f t="shared" si="1"/>
        <v>1262.0739420267482</v>
      </c>
      <c r="G13" s="27">
        <v>0</v>
      </c>
      <c r="H13" s="27">
        <f t="shared" si="4"/>
        <v>1262.0739420267482</v>
      </c>
      <c r="I13" s="12">
        <v>349</v>
      </c>
      <c r="J13" s="18">
        <f t="shared" si="2"/>
        <v>1611.0739420267482</v>
      </c>
      <c r="K13" s="12">
        <v>112.1</v>
      </c>
      <c r="L13" s="35">
        <v>28.83</v>
      </c>
      <c r="M13" s="27"/>
    </row>
    <row r="14" spans="1:13">
      <c r="A14" s="10" t="s">
        <v>13</v>
      </c>
      <c r="B14" s="12">
        <f t="shared" si="3"/>
        <v>112.1</v>
      </c>
      <c r="C14" s="12">
        <v>636.36348191963134</v>
      </c>
      <c r="D14" s="18">
        <v>1060.6392349560001</v>
      </c>
      <c r="E14" s="18">
        <f t="shared" si="0"/>
        <v>1809.1027168756314</v>
      </c>
      <c r="F14" s="27">
        <f t="shared" si="1"/>
        <v>1367.8027168756314</v>
      </c>
      <c r="G14" s="27">
        <v>0</v>
      </c>
      <c r="H14" s="27">
        <f t="shared" si="4"/>
        <v>1367.8027168756314</v>
      </c>
      <c r="I14" s="12">
        <v>272</v>
      </c>
      <c r="J14" s="18">
        <f t="shared" si="2"/>
        <v>1639.8027168756314</v>
      </c>
      <c r="K14" s="12">
        <v>169.3</v>
      </c>
      <c r="L14" s="35">
        <v>22.48</v>
      </c>
      <c r="M14" s="27"/>
    </row>
    <row r="15" spans="1:13">
      <c r="A15" s="10" t="s">
        <v>14</v>
      </c>
      <c r="B15" s="12">
        <f t="shared" si="3"/>
        <v>169.3</v>
      </c>
      <c r="C15" s="12">
        <v>700.16255646288084</v>
      </c>
      <c r="D15" s="18">
        <v>1145.4973403580002</v>
      </c>
      <c r="E15" s="18">
        <f t="shared" si="0"/>
        <v>2014.9598968208811</v>
      </c>
      <c r="F15" s="27">
        <f t="shared" si="1"/>
        <v>1524.6598968208812</v>
      </c>
      <c r="G15" s="27">
        <v>0</v>
      </c>
      <c r="H15" s="27">
        <f t="shared" si="4"/>
        <v>1524.6598968208812</v>
      </c>
      <c r="I15" s="12">
        <v>284</v>
      </c>
      <c r="J15" s="18">
        <f t="shared" si="2"/>
        <v>1808.6598968208812</v>
      </c>
      <c r="K15" s="12">
        <v>206.3</v>
      </c>
      <c r="L15" s="35">
        <v>17.11</v>
      </c>
      <c r="M15" s="27"/>
    </row>
    <row r="16" spans="1:13">
      <c r="A16" s="10" t="s">
        <v>397</v>
      </c>
      <c r="B16" s="12">
        <f t="shared" si="3"/>
        <v>206.3</v>
      </c>
      <c r="C16" s="12">
        <v>759.06192213603731</v>
      </c>
      <c r="D16" s="18">
        <v>1193.1987465720001</v>
      </c>
      <c r="E16" s="18">
        <f t="shared" si="0"/>
        <v>2158.5606687080372</v>
      </c>
      <c r="F16" s="27">
        <f t="shared" si="1"/>
        <v>1861.760668708037</v>
      </c>
      <c r="G16" s="27">
        <v>0</v>
      </c>
      <c r="H16" s="27">
        <f t="shared" si="4"/>
        <v>1861.760668708037</v>
      </c>
      <c r="I16" s="12">
        <v>187</v>
      </c>
      <c r="J16" s="18">
        <f t="shared" si="2"/>
        <v>2048.760668708037</v>
      </c>
      <c r="K16" s="12">
        <v>109.8</v>
      </c>
      <c r="L16" s="35">
        <v>17.559999999999999</v>
      </c>
      <c r="M16" s="27"/>
    </row>
    <row r="17" spans="1:14">
      <c r="A17" s="10" t="s">
        <v>210</v>
      </c>
      <c r="B17" s="12">
        <f t="shared" ref="B17:B22" si="5">+K16</f>
        <v>109.8</v>
      </c>
      <c r="C17" s="12">
        <v>631.29694898677985</v>
      </c>
      <c r="D17" s="18">
        <v>1107.9548323200002</v>
      </c>
      <c r="E17" s="18">
        <f t="shared" ref="E17:E22" si="6">SUM(B17:D17)</f>
        <v>1849.05178130678</v>
      </c>
      <c r="F17" s="27">
        <f t="shared" ref="F17:F22" si="7">+J17-I17</f>
        <v>1541.6517813067799</v>
      </c>
      <c r="G17" s="27">
        <v>0</v>
      </c>
      <c r="H17" s="27">
        <f t="shared" si="4"/>
        <v>1541.6517813067799</v>
      </c>
      <c r="I17" s="12">
        <v>255</v>
      </c>
      <c r="J17" s="18">
        <f t="shared" si="2"/>
        <v>1796.6517813067799</v>
      </c>
      <c r="K17" s="12">
        <v>52.4</v>
      </c>
      <c r="L17" s="35">
        <v>23.45</v>
      </c>
      <c r="M17" s="27"/>
    </row>
    <row r="18" spans="1:14">
      <c r="A18" s="10" t="s">
        <v>217</v>
      </c>
      <c r="B18" s="12">
        <f t="shared" si="5"/>
        <v>52.4</v>
      </c>
      <c r="C18" s="12">
        <v>535.30659714701835</v>
      </c>
      <c r="D18" s="18">
        <v>981.38549914019995</v>
      </c>
      <c r="E18" s="18">
        <f t="shared" si="6"/>
        <v>1569.0920962872183</v>
      </c>
      <c r="F18" s="27">
        <f t="shared" si="7"/>
        <v>1332.5070962872182</v>
      </c>
      <c r="G18" s="27">
        <v>0</v>
      </c>
      <c r="H18" s="27">
        <f t="shared" si="4"/>
        <v>1332.5070962872182</v>
      </c>
      <c r="I18" s="12">
        <v>160.52799999999999</v>
      </c>
      <c r="J18" s="18">
        <f t="shared" si="2"/>
        <v>1493.0350962872183</v>
      </c>
      <c r="K18" s="12">
        <v>76.057000000000002</v>
      </c>
      <c r="L18" s="35">
        <v>29.75</v>
      </c>
      <c r="M18" s="27"/>
    </row>
    <row r="19" spans="1:14">
      <c r="A19" s="10" t="s">
        <v>398</v>
      </c>
      <c r="B19" s="12">
        <f t="shared" si="5"/>
        <v>76.057000000000002</v>
      </c>
      <c r="C19" s="12">
        <v>637.96903746526107</v>
      </c>
      <c r="D19" s="18">
        <v>1222.7362721280001</v>
      </c>
      <c r="E19" s="18">
        <f t="shared" si="6"/>
        <v>1936.7623095932613</v>
      </c>
      <c r="F19" s="27">
        <f t="shared" si="7"/>
        <v>1567.3613095932615</v>
      </c>
      <c r="G19" s="27">
        <v>0</v>
      </c>
      <c r="H19" s="27">
        <f t="shared" si="4"/>
        <v>1567.3613095932615</v>
      </c>
      <c r="I19" s="12">
        <v>278.00299999999999</v>
      </c>
      <c r="J19" s="18">
        <f t="shared" si="2"/>
        <v>1845.3643095932614</v>
      </c>
      <c r="K19" s="12">
        <v>91.397999999999996</v>
      </c>
      <c r="L19" s="35">
        <v>33.76</v>
      </c>
      <c r="M19" s="27"/>
    </row>
    <row r="20" spans="1:14">
      <c r="A20" s="10" t="s">
        <v>222</v>
      </c>
      <c r="B20" s="12">
        <f t="shared" si="5"/>
        <v>91.397999999999996</v>
      </c>
      <c r="C20" s="12">
        <v>832.25867613789922</v>
      </c>
      <c r="D20" s="18">
        <v>1133.2470000000001</v>
      </c>
      <c r="E20" s="18">
        <f t="shared" si="6"/>
        <v>2056.9036761378993</v>
      </c>
      <c r="F20" s="27">
        <f t="shared" si="7"/>
        <v>1660.4126761378993</v>
      </c>
      <c r="G20" s="27">
        <v>0</v>
      </c>
      <c r="H20" s="27">
        <f t="shared" si="4"/>
        <v>1660.4126761378993</v>
      </c>
      <c r="I20" s="12">
        <v>268.50700000000001</v>
      </c>
      <c r="J20" s="18">
        <f t="shared" si="2"/>
        <v>1928.9196761378994</v>
      </c>
      <c r="K20" s="12">
        <v>127.98399999999999</v>
      </c>
      <c r="L20" s="35">
        <v>30.78</v>
      </c>
      <c r="M20" s="27"/>
    </row>
    <row r="21" spans="1:14">
      <c r="A21" s="10" t="s">
        <v>228</v>
      </c>
      <c r="B21" s="12">
        <f t="shared" si="5"/>
        <v>127.98399999999999</v>
      </c>
      <c r="C21" s="12">
        <v>928.17222296226657</v>
      </c>
      <c r="D21" s="18">
        <v>1597.797</v>
      </c>
      <c r="E21" s="18">
        <f t="shared" si="6"/>
        <v>2653.9532229622664</v>
      </c>
      <c r="F21" s="27">
        <f t="shared" si="7"/>
        <v>1919.0077029622664</v>
      </c>
      <c r="G21" s="27">
        <v>0</v>
      </c>
      <c r="H21" s="27">
        <f t="shared" si="4"/>
        <v>1919.0077029622664</v>
      </c>
      <c r="I21" s="12">
        <v>471.44551999999999</v>
      </c>
      <c r="J21" s="18">
        <f t="shared" si="2"/>
        <v>2390.4532229622664</v>
      </c>
      <c r="K21" s="12">
        <v>263.5</v>
      </c>
      <c r="L21" s="35">
        <v>31</v>
      </c>
      <c r="M21" s="27"/>
    </row>
    <row r="22" spans="1:14">
      <c r="A22" s="10" t="s">
        <v>227</v>
      </c>
      <c r="B22" s="12">
        <f t="shared" si="5"/>
        <v>263.5</v>
      </c>
      <c r="C22" s="12">
        <v>932.35848317969794</v>
      </c>
      <c r="D22" s="18">
        <v>1567.806</v>
      </c>
      <c r="E22" s="18">
        <f t="shared" si="6"/>
        <v>2763.664483179698</v>
      </c>
      <c r="F22" s="27">
        <f t="shared" si="7"/>
        <v>1984.7564831796981</v>
      </c>
      <c r="G22" s="27">
        <v>0</v>
      </c>
      <c r="H22" s="27">
        <f t="shared" si="4"/>
        <v>1984.7564831796981</v>
      </c>
      <c r="I22" s="12">
        <v>629.70799999999997</v>
      </c>
      <c r="J22" s="18">
        <f t="shared" si="2"/>
        <v>2614.4644831796982</v>
      </c>
      <c r="K22" s="12">
        <v>149.19999999999999</v>
      </c>
      <c r="L22" s="35">
        <v>40.57</v>
      </c>
      <c r="M22" s="27"/>
    </row>
    <row r="23" spans="1:14">
      <c r="A23" s="10" t="s">
        <v>230</v>
      </c>
      <c r="B23" s="12">
        <f t="shared" ref="B23:B28" si="8">+K22</f>
        <v>149.19999999999999</v>
      </c>
      <c r="C23" s="12">
        <v>1015.0025294441491</v>
      </c>
      <c r="D23" s="18">
        <v>2240.6689999999999</v>
      </c>
      <c r="E23" s="18">
        <f t="shared" ref="E23:E28" si="9">SUM(B23:D23)</f>
        <v>3404.871529444149</v>
      </c>
      <c r="F23" s="27">
        <f t="shared" ref="F23:F28" si="10">+J23-I23</f>
        <v>2923.3665294441489</v>
      </c>
      <c r="G23" s="27">
        <v>0</v>
      </c>
      <c r="H23" s="27">
        <f t="shared" si="4"/>
        <v>2923.3665294441489</v>
      </c>
      <c r="I23" s="12">
        <v>348.505</v>
      </c>
      <c r="J23" s="18">
        <f t="shared" si="2"/>
        <v>3271.871529444149</v>
      </c>
      <c r="K23" s="12">
        <v>133</v>
      </c>
      <c r="L23" s="35">
        <v>65.64</v>
      </c>
      <c r="M23" s="27"/>
    </row>
    <row r="24" spans="1:14">
      <c r="A24" s="10" t="s">
        <v>231</v>
      </c>
      <c r="B24" s="12">
        <f t="shared" si="8"/>
        <v>133</v>
      </c>
      <c r="C24" s="12">
        <v>1103</v>
      </c>
      <c r="D24" s="18">
        <v>2315.194</v>
      </c>
      <c r="E24" s="18">
        <f t="shared" si="9"/>
        <v>3551.194</v>
      </c>
      <c r="F24" s="27">
        <f t="shared" si="10"/>
        <v>2830.6699999999996</v>
      </c>
      <c r="G24" s="27">
        <v>150</v>
      </c>
      <c r="H24" s="27">
        <f t="shared" si="4"/>
        <v>2680.6699999999996</v>
      </c>
      <c r="I24" s="12">
        <v>548.72400000000005</v>
      </c>
      <c r="J24" s="18">
        <f t="shared" si="2"/>
        <v>3379.3939999999998</v>
      </c>
      <c r="K24" s="12">
        <v>171.8</v>
      </c>
      <c r="L24" s="35">
        <v>39.54</v>
      </c>
    </row>
    <row r="25" spans="1:14">
      <c r="A25" s="55" t="s">
        <v>234</v>
      </c>
      <c r="B25" s="12">
        <f t="shared" si="8"/>
        <v>171.8</v>
      </c>
      <c r="C25" s="12">
        <v>1072</v>
      </c>
      <c r="D25" s="18">
        <v>2350.9380000000001</v>
      </c>
      <c r="E25" s="18">
        <f t="shared" si="9"/>
        <v>3594.7380000000003</v>
      </c>
      <c r="F25" s="27">
        <f t="shared" si="10"/>
        <v>2847.9120000000003</v>
      </c>
      <c r="G25" s="27">
        <v>311</v>
      </c>
      <c r="H25" s="27">
        <f t="shared" si="4"/>
        <v>2536.9120000000003</v>
      </c>
      <c r="I25" s="12">
        <v>553.09400000000005</v>
      </c>
      <c r="J25" s="18">
        <f t="shared" si="2"/>
        <v>3401.0060000000003</v>
      </c>
      <c r="K25" s="12">
        <v>193.732</v>
      </c>
      <c r="L25" s="35">
        <v>42.88</v>
      </c>
      <c r="M25" s="27"/>
      <c r="N25" s="27"/>
    </row>
    <row r="26" spans="1:14">
      <c r="A26" s="55" t="s">
        <v>236</v>
      </c>
      <c r="B26" s="12">
        <f t="shared" si="8"/>
        <v>193.732</v>
      </c>
      <c r="C26" s="12">
        <v>1136</v>
      </c>
      <c r="D26" s="18">
        <v>3130.9859999999999</v>
      </c>
      <c r="E26" s="18">
        <f t="shared" si="9"/>
        <v>4460.7179999999998</v>
      </c>
      <c r="F26" s="27">
        <f t="shared" si="10"/>
        <v>3651.0846296281479</v>
      </c>
      <c r="G26" s="27">
        <v>645</v>
      </c>
      <c r="H26" s="27">
        <f t="shared" si="4"/>
        <v>3006.0846296281479</v>
      </c>
      <c r="I26" s="12">
        <v>510.63337037185198</v>
      </c>
      <c r="J26" s="18">
        <f t="shared" si="2"/>
        <v>4161.7179999999998</v>
      </c>
      <c r="K26" s="12">
        <v>299</v>
      </c>
      <c r="L26" s="35">
        <v>58.68</v>
      </c>
      <c r="M26" s="27"/>
      <c r="N26" s="27"/>
    </row>
    <row r="27" spans="1:14">
      <c r="A27" s="55" t="s">
        <v>239</v>
      </c>
      <c r="B27" s="12">
        <f t="shared" si="8"/>
        <v>299</v>
      </c>
      <c r="C27" s="12">
        <v>1099</v>
      </c>
      <c r="D27" s="18">
        <v>3288.7330000000002</v>
      </c>
      <c r="E27" s="18">
        <f t="shared" si="9"/>
        <v>4686.7330000000002</v>
      </c>
      <c r="F27" s="27">
        <f t="shared" si="10"/>
        <v>3834.7926474462142</v>
      </c>
      <c r="G27" s="27">
        <v>964</v>
      </c>
      <c r="H27" s="27">
        <f t="shared" si="4"/>
        <v>2870.7926474462142</v>
      </c>
      <c r="I27" s="12">
        <v>663.94035255378606</v>
      </c>
      <c r="J27" s="18">
        <f t="shared" si="2"/>
        <v>4498.7330000000002</v>
      </c>
      <c r="K27" s="12">
        <v>188</v>
      </c>
      <c r="L27" s="35">
        <v>57.19</v>
      </c>
      <c r="M27" s="27"/>
      <c r="N27" s="27"/>
    </row>
    <row r="28" spans="1:14">
      <c r="A28" s="55" t="s">
        <v>241</v>
      </c>
      <c r="B28" s="12">
        <f t="shared" si="8"/>
        <v>188</v>
      </c>
      <c r="C28" s="12">
        <v>1274</v>
      </c>
      <c r="D28" s="18">
        <v>2760.6170000000002</v>
      </c>
      <c r="E28" s="18">
        <f t="shared" si="9"/>
        <v>4222.6170000000002</v>
      </c>
      <c r="F28" s="27">
        <f t="shared" si="10"/>
        <v>3607.4241178921793</v>
      </c>
      <c r="G28" s="27">
        <v>429</v>
      </c>
      <c r="H28" s="27">
        <f t="shared" si="4"/>
        <v>3178.4241178921793</v>
      </c>
      <c r="I28" s="12">
        <v>475.19288210782082</v>
      </c>
      <c r="J28" s="18">
        <f t="shared" si="2"/>
        <v>4082.6170000000002</v>
      </c>
      <c r="K28" s="12">
        <v>140</v>
      </c>
      <c r="L28" s="35">
        <v>56.17</v>
      </c>
      <c r="M28" s="27"/>
      <c r="N28" s="27"/>
    </row>
    <row r="29" spans="1:14">
      <c r="A29" s="55" t="s">
        <v>259</v>
      </c>
      <c r="B29" s="12">
        <f>+K28</f>
        <v>140</v>
      </c>
      <c r="C29" s="12">
        <v>1562</v>
      </c>
      <c r="D29" s="18">
        <v>3390.5639999999999</v>
      </c>
      <c r="E29" s="18">
        <f t="shared" ref="E29:E34" si="11">SUM(B29:D29)</f>
        <v>5092.5640000000003</v>
      </c>
      <c r="F29" s="27">
        <f t="shared" ref="F29:F38" si="12">+J29-I29</f>
        <v>4555.1610000000001</v>
      </c>
      <c r="G29" s="27">
        <v>974.3</v>
      </c>
      <c r="H29" s="27">
        <f t="shared" si="4"/>
        <v>3580.8609999999999</v>
      </c>
      <c r="I29" s="12">
        <v>262.40300000000002</v>
      </c>
      <c r="J29" s="18">
        <f t="shared" si="2"/>
        <v>4817.5640000000003</v>
      </c>
      <c r="K29" s="12">
        <v>275</v>
      </c>
      <c r="L29" s="35">
        <v>43.7</v>
      </c>
      <c r="M29" s="27"/>
      <c r="N29" s="27"/>
    </row>
    <row r="30" spans="1:14">
      <c r="A30" s="55" t="s">
        <v>261</v>
      </c>
      <c r="B30" s="12">
        <f>+K29</f>
        <v>275</v>
      </c>
      <c r="C30" s="12">
        <v>1552</v>
      </c>
      <c r="D30" s="18">
        <v>3692.2186000000002</v>
      </c>
      <c r="E30" s="18">
        <f t="shared" si="11"/>
        <v>5519.2186000000002</v>
      </c>
      <c r="F30" s="27">
        <f t="shared" si="12"/>
        <v>5010.820456299286</v>
      </c>
      <c r="G30" s="27">
        <v>935.18000000000006</v>
      </c>
      <c r="H30" s="27">
        <f t="shared" si="4"/>
        <v>4075.6404562992857</v>
      </c>
      <c r="I30" s="12">
        <v>241.398143700714</v>
      </c>
      <c r="J30" s="18">
        <f t="shared" si="2"/>
        <v>5252.2186000000002</v>
      </c>
      <c r="K30" s="12">
        <v>267</v>
      </c>
      <c r="L30" s="35">
        <v>37.81</v>
      </c>
      <c r="M30" s="27"/>
      <c r="N30" s="27"/>
    </row>
    <row r="31" spans="1:14">
      <c r="A31" s="55" t="s">
        <v>265</v>
      </c>
      <c r="B31" s="12">
        <f>+K30</f>
        <v>267</v>
      </c>
      <c r="C31" s="12">
        <v>1587.894</v>
      </c>
      <c r="D31" s="18">
        <v>3955.7310694888138</v>
      </c>
      <c r="E31" s="18">
        <f t="shared" si="11"/>
        <v>5810.625069488814</v>
      </c>
      <c r="F31" s="27">
        <f t="shared" si="12"/>
        <v>5312.3930474088138</v>
      </c>
      <c r="G31" s="27">
        <v>1008.07</v>
      </c>
      <c r="H31" s="27">
        <f t="shared" si="4"/>
        <v>4304.3230474088141</v>
      </c>
      <c r="I31" s="12">
        <v>245.60302208000002</v>
      </c>
      <c r="J31" s="18">
        <f t="shared" si="2"/>
        <v>5557.9960694888141</v>
      </c>
      <c r="K31" s="12">
        <v>252.62899999999999</v>
      </c>
      <c r="L31" s="35">
        <v>35.270000000000003</v>
      </c>
      <c r="M31" s="27"/>
      <c r="N31" s="27"/>
    </row>
    <row r="32" spans="1:14">
      <c r="A32" s="55" t="s">
        <v>262</v>
      </c>
      <c r="B32" s="12">
        <f t="shared" ref="B32:B36" si="13">+K31</f>
        <v>252.62899999999999</v>
      </c>
      <c r="C32" s="12">
        <v>1751.6469999999999</v>
      </c>
      <c r="D32" s="18">
        <v>4410.2437135845976</v>
      </c>
      <c r="E32" s="18">
        <f t="shared" si="11"/>
        <v>6414.5197135845974</v>
      </c>
      <c r="F32" s="27">
        <f t="shared" si="12"/>
        <v>5848.5627867045978</v>
      </c>
      <c r="G32" s="27">
        <v>1294.3699999999999</v>
      </c>
      <c r="H32" s="27">
        <f t="shared" si="4"/>
        <v>4554.1927867045979</v>
      </c>
      <c r="I32" s="12">
        <v>271.14992688000007</v>
      </c>
      <c r="J32" s="18">
        <f t="shared" si="2"/>
        <v>6119.7127135845976</v>
      </c>
      <c r="K32" s="12">
        <v>294.80700000000002</v>
      </c>
      <c r="L32" s="35">
        <v>38.729999999999997</v>
      </c>
      <c r="M32" s="27"/>
      <c r="N32" s="27"/>
    </row>
    <row r="33" spans="1:22">
      <c r="A33" s="254" t="s">
        <v>296</v>
      </c>
      <c r="B33" s="199">
        <f t="shared" si="13"/>
        <v>294.80700000000002</v>
      </c>
      <c r="C33" s="199">
        <v>1654.492</v>
      </c>
      <c r="D33" s="202">
        <v>4083.0528045409919</v>
      </c>
      <c r="E33" s="202">
        <f t="shared" si="11"/>
        <v>6032.3518045409919</v>
      </c>
      <c r="F33" s="27">
        <f t="shared" si="12"/>
        <v>5606.9615799250878</v>
      </c>
      <c r="G33" s="255">
        <v>1384.37</v>
      </c>
      <c r="H33" s="255">
        <f t="shared" si="4"/>
        <v>4222.5915799250879</v>
      </c>
      <c r="I33" s="199">
        <v>230.82222461590396</v>
      </c>
      <c r="J33" s="202">
        <f t="shared" si="2"/>
        <v>5837.7838045409917</v>
      </c>
      <c r="K33" s="199">
        <v>194.56799999999998</v>
      </c>
      <c r="L33" s="303">
        <v>38.269999999999996</v>
      </c>
      <c r="M33" s="27"/>
      <c r="N33" s="27"/>
      <c r="Q33" s="12"/>
      <c r="R33" s="12"/>
      <c r="S33" s="12"/>
      <c r="T33" s="12"/>
      <c r="U33" s="12"/>
      <c r="V33" s="12"/>
    </row>
    <row r="34" spans="1:22">
      <c r="A34" s="254" t="s">
        <v>295</v>
      </c>
      <c r="B34" s="199">
        <f t="shared" si="13"/>
        <v>194.56799999999998</v>
      </c>
      <c r="C34" s="199">
        <v>1531.4369999999999</v>
      </c>
      <c r="D34" s="202">
        <v>3911.4110286118439</v>
      </c>
      <c r="E34" s="202">
        <f t="shared" si="11"/>
        <v>5637.416028611844</v>
      </c>
      <c r="F34" s="27">
        <f t="shared" si="12"/>
        <v>5280.5102391286255</v>
      </c>
      <c r="G34" s="255">
        <v>1100</v>
      </c>
      <c r="H34" s="255">
        <f t="shared" si="4"/>
        <v>4180.5102391286255</v>
      </c>
      <c r="I34" s="199">
        <v>198.97578948321797</v>
      </c>
      <c r="J34" s="202">
        <f t="shared" si="2"/>
        <v>5479.4860286118437</v>
      </c>
      <c r="K34" s="199">
        <v>157.93</v>
      </c>
      <c r="L34" s="303">
        <v>36.090000000000003</v>
      </c>
      <c r="M34" s="27"/>
      <c r="N34" s="27"/>
      <c r="Q34" s="12"/>
      <c r="R34" s="12"/>
      <c r="S34" s="12"/>
      <c r="T34" s="12"/>
      <c r="U34" s="12"/>
      <c r="V34" s="12"/>
    </row>
    <row r="35" spans="1:22">
      <c r="A35" s="254" t="s">
        <v>351</v>
      </c>
      <c r="B35" s="199">
        <f t="shared" si="13"/>
        <v>157.93</v>
      </c>
      <c r="C35" s="199">
        <v>1810.0920000000001</v>
      </c>
      <c r="D35" s="202">
        <v>4029.0047173135958</v>
      </c>
      <c r="E35" s="202">
        <f>SUM(B35:D35)</f>
        <v>5997.0267173135962</v>
      </c>
      <c r="F35" s="27">
        <f t="shared" si="12"/>
        <v>5630.7660430060341</v>
      </c>
      <c r="G35" s="255">
        <v>1317.6</v>
      </c>
      <c r="H35" s="255">
        <f t="shared" si="4"/>
        <v>4313.1660430060347</v>
      </c>
      <c r="I35" s="199">
        <v>234.38467430756199</v>
      </c>
      <c r="J35" s="202">
        <f>+E35-K35</f>
        <v>5865.150717313596</v>
      </c>
      <c r="K35" s="199">
        <v>131.876</v>
      </c>
      <c r="L35" s="303">
        <v>37.869999999999997</v>
      </c>
      <c r="M35" s="27"/>
      <c r="N35" s="27"/>
      <c r="Q35" s="12"/>
      <c r="R35" s="12"/>
      <c r="S35" s="12"/>
      <c r="T35" s="12"/>
      <c r="U35" s="12"/>
      <c r="V35" s="12"/>
    </row>
    <row r="36" spans="1:22">
      <c r="A36" s="254" t="s">
        <v>350</v>
      </c>
      <c r="B36" s="199">
        <f t="shared" si="13"/>
        <v>131.876</v>
      </c>
      <c r="C36" s="199">
        <v>1787.7819999999999</v>
      </c>
      <c r="D36" s="202">
        <v>4119.1810577262422</v>
      </c>
      <c r="E36" s="202">
        <f>SUM(B36:D36)</f>
        <v>6038.8390577262417</v>
      </c>
      <c r="F36" s="27">
        <f t="shared" si="12"/>
        <v>5588.3223192054538</v>
      </c>
      <c r="G36" s="255">
        <v>1150</v>
      </c>
      <c r="H36" s="255">
        <f t="shared" si="4"/>
        <v>4438.3223192054538</v>
      </c>
      <c r="I36" s="199">
        <v>312.12473852078796</v>
      </c>
      <c r="J36" s="202">
        <f>+E36-K36</f>
        <v>5900.4470577262418</v>
      </c>
      <c r="K36" s="199">
        <v>138.392</v>
      </c>
      <c r="L36" s="303">
        <v>70.459999999999994</v>
      </c>
      <c r="M36" s="27"/>
      <c r="N36" s="27"/>
      <c r="Q36" s="12"/>
      <c r="R36" s="12"/>
      <c r="S36" s="12"/>
      <c r="T36" s="12"/>
      <c r="U36" s="12"/>
      <c r="V36" s="12"/>
    </row>
    <row r="37" spans="1:22">
      <c r="A37" s="254" t="s">
        <v>504</v>
      </c>
      <c r="B37" s="199">
        <f>K36</f>
        <v>138.392</v>
      </c>
      <c r="C37" s="199">
        <v>1475.2470000000001</v>
      </c>
      <c r="D37" s="202">
        <v>4371.9844721748559</v>
      </c>
      <c r="E37" s="202">
        <f>SUM(B37:D37)</f>
        <v>5985.623472174856</v>
      </c>
      <c r="F37" s="27">
        <f t="shared" si="12"/>
        <v>5598.7367036632295</v>
      </c>
      <c r="G37" s="255">
        <v>1300</v>
      </c>
      <c r="H37" s="255">
        <f t="shared" si="4"/>
        <v>4298.7367036632295</v>
      </c>
      <c r="I37" s="199">
        <v>217.33676851162599</v>
      </c>
      <c r="J37" s="202">
        <f>+E37-K37</f>
        <v>5816.0734721748559</v>
      </c>
      <c r="K37" s="199">
        <v>169.55</v>
      </c>
      <c r="L37" s="303">
        <v>90.52</v>
      </c>
      <c r="M37" s="27"/>
      <c r="N37" s="27"/>
      <c r="Q37" s="12"/>
      <c r="R37" s="12"/>
      <c r="S37" s="12"/>
      <c r="T37" s="12"/>
      <c r="U37" s="12"/>
      <c r="V37" s="12"/>
    </row>
    <row r="38" spans="1:22">
      <c r="A38" s="256" t="s">
        <v>597</v>
      </c>
      <c r="B38" s="271">
        <f>K37</f>
        <v>169.55</v>
      </c>
      <c r="C38" s="271">
        <v>1865.5</v>
      </c>
      <c r="D38" s="224">
        <v>4839.1466508999993</v>
      </c>
      <c r="E38" s="224">
        <f>SUM(B38:D38)</f>
        <v>6874.1966508999994</v>
      </c>
      <c r="F38" s="237">
        <f t="shared" si="12"/>
        <v>6450</v>
      </c>
      <c r="G38" s="240">
        <v>1700</v>
      </c>
      <c r="H38" s="240">
        <f t="shared" si="4"/>
        <v>4750</v>
      </c>
      <c r="I38" s="271">
        <v>200.62065841999998</v>
      </c>
      <c r="J38" s="224">
        <f>+E38-K38</f>
        <v>6650.6206584199999</v>
      </c>
      <c r="K38" s="271">
        <v>223.57599247999951</v>
      </c>
      <c r="L38" s="304">
        <v>72</v>
      </c>
      <c r="M38" s="27"/>
      <c r="N38" s="27"/>
      <c r="Q38" s="12"/>
      <c r="R38" s="12"/>
      <c r="S38" s="12"/>
      <c r="T38" s="12"/>
      <c r="U38" s="12"/>
      <c r="V38" s="12"/>
    </row>
    <row r="39" spans="1:22">
      <c r="A39" t="s">
        <v>518</v>
      </c>
    </row>
    <row r="40" spans="1:22" ht="10.15" customHeight="1">
      <c r="A40" s="52" t="s">
        <v>543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</row>
    <row r="41" spans="1:22">
      <c r="A41" s="52" t="s">
        <v>529</v>
      </c>
    </row>
    <row r="42" spans="1:22">
      <c r="A42" s="52" t="s">
        <v>682</v>
      </c>
    </row>
    <row r="43" spans="1:22">
      <c r="A43" t="s">
        <v>706</v>
      </c>
    </row>
    <row r="44" spans="1:22">
      <c r="A44" t="s">
        <v>739</v>
      </c>
    </row>
    <row r="45" spans="1:22">
      <c r="L45" s="225" t="s">
        <v>592</v>
      </c>
      <c r="N45" s="78"/>
    </row>
  </sheetData>
  <phoneticPr fontId="0" type="noConversion"/>
  <pageMargins left="0.75" right="0.75" top="1" bottom="1" header="0.5" footer="0.5"/>
  <pageSetup scale="68" firstPageNumber="26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V47"/>
  <sheetViews>
    <sheetView zoomScaleNormal="100" zoomScaleSheetLayoutView="100" workbookViewId="0">
      <pane ySplit="5" topLeftCell="A6" activePane="bottomLeft" state="frozen"/>
      <selection pane="bottomLeft"/>
    </sheetView>
  </sheetViews>
  <sheetFormatPr defaultRowHeight="11.25"/>
  <cols>
    <col min="1" max="1" width="10.83203125" customWidth="1"/>
    <col min="2" max="9" width="11.83203125" style="7" customWidth="1"/>
    <col min="10" max="10" width="14.83203125" style="7" customWidth="1"/>
    <col min="11" max="11" width="10.6640625" customWidth="1"/>
    <col min="12" max="12" width="42.6640625" bestFit="1" customWidth="1"/>
  </cols>
  <sheetData>
    <row r="1" spans="1:10">
      <c r="A1" s="249" t="s">
        <v>639</v>
      </c>
      <c r="B1" s="9"/>
      <c r="C1" s="9"/>
      <c r="D1" s="9"/>
      <c r="E1" s="9"/>
      <c r="F1" s="9"/>
      <c r="G1" s="9"/>
      <c r="H1" s="9"/>
      <c r="I1" s="9"/>
      <c r="J1" s="9"/>
    </row>
    <row r="2" spans="1:10">
      <c r="A2" s="7" t="s">
        <v>15</v>
      </c>
      <c r="B2" s="4"/>
      <c r="C2" s="4" t="s">
        <v>75</v>
      </c>
      <c r="D2" s="4"/>
      <c r="E2" s="4"/>
      <c r="F2" s="121"/>
      <c r="G2" s="4" t="s">
        <v>73</v>
      </c>
      <c r="H2" s="120"/>
      <c r="I2" s="63"/>
      <c r="J2" s="121" t="s">
        <v>74</v>
      </c>
    </row>
    <row r="3" spans="1:10">
      <c r="A3" s="7" t="s">
        <v>59</v>
      </c>
      <c r="B3" s="7" t="s">
        <v>96</v>
      </c>
      <c r="C3" s="7" t="s">
        <v>172</v>
      </c>
      <c r="D3" s="7" t="s">
        <v>49</v>
      </c>
      <c r="E3" s="7" t="s">
        <v>2</v>
      </c>
      <c r="F3" s="109" t="s">
        <v>97</v>
      </c>
      <c r="G3" s="7" t="s">
        <v>50</v>
      </c>
      <c r="H3" s="112" t="s">
        <v>2</v>
      </c>
      <c r="I3" s="7" t="s">
        <v>98</v>
      </c>
      <c r="J3" s="109" t="s">
        <v>368</v>
      </c>
    </row>
    <row r="4" spans="1:10">
      <c r="A4" s="41" t="s">
        <v>95</v>
      </c>
      <c r="B4" s="9" t="s">
        <v>179</v>
      </c>
      <c r="C4" s="9"/>
      <c r="D4" s="9"/>
      <c r="E4" s="9"/>
      <c r="F4" s="116"/>
      <c r="G4" s="9"/>
      <c r="H4" s="114"/>
      <c r="I4" s="9" t="s">
        <v>66</v>
      </c>
      <c r="J4" s="116" t="s">
        <v>369</v>
      </c>
    </row>
    <row r="5" spans="1:10">
      <c r="A5" s="73"/>
      <c r="B5" s="150"/>
      <c r="C5" s="148"/>
      <c r="D5" s="148"/>
      <c r="E5" s="148" t="s">
        <v>130</v>
      </c>
      <c r="F5" s="148"/>
      <c r="G5" s="148"/>
      <c r="H5" s="148"/>
      <c r="I5" s="148"/>
      <c r="J5" s="150" t="s">
        <v>355</v>
      </c>
    </row>
    <row r="7" spans="1:10">
      <c r="A7" s="10" t="s">
        <v>6</v>
      </c>
      <c r="B7" s="63">
        <v>6</v>
      </c>
      <c r="C7" s="63">
        <v>28.838142016943259</v>
      </c>
      <c r="D7" s="63">
        <v>621.36742842568799</v>
      </c>
      <c r="E7" s="63">
        <f t="shared" ref="E7:E14" si="0">SUM(B7:D7)</f>
        <v>656.20557044263126</v>
      </c>
      <c r="F7" s="63">
        <f t="shared" ref="F7:F14" si="1">+H7-G7</f>
        <v>650.20557044263126</v>
      </c>
      <c r="G7" s="63">
        <v>0</v>
      </c>
      <c r="H7" s="63">
        <f t="shared" ref="H7:H34" si="2">+E7-I7</f>
        <v>650.20557044263126</v>
      </c>
      <c r="I7" s="63">
        <v>6</v>
      </c>
      <c r="J7" s="35">
        <v>130.63999999999999</v>
      </c>
    </row>
    <row r="8" spans="1:10">
      <c r="A8" s="10" t="s">
        <v>7</v>
      </c>
      <c r="B8" s="63">
        <f t="shared" ref="B8:B14" si="3">+I7</f>
        <v>6</v>
      </c>
      <c r="C8" s="63">
        <v>96.974640250672678</v>
      </c>
      <c r="D8" s="63">
        <v>603.4539134604961</v>
      </c>
      <c r="E8" s="63">
        <f t="shared" si="0"/>
        <v>706.42855371116877</v>
      </c>
      <c r="F8" s="63">
        <f t="shared" si="1"/>
        <v>700.42855371116877</v>
      </c>
      <c r="G8" s="63">
        <v>0</v>
      </c>
      <c r="H8" s="63">
        <f t="shared" si="2"/>
        <v>700.42855371116877</v>
      </c>
      <c r="I8" s="63">
        <v>6</v>
      </c>
      <c r="J8" s="35">
        <v>138</v>
      </c>
    </row>
    <row r="9" spans="1:10">
      <c r="A9" s="10" t="s">
        <v>8</v>
      </c>
      <c r="B9" s="63">
        <f t="shared" si="3"/>
        <v>6</v>
      </c>
      <c r="C9" s="63">
        <v>247.86450101494103</v>
      </c>
      <c r="D9" s="63">
        <v>779.89454544393016</v>
      </c>
      <c r="E9" s="63">
        <f t="shared" si="0"/>
        <v>1033.7590464588711</v>
      </c>
      <c r="F9" s="63">
        <f t="shared" si="1"/>
        <v>1027.7590464588711</v>
      </c>
      <c r="G9" s="63">
        <v>0</v>
      </c>
      <c r="H9" s="63">
        <f t="shared" si="2"/>
        <v>1027.7590464588711</v>
      </c>
      <c r="I9" s="63">
        <v>6</v>
      </c>
      <c r="J9" s="35">
        <v>129</v>
      </c>
    </row>
    <row r="10" spans="1:10">
      <c r="A10" s="10" t="s">
        <v>9</v>
      </c>
      <c r="B10" s="63">
        <f t="shared" si="3"/>
        <v>6</v>
      </c>
      <c r="C10" s="63">
        <v>253.78064028029596</v>
      </c>
      <c r="D10" s="63">
        <v>815.05850885234997</v>
      </c>
      <c r="E10" s="63">
        <f t="shared" si="0"/>
        <v>1074.8391491326461</v>
      </c>
      <c r="F10" s="63">
        <f t="shared" si="1"/>
        <v>1064.8391491326461</v>
      </c>
      <c r="G10" s="63">
        <v>4</v>
      </c>
      <c r="H10" s="63">
        <f t="shared" si="2"/>
        <v>1068.8391491326461</v>
      </c>
      <c r="I10" s="63">
        <v>6</v>
      </c>
      <c r="J10" s="35">
        <v>128.01</v>
      </c>
    </row>
    <row r="11" spans="1:10">
      <c r="A11" s="10" t="s">
        <v>10</v>
      </c>
      <c r="B11" s="63">
        <f t="shared" si="3"/>
        <v>6</v>
      </c>
      <c r="C11" s="63">
        <v>251.64788506738839</v>
      </c>
      <c r="D11" s="63">
        <v>1012.6530114211981</v>
      </c>
      <c r="E11" s="63">
        <f t="shared" si="0"/>
        <v>1270.3008964885867</v>
      </c>
      <c r="F11" s="63">
        <f t="shared" si="1"/>
        <v>1262.3008964885867</v>
      </c>
      <c r="G11" s="63">
        <v>2</v>
      </c>
      <c r="H11" s="63">
        <f t="shared" si="2"/>
        <v>1264.3008964885867</v>
      </c>
      <c r="I11" s="63">
        <v>6</v>
      </c>
      <c r="J11" s="35">
        <v>177.22</v>
      </c>
    </row>
    <row r="12" spans="1:10">
      <c r="A12" s="10" t="s">
        <v>11</v>
      </c>
      <c r="B12" s="63">
        <f t="shared" si="3"/>
        <v>6</v>
      </c>
      <c r="C12" s="63">
        <v>285.10726968724788</v>
      </c>
      <c r="D12" s="63">
        <v>954.43172332722895</v>
      </c>
      <c r="E12" s="63">
        <f t="shared" si="0"/>
        <v>1245.5389930144768</v>
      </c>
      <c r="F12" s="63">
        <f t="shared" si="1"/>
        <v>1229.5389930144768</v>
      </c>
      <c r="G12" s="63">
        <v>10</v>
      </c>
      <c r="H12" s="63">
        <f t="shared" si="2"/>
        <v>1239.5389930144768</v>
      </c>
      <c r="I12" s="63">
        <v>6</v>
      </c>
      <c r="J12" s="35">
        <v>192.02</v>
      </c>
    </row>
    <row r="13" spans="1:10">
      <c r="A13" s="10" t="s">
        <v>12</v>
      </c>
      <c r="B13" s="63">
        <f t="shared" si="3"/>
        <v>6</v>
      </c>
      <c r="C13" s="63">
        <v>392.18618390408676</v>
      </c>
      <c r="D13" s="63">
        <v>1372</v>
      </c>
      <c r="E13" s="63">
        <f t="shared" si="0"/>
        <v>1770.1861839040866</v>
      </c>
      <c r="F13" s="63">
        <f t="shared" si="1"/>
        <v>1746.1861839040866</v>
      </c>
      <c r="G13" s="63">
        <v>18</v>
      </c>
      <c r="H13" s="63">
        <f t="shared" si="2"/>
        <v>1764.1861839040866</v>
      </c>
      <c r="I13" s="63">
        <v>6</v>
      </c>
      <c r="J13" s="35">
        <v>131.15</v>
      </c>
    </row>
    <row r="14" spans="1:10">
      <c r="A14" s="10" t="s">
        <v>13</v>
      </c>
      <c r="B14" s="63">
        <f t="shared" si="3"/>
        <v>6</v>
      </c>
      <c r="C14" s="63">
        <v>450.12038629817573</v>
      </c>
      <c r="D14" s="63">
        <v>1194</v>
      </c>
      <c r="E14" s="63">
        <f t="shared" si="0"/>
        <v>1650.1203862981756</v>
      </c>
      <c r="F14" s="63">
        <f t="shared" si="1"/>
        <v>1637.1203862981756</v>
      </c>
      <c r="G14" s="63">
        <v>7</v>
      </c>
      <c r="H14" s="63">
        <f t="shared" si="2"/>
        <v>1644.1203862981756</v>
      </c>
      <c r="I14" s="63">
        <v>6</v>
      </c>
      <c r="J14" s="35">
        <v>112.28</v>
      </c>
    </row>
    <row r="15" spans="1:10">
      <c r="A15" s="10" t="s">
        <v>14</v>
      </c>
      <c r="B15" s="63">
        <f t="shared" ref="B15:B20" si="4">+I14</f>
        <v>6</v>
      </c>
      <c r="C15" s="63">
        <v>504.30103871683468</v>
      </c>
      <c r="D15" s="63">
        <v>1260</v>
      </c>
      <c r="E15" s="63">
        <f t="shared" ref="E15:E20" si="5">SUM(B15:D15)</f>
        <v>1770.3010387168347</v>
      </c>
      <c r="F15" s="63">
        <f t="shared" ref="F15:F20" si="6">+H15-G15</f>
        <v>1752.3010387168347</v>
      </c>
      <c r="G15" s="63">
        <v>12</v>
      </c>
      <c r="H15" s="63">
        <f t="shared" si="2"/>
        <v>1764.3010387168347</v>
      </c>
      <c r="I15" s="63">
        <v>6</v>
      </c>
      <c r="J15" s="35">
        <v>117.07</v>
      </c>
    </row>
    <row r="16" spans="1:10">
      <c r="A16" s="10" t="s">
        <v>397</v>
      </c>
      <c r="B16" s="63">
        <f t="shared" si="4"/>
        <v>6</v>
      </c>
      <c r="C16" s="63">
        <v>543.83510300756132</v>
      </c>
      <c r="D16" s="63">
        <v>1178.2602279000002</v>
      </c>
      <c r="E16" s="63">
        <f t="shared" si="5"/>
        <v>1728.0953309075617</v>
      </c>
      <c r="F16" s="63">
        <f t="shared" si="6"/>
        <v>1711.0953309075617</v>
      </c>
      <c r="G16" s="63">
        <v>11</v>
      </c>
      <c r="H16" s="63">
        <f t="shared" si="2"/>
        <v>1722.0953309075617</v>
      </c>
      <c r="I16" s="63">
        <v>6</v>
      </c>
      <c r="J16" s="35">
        <v>139.19999999999999</v>
      </c>
    </row>
    <row r="17" spans="1:10">
      <c r="A17" s="10" t="s">
        <v>210</v>
      </c>
      <c r="B17" s="63">
        <f t="shared" si="4"/>
        <v>6</v>
      </c>
      <c r="C17" s="63">
        <v>449.6311039469694</v>
      </c>
      <c r="D17" s="63">
        <v>921.31153380000001</v>
      </c>
      <c r="E17" s="63">
        <f t="shared" si="5"/>
        <v>1376.9426377469695</v>
      </c>
      <c r="F17" s="63">
        <f t="shared" si="6"/>
        <v>1362.9426377469695</v>
      </c>
      <c r="G17" s="63">
        <v>8</v>
      </c>
      <c r="H17" s="63">
        <f t="shared" si="2"/>
        <v>1370.9426377469695</v>
      </c>
      <c r="I17" s="63">
        <v>6</v>
      </c>
      <c r="J17" s="35">
        <v>143.33000000000001</v>
      </c>
    </row>
    <row r="18" spans="1:10">
      <c r="A18" s="10" t="s">
        <v>217</v>
      </c>
      <c r="B18" s="63">
        <f t="shared" si="4"/>
        <v>6</v>
      </c>
      <c r="C18" s="63">
        <v>386.96994350287861</v>
      </c>
      <c r="D18" s="63">
        <v>1012.9135779000001</v>
      </c>
      <c r="E18" s="63">
        <f t="shared" si="5"/>
        <v>1405.8835214028786</v>
      </c>
      <c r="F18" s="63">
        <f t="shared" si="6"/>
        <v>1366.0435214028787</v>
      </c>
      <c r="G18" s="63">
        <v>33.840000000000003</v>
      </c>
      <c r="H18" s="63">
        <f t="shared" si="2"/>
        <v>1399.8835214028786</v>
      </c>
      <c r="I18" s="63">
        <v>6</v>
      </c>
      <c r="J18" s="35">
        <v>144.13</v>
      </c>
    </row>
    <row r="19" spans="1:10">
      <c r="A19" s="10" t="s">
        <v>398</v>
      </c>
      <c r="B19" s="63">
        <f t="shared" si="4"/>
        <v>6</v>
      </c>
      <c r="C19" s="63">
        <v>467.23885481606919</v>
      </c>
      <c r="D19" s="63">
        <v>1637.7034527000001</v>
      </c>
      <c r="E19" s="63">
        <f t="shared" si="5"/>
        <v>2110.9423075160694</v>
      </c>
      <c r="F19" s="63">
        <f t="shared" si="6"/>
        <v>2065.5898048160693</v>
      </c>
      <c r="G19" s="63">
        <v>39.352502700000002</v>
      </c>
      <c r="H19" s="63">
        <f t="shared" si="2"/>
        <v>2104.9423075160694</v>
      </c>
      <c r="I19" s="63">
        <v>6</v>
      </c>
      <c r="J19" s="35">
        <v>188.45</v>
      </c>
    </row>
    <row r="20" spans="1:10">
      <c r="A20" s="10" t="s">
        <v>222</v>
      </c>
      <c r="B20" s="63">
        <f t="shared" si="4"/>
        <v>6</v>
      </c>
      <c r="C20" s="63">
        <v>604.94714877737988</v>
      </c>
      <c r="D20" s="63">
        <v>1470.9237984000001</v>
      </c>
      <c r="E20" s="63">
        <f t="shared" si="5"/>
        <v>2081.87094717738</v>
      </c>
      <c r="F20" s="63">
        <f t="shared" si="6"/>
        <v>2041.6993061773801</v>
      </c>
      <c r="G20" s="63">
        <v>34.171641000000001</v>
      </c>
      <c r="H20" s="63">
        <f t="shared" si="2"/>
        <v>2075.87094717738</v>
      </c>
      <c r="I20" s="63">
        <v>6</v>
      </c>
      <c r="J20" s="35">
        <v>139.75</v>
      </c>
    </row>
    <row r="21" spans="1:10">
      <c r="A21" s="10" t="s">
        <v>225</v>
      </c>
      <c r="B21" s="63">
        <f t="shared" ref="B21:B26" si="7">+I20</f>
        <v>6</v>
      </c>
      <c r="C21" s="63">
        <v>629.324814358357</v>
      </c>
      <c r="D21" s="63">
        <v>1610.6968332000001</v>
      </c>
      <c r="E21" s="63">
        <f t="shared" ref="E21:E26" si="8">SUM(B21:D21)</f>
        <v>2246.021647558357</v>
      </c>
      <c r="F21" s="63">
        <f t="shared" ref="F21:F26" si="9">+H21-G21</f>
        <v>2185.9643161183571</v>
      </c>
      <c r="G21" s="63">
        <v>54.057331439999999</v>
      </c>
      <c r="H21" s="63">
        <f t="shared" si="2"/>
        <v>2240.021647558357</v>
      </c>
      <c r="I21" s="63">
        <v>6</v>
      </c>
      <c r="J21" s="35">
        <v>140.52000000000001</v>
      </c>
    </row>
    <row r="22" spans="1:10">
      <c r="A22" s="10" t="s">
        <v>227</v>
      </c>
      <c r="B22" s="63">
        <f t="shared" si="7"/>
        <v>6</v>
      </c>
      <c r="C22" s="63">
        <v>610.60179438910779</v>
      </c>
      <c r="D22" s="63">
        <v>1650.6004914000002</v>
      </c>
      <c r="E22" s="63">
        <f t="shared" si="8"/>
        <v>2267.2022857891079</v>
      </c>
      <c r="F22" s="63">
        <f t="shared" si="9"/>
        <v>2195.1522857891077</v>
      </c>
      <c r="G22" s="63">
        <v>66.05</v>
      </c>
      <c r="H22" s="63">
        <f t="shared" si="2"/>
        <v>2261.2022857891079</v>
      </c>
      <c r="I22" s="63">
        <v>6</v>
      </c>
      <c r="J22" s="35">
        <v>173.5</v>
      </c>
    </row>
    <row r="23" spans="1:10">
      <c r="A23" s="10" t="s">
        <v>232</v>
      </c>
      <c r="B23" s="63">
        <f t="shared" si="7"/>
        <v>6</v>
      </c>
      <c r="C23" s="63">
        <v>692.27360396579479</v>
      </c>
      <c r="D23" s="63">
        <v>1999.4819229000002</v>
      </c>
      <c r="E23" s="63">
        <f t="shared" si="8"/>
        <v>2697.7555268657952</v>
      </c>
      <c r="F23" s="63">
        <f t="shared" si="9"/>
        <v>2583.0255268657952</v>
      </c>
      <c r="G23" s="63">
        <v>108.73</v>
      </c>
      <c r="H23" s="63">
        <f t="shared" si="2"/>
        <v>2691.7555268657952</v>
      </c>
      <c r="I23" s="63">
        <v>6</v>
      </c>
      <c r="J23" s="35">
        <v>251.33</v>
      </c>
    </row>
    <row r="24" spans="1:10">
      <c r="A24" s="10" t="s">
        <v>231</v>
      </c>
      <c r="B24" s="63">
        <f t="shared" si="7"/>
        <v>6</v>
      </c>
      <c r="C24" s="63">
        <v>731</v>
      </c>
      <c r="D24" s="63">
        <v>1867.29</v>
      </c>
      <c r="E24" s="63">
        <f t="shared" si="8"/>
        <v>2604.29</v>
      </c>
      <c r="F24" s="63">
        <f t="shared" si="9"/>
        <v>2523.4229999999998</v>
      </c>
      <c r="G24" s="63">
        <v>74.867000000000004</v>
      </c>
      <c r="H24" s="63">
        <f t="shared" si="2"/>
        <v>2598.29</v>
      </c>
      <c r="I24" s="63">
        <v>6</v>
      </c>
      <c r="J24" s="35">
        <v>248.82</v>
      </c>
    </row>
    <row r="25" spans="1:10">
      <c r="A25" s="55" t="s">
        <v>234</v>
      </c>
      <c r="B25" s="63">
        <f t="shared" si="7"/>
        <v>6</v>
      </c>
      <c r="C25" s="63">
        <v>736</v>
      </c>
      <c r="D25" s="63">
        <v>1277.8199466008132</v>
      </c>
      <c r="E25" s="63">
        <f t="shared" si="8"/>
        <v>2019.8199466008132</v>
      </c>
      <c r="F25" s="63">
        <f t="shared" si="9"/>
        <v>1983.9319466008133</v>
      </c>
      <c r="G25" s="63">
        <v>29.888000000000002</v>
      </c>
      <c r="H25" s="63">
        <f t="shared" si="2"/>
        <v>2013.8199466008132</v>
      </c>
      <c r="I25" s="63">
        <v>6</v>
      </c>
      <c r="J25" s="35">
        <v>224.92</v>
      </c>
    </row>
    <row r="26" spans="1:10">
      <c r="A26" s="55" t="s">
        <v>236</v>
      </c>
      <c r="B26" s="63">
        <f t="shared" si="7"/>
        <v>6</v>
      </c>
      <c r="C26" s="63">
        <v>788</v>
      </c>
      <c r="D26" s="63">
        <v>2251.8323443004756</v>
      </c>
      <c r="E26" s="63">
        <f t="shared" si="8"/>
        <v>3045.8323443004756</v>
      </c>
      <c r="F26" s="63">
        <f t="shared" si="9"/>
        <v>2967.9240716815098</v>
      </c>
      <c r="G26" s="63">
        <v>71.908272618965995</v>
      </c>
      <c r="H26" s="63">
        <f t="shared" si="2"/>
        <v>3039.8323443004756</v>
      </c>
      <c r="I26" s="63">
        <v>6</v>
      </c>
      <c r="J26" s="35">
        <v>263.63</v>
      </c>
    </row>
    <row r="27" spans="1:10">
      <c r="A27" s="55" t="s">
        <v>246</v>
      </c>
      <c r="B27" s="63">
        <f t="shared" ref="B27:B38" si="10">+I26</f>
        <v>6</v>
      </c>
      <c r="C27" s="63">
        <v>753</v>
      </c>
      <c r="D27" s="63">
        <v>3077.5660583688714</v>
      </c>
      <c r="E27" s="63">
        <f t="shared" ref="E27:E32" si="11">SUM(B27:D27)</f>
        <v>3836.5660583688714</v>
      </c>
      <c r="F27" s="63">
        <f t="shared" ref="F27:F38" si="12">+H27-G27</f>
        <v>3752.9656435480192</v>
      </c>
      <c r="G27" s="63">
        <v>77.600414820851995</v>
      </c>
      <c r="H27" s="63">
        <f t="shared" si="2"/>
        <v>3830.5660583688714</v>
      </c>
      <c r="I27" s="63">
        <v>6</v>
      </c>
      <c r="J27" s="35">
        <v>307.58999999999997</v>
      </c>
    </row>
    <row r="28" spans="1:10">
      <c r="A28" s="55" t="s">
        <v>241</v>
      </c>
      <c r="B28" s="63">
        <f t="shared" si="10"/>
        <v>6</v>
      </c>
      <c r="C28" s="63">
        <v>889</v>
      </c>
      <c r="D28" s="63">
        <v>3442.72255</v>
      </c>
      <c r="E28" s="63">
        <f t="shared" si="11"/>
        <v>4337.7225500000004</v>
      </c>
      <c r="F28" s="63">
        <f t="shared" si="12"/>
        <v>4259.5063589286056</v>
      </c>
      <c r="G28" s="63">
        <v>72.216191071395002</v>
      </c>
      <c r="H28" s="63">
        <f t="shared" si="2"/>
        <v>4331.7225500000004</v>
      </c>
      <c r="I28" s="63">
        <v>6</v>
      </c>
      <c r="J28" s="35">
        <v>354.22</v>
      </c>
    </row>
    <row r="29" spans="1:10">
      <c r="A29" s="55" t="s">
        <v>259</v>
      </c>
      <c r="B29" s="63">
        <f t="shared" si="10"/>
        <v>6</v>
      </c>
      <c r="C29" s="63">
        <v>1069</v>
      </c>
      <c r="D29" s="63">
        <v>3730.9090000000001</v>
      </c>
      <c r="E29" s="63">
        <f t="shared" si="11"/>
        <v>4805.9089999999997</v>
      </c>
      <c r="F29" s="63">
        <f t="shared" si="12"/>
        <v>4750.2506147706381</v>
      </c>
      <c r="G29" s="63">
        <v>49.658385229362004</v>
      </c>
      <c r="H29" s="63">
        <f t="shared" si="2"/>
        <v>4799.9089999999997</v>
      </c>
      <c r="I29" s="63">
        <v>6</v>
      </c>
      <c r="J29" s="35">
        <v>359.7</v>
      </c>
    </row>
    <row r="30" spans="1:10">
      <c r="A30" s="55" t="s">
        <v>258</v>
      </c>
      <c r="B30" s="63">
        <f t="shared" si="10"/>
        <v>6</v>
      </c>
      <c r="C30" s="63">
        <v>1071</v>
      </c>
      <c r="D30" s="63">
        <v>3857.7159999999999</v>
      </c>
      <c r="E30" s="63">
        <f t="shared" si="11"/>
        <v>4934.7160000000003</v>
      </c>
      <c r="F30" s="63">
        <f t="shared" si="12"/>
        <v>4890.8440000000001</v>
      </c>
      <c r="G30" s="63">
        <v>37.872</v>
      </c>
      <c r="H30" s="63">
        <f t="shared" si="2"/>
        <v>4928.7160000000003</v>
      </c>
      <c r="I30" s="63">
        <v>6</v>
      </c>
      <c r="J30" s="35">
        <v>301.2</v>
      </c>
    </row>
    <row r="31" spans="1:10">
      <c r="A31" s="55" t="s">
        <v>260</v>
      </c>
      <c r="B31" s="63">
        <f t="shared" si="10"/>
        <v>6</v>
      </c>
      <c r="C31" s="63">
        <v>1066.692</v>
      </c>
      <c r="D31" s="63">
        <v>4004.279897125663</v>
      </c>
      <c r="E31" s="63">
        <f t="shared" si="11"/>
        <v>5076.9718971256625</v>
      </c>
      <c r="F31" s="63">
        <f t="shared" si="12"/>
        <v>4974.7187344344875</v>
      </c>
      <c r="G31" s="63">
        <v>96.253162691174992</v>
      </c>
      <c r="H31" s="63">
        <f t="shared" si="2"/>
        <v>5070.9718971256625</v>
      </c>
      <c r="I31" s="63">
        <v>6</v>
      </c>
      <c r="J31" s="35">
        <v>262.2</v>
      </c>
    </row>
    <row r="32" spans="1:10">
      <c r="A32" s="55" t="s">
        <v>262</v>
      </c>
      <c r="B32" s="63">
        <f t="shared" si="10"/>
        <v>6</v>
      </c>
      <c r="C32" s="63">
        <v>1181.261</v>
      </c>
      <c r="D32" s="63">
        <v>3892.7310482591997</v>
      </c>
      <c r="E32" s="63">
        <f t="shared" si="11"/>
        <v>5079.9920482591997</v>
      </c>
      <c r="F32" s="63">
        <f t="shared" si="12"/>
        <v>5010.4703274841277</v>
      </c>
      <c r="G32" s="63">
        <v>63.521720775071998</v>
      </c>
      <c r="H32" s="63">
        <f t="shared" si="2"/>
        <v>5073.9920482591997</v>
      </c>
      <c r="I32" s="63">
        <v>6</v>
      </c>
      <c r="J32" s="35">
        <v>267.94</v>
      </c>
    </row>
    <row r="33" spans="1:22">
      <c r="A33" s="254" t="s">
        <v>296</v>
      </c>
      <c r="B33" s="305">
        <f t="shared" si="10"/>
        <v>6</v>
      </c>
      <c r="C33" s="305">
        <v>1080.0899999999999</v>
      </c>
      <c r="D33" s="305">
        <v>3566.6254673625413</v>
      </c>
      <c r="E33" s="305">
        <f t="shared" ref="E33:E38" si="13">SUM(B33:D33)</f>
        <v>4652.7154673625409</v>
      </c>
      <c r="F33" s="305">
        <f t="shared" si="12"/>
        <v>4616.1393357834986</v>
      </c>
      <c r="G33" s="305">
        <v>30.576131579041991</v>
      </c>
      <c r="H33" s="305">
        <f t="shared" si="2"/>
        <v>4646.7154673625409</v>
      </c>
      <c r="I33" s="305">
        <v>6</v>
      </c>
      <c r="J33" s="306">
        <v>291.14999999999998</v>
      </c>
    </row>
    <row r="34" spans="1:22">
      <c r="A34" s="254" t="s">
        <v>295</v>
      </c>
      <c r="B34" s="305">
        <f t="shared" si="10"/>
        <v>6</v>
      </c>
      <c r="C34" s="305">
        <v>1036.7829999999999</v>
      </c>
      <c r="D34" s="305">
        <v>3592.4753289688269</v>
      </c>
      <c r="E34" s="305">
        <f t="shared" si="13"/>
        <v>4635.2583289688264</v>
      </c>
      <c r="F34" s="305">
        <f t="shared" si="12"/>
        <v>4609.6705876835194</v>
      </c>
      <c r="G34" s="305">
        <v>19.587741285306993</v>
      </c>
      <c r="H34" s="305">
        <f t="shared" si="2"/>
        <v>4629.2583289688264</v>
      </c>
      <c r="I34" s="305">
        <v>6</v>
      </c>
      <c r="J34" s="306">
        <v>272.38</v>
      </c>
    </row>
    <row r="35" spans="1:22">
      <c r="A35" s="254" t="s">
        <v>334</v>
      </c>
      <c r="B35" s="305">
        <f t="shared" si="10"/>
        <v>6</v>
      </c>
      <c r="C35" s="305">
        <v>1210.7560000000001</v>
      </c>
      <c r="D35" s="305">
        <v>3832.630602984239</v>
      </c>
      <c r="E35" s="305">
        <f t="shared" si="13"/>
        <v>5049.3866029842393</v>
      </c>
      <c r="F35" s="305">
        <f t="shared" si="12"/>
        <v>4992.9465024545816</v>
      </c>
      <c r="G35" s="305">
        <v>14.365100529657997</v>
      </c>
      <c r="H35" s="305">
        <f>+E35-I35</f>
        <v>5007.3116029842395</v>
      </c>
      <c r="I35" s="305">
        <v>42.075000000000003</v>
      </c>
      <c r="J35" s="306">
        <v>273.99</v>
      </c>
    </row>
    <row r="36" spans="1:22">
      <c r="A36" s="254" t="s">
        <v>350</v>
      </c>
      <c r="B36" s="305">
        <f t="shared" si="10"/>
        <v>42.075000000000003</v>
      </c>
      <c r="C36" s="305">
        <v>1229.924</v>
      </c>
      <c r="D36" s="305">
        <v>3960.4368752797477</v>
      </c>
      <c r="E36" s="305">
        <f t="shared" si="13"/>
        <v>5232.435875279748</v>
      </c>
      <c r="F36" s="305">
        <f t="shared" si="12"/>
        <v>5181.9063149175736</v>
      </c>
      <c r="G36" s="305">
        <v>14.126560362173997</v>
      </c>
      <c r="H36" s="305">
        <f>+E36-I36</f>
        <v>5196.0328752797477</v>
      </c>
      <c r="I36" s="305">
        <v>36.402999999999999</v>
      </c>
      <c r="J36" s="306">
        <v>351.87</v>
      </c>
    </row>
    <row r="37" spans="1:22">
      <c r="A37" s="254" t="s">
        <v>615</v>
      </c>
      <c r="B37" s="305">
        <f t="shared" si="10"/>
        <v>36.402999999999999</v>
      </c>
      <c r="C37" s="305">
        <v>1088.654</v>
      </c>
      <c r="D37" s="305">
        <v>3168.3948934035443</v>
      </c>
      <c r="E37" s="305">
        <f t="shared" si="13"/>
        <v>4293.4518934035441</v>
      </c>
      <c r="F37" s="305">
        <f t="shared" si="12"/>
        <v>4240.4200988795055</v>
      </c>
      <c r="G37" s="305">
        <v>10.589794524038997</v>
      </c>
      <c r="H37" s="305">
        <f>+E37-I37</f>
        <v>4251.0098934035441</v>
      </c>
      <c r="I37" s="305">
        <v>42.442</v>
      </c>
      <c r="J37" s="306">
        <v>439.1</v>
      </c>
    </row>
    <row r="38" spans="1:22">
      <c r="A38" s="256" t="s">
        <v>614</v>
      </c>
      <c r="B38" s="307">
        <f t="shared" si="10"/>
        <v>42.442</v>
      </c>
      <c r="C38" s="307">
        <v>1296.75</v>
      </c>
      <c r="D38" s="307">
        <v>3701.5613789799991</v>
      </c>
      <c r="E38" s="307">
        <f t="shared" si="13"/>
        <v>5040.7533789799991</v>
      </c>
      <c r="F38" s="307">
        <f t="shared" si="12"/>
        <v>4984.218709329999</v>
      </c>
      <c r="G38" s="307">
        <v>16.534669649999994</v>
      </c>
      <c r="H38" s="307">
        <f>+E38-I38</f>
        <v>5000.7533789799991</v>
      </c>
      <c r="I38" s="307">
        <v>40</v>
      </c>
      <c r="J38" s="308">
        <v>445</v>
      </c>
    </row>
    <row r="39" spans="1:22" s="6" customFormat="1">
      <c r="A39" s="52" t="s">
        <v>514</v>
      </c>
      <c r="B39" s="145"/>
      <c r="C39" s="145"/>
      <c r="D39" s="145"/>
      <c r="E39" s="145"/>
      <c r="F39" s="145"/>
      <c r="G39" s="145"/>
      <c r="H39" s="145"/>
      <c r="I39" s="145"/>
      <c r="J39" s="145"/>
    </row>
    <row r="40" spans="1:22" s="6" customFormat="1">
      <c r="A40" t="s">
        <v>736</v>
      </c>
      <c r="B40" s="145"/>
      <c r="C40" s="145"/>
      <c r="D40" s="145"/>
      <c r="E40" s="145"/>
      <c r="F40" s="145"/>
      <c r="G40" s="145"/>
      <c r="H40" s="145"/>
      <c r="I40" s="145"/>
      <c r="J40" s="145"/>
    </row>
    <row r="41" spans="1:22">
      <c r="A41" t="s">
        <v>738</v>
      </c>
      <c r="L41" s="12"/>
      <c r="M41" s="12"/>
      <c r="N41" s="12"/>
      <c r="O41" s="12"/>
      <c r="Q41" s="12"/>
      <c r="R41" s="12"/>
      <c r="S41" s="12"/>
      <c r="T41" s="12"/>
      <c r="V41" s="40"/>
    </row>
    <row r="42" spans="1:22">
      <c r="A42" t="s">
        <v>737</v>
      </c>
      <c r="I42" s="51"/>
      <c r="L42" s="12"/>
      <c r="M42" s="12"/>
      <c r="N42" s="12"/>
      <c r="O42" s="12"/>
      <c r="Q42" s="12"/>
      <c r="R42" s="12"/>
      <c r="S42" s="12"/>
      <c r="T42" s="12"/>
      <c r="V42" s="40"/>
    </row>
    <row r="43" spans="1:22">
      <c r="J43" s="225" t="s">
        <v>592</v>
      </c>
      <c r="L43" s="12"/>
      <c r="M43" s="12"/>
      <c r="N43" s="12"/>
      <c r="O43" s="12"/>
      <c r="Q43" s="12"/>
      <c r="R43" s="12"/>
      <c r="S43" s="12"/>
      <c r="T43" s="12"/>
      <c r="V43" s="40"/>
    </row>
    <row r="44" spans="1:22">
      <c r="F44" s="63"/>
      <c r="L44" s="12"/>
      <c r="M44" s="12"/>
      <c r="N44" s="12"/>
      <c r="O44" s="12"/>
      <c r="Q44" s="12"/>
      <c r="R44" s="12"/>
      <c r="S44" s="12"/>
      <c r="T44" s="12"/>
      <c r="V44" s="40"/>
    </row>
    <row r="45" spans="1:22">
      <c r="L45" s="12"/>
      <c r="M45" s="12"/>
      <c r="N45" s="12"/>
      <c r="O45" s="12"/>
      <c r="Q45" s="12"/>
      <c r="R45" s="12"/>
      <c r="S45" s="12"/>
      <c r="T45" s="12"/>
      <c r="V45" s="40"/>
    </row>
    <row r="46" spans="1:22">
      <c r="L46" s="12"/>
      <c r="M46" s="12"/>
      <c r="N46" s="12"/>
      <c r="O46" s="12"/>
      <c r="Q46" s="12"/>
      <c r="R46" s="12"/>
      <c r="S46" s="12"/>
      <c r="T46" s="12"/>
      <c r="V46" s="40"/>
    </row>
    <row r="47" spans="1:22">
      <c r="L47" s="12"/>
      <c r="M47" s="12"/>
      <c r="N47" s="12"/>
      <c r="O47" s="12"/>
      <c r="Q47" s="12"/>
      <c r="R47" s="12"/>
      <c r="S47" s="12"/>
      <c r="T47" s="12"/>
      <c r="V47" s="40"/>
    </row>
  </sheetData>
  <phoneticPr fontId="0" type="noConversion"/>
  <pageMargins left="0.75" right="0.75" top="1" bottom="1" header="0.5" footer="0.5"/>
  <pageSetup scale="85" firstPageNumber="27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Q50"/>
  <sheetViews>
    <sheetView zoomScaleNormal="100" zoomScaleSheetLayoutView="100" workbookViewId="0">
      <pane ySplit="3" topLeftCell="A4" activePane="bottomLeft" state="frozen"/>
      <selection pane="bottomLeft"/>
    </sheetView>
  </sheetViews>
  <sheetFormatPr defaultRowHeight="11.25"/>
  <cols>
    <col min="1" max="1" width="15.33203125" customWidth="1"/>
    <col min="2" max="6" width="20.6640625" customWidth="1"/>
    <col min="8" max="8" width="15.83203125" customWidth="1"/>
    <col min="14" max="14" width="13.33203125" bestFit="1" customWidth="1"/>
    <col min="17" max="17" width="13.5" customWidth="1"/>
  </cols>
  <sheetData>
    <row r="1" spans="1:8">
      <c r="A1" s="249" t="s">
        <v>667</v>
      </c>
      <c r="B1" s="1"/>
      <c r="C1" s="1"/>
      <c r="D1" s="1"/>
      <c r="E1" s="1"/>
      <c r="F1" s="1"/>
    </row>
    <row r="2" spans="1:8">
      <c r="A2" s="1" t="s">
        <v>15</v>
      </c>
      <c r="B2" s="9" t="s">
        <v>36</v>
      </c>
      <c r="C2" s="9" t="s">
        <v>37</v>
      </c>
      <c r="D2" s="9" t="s">
        <v>54</v>
      </c>
      <c r="E2" s="9" t="s">
        <v>40</v>
      </c>
      <c r="F2" s="131" t="s">
        <v>41</v>
      </c>
    </row>
    <row r="3" spans="1:8">
      <c r="A3" s="73"/>
      <c r="B3" s="171" t="s">
        <v>403</v>
      </c>
      <c r="C3" s="150"/>
      <c r="D3" s="150" t="s">
        <v>44</v>
      </c>
      <c r="E3" s="150" t="s">
        <v>3</v>
      </c>
      <c r="F3" s="151" t="s">
        <v>364</v>
      </c>
    </row>
    <row r="4" spans="1:8">
      <c r="B4" s="7"/>
      <c r="C4" s="7"/>
      <c r="D4" s="7"/>
      <c r="E4" s="7"/>
      <c r="F4" s="8"/>
    </row>
    <row r="5" spans="1:8">
      <c r="A5" s="10">
        <v>1980</v>
      </c>
      <c r="B5" s="16">
        <v>759</v>
      </c>
      <c r="C5" s="16">
        <v>663</v>
      </c>
      <c r="D5" s="25">
        <v>11.7</v>
      </c>
      <c r="E5" s="16">
        <v>7728</v>
      </c>
      <c r="F5" s="16">
        <v>57051</v>
      </c>
      <c r="H5" s="16"/>
    </row>
    <row r="6" spans="1:8">
      <c r="A6" s="10">
        <v>1981</v>
      </c>
      <c r="B6" s="16">
        <v>605</v>
      </c>
      <c r="C6" s="16">
        <v>577</v>
      </c>
      <c r="D6" s="25">
        <v>12.6</v>
      </c>
      <c r="E6" s="16">
        <v>7289</v>
      </c>
      <c r="F6" s="16">
        <v>52453</v>
      </c>
      <c r="H6" s="16"/>
    </row>
    <row r="7" spans="1:8">
      <c r="A7" s="10">
        <v>1982</v>
      </c>
      <c r="B7" s="16">
        <v>780</v>
      </c>
      <c r="C7" s="16">
        <v>735</v>
      </c>
      <c r="D7" s="25">
        <v>14</v>
      </c>
      <c r="E7" s="16">
        <v>10278</v>
      </c>
      <c r="F7" s="16">
        <v>53341</v>
      </c>
      <c r="H7" s="16"/>
    </row>
    <row r="8" spans="1:8">
      <c r="A8" s="10">
        <v>1983</v>
      </c>
      <c r="B8" s="16">
        <v>605</v>
      </c>
      <c r="C8" s="16">
        <v>580</v>
      </c>
      <c r="D8" s="25">
        <v>11.9</v>
      </c>
      <c r="E8" s="16">
        <v>6903</v>
      </c>
      <c r="F8" s="16">
        <v>46925</v>
      </c>
      <c r="H8" s="16"/>
    </row>
    <row r="9" spans="1:8">
      <c r="A9" s="10">
        <v>1984</v>
      </c>
      <c r="B9" s="16">
        <v>555</v>
      </c>
      <c r="C9" s="16">
        <v>538</v>
      </c>
      <c r="D9" s="25">
        <v>13.1</v>
      </c>
      <c r="E9" s="16">
        <v>7022</v>
      </c>
      <c r="F9" s="16">
        <v>42739</v>
      </c>
      <c r="H9" s="16"/>
    </row>
    <row r="10" spans="1:8">
      <c r="A10" s="10">
        <v>1985</v>
      </c>
      <c r="B10" s="16">
        <v>620</v>
      </c>
      <c r="C10" s="16">
        <v>584</v>
      </c>
      <c r="D10" s="25">
        <v>14.2</v>
      </c>
      <c r="E10" s="16">
        <v>8293</v>
      </c>
      <c r="F10" s="16">
        <v>41912</v>
      </c>
      <c r="H10" s="16"/>
    </row>
    <row r="11" spans="1:8">
      <c r="A11" s="10">
        <v>1986</v>
      </c>
      <c r="B11" s="16">
        <v>720</v>
      </c>
      <c r="C11" s="16">
        <v>683</v>
      </c>
      <c r="D11" s="25">
        <v>16.899999999999999</v>
      </c>
      <c r="E11" s="16">
        <v>11538</v>
      </c>
      <c r="F11" s="16">
        <v>39962</v>
      </c>
      <c r="H11" s="16"/>
    </row>
    <row r="12" spans="1:8">
      <c r="A12" s="10">
        <v>1987</v>
      </c>
      <c r="B12" s="16">
        <v>470</v>
      </c>
      <c r="C12" s="16">
        <v>463</v>
      </c>
      <c r="D12" s="25">
        <v>16.100000000000001</v>
      </c>
      <c r="E12" s="16">
        <v>7444</v>
      </c>
      <c r="F12" s="16">
        <v>25188</v>
      </c>
      <c r="H12" s="16"/>
    </row>
    <row r="13" spans="1:8">
      <c r="A13" s="10">
        <v>1988</v>
      </c>
      <c r="B13" s="16">
        <v>275</v>
      </c>
      <c r="C13" s="16">
        <v>226</v>
      </c>
      <c r="D13" s="25">
        <v>7.1</v>
      </c>
      <c r="E13" s="16">
        <v>1615</v>
      </c>
      <c r="F13" s="16">
        <v>12200</v>
      </c>
      <c r="H13" s="16"/>
    </row>
    <row r="14" spans="1:8">
      <c r="A14" s="10">
        <v>1989</v>
      </c>
      <c r="B14" s="16">
        <v>195</v>
      </c>
      <c r="C14" s="16">
        <v>163</v>
      </c>
      <c r="D14" s="25">
        <v>7.5</v>
      </c>
      <c r="E14" s="16">
        <v>1215</v>
      </c>
      <c r="F14" s="16">
        <v>8724</v>
      </c>
      <c r="H14" s="16"/>
    </row>
    <row r="15" spans="1:8">
      <c r="A15" s="10">
        <v>1990</v>
      </c>
      <c r="B15" s="16">
        <v>260</v>
      </c>
      <c r="C15" s="16">
        <v>253</v>
      </c>
      <c r="D15" s="25">
        <v>15.1</v>
      </c>
      <c r="E15" s="16">
        <v>3812</v>
      </c>
      <c r="F15" s="16">
        <v>20108</v>
      </c>
      <c r="H15" s="16"/>
    </row>
    <row r="16" spans="1:8">
      <c r="A16" s="10">
        <v>1991</v>
      </c>
      <c r="B16" s="16">
        <v>356</v>
      </c>
      <c r="C16" s="16">
        <v>342</v>
      </c>
      <c r="D16" s="25">
        <v>18.100000000000001</v>
      </c>
      <c r="E16" s="16">
        <v>6200</v>
      </c>
      <c r="F16" s="16">
        <v>21845</v>
      </c>
      <c r="H16" s="16"/>
    </row>
    <row r="17" spans="1:8">
      <c r="A17" s="10">
        <v>1992</v>
      </c>
      <c r="B17" s="16">
        <v>171</v>
      </c>
      <c r="C17" s="16">
        <v>165</v>
      </c>
      <c r="D17" s="25">
        <v>19.899999999999999</v>
      </c>
      <c r="E17" s="16">
        <v>3288</v>
      </c>
      <c r="F17" s="16">
        <v>13543</v>
      </c>
      <c r="H17" s="16"/>
    </row>
    <row r="18" spans="1:8">
      <c r="A18" s="10">
        <v>1993</v>
      </c>
      <c r="B18" s="16">
        <v>206</v>
      </c>
      <c r="C18" s="16">
        <v>191</v>
      </c>
      <c r="D18" s="25">
        <v>18.2</v>
      </c>
      <c r="E18" s="16">
        <v>3482</v>
      </c>
      <c r="F18" s="16">
        <v>14857</v>
      </c>
      <c r="H18" s="16"/>
    </row>
    <row r="19" spans="1:8">
      <c r="A19" s="10">
        <v>1994</v>
      </c>
      <c r="B19" s="16">
        <v>178</v>
      </c>
      <c r="C19" s="16">
        <v>171</v>
      </c>
      <c r="D19" s="25">
        <v>17.100000000000001</v>
      </c>
      <c r="E19" s="16">
        <v>2922</v>
      </c>
      <c r="F19" s="16">
        <v>13590</v>
      </c>
      <c r="H19" s="16"/>
    </row>
    <row r="20" spans="1:8">
      <c r="A20" s="10">
        <v>1995</v>
      </c>
      <c r="B20" s="16">
        <v>165</v>
      </c>
      <c r="C20" s="16">
        <v>147</v>
      </c>
      <c r="D20" s="25">
        <v>15</v>
      </c>
      <c r="E20" s="16">
        <v>2212</v>
      </c>
      <c r="F20" s="16">
        <v>11481</v>
      </c>
      <c r="H20" s="16"/>
    </row>
    <row r="21" spans="1:8">
      <c r="A21" s="10">
        <v>1996</v>
      </c>
      <c r="B21" s="16">
        <v>96</v>
      </c>
      <c r="C21" s="16">
        <v>92</v>
      </c>
      <c r="D21" s="25">
        <v>17.399999999999999</v>
      </c>
      <c r="E21" s="16">
        <v>1602</v>
      </c>
      <c r="F21" s="16">
        <v>10197</v>
      </c>
      <c r="H21" s="16"/>
    </row>
    <row r="22" spans="1:8">
      <c r="A22" s="10">
        <v>1997</v>
      </c>
      <c r="B22" s="16">
        <v>151</v>
      </c>
      <c r="C22" s="16">
        <v>146</v>
      </c>
      <c r="D22" s="25">
        <v>16.600000000000001</v>
      </c>
      <c r="E22" s="16">
        <v>2420</v>
      </c>
      <c r="F22" s="16">
        <v>14046</v>
      </c>
      <c r="H22" s="16"/>
    </row>
    <row r="23" spans="1:8">
      <c r="A23" s="10">
        <v>1998</v>
      </c>
      <c r="B23" s="16">
        <v>336</v>
      </c>
      <c r="C23" s="16">
        <v>329</v>
      </c>
      <c r="D23" s="25">
        <v>20.399999999999999</v>
      </c>
      <c r="E23" s="16">
        <v>6708</v>
      </c>
      <c r="F23" s="16">
        <v>33809</v>
      </c>
      <c r="H23" s="16"/>
    </row>
    <row r="24" spans="1:8">
      <c r="A24" s="10">
        <v>1999</v>
      </c>
      <c r="B24" s="16">
        <v>387</v>
      </c>
      <c r="C24" s="16">
        <v>382</v>
      </c>
      <c r="D24" s="25">
        <v>20.6</v>
      </c>
      <c r="E24" s="16">
        <v>7864</v>
      </c>
      <c r="F24" s="16">
        <v>30098</v>
      </c>
      <c r="H24" s="16"/>
    </row>
    <row r="25" spans="1:8">
      <c r="A25" s="10">
        <v>2000</v>
      </c>
      <c r="B25" s="16">
        <v>536</v>
      </c>
      <c r="C25" s="16">
        <v>517</v>
      </c>
      <c r="D25" s="25">
        <f t="shared" ref="D25:D30" si="0">+E25/C25</f>
        <v>20.754352030947775</v>
      </c>
      <c r="E25" s="16">
        <v>10730</v>
      </c>
      <c r="F25" s="16">
        <v>35569</v>
      </c>
      <c r="H25" s="16"/>
    </row>
    <row r="26" spans="1:8">
      <c r="A26" s="10">
        <v>2001</v>
      </c>
      <c r="B26" s="16">
        <v>585</v>
      </c>
      <c r="C26" s="16">
        <v>578</v>
      </c>
      <c r="D26" s="25">
        <f t="shared" si="0"/>
        <v>19.818339100346019</v>
      </c>
      <c r="E26" s="16">
        <v>11455</v>
      </c>
      <c r="F26" s="16">
        <v>49004</v>
      </c>
      <c r="H26" s="16"/>
    </row>
    <row r="27" spans="1:8">
      <c r="A27" s="10">
        <v>2002</v>
      </c>
      <c r="B27" s="16">
        <v>784</v>
      </c>
      <c r="C27" s="16">
        <v>703</v>
      </c>
      <c r="D27" s="25">
        <f t="shared" si="0"/>
        <v>16.874822190611663</v>
      </c>
      <c r="E27" s="16">
        <v>11863</v>
      </c>
      <c r="F27" s="16">
        <v>68564</v>
      </c>
      <c r="H27" s="16"/>
    </row>
    <row r="28" spans="1:8">
      <c r="A28" s="10">
        <v>2003</v>
      </c>
      <c r="B28" s="16">
        <v>595</v>
      </c>
      <c r="C28" s="16">
        <v>588</v>
      </c>
      <c r="D28" s="25">
        <f t="shared" si="0"/>
        <v>17.8843537414966</v>
      </c>
      <c r="E28" s="16">
        <v>10516</v>
      </c>
      <c r="F28" s="16">
        <v>61900</v>
      </c>
      <c r="H28" s="16"/>
    </row>
    <row r="29" spans="1:8">
      <c r="A29" s="10">
        <v>2004</v>
      </c>
      <c r="B29" s="16">
        <v>523</v>
      </c>
      <c r="C29" s="16">
        <v>511</v>
      </c>
      <c r="D29" s="25">
        <f t="shared" si="0"/>
        <v>20.289628180039138</v>
      </c>
      <c r="E29" s="16">
        <v>10368</v>
      </c>
      <c r="F29" s="16">
        <v>83767</v>
      </c>
      <c r="H29" s="16"/>
    </row>
    <row r="30" spans="1:8">
      <c r="A30" s="10">
        <v>2005</v>
      </c>
      <c r="B30" s="16">
        <v>983</v>
      </c>
      <c r="C30" s="16">
        <v>955</v>
      </c>
      <c r="D30" s="25">
        <f t="shared" si="0"/>
        <v>20.623036649214658</v>
      </c>
      <c r="E30" s="16">
        <v>19695</v>
      </c>
      <c r="F30" s="16">
        <v>117070</v>
      </c>
      <c r="H30" s="16"/>
    </row>
    <row r="31" spans="1:8">
      <c r="A31" s="10">
        <v>2006</v>
      </c>
      <c r="B31" s="16">
        <v>813</v>
      </c>
      <c r="C31" s="16">
        <v>767</v>
      </c>
      <c r="D31" s="25">
        <f t="shared" ref="D31:D36" si="1">+E31/C31</f>
        <v>14.366362451108214</v>
      </c>
      <c r="E31" s="16">
        <v>11019</v>
      </c>
      <c r="F31" s="16">
        <v>63961</v>
      </c>
      <c r="H31" s="16"/>
    </row>
    <row r="32" spans="1:8">
      <c r="A32" s="10">
        <v>2007</v>
      </c>
      <c r="B32" s="16">
        <v>354</v>
      </c>
      <c r="C32" s="16">
        <v>349</v>
      </c>
      <c r="D32" s="25">
        <f t="shared" si="1"/>
        <v>16.893982808022923</v>
      </c>
      <c r="E32" s="16">
        <v>5896</v>
      </c>
      <c r="F32" s="16">
        <v>76521</v>
      </c>
      <c r="H32" s="16"/>
    </row>
    <row r="33" spans="1:17">
      <c r="A33" s="10">
        <v>2008</v>
      </c>
      <c r="B33" s="16">
        <v>354</v>
      </c>
      <c r="C33" s="16">
        <v>340</v>
      </c>
      <c r="D33" s="25">
        <f t="shared" si="1"/>
        <v>16.811764705882354</v>
      </c>
      <c r="E33" s="16">
        <v>5716</v>
      </c>
      <c r="F33" s="16">
        <v>72773</v>
      </c>
      <c r="H33" s="16"/>
    </row>
    <row r="34" spans="1:17">
      <c r="A34" s="10">
        <v>2009</v>
      </c>
      <c r="B34" s="16">
        <v>317</v>
      </c>
      <c r="C34" s="16">
        <v>314</v>
      </c>
      <c r="D34" s="25">
        <f t="shared" si="1"/>
        <v>23.640127388535031</v>
      </c>
      <c r="E34" s="16">
        <v>7423</v>
      </c>
      <c r="F34" s="16">
        <v>60373</v>
      </c>
      <c r="H34" s="16"/>
    </row>
    <row r="35" spans="1:17">
      <c r="A35" s="10">
        <v>2010</v>
      </c>
      <c r="B35" s="16">
        <v>421</v>
      </c>
      <c r="C35" s="16">
        <v>418</v>
      </c>
      <c r="D35" s="25">
        <f t="shared" si="1"/>
        <v>21.665071770334929</v>
      </c>
      <c r="E35" s="16">
        <v>9056</v>
      </c>
      <c r="F35" s="16">
        <v>110251</v>
      </c>
      <c r="H35" s="16"/>
    </row>
    <row r="36" spans="1:17">
      <c r="A36" s="10">
        <v>2011</v>
      </c>
      <c r="B36" s="16">
        <v>178</v>
      </c>
      <c r="C36" s="16">
        <v>173</v>
      </c>
      <c r="D36" s="25">
        <f t="shared" si="1"/>
        <v>16.132947976878611</v>
      </c>
      <c r="E36" s="16">
        <v>2791</v>
      </c>
      <c r="F36" s="16">
        <v>38570</v>
      </c>
      <c r="H36" s="16"/>
    </row>
    <row r="37" spans="1:17">
      <c r="A37" s="10">
        <v>2012</v>
      </c>
      <c r="B37" s="16">
        <v>349</v>
      </c>
      <c r="C37" s="16">
        <v>336</v>
      </c>
      <c r="D37" s="25">
        <f t="shared" ref="D37:D43" si="2">+E37/C37</f>
        <v>17.25595238095238</v>
      </c>
      <c r="E37" s="16">
        <v>5798</v>
      </c>
      <c r="F37" s="16">
        <v>79919</v>
      </c>
      <c r="H37" s="16"/>
    </row>
    <row r="38" spans="1:17">
      <c r="A38" s="10">
        <v>2013</v>
      </c>
      <c r="B38" s="16">
        <v>181</v>
      </c>
      <c r="C38" s="16">
        <v>172</v>
      </c>
      <c r="D38" s="25">
        <f t="shared" si="2"/>
        <v>19.511627906976745</v>
      </c>
      <c r="E38" s="16">
        <v>3356</v>
      </c>
      <c r="F38" s="16">
        <v>46325</v>
      </c>
      <c r="H38" s="16"/>
    </row>
    <row r="39" spans="1:17">
      <c r="A39" s="10">
        <v>2014</v>
      </c>
      <c r="B39" s="16">
        <v>311</v>
      </c>
      <c r="C39" s="16">
        <v>302</v>
      </c>
      <c r="D39" s="25">
        <f t="shared" si="2"/>
        <v>21.086092715231789</v>
      </c>
      <c r="E39" s="16">
        <v>6368</v>
      </c>
      <c r="F39" s="16">
        <v>75077</v>
      </c>
      <c r="H39" s="16"/>
    </row>
    <row r="40" spans="1:17">
      <c r="A40" s="10">
        <v>2015</v>
      </c>
      <c r="B40" s="16">
        <v>463</v>
      </c>
      <c r="C40" s="16">
        <v>456</v>
      </c>
      <c r="D40" s="25">
        <f t="shared" si="2"/>
        <v>22.138157894736842</v>
      </c>
      <c r="E40" s="16">
        <v>10095</v>
      </c>
      <c r="F40" s="16">
        <v>90561</v>
      </c>
      <c r="H40" s="16"/>
    </row>
    <row r="41" spans="1:17">
      <c r="A41" s="10">
        <v>2016</v>
      </c>
      <c r="B41" s="16">
        <v>374</v>
      </c>
      <c r="C41" s="16">
        <v>366</v>
      </c>
      <c r="D41" s="25">
        <f t="shared" si="2"/>
        <v>23.650273224043715</v>
      </c>
      <c r="E41" s="16">
        <v>8656</v>
      </c>
      <c r="F41" s="16">
        <v>69352</v>
      </c>
      <c r="H41" s="16"/>
    </row>
    <row r="42" spans="1:17">
      <c r="A42" s="200">
        <v>2017</v>
      </c>
      <c r="B42" s="250">
        <v>303</v>
      </c>
      <c r="C42" s="250">
        <v>272</v>
      </c>
      <c r="D42" s="309">
        <f t="shared" si="2"/>
        <v>14.125</v>
      </c>
      <c r="E42" s="250">
        <v>3842</v>
      </c>
      <c r="F42" s="250">
        <v>36340</v>
      </c>
      <c r="N42" s="16"/>
      <c r="O42" s="16"/>
      <c r="P42" s="16"/>
      <c r="Q42" s="16"/>
    </row>
    <row r="43" spans="1:17">
      <c r="A43" s="200">
        <v>2018</v>
      </c>
      <c r="B43" s="250">
        <v>208</v>
      </c>
      <c r="C43" s="250">
        <v>198</v>
      </c>
      <c r="D43" s="309">
        <f t="shared" si="2"/>
        <v>22.555555555555557</v>
      </c>
      <c r="E43" s="250">
        <v>4466</v>
      </c>
      <c r="F43" s="250">
        <v>43533</v>
      </c>
      <c r="N43" s="16"/>
    </row>
    <row r="44" spans="1:17">
      <c r="A44" s="200">
        <v>2019</v>
      </c>
      <c r="B44" s="250">
        <v>374</v>
      </c>
      <c r="C44" s="250">
        <v>284</v>
      </c>
      <c r="D44" s="309">
        <f>+E44/C44</f>
        <v>19.806338028169016</v>
      </c>
      <c r="E44" s="250">
        <v>5625</v>
      </c>
      <c r="F44" s="250">
        <v>49734</v>
      </c>
      <c r="N44" s="16"/>
    </row>
    <row r="45" spans="1:17">
      <c r="A45" s="200">
        <v>2020</v>
      </c>
      <c r="B45" s="250">
        <v>305</v>
      </c>
      <c r="C45" s="250">
        <v>296</v>
      </c>
      <c r="D45" s="309">
        <f>+E45/C45</f>
        <v>19.277027027027028</v>
      </c>
      <c r="E45" s="250">
        <v>5706</v>
      </c>
      <c r="F45" s="250">
        <v>62357</v>
      </c>
      <c r="N45" s="16"/>
    </row>
    <row r="46" spans="1:17">
      <c r="A46" s="200">
        <v>2021</v>
      </c>
      <c r="B46" s="250">
        <v>325</v>
      </c>
      <c r="C46" s="250">
        <v>270</v>
      </c>
      <c r="D46" s="309">
        <f>+E46/C46</f>
        <v>10.066666666666666</v>
      </c>
      <c r="E46" s="250">
        <v>2718</v>
      </c>
      <c r="F46" s="250">
        <v>69110</v>
      </c>
      <c r="N46" s="16"/>
    </row>
    <row r="47" spans="1:17">
      <c r="A47" s="239">
        <v>2022</v>
      </c>
      <c r="B47" s="251">
        <v>263</v>
      </c>
      <c r="C47" s="251">
        <v>244</v>
      </c>
      <c r="D47" s="310">
        <f>+E47/C47</f>
        <v>17.639344262295083</v>
      </c>
      <c r="E47" s="251">
        <v>4304</v>
      </c>
      <c r="F47" s="251">
        <v>80157</v>
      </c>
      <c r="N47" s="16"/>
    </row>
    <row r="48" spans="1:17">
      <c r="A48" s="52" t="s">
        <v>683</v>
      </c>
    </row>
    <row r="49" spans="6:10" ht="10.15" customHeight="1"/>
    <row r="50" spans="6:10">
      <c r="F50" s="225" t="s">
        <v>592</v>
      </c>
      <c r="H50" s="16"/>
      <c r="I50" s="16"/>
      <c r="J50" s="16"/>
    </row>
  </sheetData>
  <phoneticPr fontId="0" type="noConversion"/>
  <pageMargins left="0.75" right="0.75" top="1" bottom="1" header="0.5" footer="0.5"/>
  <pageSetup scale="95" firstPageNumber="28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54"/>
  <sheetViews>
    <sheetView zoomScaleNormal="100" zoomScaleSheetLayoutView="90" workbookViewId="0">
      <pane ySplit="4" topLeftCell="A5" activePane="bottomLeft" state="frozen"/>
      <selection pane="bottomLeft"/>
    </sheetView>
  </sheetViews>
  <sheetFormatPr defaultRowHeight="11.25"/>
  <cols>
    <col min="1" max="7" width="17.6640625" customWidth="1"/>
    <col min="8" max="8" width="12.1640625" bestFit="1" customWidth="1"/>
  </cols>
  <sheetData>
    <row r="1" spans="1:7">
      <c r="A1" s="67" t="s">
        <v>594</v>
      </c>
      <c r="B1" s="1"/>
      <c r="C1" s="1"/>
      <c r="D1" s="1"/>
      <c r="E1" s="1"/>
      <c r="F1" s="1"/>
      <c r="G1" s="1"/>
    </row>
    <row r="2" spans="1:7">
      <c r="A2" t="s">
        <v>15</v>
      </c>
      <c r="B2" s="7" t="s">
        <v>36</v>
      </c>
      <c r="C2" s="7" t="s">
        <v>37</v>
      </c>
      <c r="D2" s="7" t="s">
        <v>38</v>
      </c>
      <c r="E2" s="7" t="s">
        <v>40</v>
      </c>
      <c r="F2" s="7" t="s">
        <v>41</v>
      </c>
      <c r="G2" s="7" t="s">
        <v>42</v>
      </c>
    </row>
    <row r="3" spans="1:7">
      <c r="A3" s="1"/>
      <c r="B3" s="9"/>
      <c r="C3" s="9"/>
      <c r="D3" s="9" t="s">
        <v>39</v>
      </c>
      <c r="E3" s="9"/>
      <c r="F3" s="9"/>
      <c r="G3" s="9" t="s">
        <v>43</v>
      </c>
    </row>
    <row r="4" spans="1:7">
      <c r="B4" s="149" t="s">
        <v>16</v>
      </c>
      <c r="C4" s="100"/>
      <c r="D4" s="150" t="s">
        <v>44</v>
      </c>
      <c r="E4" s="150" t="s">
        <v>3</v>
      </c>
      <c r="F4" s="151" t="s">
        <v>364</v>
      </c>
      <c r="G4" s="150" t="s">
        <v>354</v>
      </c>
    </row>
    <row r="5" spans="1:7">
      <c r="B5" s="7"/>
      <c r="C5" s="7"/>
      <c r="D5" s="7"/>
      <c r="E5" s="7"/>
      <c r="F5" s="8"/>
      <c r="G5" s="7"/>
    </row>
    <row r="6" spans="1:7">
      <c r="A6" t="s">
        <v>17</v>
      </c>
      <c r="B6" s="12">
        <v>69930</v>
      </c>
      <c r="C6" s="12">
        <v>67813</v>
      </c>
      <c r="D6" s="39">
        <f t="shared" ref="D6:D15" si="0">+E6/C6</f>
        <v>26.507351097872089</v>
      </c>
      <c r="E6" s="12">
        <v>1797543</v>
      </c>
      <c r="F6" s="12">
        <v>13601112</v>
      </c>
      <c r="G6" s="34">
        <v>5.0199999999999996</v>
      </c>
    </row>
    <row r="7" spans="1:7">
      <c r="A7" t="s">
        <v>18</v>
      </c>
      <c r="B7" s="12">
        <v>67543</v>
      </c>
      <c r="C7" s="12">
        <v>66163</v>
      </c>
      <c r="D7" s="39">
        <f t="shared" si="0"/>
        <v>30.063781872043286</v>
      </c>
      <c r="E7" s="12">
        <v>1989110</v>
      </c>
      <c r="F7" s="12">
        <v>12004638</v>
      </c>
      <c r="G7" s="34">
        <v>5.0199999999999996</v>
      </c>
    </row>
    <row r="8" spans="1:7">
      <c r="A8" t="s">
        <v>19</v>
      </c>
      <c r="B8" s="12">
        <v>70884</v>
      </c>
      <c r="C8" s="12">
        <v>69442</v>
      </c>
      <c r="D8" s="39">
        <f t="shared" si="0"/>
        <v>31.541387056824401</v>
      </c>
      <c r="E8" s="12">
        <v>2190297</v>
      </c>
      <c r="F8" s="12">
        <v>12483481</v>
      </c>
      <c r="G8" s="34">
        <v>5.0199999999999996</v>
      </c>
    </row>
    <row r="9" spans="1:7">
      <c r="A9" t="s">
        <v>20</v>
      </c>
      <c r="B9" s="12">
        <v>63779</v>
      </c>
      <c r="C9" s="12">
        <v>62525</v>
      </c>
      <c r="D9" s="39">
        <f t="shared" si="0"/>
        <v>26.161887245101958</v>
      </c>
      <c r="E9" s="12">
        <v>1635772</v>
      </c>
      <c r="F9" s="12">
        <v>12978513</v>
      </c>
      <c r="G9" s="34">
        <v>5.0199999999999996</v>
      </c>
    </row>
    <row r="10" spans="1:7">
      <c r="A10" t="s">
        <v>21</v>
      </c>
      <c r="B10" s="12">
        <v>67755</v>
      </c>
      <c r="C10" s="12">
        <v>66113</v>
      </c>
      <c r="D10" s="39">
        <f t="shared" si="0"/>
        <v>28.146703371500308</v>
      </c>
      <c r="E10" s="12">
        <v>1860863</v>
      </c>
      <c r="F10" s="12">
        <v>10864686</v>
      </c>
      <c r="G10" s="34">
        <v>5.0199999999999996</v>
      </c>
    </row>
    <row r="11" spans="1:7">
      <c r="A11" t="s">
        <v>22</v>
      </c>
      <c r="B11" s="12">
        <v>63145</v>
      </c>
      <c r="C11" s="12">
        <v>61599</v>
      </c>
      <c r="D11" s="39">
        <f t="shared" si="0"/>
        <v>34.076137599636361</v>
      </c>
      <c r="E11" s="12">
        <v>2099056</v>
      </c>
      <c r="F11" s="12">
        <v>10583535</v>
      </c>
      <c r="G11" s="34">
        <v>5.0199999999999996</v>
      </c>
    </row>
    <row r="12" spans="1:7">
      <c r="A12" t="s">
        <v>23</v>
      </c>
      <c r="B12" s="12">
        <v>60405</v>
      </c>
      <c r="C12" s="12">
        <v>58312</v>
      </c>
      <c r="D12" s="39">
        <f t="shared" si="0"/>
        <v>33.313177390588557</v>
      </c>
      <c r="E12" s="12">
        <v>1942558</v>
      </c>
      <c r="F12" s="12">
        <v>9274487</v>
      </c>
      <c r="G12" s="34">
        <v>4.7699999999999996</v>
      </c>
    </row>
    <row r="13" spans="1:7">
      <c r="A13" t="s">
        <v>24</v>
      </c>
      <c r="B13" s="12">
        <v>58180</v>
      </c>
      <c r="C13" s="12">
        <v>57172</v>
      </c>
      <c r="D13" s="39">
        <f t="shared" si="0"/>
        <v>33.89284964668019</v>
      </c>
      <c r="E13" s="12">
        <v>1937722</v>
      </c>
      <c r="F13" s="12">
        <v>11391000</v>
      </c>
      <c r="G13" s="34">
        <v>4.7699999999999996</v>
      </c>
    </row>
    <row r="14" spans="1:7">
      <c r="A14" t="s">
        <v>25</v>
      </c>
      <c r="B14" s="12">
        <v>58840</v>
      </c>
      <c r="C14" s="12">
        <v>57373</v>
      </c>
      <c r="D14" s="39">
        <f t="shared" si="0"/>
        <v>26.995991145660852</v>
      </c>
      <c r="E14" s="12">
        <v>1548841</v>
      </c>
      <c r="F14" s="12">
        <v>11487742</v>
      </c>
      <c r="G14" s="34">
        <v>4.7699999999999996</v>
      </c>
    </row>
    <row r="15" spans="1:7">
      <c r="A15" t="s">
        <v>26</v>
      </c>
      <c r="B15" s="12">
        <v>60820</v>
      </c>
      <c r="C15" s="12">
        <v>59538</v>
      </c>
      <c r="D15" s="39">
        <f t="shared" si="0"/>
        <v>32.309886123148239</v>
      </c>
      <c r="E15" s="12">
        <v>1923666</v>
      </c>
      <c r="F15" s="12">
        <v>10916145</v>
      </c>
      <c r="G15" s="34">
        <v>4.53</v>
      </c>
    </row>
    <row r="16" spans="1:7">
      <c r="A16" t="s">
        <v>27</v>
      </c>
      <c r="B16" s="12">
        <v>57795</v>
      </c>
      <c r="C16" s="12">
        <v>56512</v>
      </c>
      <c r="D16" s="39">
        <f t="shared" ref="D16:D27" si="1">+E16/C16</f>
        <v>34.080319224235559</v>
      </c>
      <c r="E16" s="12">
        <v>1925947</v>
      </c>
      <c r="F16" s="12">
        <v>11042010</v>
      </c>
      <c r="G16" s="34">
        <v>4.5</v>
      </c>
    </row>
    <row r="17" spans="1:7">
      <c r="A17" t="s">
        <v>28</v>
      </c>
      <c r="B17" s="12">
        <v>59180</v>
      </c>
      <c r="C17" s="12">
        <v>58011</v>
      </c>
      <c r="D17" s="39">
        <f t="shared" si="1"/>
        <v>34.244177828342899</v>
      </c>
      <c r="E17" s="12">
        <v>1986539</v>
      </c>
      <c r="F17" s="12">
        <v>11091996</v>
      </c>
      <c r="G17" s="34">
        <v>4.92</v>
      </c>
    </row>
    <row r="18" spans="1:7">
      <c r="A18" t="s">
        <v>29</v>
      </c>
      <c r="B18" s="12">
        <v>59180</v>
      </c>
      <c r="C18" s="12">
        <v>58233</v>
      </c>
      <c r="D18" s="39">
        <f t="shared" si="1"/>
        <v>37.613621142651077</v>
      </c>
      <c r="E18" s="12">
        <v>2190354</v>
      </c>
      <c r="F18" s="12">
        <v>12167564</v>
      </c>
      <c r="G18" s="34">
        <v>4.92</v>
      </c>
    </row>
    <row r="19" spans="1:7">
      <c r="A19" t="s">
        <v>30</v>
      </c>
      <c r="B19" s="12">
        <v>60085</v>
      </c>
      <c r="C19" s="12">
        <v>57307</v>
      </c>
      <c r="D19" s="39">
        <f t="shared" si="1"/>
        <v>32.626345821627375</v>
      </c>
      <c r="E19" s="12">
        <v>1869718</v>
      </c>
      <c r="F19" s="12">
        <v>12167564</v>
      </c>
      <c r="G19" s="34">
        <v>4.92</v>
      </c>
    </row>
    <row r="20" spans="1:7">
      <c r="A20" t="s">
        <v>31</v>
      </c>
      <c r="B20" s="12">
        <v>61620</v>
      </c>
      <c r="C20" s="12">
        <v>60809</v>
      </c>
      <c r="D20" s="39">
        <f t="shared" si="1"/>
        <v>41.35685507079544</v>
      </c>
      <c r="E20" s="12">
        <v>2514869</v>
      </c>
      <c r="F20" s="12">
        <v>13756328</v>
      </c>
      <c r="G20" s="34">
        <v>4.92</v>
      </c>
    </row>
    <row r="21" spans="1:7">
      <c r="A21" t="s">
        <v>32</v>
      </c>
      <c r="B21" s="12">
        <v>62495</v>
      </c>
      <c r="C21" s="12">
        <v>61544</v>
      </c>
      <c r="D21" s="39">
        <f t="shared" si="1"/>
        <v>35.328447939685425</v>
      </c>
      <c r="E21" s="12">
        <v>2174254</v>
      </c>
      <c r="F21" s="12">
        <v>14616758</v>
      </c>
      <c r="G21" s="34">
        <v>4.92</v>
      </c>
    </row>
    <row r="22" spans="1:7">
      <c r="A22" t="s">
        <v>33</v>
      </c>
      <c r="B22" s="12">
        <v>64195</v>
      </c>
      <c r="C22" s="12">
        <v>63349</v>
      </c>
      <c r="D22" s="39">
        <f t="shared" si="1"/>
        <v>37.573979068335724</v>
      </c>
      <c r="E22" s="12">
        <v>2380274</v>
      </c>
      <c r="F22" s="12">
        <v>17439971</v>
      </c>
      <c r="G22" s="34">
        <v>4.97</v>
      </c>
    </row>
    <row r="23" spans="1:7">
      <c r="A23" t="s">
        <v>34</v>
      </c>
      <c r="B23" s="12">
        <v>70005</v>
      </c>
      <c r="C23" s="12">
        <v>69110</v>
      </c>
      <c r="D23" s="39">
        <f t="shared" si="1"/>
        <v>38.905368253508897</v>
      </c>
      <c r="E23" s="12">
        <v>2688750</v>
      </c>
      <c r="F23" s="12">
        <v>17372628</v>
      </c>
      <c r="G23" s="34">
        <v>5.26</v>
      </c>
    </row>
    <row r="24" spans="1:7">
      <c r="A24" s="30" t="s">
        <v>180</v>
      </c>
      <c r="B24" s="12">
        <v>72025</v>
      </c>
      <c r="C24" s="12">
        <v>70441</v>
      </c>
      <c r="D24" s="39">
        <f t="shared" si="1"/>
        <v>38.912196022202977</v>
      </c>
      <c r="E24" s="12">
        <v>2741014</v>
      </c>
      <c r="F24" s="12">
        <v>13493831</v>
      </c>
      <c r="G24" s="34">
        <v>5.26</v>
      </c>
    </row>
    <row r="25" spans="1:7">
      <c r="A25" s="30" t="s">
        <v>79</v>
      </c>
      <c r="B25" s="12">
        <v>73730</v>
      </c>
      <c r="C25" s="12">
        <v>72446</v>
      </c>
      <c r="D25" s="39">
        <f t="shared" si="1"/>
        <v>36.630842282527674</v>
      </c>
      <c r="E25" s="12">
        <v>2653758</v>
      </c>
      <c r="F25" s="12">
        <v>12205532</v>
      </c>
      <c r="G25" s="34">
        <v>5.26</v>
      </c>
    </row>
    <row r="26" spans="1:7">
      <c r="A26" s="10">
        <v>2000</v>
      </c>
      <c r="B26" s="12">
        <v>74266</v>
      </c>
      <c r="C26" s="12">
        <v>72408</v>
      </c>
      <c r="D26" s="39">
        <f t="shared" si="1"/>
        <v>38.087089824328807</v>
      </c>
      <c r="E26" s="12">
        <v>2757810</v>
      </c>
      <c r="F26" s="12">
        <v>12466572</v>
      </c>
      <c r="G26" s="34">
        <v>5.26</v>
      </c>
    </row>
    <row r="27" spans="1:7">
      <c r="A27" s="10">
        <v>2001</v>
      </c>
      <c r="B27" s="12">
        <v>74075</v>
      </c>
      <c r="C27" s="12">
        <v>72975</v>
      </c>
      <c r="D27" s="39">
        <f t="shared" si="1"/>
        <v>39.61194929770469</v>
      </c>
      <c r="E27" s="12">
        <v>2890682</v>
      </c>
      <c r="F27" s="12">
        <v>12605717</v>
      </c>
      <c r="G27" s="34">
        <v>5.26</v>
      </c>
    </row>
    <row r="28" spans="1:7">
      <c r="A28" s="10">
        <v>2002</v>
      </c>
      <c r="B28" s="12">
        <v>73963</v>
      </c>
      <c r="C28" s="12">
        <v>72497</v>
      </c>
      <c r="D28" s="39">
        <f t="shared" ref="D28:D33" si="2">+E28/C28</f>
        <v>38.017393823192684</v>
      </c>
      <c r="E28" s="12">
        <v>2756147</v>
      </c>
      <c r="F28" s="12">
        <v>15252691</v>
      </c>
      <c r="G28" s="34">
        <v>5</v>
      </c>
    </row>
    <row r="29" spans="1:7">
      <c r="A29" s="10">
        <v>2003</v>
      </c>
      <c r="B29" s="12">
        <v>73404</v>
      </c>
      <c r="C29" s="12">
        <v>72476</v>
      </c>
      <c r="D29" s="39">
        <f t="shared" si="2"/>
        <v>33.857345880015451</v>
      </c>
      <c r="E29" s="12">
        <v>2453845</v>
      </c>
      <c r="F29" s="12">
        <v>18015097</v>
      </c>
      <c r="G29" s="34">
        <v>5</v>
      </c>
    </row>
    <row r="30" spans="1:7">
      <c r="A30" s="10">
        <v>2004</v>
      </c>
      <c r="B30" s="12">
        <v>75208</v>
      </c>
      <c r="C30" s="12">
        <v>73958</v>
      </c>
      <c r="D30" s="39">
        <f t="shared" si="2"/>
        <v>42.237350928905592</v>
      </c>
      <c r="E30" s="12">
        <v>3123790</v>
      </c>
      <c r="F30" s="12">
        <v>17895510</v>
      </c>
      <c r="G30" s="34">
        <v>5</v>
      </c>
    </row>
    <row r="31" spans="1:7">
      <c r="A31" s="10">
        <v>2005</v>
      </c>
      <c r="B31" s="12">
        <v>72032</v>
      </c>
      <c r="C31" s="12">
        <v>71251</v>
      </c>
      <c r="D31" s="39">
        <f t="shared" si="2"/>
        <v>43.06384471796887</v>
      </c>
      <c r="E31" s="12">
        <v>3068342</v>
      </c>
      <c r="F31" s="12">
        <v>17297137</v>
      </c>
      <c r="G31" s="34">
        <v>5</v>
      </c>
    </row>
    <row r="32" spans="1:7">
      <c r="A32" s="10">
        <v>2006</v>
      </c>
      <c r="B32" s="12">
        <v>75522</v>
      </c>
      <c r="C32" s="12">
        <v>74602</v>
      </c>
      <c r="D32" s="39">
        <f t="shared" si="2"/>
        <v>42.850406155330958</v>
      </c>
      <c r="E32" s="12">
        <v>3196726</v>
      </c>
      <c r="F32" s="12">
        <v>20468267</v>
      </c>
      <c r="G32" s="34">
        <v>5</v>
      </c>
    </row>
    <row r="33" spans="1:7">
      <c r="A33" s="10">
        <v>2007</v>
      </c>
      <c r="B33" s="12">
        <v>64741</v>
      </c>
      <c r="C33" s="12">
        <v>64146</v>
      </c>
      <c r="D33" s="39">
        <f t="shared" si="2"/>
        <v>41.734745736289092</v>
      </c>
      <c r="E33" s="12">
        <v>2677117</v>
      </c>
      <c r="F33" s="12">
        <v>26974406</v>
      </c>
      <c r="G33" s="34">
        <v>5</v>
      </c>
    </row>
    <row r="34" spans="1:7">
      <c r="A34" s="10">
        <v>2008</v>
      </c>
      <c r="B34" s="12">
        <v>75718</v>
      </c>
      <c r="C34" s="12">
        <v>74681</v>
      </c>
      <c r="D34" s="39">
        <f>+E34/C34</f>
        <v>39.729074329481392</v>
      </c>
      <c r="E34" s="12">
        <v>2967007</v>
      </c>
      <c r="F34" s="12">
        <v>29458225</v>
      </c>
      <c r="G34" s="34">
        <v>5</v>
      </c>
    </row>
    <row r="35" spans="1:7">
      <c r="A35" s="10">
        <v>2009</v>
      </c>
      <c r="B35" s="12">
        <v>77451</v>
      </c>
      <c r="C35" s="12">
        <v>76372</v>
      </c>
      <c r="D35" s="39">
        <f>+E35/C35</f>
        <v>44.007371811658722</v>
      </c>
      <c r="E35" s="12">
        <v>3360931</v>
      </c>
      <c r="F35" s="12">
        <v>32163204</v>
      </c>
      <c r="G35" s="34">
        <v>5</v>
      </c>
    </row>
    <row r="36" spans="1:7">
      <c r="A36" s="10">
        <v>2010</v>
      </c>
      <c r="B36" s="12">
        <v>77404</v>
      </c>
      <c r="C36" s="12">
        <v>76610</v>
      </c>
      <c r="D36" s="39">
        <f>+E36/C36</f>
        <v>43.483957707871035</v>
      </c>
      <c r="E36" s="12">
        <v>3331306</v>
      </c>
      <c r="F36" s="12">
        <v>37571277</v>
      </c>
      <c r="G36" s="34">
        <v>5</v>
      </c>
    </row>
    <row r="37" spans="1:7">
      <c r="A37" s="10">
        <v>2011</v>
      </c>
      <c r="B37" s="12">
        <v>75046</v>
      </c>
      <c r="C37" s="12">
        <v>73776</v>
      </c>
      <c r="D37" s="39">
        <f t="shared" ref="D37:D42" si="3">+E37/C37</f>
        <v>41.980847430058553</v>
      </c>
      <c r="E37" s="12">
        <v>3097179</v>
      </c>
      <c r="F37" s="12">
        <v>38542177</v>
      </c>
      <c r="G37" s="34">
        <v>5</v>
      </c>
    </row>
    <row r="38" spans="1:7">
      <c r="A38" s="10">
        <v>2012</v>
      </c>
      <c r="B38" s="12">
        <v>77198</v>
      </c>
      <c r="C38" s="12">
        <v>76144</v>
      </c>
      <c r="D38" s="39">
        <f t="shared" si="3"/>
        <v>39.951197730615675</v>
      </c>
      <c r="E38" s="12">
        <v>3042044</v>
      </c>
      <c r="F38" s="12">
        <v>43723144</v>
      </c>
      <c r="G38" s="34">
        <v>5</v>
      </c>
    </row>
    <row r="39" spans="1:7">
      <c r="A39" s="10">
        <v>2013</v>
      </c>
      <c r="B39" s="12">
        <v>76820</v>
      </c>
      <c r="C39" s="12">
        <v>76233</v>
      </c>
      <c r="D39" s="39">
        <f t="shared" si="3"/>
        <v>44.036099851770231</v>
      </c>
      <c r="E39" s="12">
        <v>3357004</v>
      </c>
      <c r="F39" s="12">
        <v>43582901</v>
      </c>
      <c r="G39" s="34">
        <v>5</v>
      </c>
    </row>
    <row r="40" spans="1:7">
      <c r="A40" s="10">
        <v>2014</v>
      </c>
      <c r="B40" s="12">
        <v>83296</v>
      </c>
      <c r="C40" s="12">
        <v>82611</v>
      </c>
      <c r="D40" s="39">
        <f t="shared" si="3"/>
        <v>47.548994685937707</v>
      </c>
      <c r="E40" s="12">
        <v>3928070</v>
      </c>
      <c r="F40" s="12">
        <v>39474861</v>
      </c>
      <c r="G40" s="34">
        <v>5</v>
      </c>
    </row>
    <row r="41" spans="1:7">
      <c r="A41" s="10">
        <v>2015</v>
      </c>
      <c r="B41" s="12">
        <v>82660</v>
      </c>
      <c r="C41" s="12">
        <v>81742</v>
      </c>
      <c r="D41" s="39">
        <f t="shared" si="3"/>
        <v>48.038694918157127</v>
      </c>
      <c r="E41" s="12">
        <v>3926779</v>
      </c>
      <c r="F41" s="12">
        <v>35192058</v>
      </c>
      <c r="G41" s="34">
        <v>5</v>
      </c>
    </row>
    <row r="42" spans="1:7">
      <c r="A42" s="10">
        <v>2016</v>
      </c>
      <c r="B42" s="12">
        <v>83453</v>
      </c>
      <c r="C42" s="12">
        <v>82706</v>
      </c>
      <c r="D42" s="39">
        <f t="shared" si="3"/>
        <v>51.949024254588544</v>
      </c>
      <c r="E42" s="12">
        <v>4296496</v>
      </c>
      <c r="F42" s="12">
        <v>40694573</v>
      </c>
      <c r="G42" s="34">
        <v>5</v>
      </c>
    </row>
    <row r="43" spans="1:7">
      <c r="A43" s="55">
        <v>2017</v>
      </c>
      <c r="B43" s="12">
        <v>90162</v>
      </c>
      <c r="C43" s="12">
        <v>89542</v>
      </c>
      <c r="D43" s="39">
        <f>+E43/C43</f>
        <v>49.268868240602174</v>
      </c>
      <c r="E43" s="12">
        <v>4411633</v>
      </c>
      <c r="F43" s="12">
        <v>41308740</v>
      </c>
      <c r="G43" s="34">
        <v>5</v>
      </c>
    </row>
    <row r="44" spans="1:7">
      <c r="A44" s="55">
        <v>2018</v>
      </c>
      <c r="B44" s="12">
        <v>89167</v>
      </c>
      <c r="C44" s="12">
        <v>87594</v>
      </c>
      <c r="D44" s="39">
        <f>+E44/C44</f>
        <v>50.553120076717583</v>
      </c>
      <c r="E44" s="12">
        <v>4428150</v>
      </c>
      <c r="F44" s="12">
        <v>36819008</v>
      </c>
      <c r="G44" s="34">
        <v>5</v>
      </c>
    </row>
    <row r="45" spans="1:7">
      <c r="A45" s="10">
        <v>2019</v>
      </c>
      <c r="B45" s="12">
        <v>76100</v>
      </c>
      <c r="C45" s="12">
        <v>74939</v>
      </c>
      <c r="D45" s="39">
        <f>+E45/C45</f>
        <v>47.397323156167019</v>
      </c>
      <c r="E45" s="12">
        <v>3551908</v>
      </c>
      <c r="F45" s="12">
        <v>30525961</v>
      </c>
      <c r="G45" s="34">
        <v>6.2</v>
      </c>
    </row>
    <row r="46" spans="1:7">
      <c r="A46" s="10">
        <v>2020</v>
      </c>
      <c r="B46" s="12">
        <v>83354</v>
      </c>
      <c r="C46" s="12">
        <v>82603</v>
      </c>
      <c r="D46" s="39">
        <f>+E46/C46</f>
        <v>51.042964541239421</v>
      </c>
      <c r="E46" s="12">
        <v>4216302</v>
      </c>
      <c r="F46" s="12">
        <v>45732122</v>
      </c>
      <c r="G46" s="34">
        <v>6.2</v>
      </c>
    </row>
    <row r="47" spans="1:7">
      <c r="A47" s="10">
        <v>2021</v>
      </c>
      <c r="B47" s="12">
        <v>87195</v>
      </c>
      <c r="C47" s="12">
        <v>86312</v>
      </c>
      <c r="D47" s="39">
        <f>+E47/C47</f>
        <v>51.735355454629719</v>
      </c>
      <c r="E47" s="12">
        <v>4465382</v>
      </c>
      <c r="F47" s="12">
        <v>59152321</v>
      </c>
      <c r="G47" s="34">
        <v>6.2</v>
      </c>
    </row>
    <row r="48" spans="1:7">
      <c r="A48" s="11" t="s">
        <v>593</v>
      </c>
      <c r="B48" s="230">
        <v>87450</v>
      </c>
      <c r="C48" s="230">
        <v>86336</v>
      </c>
      <c r="D48" s="231">
        <f>E48/C48</f>
        <v>49.52885239065975</v>
      </c>
      <c r="E48" s="230">
        <v>4276123</v>
      </c>
      <c r="F48" s="230">
        <v>61148362</v>
      </c>
      <c r="G48" s="232">
        <v>6.2</v>
      </c>
    </row>
    <row r="49" spans="1:7">
      <c r="A49" s="52" t="s">
        <v>480</v>
      </c>
    </row>
    <row r="50" spans="1:7">
      <c r="A50" s="52" t="s">
        <v>531</v>
      </c>
    </row>
    <row r="51" spans="1:7">
      <c r="A51" s="52" t="s">
        <v>717</v>
      </c>
    </row>
    <row r="52" spans="1:7">
      <c r="A52" s="73" t="s">
        <v>718</v>
      </c>
    </row>
    <row r="53" spans="1:7">
      <c r="G53" s="101" t="s">
        <v>592</v>
      </c>
    </row>
    <row r="54" spans="1:7">
      <c r="A54" s="73"/>
    </row>
  </sheetData>
  <phoneticPr fontId="0" type="noConversion"/>
  <pageMargins left="0.75" right="0.75" top="1" bottom="1" header="0.5" footer="0.5"/>
  <pageSetup scale="90" firstPageNumber="2" orientation="portrait" useFirstPageNumber="1" r:id="rId1"/>
  <headerFooter alignWithMargins="0">
    <oddFooter>&amp;COil Crops Yearbook/OCS-2023
March 2023
Economic Research Service
&amp;P</oddFooter>
  </headerFooter>
  <rowBreaks count="1" manualBreakCount="1">
    <brk id="51" max="16383" man="1"/>
  </rowBreaks>
  <ignoredErrors>
    <ignoredError sqref="A6:A15 A16:A25" numberStoredAsText="1"/>
  </ignoredError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S58"/>
  <sheetViews>
    <sheetView zoomScaleNormal="100" zoomScaleSheetLayoutView="100" workbookViewId="0">
      <pane ySplit="6" topLeftCell="A7" activePane="bottomLeft" state="frozen"/>
      <selection pane="bottomLeft"/>
    </sheetView>
  </sheetViews>
  <sheetFormatPr defaultRowHeight="11.25"/>
  <cols>
    <col min="1" max="10" width="10.83203125" customWidth="1"/>
    <col min="11" max="11" width="13.83203125" customWidth="1"/>
    <col min="12" max="12" width="11.83203125" customWidth="1"/>
  </cols>
  <sheetData>
    <row r="1" spans="1:12">
      <c r="A1" s="259" t="s">
        <v>623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7"/>
      <c r="B2" s="121"/>
      <c r="C2" s="7"/>
      <c r="D2" s="7"/>
      <c r="E2" s="7"/>
      <c r="F2" s="7"/>
      <c r="G2" s="7"/>
      <c r="H2" s="7"/>
      <c r="I2" s="7"/>
      <c r="J2" s="7"/>
      <c r="K2" s="121" t="s">
        <v>74</v>
      </c>
      <c r="L2" s="4"/>
    </row>
    <row r="3" spans="1:12">
      <c r="A3" s="7" t="s">
        <v>379</v>
      </c>
      <c r="B3" s="121"/>
      <c r="C3" s="4" t="s">
        <v>75</v>
      </c>
      <c r="D3" s="4"/>
      <c r="E3" s="4"/>
      <c r="F3" s="121"/>
      <c r="G3" s="4"/>
      <c r="H3" s="4" t="s">
        <v>73</v>
      </c>
      <c r="I3" s="4"/>
      <c r="J3" s="4"/>
      <c r="K3" s="109" t="s">
        <v>266</v>
      </c>
      <c r="L3" s="7"/>
    </row>
    <row r="4" spans="1:12">
      <c r="A4" s="7" t="s">
        <v>59</v>
      </c>
      <c r="B4" s="109" t="s">
        <v>96</v>
      </c>
      <c r="C4" s="7"/>
      <c r="D4" s="7"/>
      <c r="E4" s="7"/>
      <c r="F4" s="109"/>
      <c r="G4" s="7"/>
      <c r="H4" s="7"/>
      <c r="I4" s="7"/>
      <c r="J4" s="7"/>
      <c r="K4" s="109" t="s">
        <v>70</v>
      </c>
      <c r="L4" s="7" t="s">
        <v>249</v>
      </c>
    </row>
    <row r="5" spans="1:12">
      <c r="A5" s="114" t="s">
        <v>111</v>
      </c>
      <c r="B5" s="116" t="s">
        <v>66</v>
      </c>
      <c r="C5" s="7" t="s">
        <v>40</v>
      </c>
      <c r="D5" s="7" t="s">
        <v>49</v>
      </c>
      <c r="E5" s="7" t="s">
        <v>2</v>
      </c>
      <c r="F5" s="116" t="s">
        <v>67</v>
      </c>
      <c r="G5" s="7" t="s">
        <v>50</v>
      </c>
      <c r="H5" s="7" t="s">
        <v>115</v>
      </c>
      <c r="I5" s="7" t="s">
        <v>113</v>
      </c>
      <c r="J5" s="7" t="s">
        <v>2</v>
      </c>
      <c r="K5" s="116" t="s">
        <v>116</v>
      </c>
      <c r="L5" s="9"/>
    </row>
    <row r="6" spans="1:12">
      <c r="A6" s="73"/>
      <c r="B6" s="73"/>
      <c r="C6" s="148"/>
      <c r="D6" s="148"/>
      <c r="E6" s="148"/>
      <c r="F6" s="73"/>
      <c r="G6" s="167" t="s">
        <v>114</v>
      </c>
      <c r="H6" s="148"/>
      <c r="I6" s="148"/>
      <c r="J6" s="148"/>
      <c r="K6" s="150" t="s">
        <v>354</v>
      </c>
      <c r="L6" s="150" t="s">
        <v>354</v>
      </c>
    </row>
    <row r="7" spans="1:12"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>
      <c r="A8" s="10" t="s">
        <v>181</v>
      </c>
      <c r="B8" s="15">
        <v>5018</v>
      </c>
      <c r="C8" s="15">
        <f>+'tab28'!E5</f>
        <v>7728</v>
      </c>
      <c r="D8" s="15">
        <v>2510</v>
      </c>
      <c r="E8" s="15">
        <f t="shared" ref="E8:E26" si="0">SUM(B8:D8)</f>
        <v>15256</v>
      </c>
      <c r="F8" s="15">
        <v>11927</v>
      </c>
      <c r="G8" s="15">
        <v>76</v>
      </c>
      <c r="H8" s="15">
        <v>547</v>
      </c>
      <c r="I8" s="15">
        <f t="shared" ref="I8:I31" si="1">+J8-F8-G8-H8</f>
        <v>-27</v>
      </c>
      <c r="J8" s="15">
        <f t="shared" ref="J8:J42" si="2">+E8-B9</f>
        <v>12523</v>
      </c>
      <c r="K8" s="144">
        <v>7.2</v>
      </c>
      <c r="L8" s="35">
        <v>4.5</v>
      </c>
    </row>
    <row r="9" spans="1:12">
      <c r="A9" s="10" t="s">
        <v>182</v>
      </c>
      <c r="B9" s="15">
        <v>2733</v>
      </c>
      <c r="C9" s="15">
        <f>+'tab28'!E6</f>
        <v>7289</v>
      </c>
      <c r="D9" s="15">
        <v>3502</v>
      </c>
      <c r="E9" s="15">
        <f t="shared" si="0"/>
        <v>13524</v>
      </c>
      <c r="F9" s="15">
        <v>11231</v>
      </c>
      <c r="G9" s="15">
        <v>11</v>
      </c>
      <c r="H9" s="15">
        <v>691</v>
      </c>
      <c r="I9" s="15">
        <f t="shared" si="1"/>
        <v>-359</v>
      </c>
      <c r="J9" s="15">
        <f t="shared" si="2"/>
        <v>11574</v>
      </c>
      <c r="K9" s="144">
        <v>6.67</v>
      </c>
      <c r="L9" s="46" t="s">
        <v>229</v>
      </c>
    </row>
    <row r="10" spans="1:12">
      <c r="A10" s="10" t="s">
        <v>183</v>
      </c>
      <c r="B10" s="15">
        <v>1950</v>
      </c>
      <c r="C10" s="15">
        <f>+'tab28'!E7</f>
        <v>10278</v>
      </c>
      <c r="D10" s="15">
        <v>1921</v>
      </c>
      <c r="E10" s="15">
        <f t="shared" si="0"/>
        <v>14149</v>
      </c>
      <c r="F10" s="15">
        <v>8722</v>
      </c>
      <c r="G10" s="15">
        <v>638</v>
      </c>
      <c r="H10" s="15">
        <v>486</v>
      </c>
      <c r="I10" s="15">
        <f t="shared" si="1"/>
        <v>1091</v>
      </c>
      <c r="J10" s="15">
        <f t="shared" si="2"/>
        <v>10937</v>
      </c>
      <c r="K10" s="144">
        <v>5.17</v>
      </c>
      <c r="L10" s="46" t="s">
        <v>229</v>
      </c>
    </row>
    <row r="11" spans="1:12">
      <c r="A11" s="10" t="s">
        <v>184</v>
      </c>
      <c r="B11" s="15">
        <v>3212</v>
      </c>
      <c r="C11" s="15">
        <f>+'tab28'!E8</f>
        <v>6903</v>
      </c>
      <c r="D11" s="15">
        <v>4756</v>
      </c>
      <c r="E11" s="15">
        <f t="shared" si="0"/>
        <v>14871</v>
      </c>
      <c r="F11" s="15">
        <v>12733</v>
      </c>
      <c r="G11" s="15">
        <v>52</v>
      </c>
      <c r="H11" s="15">
        <v>438</v>
      </c>
      <c r="I11" s="15">
        <f t="shared" si="1"/>
        <v>-68</v>
      </c>
      <c r="J11" s="15">
        <f t="shared" si="2"/>
        <v>13155</v>
      </c>
      <c r="K11" s="144">
        <v>6.84</v>
      </c>
      <c r="L11" s="46" t="s">
        <v>229</v>
      </c>
    </row>
    <row r="12" spans="1:12">
      <c r="A12" s="10" t="s">
        <v>185</v>
      </c>
      <c r="B12" s="15">
        <v>1716</v>
      </c>
      <c r="C12" s="15">
        <f>+'tab28'!E9</f>
        <v>7022</v>
      </c>
      <c r="D12" s="15">
        <v>3796</v>
      </c>
      <c r="E12" s="15">
        <f t="shared" si="0"/>
        <v>12534</v>
      </c>
      <c r="F12" s="15">
        <v>9935</v>
      </c>
      <c r="G12" s="15">
        <v>238</v>
      </c>
      <c r="H12" s="15">
        <v>511</v>
      </c>
      <c r="I12" s="15">
        <f t="shared" si="1"/>
        <v>201</v>
      </c>
      <c r="J12" s="15">
        <f t="shared" si="2"/>
        <v>10885</v>
      </c>
      <c r="K12" s="144">
        <v>6.09</v>
      </c>
      <c r="L12" s="46" t="s">
        <v>229</v>
      </c>
    </row>
    <row r="13" spans="1:12">
      <c r="A13" s="10" t="s">
        <v>186</v>
      </c>
      <c r="B13" s="15">
        <v>1649</v>
      </c>
      <c r="C13" s="15">
        <f>+'tab28'!E10</f>
        <v>8293</v>
      </c>
      <c r="D13" s="15">
        <v>2927</v>
      </c>
      <c r="E13" s="15">
        <f t="shared" si="0"/>
        <v>12869</v>
      </c>
      <c r="F13" s="15">
        <v>10313</v>
      </c>
      <c r="G13" s="15">
        <v>250</v>
      </c>
      <c r="H13" s="15">
        <v>517</v>
      </c>
      <c r="I13" s="15">
        <f t="shared" si="1"/>
        <v>160</v>
      </c>
      <c r="J13" s="15">
        <f t="shared" si="2"/>
        <v>11240</v>
      </c>
      <c r="K13" s="144">
        <v>5.05</v>
      </c>
      <c r="L13" s="46" t="s">
        <v>229</v>
      </c>
    </row>
    <row r="14" spans="1:12">
      <c r="A14" s="10" t="s">
        <v>187</v>
      </c>
      <c r="B14" s="15">
        <v>1629</v>
      </c>
      <c r="C14" s="15">
        <f>+'tab28'!E11</f>
        <v>11538</v>
      </c>
      <c r="D14" s="15">
        <v>2224</v>
      </c>
      <c r="E14" s="15">
        <f t="shared" si="0"/>
        <v>15391</v>
      </c>
      <c r="F14" s="15">
        <v>10000</v>
      </c>
      <c r="G14" s="15">
        <v>1448</v>
      </c>
      <c r="H14" s="15">
        <v>362</v>
      </c>
      <c r="I14" s="15">
        <f t="shared" si="1"/>
        <v>280</v>
      </c>
      <c r="J14" s="15">
        <f t="shared" si="2"/>
        <v>12090</v>
      </c>
      <c r="K14" s="144">
        <v>3.47</v>
      </c>
      <c r="L14" s="46" t="s">
        <v>229</v>
      </c>
    </row>
    <row r="15" spans="1:12">
      <c r="A15" s="10" t="s">
        <v>188</v>
      </c>
      <c r="B15" s="15">
        <v>3301</v>
      </c>
      <c r="C15" s="15">
        <f>+'tab28'!E12</f>
        <v>7444</v>
      </c>
      <c r="D15" s="15">
        <v>2925</v>
      </c>
      <c r="E15" s="15">
        <f t="shared" si="0"/>
        <v>13670</v>
      </c>
      <c r="F15" s="15">
        <v>10800</v>
      </c>
      <c r="G15" s="15">
        <v>156</v>
      </c>
      <c r="H15" s="15">
        <v>223</v>
      </c>
      <c r="I15" s="15">
        <f t="shared" si="1"/>
        <v>166</v>
      </c>
      <c r="J15" s="15">
        <f t="shared" si="2"/>
        <v>11345</v>
      </c>
      <c r="K15" s="144">
        <v>3.39</v>
      </c>
      <c r="L15" s="46" t="s">
        <v>229</v>
      </c>
    </row>
    <row r="16" spans="1:12">
      <c r="A16" s="10" t="s">
        <v>189</v>
      </c>
      <c r="B16" s="15">
        <v>2325</v>
      </c>
      <c r="C16" s="15">
        <f>+'tab28'!E13</f>
        <v>1615</v>
      </c>
      <c r="D16" s="15">
        <v>6730</v>
      </c>
      <c r="E16" s="15">
        <f t="shared" si="0"/>
        <v>10670</v>
      </c>
      <c r="F16" s="15">
        <v>8500</v>
      </c>
      <c r="G16" s="15">
        <v>764</v>
      </c>
      <c r="H16" s="15">
        <v>158</v>
      </c>
      <c r="I16" s="15">
        <f t="shared" si="1"/>
        <v>-59</v>
      </c>
      <c r="J16" s="15">
        <f t="shared" si="2"/>
        <v>9363</v>
      </c>
      <c r="K16" s="144">
        <v>7.56</v>
      </c>
      <c r="L16" s="46" t="s">
        <v>229</v>
      </c>
    </row>
    <row r="17" spans="1:12">
      <c r="A17" s="10" t="s">
        <v>4</v>
      </c>
      <c r="B17" s="15">
        <v>1307</v>
      </c>
      <c r="C17" s="15">
        <f>+'tab28'!E14</f>
        <v>1215</v>
      </c>
      <c r="D17" s="15">
        <v>7260</v>
      </c>
      <c r="E17" s="15">
        <f t="shared" si="0"/>
        <v>9782</v>
      </c>
      <c r="F17" s="15">
        <v>8250</v>
      </c>
      <c r="G17" s="15">
        <v>1054</v>
      </c>
      <c r="H17" s="15">
        <v>211</v>
      </c>
      <c r="I17" s="15">
        <f t="shared" si="1"/>
        <v>23</v>
      </c>
      <c r="J17" s="15">
        <f t="shared" si="2"/>
        <v>9538</v>
      </c>
      <c r="K17" s="144">
        <v>7.2</v>
      </c>
      <c r="L17" s="46" t="s">
        <v>229</v>
      </c>
    </row>
    <row r="18" spans="1:12">
      <c r="A18" s="10" t="s">
        <v>5</v>
      </c>
      <c r="B18" s="15">
        <v>244</v>
      </c>
      <c r="C18" s="15">
        <f>+'tab28'!E15</f>
        <v>3812</v>
      </c>
      <c r="D18" s="15">
        <v>6715</v>
      </c>
      <c r="E18" s="15">
        <f t="shared" si="0"/>
        <v>10771</v>
      </c>
      <c r="F18" s="15">
        <v>8800</v>
      </c>
      <c r="G18" s="15">
        <v>549</v>
      </c>
      <c r="H18" s="15">
        <v>288</v>
      </c>
      <c r="I18" s="15">
        <f t="shared" si="1"/>
        <v>163</v>
      </c>
      <c r="J18" s="15">
        <f t="shared" si="2"/>
        <v>9800</v>
      </c>
      <c r="K18" s="144">
        <v>5.27</v>
      </c>
      <c r="L18" s="46" t="s">
        <v>229</v>
      </c>
    </row>
    <row r="19" spans="1:12">
      <c r="A19" s="10" t="s">
        <v>6</v>
      </c>
      <c r="B19" s="15">
        <v>971</v>
      </c>
      <c r="C19" s="15">
        <f>+'tab28'!E16</f>
        <v>6200</v>
      </c>
      <c r="D19" s="15">
        <v>4371</v>
      </c>
      <c r="E19" s="15">
        <f t="shared" si="0"/>
        <v>11542</v>
      </c>
      <c r="F19" s="15">
        <v>9050</v>
      </c>
      <c r="G19" s="15">
        <v>541</v>
      </c>
      <c r="H19" s="15">
        <v>139</v>
      </c>
      <c r="I19" s="15">
        <f t="shared" si="1"/>
        <v>256</v>
      </c>
      <c r="J19" s="15">
        <f t="shared" si="2"/>
        <v>9986</v>
      </c>
      <c r="K19" s="144">
        <v>3.52</v>
      </c>
      <c r="L19" s="35">
        <v>4.984</v>
      </c>
    </row>
    <row r="20" spans="1:12">
      <c r="A20" s="10" t="s">
        <v>7</v>
      </c>
      <c r="B20" s="15">
        <v>1556</v>
      </c>
      <c r="C20" s="15">
        <f>+'tab28'!E17</f>
        <v>3288</v>
      </c>
      <c r="D20" s="15">
        <v>6035</v>
      </c>
      <c r="E20" s="15">
        <f t="shared" si="0"/>
        <v>10879</v>
      </c>
      <c r="F20" s="15">
        <v>8600</v>
      </c>
      <c r="G20" s="15">
        <v>230</v>
      </c>
      <c r="H20" s="15">
        <v>167</v>
      </c>
      <c r="I20" s="15">
        <f t="shared" si="1"/>
        <v>337</v>
      </c>
      <c r="J20" s="15">
        <f t="shared" si="2"/>
        <v>9334</v>
      </c>
      <c r="K20" s="144">
        <v>4.12</v>
      </c>
      <c r="L20" s="35">
        <v>4.984</v>
      </c>
    </row>
    <row r="21" spans="1:12">
      <c r="A21" s="10" t="s">
        <v>8</v>
      </c>
      <c r="B21" s="15">
        <v>1545</v>
      </c>
      <c r="C21" s="15">
        <f>+'tab28'!E18</f>
        <v>3482</v>
      </c>
      <c r="D21" s="15">
        <v>5118.6616785714286</v>
      </c>
      <c r="E21" s="15">
        <f t="shared" si="0"/>
        <v>10145.661678571429</v>
      </c>
      <c r="F21" s="15">
        <v>8650</v>
      </c>
      <c r="G21" s="15">
        <v>126</v>
      </c>
      <c r="H21" s="15">
        <v>144</v>
      </c>
      <c r="I21" s="15">
        <f t="shared" si="1"/>
        <v>70.661678571428638</v>
      </c>
      <c r="J21" s="15">
        <f t="shared" si="2"/>
        <v>8990.6616785714286</v>
      </c>
      <c r="K21" s="144">
        <v>4.25</v>
      </c>
      <c r="L21" s="35">
        <v>4.984</v>
      </c>
    </row>
    <row r="22" spans="1:12">
      <c r="A22" s="10" t="s">
        <v>9</v>
      </c>
      <c r="B22" s="15">
        <v>1155</v>
      </c>
      <c r="C22" s="15">
        <f>+'tab28'!E19</f>
        <v>2922</v>
      </c>
      <c r="D22" s="15">
        <v>6005</v>
      </c>
      <c r="E22" s="15">
        <f t="shared" si="0"/>
        <v>10082</v>
      </c>
      <c r="F22" s="15">
        <v>8550</v>
      </c>
      <c r="G22" s="15">
        <v>72</v>
      </c>
      <c r="H22" s="15">
        <v>134</v>
      </c>
      <c r="I22" s="15">
        <f t="shared" si="1"/>
        <v>156</v>
      </c>
      <c r="J22" s="15">
        <f t="shared" si="2"/>
        <v>8912</v>
      </c>
      <c r="K22" s="144">
        <v>4.63</v>
      </c>
      <c r="L22" s="35">
        <v>4.871999999999999</v>
      </c>
    </row>
    <row r="23" spans="1:12">
      <c r="A23" s="10" t="s">
        <v>10</v>
      </c>
      <c r="B23" s="15">
        <v>1170</v>
      </c>
      <c r="C23" s="15">
        <f>+'tab28'!E20</f>
        <v>2212</v>
      </c>
      <c r="D23" s="15">
        <v>7247.98</v>
      </c>
      <c r="E23" s="15">
        <f t="shared" si="0"/>
        <v>10629.98</v>
      </c>
      <c r="F23" s="15">
        <v>9000</v>
      </c>
      <c r="G23" s="15">
        <v>119</v>
      </c>
      <c r="H23" s="15">
        <v>78</v>
      </c>
      <c r="I23" s="15">
        <f t="shared" si="1"/>
        <v>202.97999999999956</v>
      </c>
      <c r="J23" s="15">
        <f t="shared" si="2"/>
        <v>9399.98</v>
      </c>
      <c r="K23" s="144">
        <v>5.25</v>
      </c>
      <c r="L23" s="35">
        <v>4.871999999999999</v>
      </c>
    </row>
    <row r="24" spans="1:12">
      <c r="A24" s="10" t="s">
        <v>11</v>
      </c>
      <c r="B24" s="15">
        <v>1230</v>
      </c>
      <c r="C24" s="15">
        <f>+'tab28'!E21</f>
        <v>1602</v>
      </c>
      <c r="D24" s="15">
        <v>8390.3780000000006</v>
      </c>
      <c r="E24" s="15">
        <f t="shared" si="0"/>
        <v>11222.378000000001</v>
      </c>
      <c r="F24" s="15">
        <v>10000</v>
      </c>
      <c r="G24" s="15">
        <v>144</v>
      </c>
      <c r="H24" s="15">
        <v>122</v>
      </c>
      <c r="I24" s="15">
        <f t="shared" si="1"/>
        <v>503.37800000000061</v>
      </c>
      <c r="J24" s="15">
        <f t="shared" si="2"/>
        <v>10769.378000000001</v>
      </c>
      <c r="K24" s="144">
        <v>6.21</v>
      </c>
      <c r="L24" s="35">
        <v>4.9896000000000003</v>
      </c>
    </row>
    <row r="25" spans="1:12">
      <c r="A25" s="10" t="s">
        <v>12</v>
      </c>
      <c r="B25" s="15">
        <v>453</v>
      </c>
      <c r="C25" s="15">
        <f>+'tab28'!E22</f>
        <v>2420</v>
      </c>
      <c r="D25" s="15">
        <v>9636.0769999999993</v>
      </c>
      <c r="E25" s="15">
        <f t="shared" si="0"/>
        <v>12509.076999999999</v>
      </c>
      <c r="F25" s="15">
        <v>10500</v>
      </c>
      <c r="G25" s="15">
        <v>174</v>
      </c>
      <c r="H25" s="15">
        <v>272</v>
      </c>
      <c r="I25" s="15">
        <f t="shared" si="1"/>
        <v>382.07699999999932</v>
      </c>
      <c r="J25" s="15">
        <f t="shared" si="2"/>
        <v>11328.076999999999</v>
      </c>
      <c r="K25" s="144">
        <v>5.75</v>
      </c>
      <c r="L25" s="35">
        <v>5.2080000000000011</v>
      </c>
    </row>
    <row r="26" spans="1:12">
      <c r="A26" s="10" t="s">
        <v>13</v>
      </c>
      <c r="B26" s="15">
        <v>1181</v>
      </c>
      <c r="C26" s="15">
        <f>+'tab28'!E23</f>
        <v>6708</v>
      </c>
      <c r="D26" s="15">
        <v>5991.89</v>
      </c>
      <c r="E26" s="15">
        <f t="shared" si="0"/>
        <v>13880.89</v>
      </c>
      <c r="F26" s="15">
        <v>10600</v>
      </c>
      <c r="G26" s="15">
        <v>476</v>
      </c>
      <c r="H26" s="15">
        <v>313</v>
      </c>
      <c r="I26" s="15">
        <f t="shared" si="1"/>
        <v>333.88999999999942</v>
      </c>
      <c r="J26" s="15">
        <f t="shared" si="2"/>
        <v>11722.89</v>
      </c>
      <c r="K26" s="144">
        <v>5.25</v>
      </c>
      <c r="L26" s="35">
        <v>5.2080000000000011</v>
      </c>
    </row>
    <row r="27" spans="1:12">
      <c r="A27" s="10" t="s">
        <v>14</v>
      </c>
      <c r="B27" s="15">
        <v>2158</v>
      </c>
      <c r="C27" s="15">
        <f>+'tab28'!E24</f>
        <v>7864</v>
      </c>
      <c r="D27" s="15">
        <v>6629.03</v>
      </c>
      <c r="E27" s="15">
        <f>SUM(B27:D27)</f>
        <v>16651.03</v>
      </c>
      <c r="F27" s="15">
        <v>11500</v>
      </c>
      <c r="G27" s="15">
        <v>200.77693332075003</v>
      </c>
      <c r="H27" s="15">
        <v>434</v>
      </c>
      <c r="I27" s="15">
        <f t="shared" si="1"/>
        <v>2749.2530666792486</v>
      </c>
      <c r="J27" s="15">
        <f t="shared" si="2"/>
        <v>14884.029999999999</v>
      </c>
      <c r="K27" s="144">
        <v>3.79</v>
      </c>
      <c r="L27" s="35">
        <v>5.2080000000000011</v>
      </c>
    </row>
    <row r="28" spans="1:12">
      <c r="A28" s="10" t="s">
        <v>397</v>
      </c>
      <c r="B28" s="15">
        <v>1767</v>
      </c>
      <c r="C28" s="15">
        <f>+'tab28'!E25</f>
        <v>10730</v>
      </c>
      <c r="D28" s="15">
        <v>2848.6403910427503</v>
      </c>
      <c r="E28" s="15">
        <f>SUM(B28:D28)</f>
        <v>15345.640391042751</v>
      </c>
      <c r="F28" s="15">
        <v>12000</v>
      </c>
      <c r="G28" s="15">
        <v>1016.7494627070001</v>
      </c>
      <c r="H28" s="15">
        <v>474</v>
      </c>
      <c r="I28" s="15">
        <f t="shared" si="1"/>
        <v>546.89092833575057</v>
      </c>
      <c r="J28" s="15">
        <f t="shared" si="2"/>
        <v>14037.640391042751</v>
      </c>
      <c r="K28" s="144">
        <v>3.3</v>
      </c>
      <c r="L28" s="35">
        <v>5.2080000000000011</v>
      </c>
    </row>
    <row r="29" spans="1:12">
      <c r="A29" s="10" t="s">
        <v>210</v>
      </c>
      <c r="B29" s="15">
        <v>1308</v>
      </c>
      <c r="C29" s="15">
        <f>+'tab28'!E26</f>
        <v>11455</v>
      </c>
      <c r="D29" s="15">
        <v>1904.1090303419996</v>
      </c>
      <c r="E29" s="15">
        <f>SUM(B29:D29)</f>
        <v>14667.109030341999</v>
      </c>
      <c r="F29" s="15">
        <v>10000</v>
      </c>
      <c r="G29" s="15">
        <v>2385.9618440894997</v>
      </c>
      <c r="H29" s="15">
        <v>635</v>
      </c>
      <c r="I29" s="15">
        <f t="shared" si="1"/>
        <v>753.14718625249907</v>
      </c>
      <c r="J29" s="15">
        <f t="shared" si="2"/>
        <v>13774.109030341999</v>
      </c>
      <c r="K29" s="144">
        <v>4.29</v>
      </c>
      <c r="L29" s="35">
        <v>5.2080000000000011</v>
      </c>
    </row>
    <row r="30" spans="1:12">
      <c r="A30" s="10" t="s">
        <v>217</v>
      </c>
      <c r="B30" s="15">
        <v>893</v>
      </c>
      <c r="C30" s="15">
        <f>+'tab28'!E27</f>
        <v>11863</v>
      </c>
      <c r="D30" s="15">
        <v>2900.8668232800005</v>
      </c>
      <c r="E30" s="15">
        <f>SUM(B30:D30)</f>
        <v>15656.866823280001</v>
      </c>
      <c r="F30" s="15">
        <v>10500</v>
      </c>
      <c r="G30" s="15">
        <v>3180.7399643010003</v>
      </c>
      <c r="H30" s="15">
        <v>482</v>
      </c>
      <c r="I30" s="15">
        <f t="shared" si="1"/>
        <v>416.12685897900064</v>
      </c>
      <c r="J30" s="15">
        <f t="shared" si="2"/>
        <v>14578.866823280001</v>
      </c>
      <c r="K30" s="144">
        <v>5.77</v>
      </c>
      <c r="L30" s="35">
        <v>5.3760000000000003</v>
      </c>
    </row>
    <row r="31" spans="1:12">
      <c r="A31" s="10" t="s">
        <v>398</v>
      </c>
      <c r="B31" s="15">
        <v>1078</v>
      </c>
      <c r="C31" s="15">
        <f>+'tab28'!E28</f>
        <v>10516</v>
      </c>
      <c r="D31" s="15">
        <v>4580.0208701954998</v>
      </c>
      <c r="E31" s="15">
        <f t="shared" ref="E31:E36" si="3">B31+C31+D31</f>
        <v>16174.0208701955</v>
      </c>
      <c r="F31" s="15">
        <v>11260</v>
      </c>
      <c r="G31" s="15">
        <v>2515.6389305452503</v>
      </c>
      <c r="H31" s="15">
        <v>424</v>
      </c>
      <c r="I31" s="15">
        <f t="shared" si="1"/>
        <v>686.38193965024948</v>
      </c>
      <c r="J31" s="15">
        <f t="shared" si="2"/>
        <v>14886.0208701955</v>
      </c>
      <c r="K31" s="144">
        <v>5.88</v>
      </c>
      <c r="L31" s="35">
        <v>5.3760000000000003</v>
      </c>
    </row>
    <row r="32" spans="1:12">
      <c r="A32" s="10" t="s">
        <v>222</v>
      </c>
      <c r="B32" s="15">
        <v>1288</v>
      </c>
      <c r="C32" s="15">
        <f>+'tab28'!E29</f>
        <v>10368</v>
      </c>
      <c r="D32" s="15">
        <v>5413.1293752322508</v>
      </c>
      <c r="E32" s="15">
        <f t="shared" si="3"/>
        <v>17069.129375232253</v>
      </c>
      <c r="F32" s="15">
        <v>13600</v>
      </c>
      <c r="G32" s="15">
        <v>1509.5931438577497</v>
      </c>
      <c r="H32" s="15">
        <v>796</v>
      </c>
      <c r="I32" s="15">
        <f t="shared" ref="I32:I37" si="4">+J32-F32-G32-H32</f>
        <v>300.5362313745029</v>
      </c>
      <c r="J32" s="15">
        <f t="shared" si="2"/>
        <v>16206.129375232253</v>
      </c>
      <c r="K32" s="144">
        <v>8.07</v>
      </c>
      <c r="L32" s="35">
        <v>5.3760000000000003</v>
      </c>
    </row>
    <row r="33" spans="1:19">
      <c r="A33" s="10" t="s">
        <v>225</v>
      </c>
      <c r="B33" s="15">
        <v>863</v>
      </c>
      <c r="C33" s="15">
        <f>+'tab28'!E30</f>
        <v>19695</v>
      </c>
      <c r="D33" s="15">
        <v>4255.8753369037504</v>
      </c>
      <c r="E33" s="15">
        <f t="shared" si="3"/>
        <v>24813.875336903751</v>
      </c>
      <c r="F33" s="15">
        <v>16400</v>
      </c>
      <c r="G33" s="15">
        <v>3779.5423454887505</v>
      </c>
      <c r="H33" s="15">
        <v>659</v>
      </c>
      <c r="I33" s="15">
        <f t="shared" si="4"/>
        <v>440.33299141500083</v>
      </c>
      <c r="J33" s="15">
        <f t="shared" si="2"/>
        <v>21278.875336903751</v>
      </c>
      <c r="K33" s="144">
        <v>5.94</v>
      </c>
      <c r="L33" s="35">
        <v>5.3760000000000003</v>
      </c>
    </row>
    <row r="34" spans="1:19">
      <c r="A34" s="10" t="s">
        <v>227</v>
      </c>
      <c r="B34" s="15">
        <v>3535</v>
      </c>
      <c r="C34" s="15">
        <f>+'tab28'!E31</f>
        <v>11019</v>
      </c>
      <c r="D34" s="15">
        <v>5463.86402637225</v>
      </c>
      <c r="E34" s="15">
        <f t="shared" si="3"/>
        <v>20017.864026372248</v>
      </c>
      <c r="F34" s="15">
        <v>14900</v>
      </c>
      <c r="G34" s="15">
        <v>1787.8624617420003</v>
      </c>
      <c r="H34" s="15">
        <v>287</v>
      </c>
      <c r="I34" s="15">
        <f t="shared" si="4"/>
        <v>599.00156463024791</v>
      </c>
      <c r="J34" s="15">
        <f t="shared" si="2"/>
        <v>17573.864026372248</v>
      </c>
      <c r="K34" s="144">
        <v>5.8</v>
      </c>
      <c r="L34" s="35">
        <v>5.3760000000000003</v>
      </c>
    </row>
    <row r="35" spans="1:19">
      <c r="A35" s="10" t="s">
        <v>230</v>
      </c>
      <c r="B35" s="15">
        <v>2444</v>
      </c>
      <c r="C35" s="15">
        <f>+'tab28'!E32</f>
        <v>5896</v>
      </c>
      <c r="D35" s="15">
        <v>8019.384</v>
      </c>
      <c r="E35" s="15">
        <f t="shared" si="3"/>
        <v>16359.384</v>
      </c>
      <c r="F35" s="15">
        <v>11700</v>
      </c>
      <c r="G35" s="15">
        <v>2220.5250801652501</v>
      </c>
      <c r="H35" s="15">
        <v>287</v>
      </c>
      <c r="I35" s="15">
        <f t="shared" si="4"/>
        <v>639.85891983474994</v>
      </c>
      <c r="J35" s="15">
        <f t="shared" si="2"/>
        <v>14847.384</v>
      </c>
      <c r="K35" s="144">
        <v>13</v>
      </c>
      <c r="L35" s="35">
        <v>5.3760000000000003</v>
      </c>
    </row>
    <row r="36" spans="1:19">
      <c r="A36" s="10" t="s">
        <v>231</v>
      </c>
      <c r="B36" s="15">
        <v>1512</v>
      </c>
      <c r="C36" s="15">
        <f>+'tab28'!E33</f>
        <v>5716</v>
      </c>
      <c r="D36" s="15">
        <v>4794.1263182362518</v>
      </c>
      <c r="E36" s="15">
        <f t="shared" si="3"/>
        <v>12022.126318236253</v>
      </c>
      <c r="F36" s="15">
        <v>8150</v>
      </c>
      <c r="G36" s="15">
        <v>432.30354061499997</v>
      </c>
      <c r="H36" s="15">
        <v>257</v>
      </c>
      <c r="I36" s="15">
        <f t="shared" si="4"/>
        <v>630.82277762125273</v>
      </c>
      <c r="J36" s="15">
        <f t="shared" si="2"/>
        <v>9470.1263182362527</v>
      </c>
      <c r="K36" s="144">
        <v>12.7</v>
      </c>
      <c r="L36" s="35">
        <v>5.2080000000000011</v>
      </c>
    </row>
    <row r="37" spans="1:19">
      <c r="A37" s="55" t="s">
        <v>234</v>
      </c>
      <c r="B37" s="15">
        <v>2552</v>
      </c>
      <c r="C37" s="15">
        <f>+'tab28'!E34</f>
        <v>7423</v>
      </c>
      <c r="D37" s="15">
        <v>6283.0003458014999</v>
      </c>
      <c r="E37" s="15">
        <f t="shared" ref="E37:E42" si="5">B37+C37+D37</f>
        <v>16258.0003458015</v>
      </c>
      <c r="F37" s="15">
        <v>12000</v>
      </c>
      <c r="G37" s="15">
        <v>1751.6518209697499</v>
      </c>
      <c r="H37" s="15">
        <v>341</v>
      </c>
      <c r="I37" s="15">
        <f t="shared" si="4"/>
        <v>608.34852483174996</v>
      </c>
      <c r="J37" s="15">
        <f t="shared" si="2"/>
        <v>14701.0003458015</v>
      </c>
      <c r="K37" s="144">
        <v>8.15</v>
      </c>
      <c r="L37" s="35">
        <v>5.2080000000000011</v>
      </c>
    </row>
    <row r="38" spans="1:19">
      <c r="A38" s="55" t="s">
        <v>236</v>
      </c>
      <c r="B38" s="15">
        <v>1557</v>
      </c>
      <c r="C38" s="15">
        <f>+'tab28'!E35</f>
        <v>9056</v>
      </c>
      <c r="D38" s="15">
        <v>6039.7701876742494</v>
      </c>
      <c r="E38" s="15">
        <f t="shared" si="5"/>
        <v>16652.77018767425</v>
      </c>
      <c r="F38" s="15">
        <v>11635</v>
      </c>
      <c r="G38" s="15">
        <v>2130.4855619077498</v>
      </c>
      <c r="H38" s="15">
        <v>144</v>
      </c>
      <c r="I38" s="15">
        <f t="shared" ref="I38:I42" si="6">+J38-F38-G38-H38</f>
        <v>573.28462576650054</v>
      </c>
      <c r="J38" s="15">
        <f t="shared" si="2"/>
        <v>14482.77018767425</v>
      </c>
      <c r="K38" s="144">
        <v>12.2</v>
      </c>
      <c r="L38" s="35">
        <v>5.6503999999999994</v>
      </c>
    </row>
    <row r="39" spans="1:19">
      <c r="A39" s="55" t="s">
        <v>239</v>
      </c>
      <c r="B39" s="15">
        <v>2170</v>
      </c>
      <c r="C39" s="15">
        <f>+'tab28'!E36</f>
        <v>2791</v>
      </c>
      <c r="D39" s="15">
        <v>8285.7205434735006</v>
      </c>
      <c r="E39" s="15">
        <f t="shared" si="5"/>
        <v>13246.720543473501</v>
      </c>
      <c r="F39" s="15">
        <v>10500</v>
      </c>
      <c r="G39" s="15">
        <v>654.03481552200003</v>
      </c>
      <c r="H39" s="15">
        <v>279</v>
      </c>
      <c r="I39" s="15">
        <f t="shared" si="6"/>
        <v>693.68572795150055</v>
      </c>
      <c r="J39" s="15">
        <f t="shared" si="2"/>
        <v>12126.720543473501</v>
      </c>
      <c r="K39" s="144">
        <v>13.9</v>
      </c>
      <c r="L39" s="35">
        <v>5.6503999999999994</v>
      </c>
    </row>
    <row r="40" spans="1:19">
      <c r="A40" s="55" t="s">
        <v>241</v>
      </c>
      <c r="B40" s="15">
        <v>1120</v>
      </c>
      <c r="C40" s="15">
        <f>+'tab28'!E37</f>
        <v>5798</v>
      </c>
      <c r="D40" s="15">
        <v>6927.7528917175496</v>
      </c>
      <c r="E40" s="15">
        <f t="shared" si="5"/>
        <v>13845.75289171755</v>
      </c>
      <c r="F40" s="15">
        <v>11000</v>
      </c>
      <c r="G40" s="15">
        <v>1019.80880878275</v>
      </c>
      <c r="H40" s="15">
        <v>147</v>
      </c>
      <c r="I40" s="15">
        <f t="shared" si="6"/>
        <v>754.94408293479955</v>
      </c>
      <c r="J40" s="15">
        <f t="shared" si="2"/>
        <v>12921.75289171755</v>
      </c>
      <c r="K40" s="144">
        <v>13.8</v>
      </c>
      <c r="L40" s="35">
        <v>5.6503999999999994</v>
      </c>
    </row>
    <row r="41" spans="1:19">
      <c r="A41" s="55" t="s">
        <v>253</v>
      </c>
      <c r="B41" s="15">
        <v>924</v>
      </c>
      <c r="C41" s="15">
        <f>+'tab28'!E38</f>
        <v>3356</v>
      </c>
      <c r="D41" s="15">
        <v>6759</v>
      </c>
      <c r="E41" s="15">
        <f t="shared" si="5"/>
        <v>11039</v>
      </c>
      <c r="F41" s="15">
        <v>8700</v>
      </c>
      <c r="G41" s="15">
        <v>598.69734669675006</v>
      </c>
      <c r="H41" s="15">
        <v>252</v>
      </c>
      <c r="I41" s="15">
        <f t="shared" si="6"/>
        <v>725.30265330324994</v>
      </c>
      <c r="J41" s="15">
        <f t="shared" si="2"/>
        <v>10276</v>
      </c>
      <c r="K41" s="144">
        <v>13.8</v>
      </c>
      <c r="L41" s="35">
        <v>5.6503999999999994</v>
      </c>
    </row>
    <row r="42" spans="1:19">
      <c r="A42" s="55" t="s">
        <v>261</v>
      </c>
      <c r="B42" s="15">
        <v>763</v>
      </c>
      <c r="C42" s="15">
        <f>+'tab28'!E39</f>
        <v>6368</v>
      </c>
      <c r="D42" s="15">
        <v>7464.4880222047505</v>
      </c>
      <c r="E42" s="15">
        <f t="shared" si="5"/>
        <v>14595.48802220475</v>
      </c>
      <c r="F42" s="15">
        <v>11850</v>
      </c>
      <c r="G42" s="15">
        <v>528.45950703375001</v>
      </c>
      <c r="H42" s="15">
        <v>375</v>
      </c>
      <c r="I42" s="15">
        <f t="shared" si="6"/>
        <v>1034.0285151710004</v>
      </c>
      <c r="J42" s="15">
        <f t="shared" si="2"/>
        <v>13787.48802220475</v>
      </c>
      <c r="K42" s="144">
        <v>11.8</v>
      </c>
      <c r="L42" s="35">
        <v>5.6503999999999994</v>
      </c>
    </row>
    <row r="43" spans="1:19">
      <c r="A43" s="55" t="s">
        <v>260</v>
      </c>
      <c r="B43" s="15">
        <v>808</v>
      </c>
      <c r="C43" s="15">
        <f>+'tab28'!E40</f>
        <v>10095</v>
      </c>
      <c r="D43" s="15">
        <v>4436.5</v>
      </c>
      <c r="E43" s="15">
        <v>15339.497379691</v>
      </c>
      <c r="F43" s="15">
        <v>10700</v>
      </c>
      <c r="G43" s="15">
        <v>869.82573644999991</v>
      </c>
      <c r="H43" s="15">
        <v>303</v>
      </c>
      <c r="I43" s="15">
        <f t="shared" ref="I43:I50" si="7">+J43-F43-G43-H43</f>
        <v>552.67164324099997</v>
      </c>
      <c r="J43" s="15">
        <f t="shared" ref="J43:J50" si="8">+E43-B44</f>
        <v>12425.497379691</v>
      </c>
      <c r="K43" s="144">
        <v>8.9499999999999993</v>
      </c>
      <c r="L43" s="35">
        <v>5.6503999999999994</v>
      </c>
    </row>
    <row r="44" spans="1:19">
      <c r="A44" s="55" t="s">
        <v>262</v>
      </c>
      <c r="B44" s="15">
        <v>2914</v>
      </c>
      <c r="C44" s="15">
        <f>+'tab28'!E41</f>
        <v>8656</v>
      </c>
      <c r="D44" s="15">
        <v>3086.4556038554997</v>
      </c>
      <c r="E44" s="15">
        <f t="shared" ref="E44:E50" si="9">B44+C44+D44</f>
        <v>14656.4556038555</v>
      </c>
      <c r="F44" s="15">
        <v>10500</v>
      </c>
      <c r="G44" s="15">
        <v>1331.737350525</v>
      </c>
      <c r="H44" s="15">
        <v>245</v>
      </c>
      <c r="I44" s="15">
        <f t="shared" si="7"/>
        <v>409.71825333050015</v>
      </c>
      <c r="J44" s="15">
        <f t="shared" si="8"/>
        <v>12486.4556038555</v>
      </c>
      <c r="K44" s="144">
        <v>8</v>
      </c>
      <c r="L44" s="35">
        <v>5.6503999999999994</v>
      </c>
    </row>
    <row r="45" spans="1:19">
      <c r="A45" s="254" t="s">
        <v>296</v>
      </c>
      <c r="B45" s="201">
        <v>2170</v>
      </c>
      <c r="C45" s="201">
        <f>+'tab28'!E42</f>
        <v>3842</v>
      </c>
      <c r="D45" s="201">
        <v>5451.3742893001054</v>
      </c>
      <c r="E45" s="201">
        <f t="shared" si="9"/>
        <v>11463.374289300105</v>
      </c>
      <c r="F45" s="201">
        <v>9000</v>
      </c>
      <c r="G45" s="201">
        <v>480.00933359171421</v>
      </c>
      <c r="H45" s="201">
        <v>168.48000000000002</v>
      </c>
      <c r="I45" s="201">
        <f t="shared" si="7"/>
        <v>185.88495570839115</v>
      </c>
      <c r="J45" s="201">
        <f t="shared" si="8"/>
        <v>9834.3742893001054</v>
      </c>
      <c r="K45" s="313">
        <v>9.5299999999999994</v>
      </c>
      <c r="L45" s="303">
        <v>5.6503999999999994</v>
      </c>
      <c r="O45" s="190"/>
      <c r="P45" s="15"/>
      <c r="Q45" s="15"/>
      <c r="R45" s="15"/>
      <c r="S45" s="15"/>
    </row>
    <row r="46" spans="1:19">
      <c r="A46" s="254" t="s">
        <v>335</v>
      </c>
      <c r="B46" s="201">
        <v>1629</v>
      </c>
      <c r="C46" s="201">
        <f>+'tab28'!E43</f>
        <v>4466</v>
      </c>
      <c r="D46" s="201">
        <v>5503.1553630873559</v>
      </c>
      <c r="E46" s="201">
        <f t="shared" si="9"/>
        <v>11598.155363087357</v>
      </c>
      <c r="F46" s="201">
        <v>9150</v>
      </c>
      <c r="G46" s="201">
        <v>262.16112412685709</v>
      </c>
      <c r="H46" s="201">
        <v>302.94</v>
      </c>
      <c r="I46" s="201">
        <f t="shared" si="7"/>
        <v>321.05423896049973</v>
      </c>
      <c r="J46" s="201">
        <f t="shared" si="8"/>
        <v>10036.155363087357</v>
      </c>
      <c r="K46" s="313">
        <v>9.89</v>
      </c>
      <c r="L46" s="303">
        <v>5.6503999999999994</v>
      </c>
      <c r="O46" s="190"/>
      <c r="P46" s="15"/>
      <c r="Q46" s="15"/>
      <c r="R46" s="15"/>
      <c r="S46" s="15"/>
    </row>
    <row r="47" spans="1:19" ht="12" customHeight="1">
      <c r="A47" s="254" t="s">
        <v>334</v>
      </c>
      <c r="B47" s="201">
        <v>1562</v>
      </c>
      <c r="C47" s="201">
        <f>+'tab28'!E44</f>
        <v>5625</v>
      </c>
      <c r="D47" s="201">
        <v>4381.8252461637494</v>
      </c>
      <c r="E47" s="201">
        <f t="shared" si="9"/>
        <v>11568.825246163749</v>
      </c>
      <c r="F47" s="201">
        <v>8950</v>
      </c>
      <c r="G47" s="201">
        <v>875.2509274444285</v>
      </c>
      <c r="H47" s="201">
        <v>247.05</v>
      </c>
      <c r="I47" s="201">
        <f t="shared" si="7"/>
        <v>233.52431871932089</v>
      </c>
      <c r="J47" s="201">
        <f t="shared" si="8"/>
        <v>10305.825246163749</v>
      </c>
      <c r="K47" s="313">
        <v>9.15</v>
      </c>
      <c r="L47" s="303">
        <v>5.6503999999999994</v>
      </c>
      <c r="O47" s="190"/>
      <c r="P47" s="15"/>
      <c r="Q47" s="15"/>
      <c r="R47" s="15"/>
      <c r="S47" s="15"/>
    </row>
    <row r="48" spans="1:19" ht="12" customHeight="1">
      <c r="A48" s="254" t="s">
        <v>350</v>
      </c>
      <c r="B48" s="201">
        <v>1263</v>
      </c>
      <c r="C48" s="201">
        <f>+'tab28'!E45</f>
        <v>5706</v>
      </c>
      <c r="D48" s="201">
        <v>4067.6547123354276</v>
      </c>
      <c r="E48" s="201">
        <f t="shared" si="9"/>
        <v>11036.654712335428</v>
      </c>
      <c r="F48" s="201">
        <v>8000</v>
      </c>
      <c r="G48" s="201">
        <v>1187.7561838294284</v>
      </c>
      <c r="H48" s="201">
        <v>263.25</v>
      </c>
      <c r="I48" s="201">
        <f t="shared" si="7"/>
        <v>242.64852850600005</v>
      </c>
      <c r="J48" s="201">
        <f t="shared" si="8"/>
        <v>9693.6547123354285</v>
      </c>
      <c r="K48" s="313">
        <v>11.1</v>
      </c>
      <c r="L48" s="303">
        <v>5.6503999999999994</v>
      </c>
      <c r="O48" s="190"/>
      <c r="P48" s="15"/>
      <c r="Q48" s="15"/>
      <c r="R48" s="15"/>
      <c r="S48" s="15"/>
    </row>
    <row r="49" spans="1:19" ht="12" customHeight="1">
      <c r="A49" s="254" t="s">
        <v>615</v>
      </c>
      <c r="B49" s="201">
        <v>1343</v>
      </c>
      <c r="C49" s="201">
        <f>+'tab28'!E46</f>
        <v>2718</v>
      </c>
      <c r="D49" s="201">
        <v>6683.5969240097138</v>
      </c>
      <c r="E49" s="201">
        <f t="shared" si="9"/>
        <v>10744.596924009715</v>
      </c>
      <c r="F49" s="201">
        <v>9300</v>
      </c>
      <c r="G49" s="201">
        <v>477.69054301460699</v>
      </c>
      <c r="H49" s="201">
        <v>213.03</v>
      </c>
      <c r="I49" s="201">
        <f t="shared" si="7"/>
        <v>265.87638099510775</v>
      </c>
      <c r="J49" s="201">
        <f t="shared" si="8"/>
        <v>10256.596924009715</v>
      </c>
      <c r="K49" s="313">
        <v>25.9</v>
      </c>
      <c r="L49" s="303">
        <v>5.6503999999999994</v>
      </c>
      <c r="O49" s="190"/>
      <c r="P49" s="15"/>
      <c r="Q49" s="15"/>
      <c r="R49" s="15"/>
      <c r="S49" s="15"/>
    </row>
    <row r="50" spans="1:19" ht="12" customHeight="1">
      <c r="A50" s="256" t="s">
        <v>614</v>
      </c>
      <c r="B50" s="312">
        <v>488</v>
      </c>
      <c r="C50" s="312">
        <f>+'tab28'!E47</f>
        <v>4304</v>
      </c>
      <c r="D50" s="312">
        <v>6687</v>
      </c>
      <c r="E50" s="312">
        <f t="shared" si="9"/>
        <v>11479</v>
      </c>
      <c r="F50" s="312">
        <v>9850</v>
      </c>
      <c r="G50" s="312">
        <v>400</v>
      </c>
      <c r="H50" s="312">
        <v>283.5</v>
      </c>
      <c r="I50" s="312">
        <f t="shared" si="7"/>
        <v>945.5</v>
      </c>
      <c r="J50" s="312">
        <f t="shared" si="8"/>
        <v>11479</v>
      </c>
      <c r="K50" s="314">
        <v>17.903200000000002</v>
      </c>
      <c r="L50" s="304">
        <v>5.6503999999999994</v>
      </c>
      <c r="O50" s="190"/>
      <c r="P50" s="15"/>
      <c r="Q50" s="15"/>
      <c r="R50" s="15"/>
      <c r="S50" s="15"/>
    </row>
    <row r="51" spans="1:19" ht="12" customHeight="1">
      <c r="A51" s="61" t="s">
        <v>542</v>
      </c>
      <c r="B51" s="15"/>
      <c r="C51" s="15"/>
      <c r="D51" s="15"/>
      <c r="E51" s="15"/>
      <c r="F51" s="15"/>
      <c r="G51" s="15"/>
      <c r="H51" s="15"/>
      <c r="I51" s="15"/>
      <c r="J51" s="15"/>
      <c r="K51" s="144"/>
      <c r="L51" s="35"/>
    </row>
    <row r="52" spans="1:19" ht="13.15" customHeight="1">
      <c r="A52" s="52" t="s">
        <v>514</v>
      </c>
      <c r="B52" s="55"/>
    </row>
    <row r="53" spans="1:19">
      <c r="A53" s="52" t="s">
        <v>684</v>
      </c>
    </row>
    <row r="54" spans="1:19">
      <c r="A54" t="s">
        <v>545</v>
      </c>
    </row>
    <row r="55" spans="1:19" ht="10.15" customHeight="1">
      <c r="A55" t="s">
        <v>348</v>
      </c>
      <c r="K55" s="78"/>
    </row>
    <row r="56" spans="1:19" ht="10.15" customHeight="1">
      <c r="L56" s="225" t="s">
        <v>592</v>
      </c>
    </row>
    <row r="58" spans="1:19">
      <c r="D58" s="15"/>
    </row>
  </sheetData>
  <phoneticPr fontId="0" type="noConversion"/>
  <pageMargins left="0.75" right="0.75" top="1" bottom="1" header="0.5" footer="0.5"/>
  <pageSetup scale="79" firstPageNumber="29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Q53"/>
  <sheetViews>
    <sheetView zoomScaleNormal="100" zoomScaleSheetLayoutView="100" workbookViewId="0">
      <pane ySplit="5" topLeftCell="A6" activePane="bottomLeft" state="frozen"/>
      <selection pane="bottomLeft"/>
    </sheetView>
  </sheetViews>
  <sheetFormatPr defaultRowHeight="11.25"/>
  <cols>
    <col min="1" max="9" width="11.83203125" customWidth="1"/>
    <col min="10" max="10" width="16.6640625" customWidth="1"/>
  </cols>
  <sheetData>
    <row r="1" spans="1:13">
      <c r="A1" s="259" t="s">
        <v>624</v>
      </c>
      <c r="B1" s="1"/>
      <c r="C1" s="1"/>
      <c r="D1" s="1"/>
      <c r="E1" s="1"/>
      <c r="F1" s="1"/>
      <c r="G1" s="1"/>
      <c r="H1" s="1"/>
      <c r="I1" s="1"/>
      <c r="J1" s="1"/>
    </row>
    <row r="2" spans="1:13">
      <c r="A2" s="7" t="s">
        <v>378</v>
      </c>
      <c r="B2" s="121"/>
      <c r="C2" s="4" t="s">
        <v>75</v>
      </c>
      <c r="D2" s="4"/>
      <c r="E2" s="120"/>
      <c r="F2" s="4"/>
      <c r="G2" s="4" t="s">
        <v>73</v>
      </c>
      <c r="H2" s="4"/>
      <c r="I2" s="172"/>
      <c r="J2" s="121" t="s">
        <v>74</v>
      </c>
    </row>
    <row r="3" spans="1:13">
      <c r="A3" s="7" t="s">
        <v>59</v>
      </c>
      <c r="B3" s="109" t="s">
        <v>96</v>
      </c>
      <c r="C3" s="7"/>
      <c r="D3" s="7"/>
      <c r="E3" s="7"/>
      <c r="F3" s="108"/>
      <c r="G3" s="7"/>
      <c r="H3" s="7"/>
      <c r="I3" s="109" t="s">
        <v>98</v>
      </c>
      <c r="J3" s="109" t="s">
        <v>370</v>
      </c>
    </row>
    <row r="4" spans="1:13">
      <c r="A4" s="9" t="s">
        <v>111</v>
      </c>
      <c r="B4" s="116" t="s">
        <v>66</v>
      </c>
      <c r="C4" s="9" t="s">
        <v>40</v>
      </c>
      <c r="D4" s="9" t="s">
        <v>49</v>
      </c>
      <c r="E4" s="114" t="s">
        <v>2</v>
      </c>
      <c r="F4" s="9" t="s">
        <v>97</v>
      </c>
      <c r="G4" s="9" t="s">
        <v>112</v>
      </c>
      <c r="H4" s="114" t="s">
        <v>2</v>
      </c>
      <c r="I4" s="9" t="s">
        <v>66</v>
      </c>
      <c r="J4" s="116" t="s">
        <v>485</v>
      </c>
    </row>
    <row r="5" spans="1:13">
      <c r="A5" s="73"/>
      <c r="B5" s="73"/>
      <c r="C5" s="148"/>
      <c r="D5" s="155" t="s">
        <v>117</v>
      </c>
      <c r="E5" s="73"/>
      <c r="F5" s="148"/>
      <c r="G5" s="148"/>
      <c r="H5" s="148"/>
      <c r="I5" s="148"/>
      <c r="J5" s="150" t="s">
        <v>355</v>
      </c>
    </row>
    <row r="6" spans="1:13">
      <c r="B6" s="7"/>
      <c r="C6" s="7"/>
      <c r="D6" s="7"/>
      <c r="E6" s="7"/>
      <c r="F6" s="7"/>
      <c r="G6" s="7"/>
      <c r="H6" s="7"/>
      <c r="I6" s="7"/>
      <c r="J6" s="7"/>
    </row>
    <row r="7" spans="1:13">
      <c r="A7" s="10" t="s">
        <v>181</v>
      </c>
      <c r="B7" s="12">
        <v>7</v>
      </c>
      <c r="C7" s="12">
        <v>214.68600000000004</v>
      </c>
      <c r="D7" s="12">
        <v>2</v>
      </c>
      <c r="E7" s="12">
        <f t="shared" ref="E7:E26" si="0">SUM(B7:D7)</f>
        <v>223.68600000000004</v>
      </c>
      <c r="F7" s="12">
        <f t="shared" ref="F7:F15" si="1">+H7-G7</f>
        <v>88.052286747000011</v>
      </c>
      <c r="G7" s="12">
        <v>133.63371325300002</v>
      </c>
      <c r="H7" s="12">
        <f t="shared" ref="H7:H49" si="2">+E7-I7</f>
        <v>221.68600000000004</v>
      </c>
      <c r="I7" s="12">
        <v>2</v>
      </c>
      <c r="J7" s="26">
        <v>162.80000000000001</v>
      </c>
      <c r="L7" s="190"/>
      <c r="M7" s="190"/>
    </row>
    <row r="8" spans="1:13">
      <c r="A8" s="10" t="s">
        <v>182</v>
      </c>
      <c r="B8" s="12">
        <f>I7</f>
        <v>2</v>
      </c>
      <c r="C8" s="12">
        <v>202.15800000000002</v>
      </c>
      <c r="D8" s="12">
        <v>2</v>
      </c>
      <c r="E8" s="12">
        <f t="shared" si="0"/>
        <v>206.15800000000002</v>
      </c>
      <c r="F8" s="12">
        <f t="shared" si="1"/>
        <v>53.16364877700002</v>
      </c>
      <c r="G8" s="12">
        <v>150.994351223</v>
      </c>
      <c r="H8" s="12">
        <f t="shared" si="2"/>
        <v>204.15800000000002</v>
      </c>
      <c r="I8" s="12">
        <v>2</v>
      </c>
      <c r="J8" s="26">
        <v>151.02000000000001</v>
      </c>
      <c r="L8" s="190"/>
      <c r="M8" s="190"/>
    </row>
    <row r="9" spans="1:13">
      <c r="A9" s="10" t="s">
        <v>183</v>
      </c>
      <c r="B9" s="12">
        <f t="shared" ref="B9:B32" si="3">I8</f>
        <v>2</v>
      </c>
      <c r="C9" s="12">
        <v>156.99600000000001</v>
      </c>
      <c r="D9" s="12">
        <v>2</v>
      </c>
      <c r="E9" s="12">
        <f t="shared" si="0"/>
        <v>160.99600000000001</v>
      </c>
      <c r="F9" s="12">
        <f t="shared" si="1"/>
        <v>79.887889768000008</v>
      </c>
      <c r="G9" s="12">
        <v>79.108110232000001</v>
      </c>
      <c r="H9" s="12">
        <f t="shared" si="2"/>
        <v>158.99600000000001</v>
      </c>
      <c r="I9" s="12">
        <v>2</v>
      </c>
      <c r="J9" s="26">
        <v>143.4</v>
      </c>
      <c r="L9" s="190"/>
      <c r="M9" s="190"/>
    </row>
    <row r="10" spans="1:13">
      <c r="A10" s="10" t="s">
        <v>184</v>
      </c>
      <c r="B10" s="12">
        <f t="shared" si="3"/>
        <v>2</v>
      </c>
      <c r="C10" s="12">
        <v>229.19400000000002</v>
      </c>
      <c r="D10" s="12">
        <v>2</v>
      </c>
      <c r="E10" s="12">
        <f t="shared" si="0"/>
        <v>233.19400000000002</v>
      </c>
      <c r="F10" s="12">
        <f t="shared" si="1"/>
        <v>105.66630856600003</v>
      </c>
      <c r="G10" s="12">
        <v>124.52769143399999</v>
      </c>
      <c r="H10" s="12">
        <f t="shared" si="2"/>
        <v>230.19400000000002</v>
      </c>
      <c r="I10" s="12">
        <v>3</v>
      </c>
      <c r="J10" s="26">
        <v>155.28</v>
      </c>
      <c r="L10" s="190"/>
      <c r="M10" s="190"/>
    </row>
    <row r="11" spans="1:13">
      <c r="A11" s="10" t="s">
        <v>185</v>
      </c>
      <c r="B11" s="12">
        <f t="shared" si="3"/>
        <v>3</v>
      </c>
      <c r="C11" s="12">
        <v>178.83</v>
      </c>
      <c r="D11" s="12">
        <v>1</v>
      </c>
      <c r="E11" s="12">
        <f t="shared" si="0"/>
        <v>182.83</v>
      </c>
      <c r="F11" s="12">
        <f t="shared" si="1"/>
        <v>119.499695249</v>
      </c>
      <c r="G11" s="12">
        <v>60.330304751000014</v>
      </c>
      <c r="H11" s="12">
        <f t="shared" si="2"/>
        <v>179.83</v>
      </c>
      <c r="I11" s="12">
        <v>3</v>
      </c>
      <c r="J11" s="26">
        <v>98.99</v>
      </c>
      <c r="L11" s="190"/>
      <c r="M11" s="190"/>
    </row>
    <row r="12" spans="1:13">
      <c r="A12" s="10" t="s">
        <v>186</v>
      </c>
      <c r="B12" s="12">
        <f t="shared" si="3"/>
        <v>3</v>
      </c>
      <c r="C12" s="12">
        <v>183.57140000000001</v>
      </c>
      <c r="D12" s="12">
        <v>3</v>
      </c>
      <c r="E12" s="12">
        <f t="shared" si="0"/>
        <v>189.57140000000001</v>
      </c>
      <c r="F12" s="12">
        <f t="shared" si="1"/>
        <v>109.86740000000002</v>
      </c>
      <c r="G12" s="12">
        <v>74.703999999999994</v>
      </c>
      <c r="H12" s="12">
        <f t="shared" si="2"/>
        <v>184.57140000000001</v>
      </c>
      <c r="I12" s="12">
        <v>5</v>
      </c>
      <c r="J12" s="26">
        <v>102.62</v>
      </c>
      <c r="L12" s="190"/>
      <c r="M12" s="190"/>
    </row>
    <row r="13" spans="1:13">
      <c r="A13" s="10" t="s">
        <v>187</v>
      </c>
      <c r="B13" s="12">
        <f t="shared" si="3"/>
        <v>5</v>
      </c>
      <c r="C13" s="12">
        <v>180</v>
      </c>
      <c r="D13" s="12">
        <v>2</v>
      </c>
      <c r="E13" s="12">
        <f t="shared" si="0"/>
        <v>187</v>
      </c>
      <c r="F13" s="12">
        <f t="shared" si="1"/>
        <v>122.328</v>
      </c>
      <c r="G13" s="12">
        <v>62.671999999999997</v>
      </c>
      <c r="H13" s="12">
        <f t="shared" si="2"/>
        <v>185</v>
      </c>
      <c r="I13" s="12">
        <v>2</v>
      </c>
      <c r="J13" s="26">
        <v>111.98</v>
      </c>
      <c r="L13" s="190"/>
      <c r="M13" s="190"/>
    </row>
    <row r="14" spans="1:13">
      <c r="A14" s="10" t="s">
        <v>188</v>
      </c>
      <c r="B14" s="12">
        <f t="shared" si="3"/>
        <v>2</v>
      </c>
      <c r="C14" s="12">
        <v>194.4</v>
      </c>
      <c r="D14" s="12">
        <v>2</v>
      </c>
      <c r="E14" s="12">
        <f t="shared" si="0"/>
        <v>198.4</v>
      </c>
      <c r="F14" s="12">
        <f t="shared" si="1"/>
        <v>136.01300000000001</v>
      </c>
      <c r="G14" s="12">
        <v>59.387000000000008</v>
      </c>
      <c r="H14" s="12">
        <f t="shared" si="2"/>
        <v>195.4</v>
      </c>
      <c r="I14" s="12">
        <v>3</v>
      </c>
      <c r="J14" s="26">
        <v>130.24</v>
      </c>
      <c r="L14" s="190"/>
      <c r="M14" s="190"/>
    </row>
    <row r="15" spans="1:13">
      <c r="A15" s="10" t="s">
        <v>189</v>
      </c>
      <c r="B15" s="12">
        <f t="shared" si="3"/>
        <v>3</v>
      </c>
      <c r="C15" s="12">
        <v>153</v>
      </c>
      <c r="D15" s="12">
        <v>11</v>
      </c>
      <c r="E15" s="12">
        <f t="shared" si="0"/>
        <v>167</v>
      </c>
      <c r="F15" s="12">
        <f t="shared" si="1"/>
        <v>99.063511748005993</v>
      </c>
      <c r="G15" s="12">
        <v>62.936488251994</v>
      </c>
      <c r="H15" s="12">
        <f t="shared" si="2"/>
        <v>162</v>
      </c>
      <c r="I15" s="12">
        <v>5</v>
      </c>
      <c r="J15" s="26">
        <v>178.43</v>
      </c>
      <c r="L15" s="190"/>
      <c r="M15" s="190"/>
    </row>
    <row r="16" spans="1:13">
      <c r="A16" s="10" t="s">
        <v>4</v>
      </c>
      <c r="B16" s="12">
        <f t="shared" si="3"/>
        <v>5</v>
      </c>
      <c r="C16" s="12">
        <v>148.5</v>
      </c>
      <c r="D16" s="12">
        <v>9</v>
      </c>
      <c r="E16" s="12">
        <f t="shared" si="0"/>
        <v>162.5</v>
      </c>
      <c r="F16" s="12">
        <f t="shared" ref="F16:F31" si="4">+H16-G16</f>
        <v>134.027795216448</v>
      </c>
      <c r="G16" s="12">
        <v>23.472204783552002</v>
      </c>
      <c r="H16" s="12">
        <f t="shared" si="2"/>
        <v>157.5</v>
      </c>
      <c r="I16" s="12">
        <v>5</v>
      </c>
      <c r="J16" s="26">
        <v>139.27000000000001</v>
      </c>
      <c r="L16" s="190"/>
      <c r="M16" s="190"/>
    </row>
    <row r="17" spans="1:13">
      <c r="A17" s="10" t="s">
        <v>5</v>
      </c>
      <c r="B17" s="12">
        <f t="shared" si="3"/>
        <v>5</v>
      </c>
      <c r="C17" s="12">
        <v>158.4</v>
      </c>
      <c r="D17" s="12">
        <v>2.8740267900000003</v>
      </c>
      <c r="E17" s="12">
        <f t="shared" si="0"/>
        <v>166.27402678999999</v>
      </c>
      <c r="F17" s="12">
        <f t="shared" si="4"/>
        <v>120.37210141835698</v>
      </c>
      <c r="G17" s="12">
        <v>40.90192537164301</v>
      </c>
      <c r="H17" s="12">
        <f t="shared" si="2"/>
        <v>161.27402678999999</v>
      </c>
      <c r="I17" s="12">
        <v>5</v>
      </c>
      <c r="J17" s="26">
        <v>130.06</v>
      </c>
      <c r="L17" s="190"/>
      <c r="M17" s="190"/>
    </row>
    <row r="18" spans="1:13">
      <c r="A18" s="10" t="s">
        <v>6</v>
      </c>
      <c r="B18" s="12">
        <f t="shared" si="3"/>
        <v>5</v>
      </c>
      <c r="C18" s="12">
        <v>162.9</v>
      </c>
      <c r="D18" s="12">
        <v>0.135351417</v>
      </c>
      <c r="E18" s="12">
        <f t="shared" si="0"/>
        <v>168.03535141700002</v>
      </c>
      <c r="F18" s="12">
        <f t="shared" si="4"/>
        <v>123.40859374020002</v>
      </c>
      <c r="G18" s="12">
        <v>39.626757676800004</v>
      </c>
      <c r="H18" s="12">
        <f t="shared" si="2"/>
        <v>163.03535141700002</v>
      </c>
      <c r="I18" s="12">
        <v>5</v>
      </c>
      <c r="J18" s="26">
        <v>127.57</v>
      </c>
      <c r="L18" s="190"/>
      <c r="M18" s="190"/>
    </row>
    <row r="19" spans="1:13">
      <c r="A19" s="10" t="s">
        <v>7</v>
      </c>
      <c r="B19" s="12">
        <f t="shared" si="3"/>
        <v>5</v>
      </c>
      <c r="C19" s="12">
        <v>154.80000000000001</v>
      </c>
      <c r="D19" s="12">
        <v>0.15452041399999999</v>
      </c>
      <c r="E19" s="12">
        <f t="shared" si="0"/>
        <v>159.954520414</v>
      </c>
      <c r="F19" s="12">
        <f t="shared" si="4"/>
        <v>101.83005603401298</v>
      </c>
      <c r="G19" s="12">
        <v>53.12446437998701</v>
      </c>
      <c r="H19" s="12">
        <f t="shared" si="2"/>
        <v>154.954520414</v>
      </c>
      <c r="I19" s="12">
        <v>5</v>
      </c>
      <c r="J19" s="26">
        <v>133.6</v>
      </c>
      <c r="L19" s="190"/>
      <c r="M19" s="190"/>
    </row>
    <row r="20" spans="1:13">
      <c r="A20" s="10" t="s">
        <v>8</v>
      </c>
      <c r="B20" s="12">
        <f t="shared" si="3"/>
        <v>5</v>
      </c>
      <c r="C20" s="12">
        <v>155.69999999999999</v>
      </c>
      <c r="D20" s="12">
        <v>2.3151474624000001</v>
      </c>
      <c r="E20" s="12">
        <f t="shared" si="0"/>
        <v>163.01514746239999</v>
      </c>
      <c r="F20" s="12">
        <f t="shared" si="4"/>
        <v>108.81183148778999</v>
      </c>
      <c r="G20" s="12">
        <v>49.20331597461</v>
      </c>
      <c r="H20" s="12">
        <f t="shared" si="2"/>
        <v>158.01514746239999</v>
      </c>
      <c r="I20" s="12">
        <v>5</v>
      </c>
      <c r="J20" s="26">
        <v>139.54</v>
      </c>
      <c r="L20" s="190"/>
      <c r="M20" s="190"/>
    </row>
    <row r="21" spans="1:13">
      <c r="A21" s="10" t="s">
        <v>9</v>
      </c>
      <c r="B21" s="12">
        <f t="shared" si="3"/>
        <v>5</v>
      </c>
      <c r="C21" s="12">
        <v>153.9</v>
      </c>
      <c r="D21" s="12">
        <v>4.8764682768999998</v>
      </c>
      <c r="E21" s="12">
        <f t="shared" si="0"/>
        <v>163.7764682769</v>
      </c>
      <c r="F21" s="12">
        <f t="shared" si="4"/>
        <v>101.18253403311701</v>
      </c>
      <c r="G21" s="12">
        <v>57.593934243783004</v>
      </c>
      <c r="H21" s="12">
        <f t="shared" si="2"/>
        <v>158.7764682769</v>
      </c>
      <c r="I21" s="12">
        <v>5</v>
      </c>
      <c r="J21" s="26">
        <v>101.34</v>
      </c>
      <c r="L21" s="190"/>
      <c r="M21" s="190"/>
    </row>
    <row r="22" spans="1:13">
      <c r="A22" s="10" t="s">
        <v>10</v>
      </c>
      <c r="B22" s="12">
        <f t="shared" si="3"/>
        <v>5</v>
      </c>
      <c r="C22" s="12">
        <v>162</v>
      </c>
      <c r="D22" s="12">
        <v>2.0122034556999999</v>
      </c>
      <c r="E22" s="12">
        <f t="shared" si="0"/>
        <v>169.01220345569999</v>
      </c>
      <c r="F22" s="12">
        <f t="shared" si="4"/>
        <v>129.34375088799999</v>
      </c>
      <c r="G22" s="12">
        <v>34.668452567700001</v>
      </c>
      <c r="H22" s="12">
        <f t="shared" si="2"/>
        <v>164.01220345569999</v>
      </c>
      <c r="I22" s="12">
        <v>5</v>
      </c>
      <c r="J22" s="26">
        <v>133.54</v>
      </c>
      <c r="L22" s="190"/>
      <c r="M22" s="190"/>
    </row>
    <row r="23" spans="1:13">
      <c r="A23" s="10" t="s">
        <v>11</v>
      </c>
      <c r="B23" s="12">
        <f t="shared" si="3"/>
        <v>5</v>
      </c>
      <c r="C23" s="12">
        <v>180</v>
      </c>
      <c r="D23" s="12">
        <v>12.621810091300004</v>
      </c>
      <c r="E23" s="12">
        <f t="shared" si="0"/>
        <v>197.62181009130001</v>
      </c>
      <c r="F23" s="12">
        <f t="shared" si="4"/>
        <v>149.02131826286802</v>
      </c>
      <c r="G23" s="12">
        <v>43.600491828431998</v>
      </c>
      <c r="H23" s="12">
        <f t="shared" si="2"/>
        <v>192.62181009130001</v>
      </c>
      <c r="I23" s="12">
        <v>5</v>
      </c>
      <c r="J23" s="26">
        <v>169.74</v>
      </c>
      <c r="L23" s="190"/>
      <c r="M23" s="190"/>
    </row>
    <row r="24" spans="1:13">
      <c r="A24" s="10" t="s">
        <v>12</v>
      </c>
      <c r="B24" s="12">
        <f t="shared" si="3"/>
        <v>5</v>
      </c>
      <c r="C24" s="12">
        <v>189</v>
      </c>
      <c r="D24" s="12">
        <v>14.625002244500001</v>
      </c>
      <c r="E24" s="12">
        <f t="shared" si="0"/>
        <v>208.6250022445</v>
      </c>
      <c r="F24" s="12">
        <f t="shared" si="4"/>
        <v>185.05004446144699</v>
      </c>
      <c r="G24" s="12">
        <v>18.574957783053005</v>
      </c>
      <c r="H24" s="12">
        <f t="shared" si="2"/>
        <v>203.6250022445</v>
      </c>
      <c r="I24" s="12">
        <v>5</v>
      </c>
      <c r="J24" s="26">
        <v>131.4</v>
      </c>
      <c r="L24" s="190"/>
      <c r="M24" s="190"/>
    </row>
    <row r="25" spans="1:13">
      <c r="A25" s="10" t="s">
        <v>13</v>
      </c>
      <c r="B25" s="12">
        <f t="shared" si="3"/>
        <v>5</v>
      </c>
      <c r="C25" s="12">
        <v>190.8</v>
      </c>
      <c r="D25" s="12">
        <v>3.9192386729999993</v>
      </c>
      <c r="E25" s="12">
        <f t="shared" si="0"/>
        <v>199.71923867300001</v>
      </c>
      <c r="F25" s="12">
        <f t="shared" si="4"/>
        <v>168.725372915805</v>
      </c>
      <c r="G25" s="12">
        <v>25.993865757195003</v>
      </c>
      <c r="H25" s="12">
        <f t="shared" si="2"/>
        <v>194.71923867300001</v>
      </c>
      <c r="I25" s="12">
        <v>5</v>
      </c>
      <c r="J25" s="26">
        <v>91.63</v>
      </c>
      <c r="L25" s="190"/>
      <c r="M25" s="190"/>
    </row>
    <row r="26" spans="1:13">
      <c r="A26" s="10" t="s">
        <v>14</v>
      </c>
      <c r="B26" s="12">
        <f t="shared" si="3"/>
        <v>5</v>
      </c>
      <c r="C26" s="12">
        <v>207</v>
      </c>
      <c r="D26" s="12">
        <v>0.89384294470000003</v>
      </c>
      <c r="E26" s="12">
        <f t="shared" si="0"/>
        <v>212.8938429447</v>
      </c>
      <c r="F26" s="12">
        <f t="shared" si="4"/>
        <v>188.928252598711</v>
      </c>
      <c r="G26" s="12">
        <v>18.965590345989</v>
      </c>
      <c r="H26" s="12">
        <f t="shared" si="2"/>
        <v>207.8938429447</v>
      </c>
      <c r="I26" s="12">
        <v>5</v>
      </c>
      <c r="J26" s="26">
        <v>93.77</v>
      </c>
      <c r="L26" s="190"/>
      <c r="M26" s="190"/>
    </row>
    <row r="27" spans="1:13">
      <c r="A27" s="10" t="s">
        <v>397</v>
      </c>
      <c r="B27" s="12">
        <f t="shared" si="3"/>
        <v>5</v>
      </c>
      <c r="C27" s="12">
        <v>216</v>
      </c>
      <c r="D27" s="12">
        <v>5.1819321414000008</v>
      </c>
      <c r="E27" s="12">
        <f t="shared" ref="E27:E32" si="5">SUM(B27:D27)</f>
        <v>226.18193214140001</v>
      </c>
      <c r="F27" s="12">
        <f t="shared" si="4"/>
        <v>196.371509678427</v>
      </c>
      <c r="G27" s="12">
        <v>24.810422462972998</v>
      </c>
      <c r="H27" s="12">
        <f t="shared" si="2"/>
        <v>221.18193214140001</v>
      </c>
      <c r="I27" s="12">
        <v>5</v>
      </c>
      <c r="J27" s="26">
        <v>116.23</v>
      </c>
      <c r="L27" s="190"/>
      <c r="M27" s="190"/>
    </row>
    <row r="28" spans="1:13">
      <c r="A28" s="10" t="s">
        <v>210</v>
      </c>
      <c r="B28" s="12">
        <f t="shared" si="3"/>
        <v>5</v>
      </c>
      <c r="C28" s="12">
        <v>180</v>
      </c>
      <c r="D28" s="12">
        <v>5.8428061857000007</v>
      </c>
      <c r="E28" s="12">
        <f t="shared" si="5"/>
        <v>190.8428061857</v>
      </c>
      <c r="F28" s="12">
        <f t="shared" si="4"/>
        <v>124.00643294937001</v>
      </c>
      <c r="G28" s="12">
        <v>61.836373236329997</v>
      </c>
      <c r="H28" s="12">
        <f t="shared" si="2"/>
        <v>185.8428061857</v>
      </c>
      <c r="I28" s="12">
        <v>5</v>
      </c>
      <c r="J28" s="26">
        <v>119.62</v>
      </c>
      <c r="L28" s="190"/>
      <c r="M28" s="190"/>
    </row>
    <row r="29" spans="1:13">
      <c r="A29" s="10" t="s">
        <v>217</v>
      </c>
      <c r="B29" s="12">
        <f t="shared" si="3"/>
        <v>5</v>
      </c>
      <c r="C29" s="12">
        <v>189</v>
      </c>
      <c r="D29" s="12">
        <v>19.420010551400001</v>
      </c>
      <c r="E29" s="12">
        <f t="shared" si="5"/>
        <v>213.4200105514</v>
      </c>
      <c r="F29" s="12">
        <f t="shared" si="4"/>
        <v>177.830018294198</v>
      </c>
      <c r="G29" s="12">
        <v>30.589992257201999</v>
      </c>
      <c r="H29" s="12">
        <f t="shared" si="2"/>
        <v>208.4200105514</v>
      </c>
      <c r="I29" s="12">
        <v>5</v>
      </c>
      <c r="J29" s="26">
        <v>122.89</v>
      </c>
      <c r="L29" s="190"/>
      <c r="M29" s="190"/>
    </row>
    <row r="30" spans="1:13">
      <c r="A30" s="10" t="s">
        <v>398</v>
      </c>
      <c r="B30" s="12">
        <f t="shared" si="3"/>
        <v>5</v>
      </c>
      <c r="C30" s="12">
        <v>203</v>
      </c>
      <c r="D30" s="12">
        <v>26.360366926400001</v>
      </c>
      <c r="E30" s="12">
        <f t="shared" si="5"/>
        <v>234.36036692639999</v>
      </c>
      <c r="F30" s="12">
        <f t="shared" si="4"/>
        <v>197.47139485213299</v>
      </c>
      <c r="G30" s="12">
        <v>31.888972074266999</v>
      </c>
      <c r="H30" s="12">
        <f t="shared" si="2"/>
        <v>229.36036692639999</v>
      </c>
      <c r="I30" s="12">
        <v>5</v>
      </c>
      <c r="J30" s="26">
        <v>158.9</v>
      </c>
      <c r="L30" s="190"/>
      <c r="M30" s="190"/>
    </row>
    <row r="31" spans="1:13">
      <c r="A31" s="10" t="s">
        <v>222</v>
      </c>
      <c r="B31" s="12">
        <f t="shared" si="3"/>
        <v>5</v>
      </c>
      <c r="C31" s="12">
        <v>245</v>
      </c>
      <c r="D31" s="12">
        <v>22.731319751399997</v>
      </c>
      <c r="E31" s="12">
        <f t="shared" si="5"/>
        <v>272.73131975140001</v>
      </c>
      <c r="F31" s="12">
        <f t="shared" si="4"/>
        <v>205.84969664851999</v>
      </c>
      <c r="G31" s="12">
        <v>61.881623102880013</v>
      </c>
      <c r="H31" s="12">
        <f t="shared" si="2"/>
        <v>267.73131975140001</v>
      </c>
      <c r="I31" s="12">
        <v>5</v>
      </c>
      <c r="J31" s="26">
        <v>114.24</v>
      </c>
      <c r="L31" s="190"/>
      <c r="M31" s="190"/>
    </row>
    <row r="32" spans="1:13">
      <c r="A32" s="10" t="s">
        <v>225</v>
      </c>
      <c r="B32" s="12">
        <f t="shared" si="3"/>
        <v>5</v>
      </c>
      <c r="C32" s="12">
        <v>295</v>
      </c>
      <c r="D32" s="12">
        <v>18.032295319300001</v>
      </c>
      <c r="E32" s="12">
        <f t="shared" si="5"/>
        <v>318.03229531929998</v>
      </c>
      <c r="F32" s="12">
        <f t="shared" ref="F32:F37" si="6">+H32-G32</f>
        <v>269.05767252360198</v>
      </c>
      <c r="G32" s="12">
        <v>43.974622795698011</v>
      </c>
      <c r="H32" s="12">
        <f t="shared" si="2"/>
        <v>313.03229531929998</v>
      </c>
      <c r="I32" s="12">
        <v>5</v>
      </c>
      <c r="J32" s="26">
        <v>124.69</v>
      </c>
      <c r="L32" s="190"/>
      <c r="M32" s="190"/>
    </row>
    <row r="33" spans="1:17">
      <c r="A33" s="10" t="s">
        <v>227</v>
      </c>
      <c r="B33" s="12">
        <f t="shared" ref="B33:B38" si="7">+I32</f>
        <v>5</v>
      </c>
      <c r="C33" s="12">
        <v>268</v>
      </c>
      <c r="D33" s="12">
        <v>17.0478984296</v>
      </c>
      <c r="E33" s="12">
        <f t="shared" ref="E33:E38" si="8">SUM(B33:D33)</f>
        <v>290.04789842960002</v>
      </c>
      <c r="F33" s="12">
        <f t="shared" si="6"/>
        <v>275.07927235993202</v>
      </c>
      <c r="G33" s="12">
        <v>9.9686260696679998</v>
      </c>
      <c r="H33" s="12">
        <f t="shared" si="2"/>
        <v>285.04789842960002</v>
      </c>
      <c r="I33" s="12">
        <v>5</v>
      </c>
      <c r="J33" s="26">
        <v>124.61</v>
      </c>
      <c r="L33" s="190"/>
      <c r="M33" s="190"/>
    </row>
    <row r="34" spans="1:17">
      <c r="A34" s="10" t="s">
        <v>230</v>
      </c>
      <c r="B34" s="12">
        <f t="shared" si="7"/>
        <v>5</v>
      </c>
      <c r="C34" s="12">
        <v>211</v>
      </c>
      <c r="D34" s="12">
        <v>9.0919070852000008</v>
      </c>
      <c r="E34" s="12">
        <f t="shared" si="8"/>
        <v>225.09190708520001</v>
      </c>
      <c r="F34" s="12">
        <f t="shared" si="6"/>
        <v>210.031678971432</v>
      </c>
      <c r="G34" s="12">
        <v>10.060228113768002</v>
      </c>
      <c r="H34" s="12">
        <f t="shared" si="2"/>
        <v>220.09190708520001</v>
      </c>
      <c r="I34" s="12">
        <v>5</v>
      </c>
      <c r="J34" s="26">
        <v>191.54</v>
      </c>
      <c r="L34" s="190"/>
      <c r="M34" s="190"/>
    </row>
    <row r="35" spans="1:17">
      <c r="A35" s="10" t="s">
        <v>231</v>
      </c>
      <c r="B35" s="12">
        <f t="shared" si="7"/>
        <v>5</v>
      </c>
      <c r="C35" s="12">
        <v>147</v>
      </c>
      <c r="D35" s="12">
        <v>10.299236433799999</v>
      </c>
      <c r="E35" s="12">
        <f t="shared" si="8"/>
        <v>162.29923643379999</v>
      </c>
      <c r="F35" s="12">
        <f t="shared" si="6"/>
        <v>129.61570648798698</v>
      </c>
      <c r="G35" s="12">
        <v>27.683529945813</v>
      </c>
      <c r="H35" s="12">
        <f t="shared" si="2"/>
        <v>157.29923643379999</v>
      </c>
      <c r="I35" s="12">
        <v>5</v>
      </c>
      <c r="J35" s="26">
        <v>227.66</v>
      </c>
      <c r="L35" s="190"/>
      <c r="M35" s="190"/>
    </row>
    <row r="36" spans="1:17">
      <c r="A36" s="55" t="s">
        <v>237</v>
      </c>
      <c r="B36" s="12">
        <f t="shared" si="7"/>
        <v>5</v>
      </c>
      <c r="C36" s="12">
        <v>216</v>
      </c>
      <c r="D36" s="12">
        <v>3.3788801900000003</v>
      </c>
      <c r="E36" s="12">
        <f t="shared" si="8"/>
        <v>224.37888018999999</v>
      </c>
      <c r="F36" s="12">
        <f t="shared" si="6"/>
        <v>209.83300912811899</v>
      </c>
      <c r="G36" s="12">
        <v>9.5458710618809999</v>
      </c>
      <c r="H36" s="12">
        <f t="shared" si="2"/>
        <v>219.37888018999999</v>
      </c>
      <c r="I36" s="12">
        <v>5</v>
      </c>
      <c r="J36" s="26">
        <v>217.24</v>
      </c>
      <c r="L36" s="190"/>
      <c r="M36" s="190"/>
    </row>
    <row r="37" spans="1:17">
      <c r="A37" s="55" t="s">
        <v>238</v>
      </c>
      <c r="B37" s="12">
        <f t="shared" si="7"/>
        <v>5</v>
      </c>
      <c r="C37" s="12">
        <v>209</v>
      </c>
      <c r="D37" s="12">
        <v>6.579221951300001</v>
      </c>
      <c r="E37" s="12">
        <f t="shared" si="8"/>
        <v>220.57922195130001</v>
      </c>
      <c r="F37" s="12">
        <f t="shared" si="6"/>
        <v>208.47492896891202</v>
      </c>
      <c r="G37" s="12">
        <v>7.1042929823880003</v>
      </c>
      <c r="H37" s="12">
        <f t="shared" si="2"/>
        <v>215.57922195130001</v>
      </c>
      <c r="I37" s="12">
        <v>5</v>
      </c>
      <c r="J37" s="26">
        <v>223.23</v>
      </c>
      <c r="L37" s="190"/>
      <c r="M37" s="190"/>
    </row>
    <row r="38" spans="1:17">
      <c r="A38" s="55" t="s">
        <v>246</v>
      </c>
      <c r="B38" s="12">
        <f t="shared" si="7"/>
        <v>5</v>
      </c>
      <c r="C38" s="12">
        <v>189</v>
      </c>
      <c r="D38" s="12">
        <v>7.5209999999999999</v>
      </c>
      <c r="E38" s="12">
        <f t="shared" si="8"/>
        <v>201.52099999999999</v>
      </c>
      <c r="F38" s="12">
        <f t="shared" ref="F38:F43" si="9">+H38-G38</f>
        <v>193.58110128904798</v>
      </c>
      <c r="G38" s="12">
        <v>2.9398987109520003</v>
      </c>
      <c r="H38" s="12">
        <f t="shared" si="2"/>
        <v>196.52099999999999</v>
      </c>
      <c r="I38" s="12">
        <v>5</v>
      </c>
      <c r="J38" s="26">
        <v>238.35</v>
      </c>
      <c r="L38" s="190"/>
      <c r="M38" s="190"/>
    </row>
    <row r="39" spans="1:17">
      <c r="A39" s="55" t="s">
        <v>241</v>
      </c>
      <c r="B39" s="12">
        <f t="shared" ref="B39:B44" si="10">+I38</f>
        <v>5</v>
      </c>
      <c r="C39" s="12">
        <v>198</v>
      </c>
      <c r="D39" s="12">
        <v>6.1879999999999997</v>
      </c>
      <c r="E39" s="12">
        <f t="shared" ref="E39:E45" si="11">SUM(B39:D39)</f>
        <v>209.18799999999999</v>
      </c>
      <c r="F39" s="12">
        <f t="shared" si="9"/>
        <v>198.93736201369998</v>
      </c>
      <c r="G39" s="12">
        <v>5.2506379863000001</v>
      </c>
      <c r="H39" s="12">
        <f t="shared" si="2"/>
        <v>204.18799999999999</v>
      </c>
      <c r="I39" s="12">
        <v>5</v>
      </c>
      <c r="J39" s="26">
        <v>320.13</v>
      </c>
      <c r="L39" s="190"/>
      <c r="M39" s="190"/>
    </row>
    <row r="40" spans="1:17">
      <c r="A40" s="55" t="s">
        <v>253</v>
      </c>
      <c r="B40" s="12">
        <f t="shared" si="10"/>
        <v>5</v>
      </c>
      <c r="C40" s="12">
        <v>157</v>
      </c>
      <c r="D40" s="12">
        <v>1.3879999999999999</v>
      </c>
      <c r="E40" s="12">
        <f t="shared" si="11"/>
        <v>163.38800000000001</v>
      </c>
      <c r="F40" s="12">
        <f t="shared" si="9"/>
        <v>152.54033163681299</v>
      </c>
      <c r="G40" s="12">
        <v>5.847668363187001</v>
      </c>
      <c r="H40" s="12">
        <f t="shared" si="2"/>
        <v>158.38800000000001</v>
      </c>
      <c r="I40" s="12">
        <v>5</v>
      </c>
      <c r="J40" s="26">
        <v>359.42</v>
      </c>
      <c r="L40" s="190"/>
      <c r="M40" s="190"/>
    </row>
    <row r="41" spans="1:17">
      <c r="A41" s="55" t="s">
        <v>261</v>
      </c>
      <c r="B41" s="12">
        <f t="shared" si="10"/>
        <v>5</v>
      </c>
      <c r="C41" s="12">
        <v>213</v>
      </c>
      <c r="D41" s="12">
        <v>2.9206110903000009</v>
      </c>
      <c r="E41" s="12">
        <f t="shared" si="11"/>
        <v>220.92061109030001</v>
      </c>
      <c r="F41" s="12">
        <f t="shared" si="9"/>
        <v>211.87772345808301</v>
      </c>
      <c r="G41" s="12">
        <v>4.0428876322169991</v>
      </c>
      <c r="H41" s="12">
        <f t="shared" si="2"/>
        <v>215.92061109030001</v>
      </c>
      <c r="I41" s="12">
        <v>5</v>
      </c>
      <c r="J41" s="26">
        <v>263.89999999999998</v>
      </c>
      <c r="L41" s="190"/>
      <c r="M41" s="190"/>
    </row>
    <row r="42" spans="1:17">
      <c r="A42" s="55" t="s">
        <v>260</v>
      </c>
      <c r="B42" s="12">
        <f t="shared" si="10"/>
        <v>5</v>
      </c>
      <c r="C42" s="12">
        <v>193</v>
      </c>
      <c r="D42" s="12">
        <v>7.0109950658999987</v>
      </c>
      <c r="E42" s="12">
        <f t="shared" si="11"/>
        <v>205.0109950659</v>
      </c>
      <c r="F42" s="12">
        <f t="shared" si="9"/>
        <v>196.31284197120101</v>
      </c>
      <c r="G42" s="12">
        <v>3.6981530946990002</v>
      </c>
      <c r="H42" s="12">
        <f t="shared" si="2"/>
        <v>200.0109950659</v>
      </c>
      <c r="I42" s="12">
        <v>5</v>
      </c>
      <c r="J42" s="26">
        <v>234.78250000000003</v>
      </c>
      <c r="L42" s="190"/>
      <c r="M42" s="190"/>
    </row>
    <row r="43" spans="1:17">
      <c r="A43" s="55" t="s">
        <v>262</v>
      </c>
      <c r="B43" s="199">
        <f t="shared" si="10"/>
        <v>5</v>
      </c>
      <c r="C43" s="199">
        <v>189</v>
      </c>
      <c r="D43" s="12">
        <v>6</v>
      </c>
      <c r="E43" s="12">
        <f t="shared" si="11"/>
        <v>200</v>
      </c>
      <c r="F43" s="12">
        <f t="shared" si="9"/>
        <v>190</v>
      </c>
      <c r="G43" s="12">
        <v>5</v>
      </c>
      <c r="H43" s="12">
        <f t="shared" si="2"/>
        <v>195</v>
      </c>
      <c r="I43" s="12">
        <v>5</v>
      </c>
      <c r="J43" s="26">
        <v>313.16791666666671</v>
      </c>
      <c r="L43" s="272"/>
      <c r="M43" s="190"/>
      <c r="P43" s="12"/>
      <c r="Q43" s="12"/>
    </row>
    <row r="44" spans="1:17">
      <c r="A44" s="61" t="s">
        <v>296</v>
      </c>
      <c r="B44" s="199">
        <f t="shared" si="10"/>
        <v>5</v>
      </c>
      <c r="C44" s="199">
        <v>162</v>
      </c>
      <c r="D44" s="199">
        <v>6.6941161233679987</v>
      </c>
      <c r="E44" s="199">
        <f t="shared" si="11"/>
        <v>173.69411612336799</v>
      </c>
      <c r="F44" s="199">
        <f>+H44-G44</f>
        <v>165.79823408086699</v>
      </c>
      <c r="G44" s="199">
        <v>2.895882042500999</v>
      </c>
      <c r="H44" s="199">
        <f t="shared" si="2"/>
        <v>168.69411612336799</v>
      </c>
      <c r="I44" s="199">
        <v>5</v>
      </c>
      <c r="J44" s="257">
        <v>236.92249999999999</v>
      </c>
      <c r="L44" s="190"/>
      <c r="M44" s="190"/>
      <c r="P44" s="12"/>
      <c r="Q44" s="12"/>
    </row>
    <row r="45" spans="1:17">
      <c r="A45" s="61" t="s">
        <v>295</v>
      </c>
      <c r="B45" s="199">
        <f>I44</f>
        <v>5</v>
      </c>
      <c r="C45" s="199">
        <v>164.7</v>
      </c>
      <c r="D45" s="199">
        <v>7.6532371941989981</v>
      </c>
      <c r="E45" s="199">
        <f t="shared" si="11"/>
        <v>177.35323719419898</v>
      </c>
      <c r="F45" s="199">
        <v>170.16002259000001</v>
      </c>
      <c r="G45" s="199">
        <v>2.1931585823759994</v>
      </c>
      <c r="H45" s="199">
        <f t="shared" si="2"/>
        <v>172.35323719419898</v>
      </c>
      <c r="I45" s="199">
        <v>5</v>
      </c>
      <c r="J45" s="257">
        <v>236.37208333333334</v>
      </c>
      <c r="L45" s="190"/>
      <c r="M45" s="190"/>
      <c r="P45" s="12"/>
      <c r="Q45" s="12"/>
    </row>
    <row r="46" spans="1:17" ht="10.5" customHeight="1">
      <c r="A46" s="61" t="s">
        <v>351</v>
      </c>
      <c r="B46" s="199">
        <f>I45</f>
        <v>5</v>
      </c>
      <c r="C46" s="199">
        <v>161.1</v>
      </c>
      <c r="D46" s="199">
        <v>4.0789927715239989</v>
      </c>
      <c r="E46" s="199">
        <f>SUM(B46:D46)</f>
        <v>170.17899277152398</v>
      </c>
      <c r="F46" s="199">
        <v>163.78343912</v>
      </c>
      <c r="G46" s="199">
        <v>1.3955261184599996</v>
      </c>
      <c r="H46" s="199">
        <f t="shared" si="2"/>
        <v>165.17899277152398</v>
      </c>
      <c r="I46" s="199">
        <v>5</v>
      </c>
      <c r="J46" s="257">
        <v>241.56750000000002</v>
      </c>
      <c r="L46" s="190"/>
      <c r="M46" s="190"/>
      <c r="P46" s="12"/>
      <c r="Q46" s="12"/>
    </row>
    <row r="47" spans="1:17" ht="10.5" customHeight="1">
      <c r="A47" s="262" t="s">
        <v>350</v>
      </c>
      <c r="B47" s="199">
        <v>5</v>
      </c>
      <c r="C47" s="199">
        <v>144</v>
      </c>
      <c r="D47" s="199">
        <v>3.5404034654579992</v>
      </c>
      <c r="E47" s="199">
        <f t="shared" ref="E47:E49" si="12">SUM(B47:D47)</f>
        <v>152.54040346545801</v>
      </c>
      <c r="F47" s="199">
        <v>152</v>
      </c>
      <c r="G47" s="199">
        <v>2.0742191920269994</v>
      </c>
      <c r="H47" s="199">
        <f t="shared" si="2"/>
        <v>147.54040346545801</v>
      </c>
      <c r="I47" s="199">
        <v>5</v>
      </c>
      <c r="J47" s="257">
        <v>277.35958333333332</v>
      </c>
      <c r="L47" s="190"/>
      <c r="M47" s="190"/>
      <c r="P47" s="12"/>
      <c r="Q47" s="12"/>
    </row>
    <row r="48" spans="1:17" ht="10.5" customHeight="1">
      <c r="A48" s="262" t="s">
        <v>615</v>
      </c>
      <c r="B48" s="199">
        <v>5</v>
      </c>
      <c r="C48" s="199">
        <v>167.39999999999998</v>
      </c>
      <c r="D48" s="199">
        <v>4.3717666554599992</v>
      </c>
      <c r="E48" s="199">
        <f t="shared" si="12"/>
        <v>176.77176665545997</v>
      </c>
      <c r="F48" s="199">
        <v>115.99999999999999</v>
      </c>
      <c r="G48" s="199">
        <v>1.6207283190929995</v>
      </c>
      <c r="H48" s="199">
        <f t="shared" si="2"/>
        <v>171.77176665545997</v>
      </c>
      <c r="I48" s="199">
        <v>5</v>
      </c>
      <c r="J48" s="257">
        <v>311.36</v>
      </c>
      <c r="M48" s="190"/>
      <c r="P48" s="12"/>
      <c r="Q48" s="12"/>
    </row>
    <row r="49" spans="1:17" ht="10.5" customHeight="1">
      <c r="A49" s="259" t="s">
        <v>614</v>
      </c>
      <c r="B49" s="271">
        <v>5</v>
      </c>
      <c r="C49" s="271">
        <v>177.29999999999998</v>
      </c>
      <c r="D49" s="271">
        <v>10</v>
      </c>
      <c r="E49" s="271">
        <f t="shared" si="12"/>
        <v>192.29999999999998</v>
      </c>
      <c r="F49" s="271">
        <v>115.99999999999999</v>
      </c>
      <c r="G49" s="271">
        <v>1.6207283190929995</v>
      </c>
      <c r="H49" s="271">
        <f t="shared" si="2"/>
        <v>187.29999999999998</v>
      </c>
      <c r="I49" s="271">
        <v>5</v>
      </c>
      <c r="J49" s="258">
        <v>390</v>
      </c>
      <c r="M49" s="190"/>
      <c r="Q49" s="12"/>
    </row>
    <row r="50" spans="1:17">
      <c r="A50" s="52" t="s">
        <v>523</v>
      </c>
    </row>
    <row r="51" spans="1:17">
      <c r="A51" s="52" t="s">
        <v>685</v>
      </c>
    </row>
    <row r="52" spans="1:17" ht="10.15" customHeight="1">
      <c r="A52" s="52" t="s">
        <v>540</v>
      </c>
      <c r="I52" s="78"/>
    </row>
    <row r="53" spans="1:17" ht="10.15" customHeight="1">
      <c r="I53" s="194"/>
      <c r="J53" s="225" t="s">
        <v>592</v>
      </c>
      <c r="K53" s="78"/>
      <c r="L53" s="78"/>
      <c r="M53" s="78"/>
    </row>
  </sheetData>
  <phoneticPr fontId="0" type="noConversion"/>
  <pageMargins left="0.75" right="0.75" top="1" bottom="1" header="0.5" footer="0.5"/>
  <pageSetup scale="92" firstPageNumber="40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R54"/>
  <sheetViews>
    <sheetView zoomScaleNormal="100" zoomScaleSheetLayoutView="100" workbookViewId="0">
      <pane ySplit="5" topLeftCell="A6" activePane="bottomLeft" state="frozen"/>
      <selection pane="bottomLeft"/>
    </sheetView>
  </sheetViews>
  <sheetFormatPr defaultRowHeight="11.25"/>
  <cols>
    <col min="1" max="8" width="12.83203125" customWidth="1"/>
    <col min="9" max="9" width="14.6640625" customWidth="1"/>
  </cols>
  <sheetData>
    <row r="1" spans="1:9">
      <c r="A1" s="259" t="s">
        <v>625</v>
      </c>
      <c r="B1" s="1"/>
      <c r="C1" s="1"/>
      <c r="D1" s="1"/>
      <c r="E1" s="1"/>
      <c r="F1" s="1"/>
      <c r="G1" s="1"/>
      <c r="H1" s="1"/>
      <c r="I1" s="1"/>
    </row>
    <row r="2" spans="1:9">
      <c r="A2" s="7" t="s">
        <v>378</v>
      </c>
      <c r="B2" s="121"/>
      <c r="C2" s="4" t="s">
        <v>75</v>
      </c>
      <c r="D2" s="120"/>
      <c r="E2" s="4"/>
      <c r="F2" s="4" t="s">
        <v>73</v>
      </c>
      <c r="G2" s="120"/>
      <c r="H2" s="7"/>
      <c r="I2" s="108"/>
    </row>
    <row r="3" spans="1:9">
      <c r="A3" s="7" t="s">
        <v>59</v>
      </c>
      <c r="B3" s="109" t="s">
        <v>96</v>
      </c>
      <c r="C3" s="7"/>
      <c r="D3" s="112"/>
      <c r="E3" s="7"/>
      <c r="F3" s="7"/>
      <c r="G3" s="112"/>
      <c r="H3" s="7" t="s">
        <v>98</v>
      </c>
      <c r="I3" s="116" t="s">
        <v>74</v>
      </c>
    </row>
    <row r="4" spans="1:9">
      <c r="A4" s="9" t="s">
        <v>111</v>
      </c>
      <c r="B4" s="116" t="s">
        <v>66</v>
      </c>
      <c r="C4" s="9" t="s">
        <v>40</v>
      </c>
      <c r="D4" s="114" t="s">
        <v>120</v>
      </c>
      <c r="E4" s="9" t="s">
        <v>97</v>
      </c>
      <c r="F4" s="9" t="s">
        <v>112</v>
      </c>
      <c r="G4" s="114" t="s">
        <v>2</v>
      </c>
      <c r="H4" s="9" t="s">
        <v>66</v>
      </c>
      <c r="I4" s="116" t="s">
        <v>370</v>
      </c>
    </row>
    <row r="5" spans="1:9">
      <c r="A5" s="73"/>
      <c r="B5" s="73"/>
      <c r="C5" s="157"/>
      <c r="D5" s="157"/>
      <c r="E5" s="157" t="s">
        <v>118</v>
      </c>
      <c r="F5" s="157"/>
      <c r="G5" s="157"/>
      <c r="H5" s="157"/>
      <c r="I5" s="150" t="s">
        <v>248</v>
      </c>
    </row>
    <row r="6" spans="1:9">
      <c r="B6" s="74"/>
      <c r="C6" s="74"/>
      <c r="D6" s="74"/>
      <c r="E6" s="74"/>
      <c r="F6" s="74"/>
      <c r="G6" s="74"/>
      <c r="H6" s="74"/>
      <c r="I6" s="7"/>
    </row>
    <row r="7" spans="1:9">
      <c r="A7" s="10" t="s">
        <v>181</v>
      </c>
      <c r="B7" s="12">
        <v>54</v>
      </c>
      <c r="C7" s="12">
        <v>251</v>
      </c>
      <c r="D7" s="12">
        <f>+B7+C7+0</f>
        <v>305</v>
      </c>
      <c r="E7" s="12">
        <f t="shared" ref="E7:E31" si="0">+G7-F7</f>
        <v>187.96199999999999</v>
      </c>
      <c r="F7" s="12">
        <v>60.660000000000011</v>
      </c>
      <c r="G7" s="12">
        <f t="shared" ref="G7:G45" si="1">+D7-H7</f>
        <v>248.62200000000001</v>
      </c>
      <c r="H7" s="12">
        <v>56.378</v>
      </c>
      <c r="I7" s="24">
        <v>30.02</v>
      </c>
    </row>
    <row r="8" spans="1:9">
      <c r="A8" s="10" t="s">
        <v>182</v>
      </c>
      <c r="B8" s="12">
        <f t="shared" ref="B8:B26" si="2">+H7</f>
        <v>56.378</v>
      </c>
      <c r="C8" s="12">
        <v>237</v>
      </c>
      <c r="D8" s="12">
        <f>+B8+C8+0</f>
        <v>293.37799999999999</v>
      </c>
      <c r="E8" s="12">
        <f t="shared" si="0"/>
        <v>189.17799999999997</v>
      </c>
      <c r="F8" s="12">
        <v>53.851999999999997</v>
      </c>
      <c r="G8" s="12">
        <f t="shared" si="1"/>
        <v>243.02999999999997</v>
      </c>
      <c r="H8" s="12">
        <v>50.347999999999999</v>
      </c>
      <c r="I8" s="24">
        <v>30.01</v>
      </c>
    </row>
    <row r="9" spans="1:9">
      <c r="A9" s="10" t="s">
        <v>183</v>
      </c>
      <c r="B9" s="12">
        <f t="shared" si="2"/>
        <v>50.347999999999999</v>
      </c>
      <c r="C9" s="12">
        <v>182</v>
      </c>
      <c r="D9" s="12">
        <f>+B9+C9+0</f>
        <v>232.34800000000001</v>
      </c>
      <c r="E9" s="12">
        <f t="shared" si="0"/>
        <v>176.47900000000001</v>
      </c>
      <c r="F9" s="12">
        <v>20.748999999999999</v>
      </c>
      <c r="G9" s="12">
        <f t="shared" si="1"/>
        <v>197.22800000000001</v>
      </c>
      <c r="H9" s="12">
        <v>35.119999999999997</v>
      </c>
      <c r="I9" s="24">
        <v>25.19</v>
      </c>
    </row>
    <row r="10" spans="1:9">
      <c r="A10" s="10" t="s">
        <v>184</v>
      </c>
      <c r="B10" s="12">
        <f t="shared" si="2"/>
        <v>35.119999999999997</v>
      </c>
      <c r="C10" s="12">
        <v>265</v>
      </c>
      <c r="D10" s="12">
        <f>+B10+C10+0</f>
        <v>300.12</v>
      </c>
      <c r="E10" s="12">
        <f t="shared" si="0"/>
        <v>201.04900000000004</v>
      </c>
      <c r="F10" s="12">
        <v>51.454999999999998</v>
      </c>
      <c r="G10" s="12">
        <f t="shared" si="1"/>
        <v>252.50400000000002</v>
      </c>
      <c r="H10" s="12">
        <v>47.616</v>
      </c>
      <c r="I10" s="24">
        <v>30.12</v>
      </c>
    </row>
    <row r="11" spans="1:9">
      <c r="A11" s="10" t="s">
        <v>185</v>
      </c>
      <c r="B11" s="12">
        <f t="shared" si="2"/>
        <v>47.616</v>
      </c>
      <c r="C11" s="12">
        <v>194</v>
      </c>
      <c r="D11" s="12">
        <f>+B11+C11+0</f>
        <v>241.61599999999999</v>
      </c>
      <c r="E11" s="12">
        <f t="shared" si="0"/>
        <v>192.749</v>
      </c>
      <c r="F11" s="12">
        <v>15.481000000000002</v>
      </c>
      <c r="G11" s="12">
        <f t="shared" si="1"/>
        <v>208.23</v>
      </c>
      <c r="H11" s="12">
        <v>33.386000000000003</v>
      </c>
      <c r="I11" s="24">
        <v>32.6</v>
      </c>
    </row>
    <row r="12" spans="1:9">
      <c r="A12" s="10" t="s">
        <v>186</v>
      </c>
      <c r="B12" s="12">
        <f t="shared" si="2"/>
        <v>33.386000000000003</v>
      </c>
      <c r="C12" s="12">
        <v>205</v>
      </c>
      <c r="D12" s="12">
        <f>+B12+C12+0.51</f>
        <v>238.89599999999999</v>
      </c>
      <c r="E12" s="12">
        <f t="shared" si="0"/>
        <v>184.33299999999997</v>
      </c>
      <c r="F12" s="12">
        <v>14.434999999999997</v>
      </c>
      <c r="G12" s="12">
        <f t="shared" si="1"/>
        <v>198.76799999999997</v>
      </c>
      <c r="H12" s="12">
        <v>40.128</v>
      </c>
      <c r="I12" s="24">
        <v>31.14</v>
      </c>
    </row>
    <row r="13" spans="1:9">
      <c r="A13" s="10" t="s">
        <v>187</v>
      </c>
      <c r="B13" s="12">
        <f t="shared" si="2"/>
        <v>40.128</v>
      </c>
      <c r="C13" s="12">
        <v>201</v>
      </c>
      <c r="D13" s="12">
        <f>+B13+C13+0.34</f>
        <v>241.46799999999999</v>
      </c>
      <c r="E13" s="12">
        <f t="shared" si="0"/>
        <v>183.98699999999999</v>
      </c>
      <c r="F13" s="12">
        <v>6.3860000000000001</v>
      </c>
      <c r="G13" s="12">
        <f t="shared" si="1"/>
        <v>190.37299999999999</v>
      </c>
      <c r="H13" s="12">
        <v>51.094999999999999</v>
      </c>
      <c r="I13" s="24">
        <v>26.34</v>
      </c>
    </row>
    <row r="14" spans="1:9">
      <c r="A14" s="10" t="s">
        <v>188</v>
      </c>
      <c r="B14" s="12">
        <f t="shared" si="2"/>
        <v>51.094999999999999</v>
      </c>
      <c r="C14" s="12">
        <v>217</v>
      </c>
      <c r="D14" s="12">
        <f>+B14+C14+0.56</f>
        <v>268.65500000000003</v>
      </c>
      <c r="E14" s="12">
        <f t="shared" si="0"/>
        <v>219.82600000000002</v>
      </c>
      <c r="F14" s="12">
        <v>8.0290000000000017</v>
      </c>
      <c r="G14" s="12">
        <f t="shared" si="1"/>
        <v>227.85500000000002</v>
      </c>
      <c r="H14" s="12">
        <v>40.799999999999997</v>
      </c>
      <c r="I14" s="24">
        <v>24.71</v>
      </c>
    </row>
    <row r="15" spans="1:9">
      <c r="A15" s="10" t="s">
        <v>189</v>
      </c>
      <c r="B15" s="12">
        <f t="shared" si="2"/>
        <v>40.799999999999997</v>
      </c>
      <c r="C15" s="12">
        <v>170</v>
      </c>
      <c r="D15" s="12">
        <f>+B15+C15+0.09</f>
        <v>210.89000000000001</v>
      </c>
      <c r="E15" s="12">
        <f t="shared" si="0"/>
        <v>151.24023751945001</v>
      </c>
      <c r="F15" s="12">
        <v>12.149762480550001</v>
      </c>
      <c r="G15" s="12">
        <f t="shared" si="1"/>
        <v>163.39000000000001</v>
      </c>
      <c r="H15" s="12">
        <v>47.5</v>
      </c>
      <c r="I15" s="24">
        <v>39.380000000000003</v>
      </c>
    </row>
    <row r="16" spans="1:9">
      <c r="A16" s="10" t="s">
        <v>4</v>
      </c>
      <c r="B16" s="12">
        <f t="shared" si="2"/>
        <v>47.5</v>
      </c>
      <c r="C16" s="12">
        <v>165</v>
      </c>
      <c r="D16" s="12">
        <f>+B16+C16+0.01</f>
        <v>212.51</v>
      </c>
      <c r="E16" s="12">
        <f t="shared" si="0"/>
        <v>164.18497032312598</v>
      </c>
      <c r="F16" s="12">
        <v>11.525029676874</v>
      </c>
      <c r="G16" s="12">
        <f t="shared" si="1"/>
        <v>175.70999999999998</v>
      </c>
      <c r="H16" s="12">
        <v>36.799999999999997</v>
      </c>
      <c r="I16" s="24">
        <v>40.200000000000003</v>
      </c>
    </row>
    <row r="17" spans="1:9">
      <c r="A17" s="10" t="s">
        <v>5</v>
      </c>
      <c r="B17" s="12">
        <f t="shared" si="2"/>
        <v>36.799999999999997</v>
      </c>
      <c r="C17" s="12">
        <v>172</v>
      </c>
      <c r="D17" s="12">
        <f>+B17+C17+0.21</f>
        <v>209.01000000000002</v>
      </c>
      <c r="E17" s="12">
        <f t="shared" si="0"/>
        <v>162.55617412484602</v>
      </c>
      <c r="F17" s="12">
        <v>6.453825875154001</v>
      </c>
      <c r="G17" s="12">
        <f t="shared" si="1"/>
        <v>169.01000000000002</v>
      </c>
      <c r="H17" s="12">
        <v>40</v>
      </c>
      <c r="I17" s="24">
        <v>38.04</v>
      </c>
    </row>
    <row r="18" spans="1:9">
      <c r="A18" s="10" t="s">
        <v>6</v>
      </c>
      <c r="B18" s="12">
        <f t="shared" si="2"/>
        <v>40</v>
      </c>
      <c r="C18" s="12">
        <v>176</v>
      </c>
      <c r="D18" s="12">
        <f>+B18+C18+0.77</f>
        <v>216.77</v>
      </c>
      <c r="E18" s="12">
        <f t="shared" si="0"/>
        <v>146.46992939767603</v>
      </c>
      <c r="F18" s="12">
        <v>12.000070602324001</v>
      </c>
      <c r="G18" s="12">
        <f t="shared" si="1"/>
        <v>158.47000000000003</v>
      </c>
      <c r="H18" s="12">
        <v>58.3</v>
      </c>
      <c r="I18" s="24">
        <v>32</v>
      </c>
    </row>
    <row r="19" spans="1:9">
      <c r="A19" s="10" t="s">
        <v>7</v>
      </c>
      <c r="B19" s="12">
        <f t="shared" si="2"/>
        <v>58.3</v>
      </c>
      <c r="C19" s="12">
        <v>168</v>
      </c>
      <c r="D19" s="12">
        <f>+B19+C19+0.08</f>
        <v>226.38000000000002</v>
      </c>
      <c r="E19" s="12">
        <f t="shared" si="0"/>
        <v>163.87902055903601</v>
      </c>
      <c r="F19" s="12">
        <v>8.3009794409639994</v>
      </c>
      <c r="G19" s="12">
        <f t="shared" si="1"/>
        <v>172.18</v>
      </c>
      <c r="H19" s="12">
        <v>54.2</v>
      </c>
      <c r="I19" s="24">
        <v>31.5</v>
      </c>
    </row>
    <row r="20" spans="1:9">
      <c r="A20" s="10" t="s">
        <v>8</v>
      </c>
      <c r="B20" s="12">
        <f t="shared" si="2"/>
        <v>54.2</v>
      </c>
      <c r="C20" s="12">
        <v>169</v>
      </c>
      <c r="D20" s="12">
        <f>+B20+C20+0.62</f>
        <v>223.82</v>
      </c>
      <c r="E20" s="12">
        <f t="shared" si="0"/>
        <v>154.381906305624</v>
      </c>
      <c r="F20" s="12">
        <v>6.8380936943760009</v>
      </c>
      <c r="G20" s="12">
        <f t="shared" si="1"/>
        <v>161.22</v>
      </c>
      <c r="H20" s="12">
        <v>62.6</v>
      </c>
      <c r="I20" s="24">
        <v>31.78</v>
      </c>
    </row>
    <row r="21" spans="1:9">
      <c r="A21" s="10" t="s">
        <v>9</v>
      </c>
      <c r="B21" s="12">
        <f t="shared" si="2"/>
        <v>62.6</v>
      </c>
      <c r="C21" s="12">
        <v>167</v>
      </c>
      <c r="D21" s="12">
        <f>+B21+C21+2.71</f>
        <v>232.31</v>
      </c>
      <c r="E21" s="12">
        <f t="shared" si="0"/>
        <v>163.74454576719802</v>
      </c>
      <c r="F21" s="12">
        <v>23.865454232802001</v>
      </c>
      <c r="G21" s="12">
        <f t="shared" si="1"/>
        <v>187.61</v>
      </c>
      <c r="H21" s="12">
        <v>44.7</v>
      </c>
      <c r="I21" s="24">
        <v>33.729999999999997</v>
      </c>
    </row>
    <row r="22" spans="1:9">
      <c r="A22" s="10" t="s">
        <v>10</v>
      </c>
      <c r="B22" s="12">
        <f t="shared" si="2"/>
        <v>44.7</v>
      </c>
      <c r="C22" s="12">
        <v>176</v>
      </c>
      <c r="D22" s="12">
        <f>+B22+C22+3.64</f>
        <v>224.33999999999997</v>
      </c>
      <c r="E22" s="12">
        <f t="shared" si="0"/>
        <v>150.92542402282999</v>
      </c>
      <c r="F22" s="12">
        <v>26.21457597717</v>
      </c>
      <c r="G22" s="12">
        <f t="shared" si="1"/>
        <v>177.14</v>
      </c>
      <c r="H22" s="12">
        <v>47.2</v>
      </c>
      <c r="I22" s="24">
        <v>36.54</v>
      </c>
    </row>
    <row r="23" spans="1:9">
      <c r="A23" s="10" t="s">
        <v>11</v>
      </c>
      <c r="B23" s="12">
        <f t="shared" si="2"/>
        <v>47.2</v>
      </c>
      <c r="C23" s="12">
        <v>195</v>
      </c>
      <c r="D23" s="12">
        <f>+B23+C23+6.5</f>
        <v>248.7</v>
      </c>
      <c r="E23" s="12">
        <f t="shared" si="0"/>
        <v>137.298863218956</v>
      </c>
      <c r="F23" s="12">
        <v>65.801136781044008</v>
      </c>
      <c r="G23" s="12">
        <f t="shared" si="1"/>
        <v>203.1</v>
      </c>
      <c r="H23" s="12">
        <v>45.6</v>
      </c>
      <c r="I23" s="24">
        <v>35.97</v>
      </c>
    </row>
    <row r="24" spans="1:9">
      <c r="A24" s="10" t="s">
        <v>12</v>
      </c>
      <c r="B24" s="12">
        <f t="shared" si="2"/>
        <v>45.6</v>
      </c>
      <c r="C24" s="12">
        <v>205</v>
      </c>
      <c r="D24" s="12">
        <f>+B24+C24+6.6</f>
        <v>257.2</v>
      </c>
      <c r="E24" s="12">
        <f t="shared" si="0"/>
        <v>149.87220551671399</v>
      </c>
      <c r="F24" s="12">
        <v>57.927794483285993</v>
      </c>
      <c r="G24" s="12">
        <f t="shared" si="1"/>
        <v>207.79999999999998</v>
      </c>
      <c r="H24" s="12">
        <v>49.4</v>
      </c>
      <c r="I24" s="24">
        <v>36.33</v>
      </c>
    </row>
    <row r="25" spans="1:9">
      <c r="A25" s="10" t="s">
        <v>13</v>
      </c>
      <c r="B25" s="12">
        <f t="shared" si="2"/>
        <v>49.4</v>
      </c>
      <c r="C25" s="12">
        <v>207</v>
      </c>
      <c r="D25" s="12">
        <f>+B25+C25+12.33</f>
        <v>268.72999999999996</v>
      </c>
      <c r="E25" s="12">
        <f t="shared" si="0"/>
        <v>129.36613346796798</v>
      </c>
      <c r="F25" s="12">
        <v>63.163866532031996</v>
      </c>
      <c r="G25" s="12">
        <f t="shared" si="1"/>
        <v>192.52999999999997</v>
      </c>
      <c r="H25" s="12">
        <v>76.2</v>
      </c>
      <c r="I25" s="24">
        <v>36.42</v>
      </c>
    </row>
    <row r="26" spans="1:9">
      <c r="A26" s="10" t="s">
        <v>14</v>
      </c>
      <c r="B26" s="12">
        <f t="shared" si="2"/>
        <v>76.2</v>
      </c>
      <c r="C26" s="12">
        <v>224</v>
      </c>
      <c r="D26" s="12">
        <f>+B26+C26+13.01</f>
        <v>313.20999999999998</v>
      </c>
      <c r="E26" s="12">
        <f t="shared" si="0"/>
        <v>194.78438360887594</v>
      </c>
      <c r="F26" s="12">
        <v>74.325616391124001</v>
      </c>
      <c r="G26" s="12">
        <f t="shared" si="1"/>
        <v>269.10999999999996</v>
      </c>
      <c r="H26" s="12">
        <v>44.1</v>
      </c>
      <c r="I26" s="24">
        <v>35.83</v>
      </c>
    </row>
    <row r="27" spans="1:9">
      <c r="A27" s="10" t="s">
        <v>397</v>
      </c>
      <c r="B27" s="12">
        <v>49</v>
      </c>
      <c r="C27" s="12">
        <v>234</v>
      </c>
      <c r="D27" s="12">
        <f>+B27+C27+12.49</f>
        <v>295.49</v>
      </c>
      <c r="E27" s="12">
        <f t="shared" si="0"/>
        <v>177.55969383262203</v>
      </c>
      <c r="F27" s="12">
        <v>73.030306167377987</v>
      </c>
      <c r="G27" s="12">
        <f t="shared" si="1"/>
        <v>250.59</v>
      </c>
      <c r="H27" s="12">
        <v>44.9</v>
      </c>
      <c r="I27" s="24">
        <v>36</v>
      </c>
    </row>
    <row r="28" spans="1:9">
      <c r="A28" s="10" t="s">
        <v>210</v>
      </c>
      <c r="B28" s="12">
        <f t="shared" ref="B28:B33" si="3">+H27</f>
        <v>44.9</v>
      </c>
      <c r="C28" s="12">
        <v>195</v>
      </c>
      <c r="D28" s="12">
        <f>+B28+C28+10.59</f>
        <v>250.49</v>
      </c>
      <c r="E28" s="12">
        <f t="shared" si="0"/>
        <v>168.90411507277659</v>
      </c>
      <c r="F28" s="12">
        <v>50.485884927223417</v>
      </c>
      <c r="G28" s="12">
        <f t="shared" si="1"/>
        <v>219.39000000000001</v>
      </c>
      <c r="H28" s="12">
        <v>31.1</v>
      </c>
      <c r="I28" s="24">
        <v>38.1</v>
      </c>
    </row>
    <row r="29" spans="1:9">
      <c r="A29" s="10" t="s">
        <v>217</v>
      </c>
      <c r="B29" s="12">
        <f t="shared" si="3"/>
        <v>31.1</v>
      </c>
      <c r="C29" s="12">
        <v>205</v>
      </c>
      <c r="D29" s="12">
        <f>+B29+C29+12.98</f>
        <v>249.07999999999998</v>
      </c>
      <c r="E29" s="12">
        <f t="shared" si="0"/>
        <v>145.287366944768</v>
      </c>
      <c r="F29" s="12">
        <v>70.054633055232003</v>
      </c>
      <c r="G29" s="12">
        <f t="shared" si="1"/>
        <v>215.34199999999998</v>
      </c>
      <c r="H29" s="12">
        <v>33.738</v>
      </c>
      <c r="I29" s="24">
        <v>39.86</v>
      </c>
    </row>
    <row r="30" spans="1:9">
      <c r="A30" s="10" t="s">
        <v>398</v>
      </c>
      <c r="B30" s="12">
        <f t="shared" si="3"/>
        <v>33.738</v>
      </c>
      <c r="C30" s="12">
        <v>220</v>
      </c>
      <c r="D30" s="12">
        <f>+B30+C30+14.45</f>
        <v>268.18799999999999</v>
      </c>
      <c r="E30" s="12">
        <f t="shared" si="0"/>
        <v>172.11826930714801</v>
      </c>
      <c r="F30" s="12">
        <v>76.224730692851992</v>
      </c>
      <c r="G30" s="12">
        <f t="shared" si="1"/>
        <v>248.34299999999999</v>
      </c>
      <c r="H30" s="12">
        <v>19.844999999999999</v>
      </c>
      <c r="I30" s="24">
        <v>42</v>
      </c>
    </row>
    <row r="31" spans="1:9">
      <c r="A31" s="10" t="s">
        <v>222</v>
      </c>
      <c r="B31" s="12">
        <f t="shared" si="3"/>
        <v>19.844999999999999</v>
      </c>
      <c r="C31" s="12">
        <v>265</v>
      </c>
      <c r="D31" s="12">
        <f>+B31+C31+16.02</f>
        <v>300.86500000000001</v>
      </c>
      <c r="E31" s="12">
        <f t="shared" si="0"/>
        <v>148.85250052119198</v>
      </c>
      <c r="F31" s="12">
        <v>106.87249947880802</v>
      </c>
      <c r="G31" s="12">
        <f t="shared" si="1"/>
        <v>255.72500000000002</v>
      </c>
      <c r="H31" s="12">
        <v>45.14</v>
      </c>
      <c r="I31" s="24">
        <v>59.49</v>
      </c>
    </row>
    <row r="32" spans="1:9">
      <c r="A32" s="10" t="s">
        <v>225</v>
      </c>
      <c r="B32" s="12">
        <f t="shared" si="3"/>
        <v>45.14</v>
      </c>
      <c r="C32" s="12">
        <v>320</v>
      </c>
      <c r="D32" s="12">
        <f>+B32+C32+10.04</f>
        <v>375.18</v>
      </c>
      <c r="E32" s="12">
        <f t="shared" ref="E32:E37" si="4">+G32-F32</f>
        <v>247.76390305783195</v>
      </c>
      <c r="F32" s="12">
        <v>98.316096942168016</v>
      </c>
      <c r="G32" s="12">
        <f t="shared" si="1"/>
        <v>346.08</v>
      </c>
      <c r="H32" s="12">
        <v>29.1</v>
      </c>
      <c r="I32" s="24">
        <v>53.99</v>
      </c>
    </row>
    <row r="33" spans="1:18">
      <c r="A33" s="10" t="s">
        <v>227</v>
      </c>
      <c r="B33" s="12">
        <f t="shared" si="3"/>
        <v>29.1</v>
      </c>
      <c r="C33" s="12">
        <v>291</v>
      </c>
      <c r="D33" s="12">
        <f>+B33+C33+8.34</f>
        <v>328.44</v>
      </c>
      <c r="E33" s="12">
        <f t="shared" si="4"/>
        <v>201.90526859286797</v>
      </c>
      <c r="F33" s="12">
        <v>75.734731407132003</v>
      </c>
      <c r="G33" s="12">
        <f t="shared" si="1"/>
        <v>277.64</v>
      </c>
      <c r="H33" s="12">
        <v>50.8</v>
      </c>
      <c r="I33" s="24">
        <v>44.37</v>
      </c>
    </row>
    <row r="34" spans="1:18">
      <c r="A34" s="10" t="s">
        <v>230</v>
      </c>
      <c r="B34" s="12">
        <f t="shared" ref="B34:B39" si="5">+H33</f>
        <v>50.8</v>
      </c>
      <c r="C34" s="12">
        <v>228</v>
      </c>
      <c r="D34" s="12">
        <f>+B34+C34+12.23</f>
        <v>291.03000000000003</v>
      </c>
      <c r="E34" s="12">
        <f t="shared" si="4"/>
        <v>190.85580158484802</v>
      </c>
      <c r="F34" s="12">
        <v>73.953198415152002</v>
      </c>
      <c r="G34" s="12">
        <f t="shared" si="1"/>
        <v>264.80900000000003</v>
      </c>
      <c r="H34" s="12">
        <v>26.221</v>
      </c>
      <c r="I34" s="24">
        <v>70.31</v>
      </c>
    </row>
    <row r="35" spans="1:18">
      <c r="A35" s="10" t="s">
        <v>231</v>
      </c>
      <c r="B35" s="12">
        <f t="shared" si="5"/>
        <v>26.221</v>
      </c>
      <c r="C35" s="12">
        <v>159</v>
      </c>
      <c r="D35" s="12">
        <f>+B35+C35+5.683</f>
        <v>190.904</v>
      </c>
      <c r="E35" s="12">
        <f t="shared" si="4"/>
        <v>52.345764610559996</v>
      </c>
      <c r="F35" s="12">
        <v>66.05823538944</v>
      </c>
      <c r="G35" s="12">
        <f t="shared" si="1"/>
        <v>118.404</v>
      </c>
      <c r="H35" s="12">
        <v>72.5</v>
      </c>
      <c r="I35" s="24">
        <v>86.52</v>
      </c>
    </row>
    <row r="36" spans="1:18">
      <c r="A36" s="55" t="s">
        <v>234</v>
      </c>
      <c r="B36" s="12">
        <f t="shared" si="5"/>
        <v>72.5</v>
      </c>
      <c r="C36" s="12">
        <v>234</v>
      </c>
      <c r="D36" s="12">
        <f>+B36+C36+5.418</f>
        <v>311.91800000000001</v>
      </c>
      <c r="E36" s="12">
        <f t="shared" si="4"/>
        <v>171.74327184133602</v>
      </c>
      <c r="F36" s="12">
        <v>103.210728158664</v>
      </c>
      <c r="G36" s="12">
        <f t="shared" si="1"/>
        <v>274.95400000000001</v>
      </c>
      <c r="H36" s="12">
        <v>36.963999999999999</v>
      </c>
      <c r="I36" s="24">
        <v>67.489999999999995</v>
      </c>
    </row>
    <row r="37" spans="1:18">
      <c r="A37" s="55" t="s">
        <v>236</v>
      </c>
      <c r="B37" s="12">
        <f t="shared" si="5"/>
        <v>36.963999999999999</v>
      </c>
      <c r="C37" s="12">
        <v>227</v>
      </c>
      <c r="D37" s="12">
        <f>+B37+C37+6.067</f>
        <v>270.03100000000001</v>
      </c>
      <c r="E37" s="12">
        <f t="shared" si="4"/>
        <v>130.66277720502001</v>
      </c>
      <c r="F37" s="12">
        <v>101.18022279498001</v>
      </c>
      <c r="G37" s="12">
        <f t="shared" si="1"/>
        <v>231.84300000000002</v>
      </c>
      <c r="H37" s="12">
        <v>38.188000000000002</v>
      </c>
      <c r="I37" s="140" t="s">
        <v>229</v>
      </c>
    </row>
    <row r="38" spans="1:18">
      <c r="A38" s="55" t="s">
        <v>239</v>
      </c>
      <c r="B38" s="12">
        <f t="shared" si="5"/>
        <v>38.188000000000002</v>
      </c>
      <c r="C38" s="12">
        <v>205</v>
      </c>
      <c r="D38" s="12">
        <f>+B38+C38+5.033</f>
        <v>248.22099999999998</v>
      </c>
      <c r="E38" s="12">
        <f t="shared" ref="E38:E47" si="6">+G38-F38</f>
        <v>124.04899388563398</v>
      </c>
      <c r="F38" s="12">
        <v>89.172006114365999</v>
      </c>
      <c r="G38" s="12">
        <f t="shared" si="1"/>
        <v>213.22099999999998</v>
      </c>
      <c r="H38" s="12">
        <v>35</v>
      </c>
      <c r="I38" s="140" t="s">
        <v>229</v>
      </c>
    </row>
    <row r="39" spans="1:18">
      <c r="A39" s="55" t="s">
        <v>241</v>
      </c>
      <c r="B39" s="12">
        <f t="shared" si="5"/>
        <v>35</v>
      </c>
      <c r="C39" s="12">
        <v>215</v>
      </c>
      <c r="D39" s="12">
        <f>+B39+C39+5.319</f>
        <v>255.31899999999999</v>
      </c>
      <c r="E39" s="12">
        <f t="shared" si="6"/>
        <v>126.21261333447798</v>
      </c>
      <c r="F39" s="12">
        <v>94.10638666552201</v>
      </c>
      <c r="G39" s="12">
        <f t="shared" si="1"/>
        <v>220.31899999999999</v>
      </c>
      <c r="H39" s="12">
        <v>35</v>
      </c>
      <c r="I39" s="140" t="s">
        <v>229</v>
      </c>
    </row>
    <row r="40" spans="1:18">
      <c r="A40" s="55" t="s">
        <v>253</v>
      </c>
      <c r="B40" s="12">
        <f t="shared" ref="B40:B49" si="7">+H39</f>
        <v>35</v>
      </c>
      <c r="C40" s="12">
        <v>170</v>
      </c>
      <c r="D40" s="12">
        <f>+B40+C40+4.785</f>
        <v>209.785</v>
      </c>
      <c r="E40" s="12">
        <f t="shared" si="6"/>
        <v>116.51501511298399</v>
      </c>
      <c r="F40" s="12">
        <v>58.269984887016008</v>
      </c>
      <c r="G40" s="12">
        <f t="shared" si="1"/>
        <v>174.785</v>
      </c>
      <c r="H40" s="12">
        <v>35</v>
      </c>
      <c r="I40" s="140" t="s">
        <v>229</v>
      </c>
    </row>
    <row r="41" spans="1:18">
      <c r="A41" s="55" t="s">
        <v>258</v>
      </c>
      <c r="B41" s="12">
        <f t="shared" si="7"/>
        <v>35</v>
      </c>
      <c r="C41" s="12">
        <v>231</v>
      </c>
      <c r="D41" s="12">
        <f>+B41+C41+4.298</f>
        <v>270.298</v>
      </c>
      <c r="E41" s="12">
        <f t="shared" si="6"/>
        <v>183.34553141450002</v>
      </c>
      <c r="F41" s="12">
        <v>51.952468585499993</v>
      </c>
      <c r="G41" s="12">
        <f t="shared" si="1"/>
        <v>235.298</v>
      </c>
      <c r="H41" s="12">
        <v>35</v>
      </c>
      <c r="I41" s="140" t="s">
        <v>229</v>
      </c>
    </row>
    <row r="42" spans="1:18">
      <c r="A42" s="55" t="s">
        <v>265</v>
      </c>
      <c r="B42" s="12">
        <f t="shared" si="7"/>
        <v>35</v>
      </c>
      <c r="C42" s="12">
        <v>209</v>
      </c>
      <c r="D42" s="12">
        <f>+B42+C42+4.087</f>
        <v>248.08699999999999</v>
      </c>
      <c r="E42" s="12">
        <f t="shared" si="6"/>
        <v>195.895514172162</v>
      </c>
      <c r="F42" s="12">
        <v>17.191485827837997</v>
      </c>
      <c r="G42" s="12">
        <f t="shared" si="1"/>
        <v>213.08699999999999</v>
      </c>
      <c r="H42" s="12">
        <v>35</v>
      </c>
      <c r="I42" s="140" t="s">
        <v>229</v>
      </c>
    </row>
    <row r="43" spans="1:18">
      <c r="A43" s="55" t="s">
        <v>271</v>
      </c>
      <c r="B43" s="12">
        <f t="shared" si="7"/>
        <v>35</v>
      </c>
      <c r="C43" s="12">
        <v>205</v>
      </c>
      <c r="D43" s="12">
        <f>+B43+C43+3.863</f>
        <v>243.863</v>
      </c>
      <c r="E43" s="12">
        <f t="shared" si="6"/>
        <v>193.5884969352</v>
      </c>
      <c r="F43" s="12">
        <v>15.274503064800001</v>
      </c>
      <c r="G43" s="12">
        <f t="shared" si="1"/>
        <v>208.863</v>
      </c>
      <c r="H43" s="12">
        <v>35</v>
      </c>
      <c r="I43" s="140" t="s">
        <v>229</v>
      </c>
    </row>
    <row r="44" spans="1:18">
      <c r="A44" s="254" t="s">
        <v>296</v>
      </c>
      <c r="B44" s="199">
        <f t="shared" si="7"/>
        <v>35</v>
      </c>
      <c r="C44" s="199">
        <v>175.5</v>
      </c>
      <c r="D44" s="199">
        <f>+B44+C44+4.3729</f>
        <v>214.87289999999999</v>
      </c>
      <c r="E44" s="199">
        <f t="shared" si="6"/>
        <v>166.12685750203798</v>
      </c>
      <c r="F44" s="199">
        <v>13.746042497962</v>
      </c>
      <c r="G44" s="199">
        <f t="shared" si="1"/>
        <v>179.87289999999999</v>
      </c>
      <c r="H44" s="199">
        <v>35</v>
      </c>
      <c r="I44" s="318" t="s">
        <v>229</v>
      </c>
      <c r="K44" s="12"/>
      <c r="O44" s="12"/>
      <c r="P44" s="12"/>
      <c r="Q44" s="12"/>
      <c r="R44" s="12"/>
    </row>
    <row r="45" spans="1:18">
      <c r="A45" s="254" t="s">
        <v>295</v>
      </c>
      <c r="B45" s="199">
        <f t="shared" si="7"/>
        <v>35</v>
      </c>
      <c r="C45" s="199">
        <v>178.42500000000001</v>
      </c>
      <c r="D45" s="199">
        <f>+B45+C45+5.9247</f>
        <v>219.34970000000001</v>
      </c>
      <c r="E45" s="199">
        <f t="shared" si="6"/>
        <v>172.90307889469801</v>
      </c>
      <c r="F45" s="199">
        <v>11.446621105301999</v>
      </c>
      <c r="G45" s="199">
        <f t="shared" si="1"/>
        <v>184.34970000000001</v>
      </c>
      <c r="H45" s="199">
        <v>35</v>
      </c>
      <c r="I45" s="318" t="s">
        <v>229</v>
      </c>
      <c r="K45" s="12"/>
      <c r="O45" s="12"/>
      <c r="P45" s="12"/>
      <c r="Q45" s="12"/>
      <c r="R45" s="12"/>
    </row>
    <row r="46" spans="1:18">
      <c r="A46" s="254" t="s">
        <v>334</v>
      </c>
      <c r="B46" s="199">
        <f t="shared" si="7"/>
        <v>35</v>
      </c>
      <c r="C46" s="199">
        <v>174.52500000000001</v>
      </c>
      <c r="D46" s="199">
        <f>+B46+C46+3.5012</f>
        <v>213.02620000000002</v>
      </c>
      <c r="E46" s="199">
        <f t="shared" si="6"/>
        <v>172.662573627802</v>
      </c>
      <c r="F46" s="199">
        <v>5.3636263721979995</v>
      </c>
      <c r="G46" s="199">
        <f>+D46-H46</f>
        <v>178.02620000000002</v>
      </c>
      <c r="H46" s="199">
        <v>35</v>
      </c>
      <c r="I46" s="318" t="s">
        <v>229</v>
      </c>
      <c r="K46" s="12"/>
      <c r="O46" s="12"/>
      <c r="P46" s="12"/>
      <c r="Q46" s="12"/>
      <c r="R46" s="12"/>
    </row>
    <row r="47" spans="1:18">
      <c r="A47" s="254" t="s">
        <v>350</v>
      </c>
      <c r="B47" s="199">
        <f t="shared" si="7"/>
        <v>35</v>
      </c>
      <c r="C47" s="199">
        <v>156</v>
      </c>
      <c r="D47" s="199">
        <f>+B47+C47+4.1859</f>
        <v>195.1859</v>
      </c>
      <c r="E47" s="199">
        <f t="shared" si="6"/>
        <v>141.87430451828001</v>
      </c>
      <c r="F47" s="199">
        <v>18.311595481719998</v>
      </c>
      <c r="G47" s="199">
        <f>+D47-H47</f>
        <v>160.1859</v>
      </c>
      <c r="H47" s="199">
        <v>35</v>
      </c>
      <c r="I47" s="318" t="s">
        <v>229</v>
      </c>
      <c r="K47" s="12"/>
      <c r="O47" s="12"/>
      <c r="P47" s="12"/>
      <c r="Q47" s="12"/>
      <c r="R47" s="12"/>
    </row>
    <row r="48" spans="1:18">
      <c r="A48" s="254" t="s">
        <v>504</v>
      </c>
      <c r="B48" s="199">
        <f t="shared" si="7"/>
        <v>35</v>
      </c>
      <c r="C48" s="199">
        <v>181.35</v>
      </c>
      <c r="D48" s="199">
        <f>+B48+C48+8.0328</f>
        <v>224.3828</v>
      </c>
      <c r="E48" s="199">
        <f t="shared" ref="E48:E49" si="8">+G48-F48</f>
        <v>178.01267929961199</v>
      </c>
      <c r="F48" s="199">
        <v>11.370120700388</v>
      </c>
      <c r="G48" s="199">
        <f>+D48-H48</f>
        <v>189.3828</v>
      </c>
      <c r="H48" s="199">
        <v>35</v>
      </c>
      <c r="I48" s="318" t="s">
        <v>229</v>
      </c>
      <c r="K48" s="12"/>
      <c r="O48" s="12"/>
      <c r="P48" s="12"/>
      <c r="Q48" s="12"/>
      <c r="R48" s="12"/>
    </row>
    <row r="49" spans="1:18">
      <c r="A49" s="256" t="s">
        <v>597</v>
      </c>
      <c r="B49" s="271">
        <f t="shared" si="7"/>
        <v>35</v>
      </c>
      <c r="C49" s="271">
        <v>192.07499999999999</v>
      </c>
      <c r="D49" s="271">
        <f>+B49+C49+8.0328</f>
        <v>235.1078</v>
      </c>
      <c r="E49" s="271">
        <f t="shared" si="8"/>
        <v>186.73767929961201</v>
      </c>
      <c r="F49" s="271">
        <v>13.370120700388</v>
      </c>
      <c r="G49" s="271">
        <f>+D49-H49</f>
        <v>200.1078</v>
      </c>
      <c r="H49" s="271">
        <v>35</v>
      </c>
      <c r="I49" s="319" t="s">
        <v>229</v>
      </c>
      <c r="K49" s="12"/>
      <c r="O49" s="12"/>
      <c r="P49" s="12"/>
      <c r="Q49" s="12"/>
      <c r="R49" s="12"/>
    </row>
    <row r="50" spans="1:18">
      <c r="A50" s="61" t="s">
        <v>542</v>
      </c>
      <c r="B50" s="12"/>
      <c r="C50" s="12"/>
      <c r="D50" s="12"/>
      <c r="E50" s="12"/>
      <c r="F50" s="12"/>
      <c r="G50" s="12"/>
      <c r="H50" s="12"/>
      <c r="I50" s="140"/>
    </row>
    <row r="51" spans="1:18">
      <c r="A51" s="52" t="s">
        <v>576</v>
      </c>
    </row>
    <row r="52" spans="1:18" ht="13.15" customHeight="1">
      <c r="A52" s="52" t="s">
        <v>686</v>
      </c>
    </row>
    <row r="53" spans="1:18" ht="10.15" customHeight="1">
      <c r="J53" s="55"/>
    </row>
    <row r="54" spans="1:18">
      <c r="I54" s="225" t="s">
        <v>592</v>
      </c>
    </row>
  </sheetData>
  <phoneticPr fontId="0" type="noConversion"/>
  <pageMargins left="0.75" right="0.75" top="1" bottom="1" header="0.5" footer="0.5"/>
  <pageSetup scale="95" firstPageNumber="31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S92"/>
  <sheetViews>
    <sheetView zoomScaleNormal="100" zoomScaleSheetLayoutView="100" workbookViewId="0">
      <pane ySplit="2" topLeftCell="A3" activePane="bottomLeft" state="frozen"/>
      <selection pane="bottomLeft"/>
    </sheetView>
  </sheetViews>
  <sheetFormatPr defaultRowHeight="11.25"/>
  <cols>
    <col min="1" max="1" width="62" customWidth="1"/>
    <col min="2" max="18" width="8.83203125" customWidth="1"/>
    <col min="19" max="19" width="12.5" customWidth="1"/>
  </cols>
  <sheetData>
    <row r="1" spans="1:19">
      <c r="A1" s="227" t="s">
        <v>626</v>
      </c>
      <c r="B1" s="1"/>
      <c r="C1" s="1"/>
      <c r="D1" s="1"/>
      <c r="E1" s="1"/>
      <c r="F1" s="1"/>
      <c r="G1" s="1"/>
      <c r="H1" s="1" t="s">
        <v>35</v>
      </c>
      <c r="I1" s="1"/>
      <c r="J1" s="1"/>
      <c r="K1" s="1"/>
      <c r="L1" s="1"/>
      <c r="M1" s="1"/>
      <c r="N1" s="1"/>
    </row>
    <row r="2" spans="1:19">
      <c r="A2" s="3" t="s">
        <v>404</v>
      </c>
      <c r="B2" s="32">
        <v>2006</v>
      </c>
      <c r="C2" s="132">
        <v>2007</v>
      </c>
      <c r="D2" s="130">
        <v>2008</v>
      </c>
      <c r="E2" s="130">
        <v>2009</v>
      </c>
      <c r="F2" s="130">
        <v>2010</v>
      </c>
      <c r="G2" s="130">
        <v>2011</v>
      </c>
      <c r="H2" s="130">
        <v>2012</v>
      </c>
      <c r="I2" s="130">
        <v>2013</v>
      </c>
      <c r="J2" s="130">
        <v>2014</v>
      </c>
      <c r="K2" s="130">
        <v>2015</v>
      </c>
      <c r="L2" s="130">
        <v>2016</v>
      </c>
      <c r="M2" s="130">
        <v>2017</v>
      </c>
      <c r="N2" s="130">
        <v>2018</v>
      </c>
      <c r="O2" s="133">
        <v>2019</v>
      </c>
      <c r="P2" s="133">
        <v>2020</v>
      </c>
      <c r="Q2" s="133">
        <v>2021</v>
      </c>
      <c r="R2" s="133" t="s">
        <v>612</v>
      </c>
    </row>
    <row r="3" spans="1:19">
      <c r="B3" s="100"/>
      <c r="C3" s="100"/>
      <c r="D3" s="100"/>
      <c r="E3" s="100"/>
      <c r="F3" s="100"/>
      <c r="I3" s="148" t="s">
        <v>51</v>
      </c>
      <c r="J3" s="100"/>
      <c r="K3" s="100"/>
      <c r="L3" s="100"/>
    </row>
    <row r="4" spans="1:19" ht="10.15" customHeight="1">
      <c r="A4" s="173" t="s">
        <v>573</v>
      </c>
      <c r="D4" s="13"/>
    </row>
    <row r="5" spans="1:19" ht="10.15" customHeight="1">
      <c r="A5" s="86" t="s">
        <v>405</v>
      </c>
      <c r="B5" s="13">
        <v>222.251</v>
      </c>
      <c r="C5" s="13">
        <v>128.428</v>
      </c>
      <c r="D5" s="13">
        <v>181.36699999999999</v>
      </c>
      <c r="E5" s="13">
        <v>183.01499999999999</v>
      </c>
      <c r="F5" s="13">
        <v>185.96899999999999</v>
      </c>
      <c r="G5" s="13">
        <v>165</v>
      </c>
      <c r="H5" s="13">
        <v>165.34665000000001</v>
      </c>
      <c r="I5" s="13">
        <v>165.34665000000001</v>
      </c>
      <c r="J5" s="13">
        <v>165.34665000000001</v>
      </c>
      <c r="K5" s="13">
        <v>133.905</v>
      </c>
      <c r="L5" s="13">
        <v>62.790999999999997</v>
      </c>
      <c r="M5" s="13">
        <v>51.331000000000003</v>
      </c>
      <c r="N5" s="13">
        <v>56.305999999999997</v>
      </c>
      <c r="O5" s="369">
        <v>104.741</v>
      </c>
      <c r="P5" s="13">
        <v>110.2311</v>
      </c>
      <c r="Q5" s="13">
        <v>110.2311</v>
      </c>
      <c r="R5" s="13">
        <v>140</v>
      </c>
    </row>
    <row r="6" spans="1:19" ht="10.15" customHeight="1">
      <c r="A6" s="86" t="s">
        <v>406</v>
      </c>
      <c r="B6" s="13">
        <v>199.88499999999999</v>
      </c>
      <c r="C6" s="13">
        <v>178.65700000000001</v>
      </c>
      <c r="D6" s="13">
        <v>205.36099999999999</v>
      </c>
      <c r="E6" s="13">
        <v>285.8</v>
      </c>
      <c r="F6" s="13">
        <v>138.82400000000001</v>
      </c>
      <c r="G6" s="13">
        <v>240</v>
      </c>
      <c r="H6" s="13">
        <v>165</v>
      </c>
      <c r="I6" s="13">
        <v>165</v>
      </c>
      <c r="J6" s="13">
        <v>165</v>
      </c>
      <c r="K6" s="13">
        <v>165</v>
      </c>
      <c r="L6" s="13">
        <v>165</v>
      </c>
      <c r="M6" s="13">
        <v>127.15</v>
      </c>
      <c r="N6" s="13">
        <v>104.453</v>
      </c>
      <c r="O6" s="369">
        <v>81.605000000000004</v>
      </c>
      <c r="P6" s="13">
        <v>101.995</v>
      </c>
      <c r="Q6" s="13">
        <v>155.96799999999999</v>
      </c>
      <c r="R6" s="13">
        <v>148.273</v>
      </c>
    </row>
    <row r="7" spans="1:19" ht="10.15" customHeight="1">
      <c r="A7" s="86" t="s">
        <v>407</v>
      </c>
      <c r="B7" s="13">
        <v>101.137</v>
      </c>
      <c r="C7" s="13">
        <v>99.427000000000007</v>
      </c>
      <c r="D7" s="13">
        <v>146.60499999999999</v>
      </c>
      <c r="E7" s="13">
        <v>121.1</v>
      </c>
      <c r="F7" s="13">
        <v>92.539000000000001</v>
      </c>
      <c r="G7" s="13">
        <v>165</v>
      </c>
      <c r="H7" s="13">
        <v>100</v>
      </c>
      <c r="I7" s="13">
        <v>115</v>
      </c>
      <c r="J7" s="13">
        <v>90</v>
      </c>
      <c r="K7" s="13">
        <v>58</v>
      </c>
      <c r="L7" s="13">
        <v>41.546999999999997</v>
      </c>
      <c r="M7" s="13">
        <v>44.128999999999998</v>
      </c>
      <c r="N7" s="13">
        <v>32.087000000000003</v>
      </c>
      <c r="O7" s="369">
        <v>35.040999999999997</v>
      </c>
      <c r="P7" s="13">
        <v>44.537999999999997</v>
      </c>
      <c r="Q7" s="13">
        <v>48.207999999999998</v>
      </c>
      <c r="R7" s="13">
        <v>49.698</v>
      </c>
    </row>
    <row r="8" spans="1:19" ht="10.15" customHeight="1">
      <c r="A8" s="86" t="s">
        <v>408</v>
      </c>
      <c r="B8" s="13">
        <v>11.41</v>
      </c>
      <c r="C8" s="13">
        <v>9.3859999999999992</v>
      </c>
      <c r="D8" s="13">
        <v>17.876000000000001</v>
      </c>
      <c r="E8" s="13">
        <v>30.3</v>
      </c>
      <c r="F8" s="13">
        <v>21.734999999999999</v>
      </c>
      <c r="G8" s="13">
        <v>25</v>
      </c>
      <c r="H8" s="13">
        <v>20</v>
      </c>
      <c r="I8" s="13">
        <v>20</v>
      </c>
      <c r="J8" s="13">
        <v>20</v>
      </c>
      <c r="K8" s="13">
        <v>6.4359999999999999</v>
      </c>
      <c r="L8" s="13">
        <v>9.1440000000000001</v>
      </c>
      <c r="M8" s="13">
        <v>5.4009999999999998</v>
      </c>
      <c r="N8" s="13">
        <v>13.111000000000001</v>
      </c>
      <c r="O8" s="369">
        <v>16.442</v>
      </c>
      <c r="P8" s="13">
        <v>6.6440000000000001</v>
      </c>
      <c r="Q8" s="13">
        <v>6.1319999999999997</v>
      </c>
      <c r="R8" s="13">
        <v>6.5220000000000002</v>
      </c>
    </row>
    <row r="9" spans="1:19" ht="10.15" customHeight="1">
      <c r="A9" s="86" t="s">
        <v>409</v>
      </c>
      <c r="B9" s="13">
        <v>207.16900000000001</v>
      </c>
      <c r="C9" s="13">
        <v>201.679</v>
      </c>
      <c r="D9" s="13">
        <v>161.304</v>
      </c>
      <c r="E9" s="13">
        <v>285.70100000000002</v>
      </c>
      <c r="F9" s="13">
        <v>332.22</v>
      </c>
      <c r="G9" s="13">
        <v>325</v>
      </c>
      <c r="H9" s="13">
        <v>260.14539600000001</v>
      </c>
      <c r="I9" s="13">
        <v>299.82859200000001</v>
      </c>
      <c r="J9" s="13">
        <v>299.82859200000001</v>
      </c>
      <c r="K9" s="13">
        <v>363.76263</v>
      </c>
      <c r="L9" s="13">
        <v>416.67355800000001</v>
      </c>
      <c r="M9" s="13">
        <v>405.93099999999998</v>
      </c>
      <c r="N9" s="13">
        <v>291.11500000000001</v>
      </c>
      <c r="O9" s="369">
        <v>343.57400000000001</v>
      </c>
      <c r="P9" s="13">
        <v>376.32900000000001</v>
      </c>
      <c r="Q9" s="13">
        <v>312.60500000000002</v>
      </c>
      <c r="R9" s="13">
        <v>353.14690068543342</v>
      </c>
      <c r="S9" s="361"/>
    </row>
    <row r="10" spans="1:19" ht="10.15" customHeight="1">
      <c r="A10" s="86" t="s">
        <v>410</v>
      </c>
      <c r="B10" s="13">
        <v>78.2</v>
      </c>
      <c r="C10" s="13">
        <v>94.260999999999996</v>
      </c>
      <c r="D10" s="13">
        <v>72.483000000000004</v>
      </c>
      <c r="E10" s="13">
        <v>76.221000000000004</v>
      </c>
      <c r="F10" s="13">
        <v>73.968999999999994</v>
      </c>
      <c r="G10" s="13">
        <v>80</v>
      </c>
      <c r="H10" s="13">
        <v>81.571014000000005</v>
      </c>
      <c r="I10" s="13">
        <v>74.957148000000004</v>
      </c>
      <c r="J10" s="13">
        <v>74.957148000000004</v>
      </c>
      <c r="K10" s="13">
        <v>85.980258000000006</v>
      </c>
      <c r="L10" s="13">
        <v>94.798746000000008</v>
      </c>
      <c r="M10" s="13">
        <v>92.191000000000003</v>
      </c>
      <c r="N10" s="13">
        <v>66.754000000000005</v>
      </c>
      <c r="O10" s="369">
        <v>73.298000000000002</v>
      </c>
      <c r="P10" s="13">
        <v>72.289000000000001</v>
      </c>
      <c r="Q10" s="13">
        <v>43.173999999999999</v>
      </c>
      <c r="R10" s="13">
        <v>43.552999999999997</v>
      </c>
      <c r="S10" s="13"/>
    </row>
    <row r="11" spans="1:19" ht="10.15" customHeight="1">
      <c r="A11" s="86" t="s">
        <v>411</v>
      </c>
      <c r="B11" s="13">
        <v>36.084000000000003</v>
      </c>
      <c r="C11" s="13">
        <v>22.276</v>
      </c>
      <c r="D11" s="13">
        <v>24.164999999999999</v>
      </c>
      <c r="E11" s="13">
        <v>18.099</v>
      </c>
      <c r="F11" s="13">
        <v>21.658999999999999</v>
      </c>
      <c r="G11" s="13">
        <v>29.669</v>
      </c>
      <c r="H11" s="13">
        <v>12.39</v>
      </c>
      <c r="I11" s="13">
        <v>20</v>
      </c>
      <c r="J11" s="13">
        <v>25</v>
      </c>
      <c r="K11" s="13">
        <v>16.925999999999998</v>
      </c>
      <c r="L11" s="13">
        <v>20</v>
      </c>
      <c r="M11" s="13">
        <v>25</v>
      </c>
      <c r="N11" s="13">
        <v>53.930999999999997</v>
      </c>
      <c r="O11" s="369">
        <v>23.625</v>
      </c>
      <c r="P11" s="13">
        <v>11.766</v>
      </c>
      <c r="Q11" s="13">
        <v>12</v>
      </c>
      <c r="R11" s="13">
        <v>28.599</v>
      </c>
    </row>
    <row r="12" spans="1:19" ht="10.15" customHeight="1">
      <c r="A12" s="86" t="s">
        <v>412</v>
      </c>
      <c r="B12" s="13">
        <v>14.4</v>
      </c>
      <c r="C12" s="13">
        <v>18.242999999999999</v>
      </c>
      <c r="D12" s="13">
        <v>22.2</v>
      </c>
      <c r="E12" s="13">
        <v>25.7</v>
      </c>
      <c r="F12" s="13">
        <v>20.646000000000001</v>
      </c>
      <c r="G12" s="13">
        <v>20.260276671126679</v>
      </c>
      <c r="H12" s="13">
        <v>18.504230203077462</v>
      </c>
      <c r="I12" s="13">
        <v>17.661297637807699</v>
      </c>
      <c r="J12" s="13">
        <v>15.369059985793312</v>
      </c>
      <c r="K12" s="13">
        <v>12.482448931415117</v>
      </c>
      <c r="L12" s="317">
        <v>10.892017436132459</v>
      </c>
      <c r="M12" s="317">
        <v>0.94199999999999995</v>
      </c>
      <c r="N12" s="317">
        <v>10.855</v>
      </c>
      <c r="O12" s="381">
        <v>4.923</v>
      </c>
      <c r="P12" s="317">
        <v>3.4089999999999998</v>
      </c>
      <c r="Q12" s="317">
        <v>3</v>
      </c>
      <c r="R12" s="317">
        <v>4.16</v>
      </c>
    </row>
    <row r="13" spans="1:19" ht="10.15" customHeight="1">
      <c r="A13" s="86" t="s">
        <v>413</v>
      </c>
      <c r="B13" s="13">
        <v>3009.826</v>
      </c>
      <c r="C13" s="13">
        <v>3085.2249999999999</v>
      </c>
      <c r="D13" s="13">
        <v>2484.5970000000002</v>
      </c>
      <c r="E13" s="13">
        <v>2860.5</v>
      </c>
      <c r="F13" s="13">
        <v>3405.78</v>
      </c>
      <c r="G13" s="13">
        <v>2675.0010299999999</v>
      </c>
      <c r="H13" s="13">
        <v>2589.6953916000002</v>
      </c>
      <c r="I13" s="13">
        <v>1654.972092</v>
      </c>
      <c r="J13" s="13">
        <v>1165.01028</v>
      </c>
      <c r="K13" s="13">
        <v>1854.818</v>
      </c>
      <c r="L13" s="13">
        <v>1686.8130000000001</v>
      </c>
      <c r="M13" s="13">
        <v>1710.954</v>
      </c>
      <c r="N13" s="13">
        <v>1995.434</v>
      </c>
      <c r="O13" s="369">
        <v>1775.316</v>
      </c>
      <c r="P13" s="13">
        <v>1852.675</v>
      </c>
      <c r="Q13" s="13">
        <v>2131.2330000000002</v>
      </c>
      <c r="R13" s="13">
        <v>1991.1479999999999</v>
      </c>
    </row>
    <row r="14" spans="1:19" ht="10.15" customHeight="1">
      <c r="A14" s="86" t="s">
        <v>414</v>
      </c>
      <c r="B14" s="13">
        <v>54.106000000000002</v>
      </c>
      <c r="C14" s="13">
        <v>59.9</v>
      </c>
      <c r="D14" s="13">
        <v>26.324999999999999</v>
      </c>
      <c r="E14" s="13">
        <v>111.1</v>
      </c>
      <c r="F14" s="13">
        <v>83.447000000000003</v>
      </c>
      <c r="G14" s="13">
        <v>60</v>
      </c>
      <c r="H14" s="13">
        <v>50</v>
      </c>
      <c r="I14" s="13">
        <v>50</v>
      </c>
      <c r="J14" s="13">
        <v>50</v>
      </c>
      <c r="K14" s="13">
        <v>50</v>
      </c>
      <c r="L14" s="13">
        <v>75.756</v>
      </c>
      <c r="M14" s="13">
        <v>90.813999999999993</v>
      </c>
      <c r="N14" s="13">
        <v>72.441999999999993</v>
      </c>
      <c r="O14" s="369">
        <v>41.530999999999999</v>
      </c>
      <c r="P14" s="13">
        <v>47.962000000000003</v>
      </c>
      <c r="Q14" s="13">
        <v>56.875999999999998</v>
      </c>
      <c r="R14" s="13">
        <v>63.933999999999997</v>
      </c>
    </row>
    <row r="15" spans="1:19" ht="10.15" customHeight="1">
      <c r="A15" s="86" t="s">
        <v>415</v>
      </c>
      <c r="B15" s="13">
        <v>263.5</v>
      </c>
      <c r="C15" s="13">
        <v>149.19999999999999</v>
      </c>
      <c r="D15" s="13">
        <v>133</v>
      </c>
      <c r="E15" s="13">
        <v>171.8</v>
      </c>
      <c r="F15" s="13">
        <v>193.732</v>
      </c>
      <c r="G15" s="13">
        <v>299</v>
      </c>
      <c r="H15" s="13">
        <v>188</v>
      </c>
      <c r="I15" s="13">
        <v>140</v>
      </c>
      <c r="J15" s="13">
        <v>275</v>
      </c>
      <c r="K15" s="13">
        <v>267</v>
      </c>
      <c r="L15" s="13">
        <v>252.78300000000002</v>
      </c>
      <c r="M15" s="13">
        <v>294.80700000000002</v>
      </c>
      <c r="N15" s="13">
        <v>194.56799999999998</v>
      </c>
      <c r="O15" s="369">
        <v>157.93</v>
      </c>
      <c r="P15" s="13">
        <v>131.876</v>
      </c>
      <c r="Q15" s="13">
        <v>138.392</v>
      </c>
      <c r="R15" s="13">
        <v>169.55</v>
      </c>
      <c r="S15" s="13"/>
    </row>
    <row r="16" spans="1:19" ht="10.15" customHeight="1">
      <c r="A16" s="86" t="s">
        <v>416</v>
      </c>
      <c r="B16" s="13">
        <v>35.1</v>
      </c>
      <c r="C16" s="13">
        <v>27.076000000000001</v>
      </c>
      <c r="D16" s="13">
        <v>31.2</v>
      </c>
      <c r="E16" s="13">
        <v>47.5</v>
      </c>
      <c r="F16" s="13">
        <v>32.637999999999998</v>
      </c>
      <c r="G16" s="13">
        <v>35</v>
      </c>
      <c r="H16" s="13">
        <v>30</v>
      </c>
      <c r="I16" s="13">
        <v>30</v>
      </c>
      <c r="J16" s="13">
        <v>30</v>
      </c>
      <c r="K16" s="13">
        <v>39.029000000000003</v>
      </c>
      <c r="L16" s="13">
        <v>30.198</v>
      </c>
      <c r="M16" s="13">
        <v>23.69</v>
      </c>
      <c r="N16" s="13">
        <v>31.361999999999998</v>
      </c>
      <c r="O16" s="369">
        <v>25.112000000000002</v>
      </c>
      <c r="P16" s="13">
        <v>10</v>
      </c>
      <c r="Q16" s="13">
        <v>21.943000000000001</v>
      </c>
      <c r="R16" s="13">
        <v>25</v>
      </c>
      <c r="S16" s="13"/>
    </row>
    <row r="17" spans="1:19" ht="10.15" customHeight="1">
      <c r="A17" s="189" t="s">
        <v>417</v>
      </c>
      <c r="B17" s="13">
        <f t="shared" ref="B17:I17" si="0">SUM(B5:B16)</f>
        <v>4233.0680000000011</v>
      </c>
      <c r="C17" s="13">
        <f t="shared" si="0"/>
        <v>4073.7579999999998</v>
      </c>
      <c r="D17" s="13">
        <f t="shared" si="0"/>
        <v>3506.4829999999997</v>
      </c>
      <c r="E17" s="13">
        <f t="shared" si="0"/>
        <v>4216.8359999999993</v>
      </c>
      <c r="F17" s="13">
        <f t="shared" si="0"/>
        <v>4603.1580000000004</v>
      </c>
      <c r="G17" s="13">
        <f t="shared" si="0"/>
        <v>4118.9303066711263</v>
      </c>
      <c r="H17" s="13">
        <f t="shared" si="0"/>
        <v>3680.6526818030779</v>
      </c>
      <c r="I17" s="13">
        <f t="shared" si="0"/>
        <v>2752.7657796378076</v>
      </c>
      <c r="J17" s="13">
        <f>SUM(J5:J16)</f>
        <v>2375.5117299857934</v>
      </c>
      <c r="K17" s="13">
        <f>SUM(K5:K16)</f>
        <v>3053.3393369314149</v>
      </c>
      <c r="L17" s="13">
        <f>SUM(L5:L16)</f>
        <v>2866.3963214361324</v>
      </c>
      <c r="M17" s="13">
        <f t="shared" ref="M17:P17" si="1">SUM(M5:M16)</f>
        <v>2872.3399999999997</v>
      </c>
      <c r="N17" s="13">
        <f t="shared" si="1"/>
        <v>2922.4180000000006</v>
      </c>
      <c r="O17" s="13">
        <f t="shared" si="1"/>
        <v>2683.1379999999999</v>
      </c>
      <c r="P17" s="13">
        <f t="shared" si="1"/>
        <v>2769.7141000000001</v>
      </c>
      <c r="Q17" s="13">
        <f>SUM(Q5:Q16)</f>
        <v>3039.7621000000004</v>
      </c>
      <c r="R17" s="13">
        <f>SUM(R5:R16)</f>
        <v>3023.5839006854339</v>
      </c>
    </row>
    <row r="18" spans="1:19" ht="10.15" customHeight="1">
      <c r="A18" s="173" t="s">
        <v>49</v>
      </c>
      <c r="B18" s="13"/>
      <c r="C18" s="13"/>
      <c r="D18" s="13"/>
      <c r="E18" s="13"/>
      <c r="F18" s="13"/>
      <c r="G18" s="13"/>
      <c r="H18" s="13"/>
      <c r="I18" s="13"/>
      <c r="J18" s="197"/>
      <c r="K18" s="197"/>
      <c r="L18" s="197"/>
      <c r="M18" s="197"/>
      <c r="N18" s="197"/>
      <c r="O18" s="311"/>
    </row>
    <row r="19" spans="1:19" ht="10.15" customHeight="1">
      <c r="A19" s="189" t="s">
        <v>405</v>
      </c>
      <c r="B19" s="13">
        <v>914.86630374602407</v>
      </c>
      <c r="C19" s="13">
        <v>1182.492158561784</v>
      </c>
      <c r="D19" s="13">
        <v>958.176299147382</v>
      </c>
      <c r="E19" s="13">
        <v>1334.3966770722843</v>
      </c>
      <c r="F19" s="13">
        <v>1077.0048054486001</v>
      </c>
      <c r="G19" s="13">
        <v>1161.5172239163778</v>
      </c>
      <c r="H19" s="13">
        <v>1214.7467220000001</v>
      </c>
      <c r="I19" s="13">
        <v>1168.44966</v>
      </c>
      <c r="J19" s="13">
        <v>1267.6576500000001</v>
      </c>
      <c r="K19" s="13">
        <v>1148.608062</v>
      </c>
      <c r="L19" s="13">
        <v>1036.2339999999999</v>
      </c>
      <c r="M19" s="13">
        <v>988.029</v>
      </c>
      <c r="N19" s="13">
        <v>996.13599999999997</v>
      </c>
      <c r="O19" s="13">
        <v>1060.9939999999999</v>
      </c>
      <c r="P19" s="13">
        <v>980.173</v>
      </c>
      <c r="Q19" s="13">
        <v>1178.922</v>
      </c>
      <c r="R19" s="13">
        <v>975</v>
      </c>
    </row>
    <row r="20" spans="1:19" ht="10.15" customHeight="1">
      <c r="A20" s="189" t="s">
        <v>406</v>
      </c>
      <c r="B20" s="13">
        <v>43.093466247005999</v>
      </c>
      <c r="C20" s="13">
        <v>45.188242955856005</v>
      </c>
      <c r="D20" s="13">
        <v>43.485108526818003</v>
      </c>
      <c r="E20" s="13">
        <v>37.046113143858008</v>
      </c>
      <c r="F20" s="13">
        <v>47.564953339931989</v>
      </c>
      <c r="G20" s="13">
        <v>45.753717475746001</v>
      </c>
      <c r="H20" s="13">
        <v>60.04575499708799</v>
      </c>
      <c r="I20" s="13">
        <v>42.076685762118004</v>
      </c>
      <c r="J20" s="13">
        <v>38.809559416950002</v>
      </c>
      <c r="K20" s="13">
        <v>82.835172914886016</v>
      </c>
      <c r="L20" s="13">
        <v>73.525276643720005</v>
      </c>
      <c r="M20" s="13">
        <v>62.467523445600001</v>
      </c>
      <c r="N20" s="13">
        <v>64.352034331200002</v>
      </c>
      <c r="O20" s="13">
        <v>54.213639139800009</v>
      </c>
      <c r="P20" s="13">
        <v>51.294278687400002</v>
      </c>
      <c r="Q20" s="13">
        <v>155.4659751204</v>
      </c>
      <c r="R20" s="13">
        <v>200</v>
      </c>
    </row>
    <row r="21" spans="1:19" ht="10.15" customHeight="1">
      <c r="A21" s="189" t="s">
        <v>407</v>
      </c>
      <c r="B21" s="13">
        <v>1.317682727802</v>
      </c>
      <c r="C21" s="13">
        <v>5.0926768200000002E-3</v>
      </c>
      <c r="D21" s="13">
        <v>9.5998060368000002E-2</v>
      </c>
      <c r="E21" s="13">
        <v>9.9728280791999996E-2</v>
      </c>
      <c r="F21" s="13">
        <v>0.20214620042399997</v>
      </c>
      <c r="G21" s="13">
        <v>10.347106756139999</v>
      </c>
      <c r="H21" s="13">
        <v>19.917408336714001</v>
      </c>
      <c r="I21" s="13">
        <v>31.952836666674003</v>
      </c>
      <c r="J21" s="13">
        <v>17.423747164782</v>
      </c>
      <c r="K21" s="13">
        <v>6.6168995598719995</v>
      </c>
      <c r="L21" s="13">
        <v>0.12191563088599999</v>
      </c>
      <c r="M21" s="13">
        <v>0.16071698899799999</v>
      </c>
      <c r="N21" s="13">
        <v>4.2769678828E-2</v>
      </c>
      <c r="O21" s="13">
        <v>0.31063132715799996</v>
      </c>
      <c r="P21" s="13">
        <v>21.365218272682</v>
      </c>
      <c r="Q21" s="13">
        <v>24.878284417651997</v>
      </c>
      <c r="R21" s="13">
        <v>20</v>
      </c>
    </row>
    <row r="22" spans="1:19" ht="10.15" customHeight="1">
      <c r="A22" s="189" t="s">
        <v>408</v>
      </c>
      <c r="B22" s="13">
        <v>8.7463351311840007</v>
      </c>
      <c r="C22" s="13">
        <v>6.1739645446080003</v>
      </c>
      <c r="D22" s="13">
        <v>15.400719878922001</v>
      </c>
      <c r="E22" s="13">
        <v>15.920970987726001</v>
      </c>
      <c r="F22" s="13">
        <v>13.596536600514</v>
      </c>
      <c r="G22" s="13">
        <v>13.687206089508001</v>
      </c>
      <c r="H22" s="13">
        <v>14.477494733226001</v>
      </c>
      <c r="I22" s="13">
        <v>16.064269213104001</v>
      </c>
      <c r="J22" s="13">
        <v>13.724539158456002</v>
      </c>
      <c r="K22" s="13">
        <v>11.225260609668</v>
      </c>
      <c r="L22" s="13">
        <v>11.01</v>
      </c>
      <c r="M22" s="13">
        <v>16.306000000000001</v>
      </c>
      <c r="N22" s="13">
        <v>13.459</v>
      </c>
      <c r="O22" s="13">
        <v>11.680999999999999</v>
      </c>
      <c r="P22" s="13">
        <v>14.297000000000001</v>
      </c>
      <c r="Q22" s="13">
        <v>24.526</v>
      </c>
      <c r="R22" s="13">
        <v>42.267000000000003</v>
      </c>
    </row>
    <row r="23" spans="1:19" ht="10.15" customHeight="1">
      <c r="A23" s="189" t="s">
        <v>418</v>
      </c>
      <c r="B23" s="13">
        <v>577.63620030803406</v>
      </c>
      <c r="C23" s="13">
        <v>582.66148844735994</v>
      </c>
      <c r="D23" s="13">
        <v>608.92835078311737</v>
      </c>
      <c r="E23" s="13">
        <v>591.2425210209841</v>
      </c>
      <c r="F23" s="13">
        <v>640.40612734413003</v>
      </c>
      <c r="G23" s="13">
        <v>696.05580875304611</v>
      </c>
      <c r="H23" s="13">
        <v>653.46774548567407</v>
      </c>
      <c r="I23" s="13">
        <v>686.72186469709209</v>
      </c>
      <c r="J23" s="13">
        <v>684.03296661008392</v>
      </c>
      <c r="K23" s="13">
        <v>728.57268252606593</v>
      </c>
      <c r="L23" s="317">
        <v>696.66</v>
      </c>
      <c r="M23" s="317">
        <v>709.89</v>
      </c>
      <c r="N23" s="317">
        <v>784.85</v>
      </c>
      <c r="O23" s="317">
        <v>875.23</v>
      </c>
      <c r="P23" s="317">
        <v>859.8</v>
      </c>
      <c r="Q23" s="317">
        <v>906.1</v>
      </c>
      <c r="R23" s="317">
        <v>826.73</v>
      </c>
    </row>
    <row r="24" spans="1:19" ht="10.15" customHeight="1">
      <c r="A24" s="189" t="s">
        <v>409</v>
      </c>
      <c r="B24" s="13">
        <v>1548.4957361184781</v>
      </c>
      <c r="C24" s="13">
        <v>2098.1183073263278</v>
      </c>
      <c r="D24" s="13">
        <v>2283.8647876629479</v>
      </c>
      <c r="E24" s="13">
        <v>2192.3852544074884</v>
      </c>
      <c r="F24" s="13">
        <v>2160.140408943048</v>
      </c>
      <c r="G24" s="13">
        <v>2275.2666648595805</v>
      </c>
      <c r="H24" s="13">
        <v>2849.8716598319093</v>
      </c>
      <c r="I24" s="13">
        <v>2689.7602485335406</v>
      </c>
      <c r="J24" s="13">
        <v>2519.4272770880639</v>
      </c>
      <c r="K24" s="13">
        <v>2881.8164694698821</v>
      </c>
      <c r="L24" s="13">
        <v>3012.76</v>
      </c>
      <c r="M24" s="13">
        <v>3365.3150000000001</v>
      </c>
      <c r="N24" s="13">
        <v>3365.1080000000002</v>
      </c>
      <c r="O24" s="13">
        <v>3312.5039999999999</v>
      </c>
      <c r="P24" s="13">
        <v>3475.4409999999998</v>
      </c>
      <c r="Q24" s="13">
        <v>3510.877</v>
      </c>
      <c r="R24" s="13">
        <v>3802.9349999999999</v>
      </c>
      <c r="S24" s="13"/>
    </row>
    <row r="25" spans="1:19" ht="10.15" customHeight="1">
      <c r="A25" s="189" t="s">
        <v>410</v>
      </c>
      <c r="B25" s="13">
        <v>658.12460601484815</v>
      </c>
      <c r="C25" s="13">
        <v>504.59156630227801</v>
      </c>
      <c r="D25" s="13">
        <v>744.09085143741618</v>
      </c>
      <c r="E25" s="13">
        <v>664.94505832397999</v>
      </c>
      <c r="F25" s="13">
        <v>630.62821430519409</v>
      </c>
      <c r="G25" s="13">
        <v>671.07864742128004</v>
      </c>
      <c r="H25" s="13">
        <v>604.48826257810197</v>
      </c>
      <c r="I25" s="13">
        <v>593.22941014302012</v>
      </c>
      <c r="J25" s="13">
        <v>672.70219058687405</v>
      </c>
      <c r="K25" s="13">
        <v>782.7090606878761</v>
      </c>
      <c r="L25" s="13">
        <v>796.21600000000001</v>
      </c>
      <c r="M25" s="13">
        <v>830.66899999999998</v>
      </c>
      <c r="N25" s="13">
        <v>721.41200000000003</v>
      </c>
      <c r="O25" s="13">
        <v>829.745</v>
      </c>
      <c r="P25" s="13">
        <v>833.39800000000002</v>
      </c>
      <c r="Q25" s="13">
        <v>744.21</v>
      </c>
      <c r="R25" s="13">
        <v>837.75599999999997</v>
      </c>
      <c r="S25" s="13"/>
    </row>
    <row r="26" spans="1:19" ht="10.15" customHeight="1">
      <c r="A26" s="86" t="s">
        <v>411</v>
      </c>
      <c r="B26" s="13">
        <v>104.62311483372</v>
      </c>
      <c r="C26" s="13">
        <v>75.546055447127998</v>
      </c>
      <c r="D26" s="13">
        <v>54.304908285978001</v>
      </c>
      <c r="E26" s="13">
        <v>73.18414909978199</v>
      </c>
      <c r="F26" s="13">
        <v>60.011653903992013</v>
      </c>
      <c r="G26" s="13">
        <v>28.289508883398003</v>
      </c>
      <c r="H26" s="13">
        <v>10.359457048584002</v>
      </c>
      <c r="I26" s="13">
        <v>55.264873457303999</v>
      </c>
      <c r="J26" s="13">
        <v>30.173854422347997</v>
      </c>
      <c r="K26" s="13">
        <v>93.313743485507999</v>
      </c>
      <c r="L26" s="13">
        <v>40.445</v>
      </c>
      <c r="M26" s="13">
        <v>71.353999999999999</v>
      </c>
      <c r="N26" s="13">
        <v>58.844000000000001</v>
      </c>
      <c r="O26" s="13">
        <v>3.3170000000000002</v>
      </c>
      <c r="P26" s="13">
        <v>27.617999999999999</v>
      </c>
      <c r="Q26" s="13">
        <v>78.870999999999995</v>
      </c>
      <c r="R26" s="13">
        <v>65</v>
      </c>
    </row>
    <row r="27" spans="1:19" ht="10.15" customHeight="1">
      <c r="A27" s="189" t="s">
        <v>415</v>
      </c>
      <c r="B27" s="13">
        <v>1567.806</v>
      </c>
      <c r="C27" s="13">
        <v>2240.6689999999999</v>
      </c>
      <c r="D27" s="13">
        <v>2315.194</v>
      </c>
      <c r="E27" s="13">
        <v>2350.9380000000001</v>
      </c>
      <c r="F27" s="13">
        <v>3130.9859999999999</v>
      </c>
      <c r="G27" s="13">
        <v>3288.7330000000002</v>
      </c>
      <c r="H27" s="13">
        <v>2760.56</v>
      </c>
      <c r="I27" s="13">
        <v>3385.470621679272</v>
      </c>
      <c r="J27" s="13">
        <v>3691.5499652081398</v>
      </c>
      <c r="K27" s="13">
        <v>3961.8659438807399</v>
      </c>
      <c r="L27" s="370">
        <v>4410.2439999999997</v>
      </c>
      <c r="M27" s="370">
        <v>4083.0529999999999</v>
      </c>
      <c r="N27" s="370">
        <v>3911.4110000000001</v>
      </c>
      <c r="O27" s="370">
        <v>4029.0050000000001</v>
      </c>
      <c r="P27" s="370">
        <v>4119.1809999999996</v>
      </c>
      <c r="Q27" s="370">
        <v>4371.9840000000004</v>
      </c>
      <c r="R27" s="13">
        <v>4839.1469999999999</v>
      </c>
    </row>
    <row r="28" spans="1:19" ht="10.15" customHeight="1">
      <c r="A28" s="189" t="s">
        <v>412</v>
      </c>
      <c r="B28" s="13">
        <v>58.459417032366005</v>
      </c>
      <c r="C28" s="13">
        <v>62.82548791974002</v>
      </c>
      <c r="D28" s="13">
        <v>38.418426404819996</v>
      </c>
      <c r="E28" s="13">
        <v>45.764037311328003</v>
      </c>
      <c r="F28" s="13">
        <v>56.512433773152004</v>
      </c>
      <c r="G28" s="13">
        <v>66.042168104303997</v>
      </c>
      <c r="H28" s="13">
        <v>67.685760102366004</v>
      </c>
      <c r="I28" s="13">
        <v>60.65651465748001</v>
      </c>
      <c r="J28" s="13">
        <v>46.547570993237997</v>
      </c>
      <c r="K28" s="13">
        <v>32.019612462431994</v>
      </c>
      <c r="L28" s="13">
        <v>29.338000000000001</v>
      </c>
      <c r="M28" s="13">
        <v>30.728999999999999</v>
      </c>
      <c r="N28" s="13">
        <v>36.79</v>
      </c>
      <c r="O28" s="13">
        <v>38.238</v>
      </c>
      <c r="P28" s="13">
        <v>42.158000000000001</v>
      </c>
      <c r="Q28" s="13">
        <v>86.421000000000006</v>
      </c>
      <c r="R28" s="13">
        <v>100</v>
      </c>
    </row>
    <row r="29" spans="1:19" ht="10.15" customHeight="1">
      <c r="A29" s="189" t="s">
        <v>419</v>
      </c>
      <c r="B29" s="13">
        <v>26.480768651316001</v>
      </c>
      <c r="C29" s="13">
        <v>27.805995595601999</v>
      </c>
      <c r="D29" s="13">
        <v>23.613589397034001</v>
      </c>
      <c r="E29" s="13">
        <v>31.416344107596</v>
      </c>
      <c r="F29" s="13">
        <v>27.768340651842006</v>
      </c>
      <c r="G29" s="13">
        <v>27.526328271791996</v>
      </c>
      <c r="H29" s="13">
        <v>29.380979757024001</v>
      </c>
      <c r="I29" s="13">
        <v>28.898884041174</v>
      </c>
      <c r="J29" s="13">
        <v>33.845359148622002</v>
      </c>
      <c r="K29" s="13">
        <v>33.852872500398007</v>
      </c>
      <c r="L29" s="13">
        <v>38.393999999999998</v>
      </c>
      <c r="M29" s="13">
        <v>41.999000000000002</v>
      </c>
      <c r="N29" s="13">
        <v>42.418999999999997</v>
      </c>
      <c r="O29" s="13">
        <v>46.863</v>
      </c>
      <c r="P29" s="13">
        <v>51.006</v>
      </c>
      <c r="Q29" s="13">
        <v>56.514000000000003</v>
      </c>
      <c r="R29" s="13">
        <v>54</v>
      </c>
      <c r="S29" s="13"/>
    </row>
    <row r="30" spans="1:19" ht="10.15" customHeight="1">
      <c r="A30" s="189" t="s">
        <v>413</v>
      </c>
      <c r="B30" s="13">
        <v>37.473177085344005</v>
      </c>
      <c r="C30" s="13">
        <v>65.355102067247998</v>
      </c>
      <c r="D30" s="13">
        <v>89.577464760251985</v>
      </c>
      <c r="E30" s="13">
        <v>102.57960440485799</v>
      </c>
      <c r="F30" s="13">
        <v>159.00528189306598</v>
      </c>
      <c r="G30" s="13">
        <v>149.136403945788</v>
      </c>
      <c r="H30" s="13">
        <v>195.58962152667002</v>
      </c>
      <c r="I30" s="13">
        <v>165.03883626711601</v>
      </c>
      <c r="J30" s="13">
        <v>264.32139319702196</v>
      </c>
      <c r="K30" s="13">
        <v>286.55315418454205</v>
      </c>
      <c r="L30" s="13">
        <v>318.71126906029997</v>
      </c>
      <c r="M30" s="13">
        <v>335.30017242675194</v>
      </c>
      <c r="N30" s="13">
        <v>397.26197301089996</v>
      </c>
      <c r="O30" s="13">
        <v>319.92954352011202</v>
      </c>
      <c r="P30" s="13">
        <v>301.58179222742399</v>
      </c>
      <c r="Q30" s="13">
        <v>303.28839059756598</v>
      </c>
      <c r="R30" s="13">
        <v>300</v>
      </c>
    </row>
    <row r="31" spans="1:19" ht="10.15" customHeight="1">
      <c r="A31" s="189" t="s">
        <v>414</v>
      </c>
      <c r="B31" s="13">
        <v>155.797</v>
      </c>
      <c r="C31" s="13">
        <v>103.49299999999999</v>
      </c>
      <c r="D31" s="13">
        <v>67.033000000000001</v>
      </c>
      <c r="E31" s="13">
        <v>48.64</v>
      </c>
      <c r="F31" s="13">
        <v>102.559</v>
      </c>
      <c r="G31" s="13">
        <v>162.607</v>
      </c>
      <c r="H31" s="13">
        <v>71.561000000000007</v>
      </c>
      <c r="I31" s="13">
        <v>76.427000000000007</v>
      </c>
      <c r="J31" s="13">
        <v>176.88200000000001</v>
      </c>
      <c r="K31" s="13">
        <v>92.754000000000005</v>
      </c>
      <c r="L31" s="13">
        <v>119.834</v>
      </c>
      <c r="M31" s="13">
        <v>160.809</v>
      </c>
      <c r="N31" s="13">
        <v>131.464</v>
      </c>
      <c r="O31" s="13">
        <v>372.44</v>
      </c>
      <c r="P31" s="13">
        <v>294.58800000000002</v>
      </c>
      <c r="Q31" s="13">
        <v>450.18200000000002</v>
      </c>
      <c r="R31" s="370">
        <v>275</v>
      </c>
    </row>
    <row r="32" spans="1:19" ht="10.15" customHeight="1">
      <c r="A32" s="189" t="s">
        <v>416</v>
      </c>
      <c r="B32" s="13">
        <v>6.0849330897599998</v>
      </c>
      <c r="C32" s="13">
        <v>27.554831829629997</v>
      </c>
      <c r="D32" s="13">
        <v>32.780619316745998</v>
      </c>
      <c r="E32" s="13">
        <v>27.866937961547997</v>
      </c>
      <c r="F32" s="13">
        <v>22.629413066904</v>
      </c>
      <c r="G32" s="13">
        <v>47.323150398972004</v>
      </c>
      <c r="H32" s="13">
        <v>49.670060907474003</v>
      </c>
      <c r="I32" s="13">
        <v>50.91656080013999</v>
      </c>
      <c r="J32" s="13">
        <v>45.465145683678003</v>
      </c>
      <c r="K32" s="13">
        <v>59.329345441211998</v>
      </c>
      <c r="L32" s="13">
        <v>67.442801939478002</v>
      </c>
      <c r="M32" s="13">
        <v>44.428475099105995</v>
      </c>
      <c r="N32" s="13">
        <v>15.794156721042002</v>
      </c>
      <c r="O32" s="13">
        <v>20.379069411246004</v>
      </c>
      <c r="P32" s="13">
        <v>23.273903443896003</v>
      </c>
      <c r="Q32" s="13">
        <v>67.76963935560002</v>
      </c>
      <c r="R32">
        <v>80</v>
      </c>
    </row>
    <row r="33" spans="1:19" ht="10.15" customHeight="1">
      <c r="A33" s="189" t="s">
        <v>420</v>
      </c>
      <c r="B33" s="13">
        <f t="shared" ref="B33:R33" si="2">SUM(B19:B32)</f>
        <v>5709.0047409858826</v>
      </c>
      <c r="C33" s="13">
        <f t="shared" si="2"/>
        <v>7022.4802936743818</v>
      </c>
      <c r="D33" s="13">
        <f t="shared" si="2"/>
        <v>7274.9641236618018</v>
      </c>
      <c r="E33" s="13">
        <f t="shared" si="2"/>
        <v>7516.4253961222257</v>
      </c>
      <c r="F33" s="13">
        <f t="shared" si="2"/>
        <v>8129.0153154707978</v>
      </c>
      <c r="G33" s="13">
        <f t="shared" si="2"/>
        <v>8643.3639348759316</v>
      </c>
      <c r="H33" s="13">
        <f t="shared" si="2"/>
        <v>8601.8219273048308</v>
      </c>
      <c r="I33" s="13">
        <f t="shared" si="2"/>
        <v>9050.9282659180353</v>
      </c>
      <c r="J33" s="13">
        <f t="shared" si="2"/>
        <v>9502.5632186782568</v>
      </c>
      <c r="K33" s="13">
        <f t="shared" si="2"/>
        <v>10202.072279723085</v>
      </c>
      <c r="L33" s="13">
        <f t="shared" si="2"/>
        <v>10650.936263274385</v>
      </c>
      <c r="M33" s="13">
        <f t="shared" si="2"/>
        <v>10740.509887960454</v>
      </c>
      <c r="N33" s="13">
        <f t="shared" si="2"/>
        <v>10539.343933741971</v>
      </c>
      <c r="O33" s="13">
        <f t="shared" si="2"/>
        <v>10974.849883398316</v>
      </c>
      <c r="P33" s="13">
        <f t="shared" si="2"/>
        <v>11095.175192631401</v>
      </c>
      <c r="Q33" s="13">
        <f t="shared" si="2"/>
        <v>11960.00928949122</v>
      </c>
      <c r="R33" s="13">
        <f t="shared" si="2"/>
        <v>12417.835000000001</v>
      </c>
    </row>
    <row r="34" spans="1:19" ht="10.15" customHeight="1">
      <c r="A34" s="173" t="s">
        <v>40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9" ht="10.15" customHeight="1">
      <c r="A35" s="86" t="s">
        <v>406</v>
      </c>
      <c r="B35" s="13">
        <v>2560.2550000000001</v>
      </c>
      <c r="C35" s="13">
        <v>2506.8400499999998</v>
      </c>
      <c r="D35" s="13">
        <v>2418.4557500000001</v>
      </c>
      <c r="E35" s="13">
        <v>2485.1489999999999</v>
      </c>
      <c r="F35" s="13">
        <v>3650</v>
      </c>
      <c r="G35" s="13">
        <v>3625</v>
      </c>
      <c r="H35" s="13">
        <v>3685</v>
      </c>
      <c r="I35" s="13">
        <v>3890</v>
      </c>
      <c r="J35" s="13">
        <v>4740</v>
      </c>
      <c r="K35" s="13">
        <v>5300</v>
      </c>
      <c r="L35" s="13">
        <v>5850</v>
      </c>
      <c r="M35" s="13">
        <v>6066.1379999999999</v>
      </c>
      <c r="N35" s="13">
        <v>5764.6880000000001</v>
      </c>
      <c r="O35" s="13">
        <v>5394.1009999999997</v>
      </c>
      <c r="P35" s="13">
        <v>5723.7129999999997</v>
      </c>
      <c r="Q35" s="13">
        <v>6088.36</v>
      </c>
      <c r="R35">
        <v>6100</v>
      </c>
    </row>
    <row r="36" spans="1:19" ht="10.15" customHeight="1">
      <c r="A36" s="86" t="s">
        <v>407</v>
      </c>
      <c r="B36" s="13">
        <v>848.70311000000004</v>
      </c>
      <c r="C36" s="13">
        <v>856.2844399999999</v>
      </c>
      <c r="D36" s="13">
        <v>668.67881000000011</v>
      </c>
      <c r="E36" s="13">
        <v>617.29017999999996</v>
      </c>
      <c r="F36" s="13">
        <v>835</v>
      </c>
      <c r="G36" s="13">
        <v>755</v>
      </c>
      <c r="H36" s="13">
        <v>800</v>
      </c>
      <c r="I36" s="13">
        <v>630</v>
      </c>
      <c r="J36" s="13">
        <v>610</v>
      </c>
      <c r="K36" s="13">
        <v>465</v>
      </c>
      <c r="L36" s="372">
        <v>541.625</v>
      </c>
      <c r="M36" s="372">
        <v>561.30100000000004</v>
      </c>
      <c r="N36" s="13">
        <v>455.77300000000002</v>
      </c>
      <c r="O36" s="13">
        <v>481.34800000000001</v>
      </c>
      <c r="P36" s="13">
        <v>399.91800000000001</v>
      </c>
      <c r="Q36" s="13">
        <v>430</v>
      </c>
      <c r="R36" s="146">
        <v>400</v>
      </c>
      <c r="S36" s="146"/>
    </row>
    <row r="37" spans="1:19" ht="10.15" customHeight="1">
      <c r="A37" s="86" t="s">
        <v>408</v>
      </c>
      <c r="B37" s="13">
        <v>801.06079200000011</v>
      </c>
      <c r="C37" s="13">
        <v>875.86494800000014</v>
      </c>
      <c r="D37" s="13">
        <v>863.8575679999999</v>
      </c>
      <c r="E37" s="13">
        <v>835.19556399999988</v>
      </c>
      <c r="F37" s="13">
        <v>849.58409199999994</v>
      </c>
      <c r="G37" s="13">
        <v>868.11505199999988</v>
      </c>
      <c r="H37" s="13">
        <v>866.95400400000005</v>
      </c>
      <c r="I37" s="13">
        <v>857.47575199999994</v>
      </c>
      <c r="J37" s="13">
        <v>902.10134000000005</v>
      </c>
      <c r="K37" s="13">
        <v>925.16054400000007</v>
      </c>
      <c r="L37" s="371">
        <v>952.94547599999999</v>
      </c>
      <c r="M37" s="371">
        <v>977.42604400000005</v>
      </c>
      <c r="N37" s="371">
        <v>1019.621456</v>
      </c>
      <c r="O37" s="371">
        <v>1061.3526280000001</v>
      </c>
      <c r="P37" s="371">
        <v>1051.7519320000001</v>
      </c>
      <c r="Q37" s="371">
        <v>1024.5359599999999</v>
      </c>
      <c r="R37" s="371">
        <v>1003.3858257042502</v>
      </c>
    </row>
    <row r="38" spans="1:19" ht="10.15" customHeight="1">
      <c r="A38" s="189" t="s">
        <v>418</v>
      </c>
      <c r="B38" s="13">
        <v>2.2046220000000001</v>
      </c>
      <c r="C38" s="13">
        <v>4.4092440000000002</v>
      </c>
      <c r="D38" s="13">
        <v>4.4092440000000002</v>
      </c>
      <c r="E38" s="13">
        <v>6.6138659999999998</v>
      </c>
      <c r="F38" s="13">
        <v>11.023110000000001</v>
      </c>
      <c r="G38" s="13">
        <v>13.227732</v>
      </c>
      <c r="H38" s="13">
        <v>22.046220000000002</v>
      </c>
      <c r="I38" s="13">
        <v>22.046220000000002</v>
      </c>
      <c r="J38" s="13">
        <v>17.636976000000001</v>
      </c>
      <c r="K38" s="13">
        <v>30.864708</v>
      </c>
      <c r="L38" s="377">
        <v>33.07</v>
      </c>
      <c r="M38" s="377">
        <v>35.270000000000003</v>
      </c>
      <c r="N38" s="317">
        <v>35.270000000000003</v>
      </c>
      <c r="O38" s="317">
        <v>35.270000000000003</v>
      </c>
      <c r="P38" s="317">
        <v>35.270000000000003</v>
      </c>
      <c r="Q38" s="317">
        <v>35.270000000000003</v>
      </c>
      <c r="R38" s="378">
        <v>35.270000000000003</v>
      </c>
    </row>
    <row r="39" spans="1:19" ht="10.15" customHeight="1">
      <c r="A39" s="86" t="s">
        <v>411</v>
      </c>
      <c r="B39" s="13">
        <v>166.45</v>
      </c>
      <c r="C39" s="13">
        <v>158.14400000000001</v>
      </c>
      <c r="D39" s="13">
        <v>142.666</v>
      </c>
      <c r="E39" s="13">
        <v>139.90299999999999</v>
      </c>
      <c r="F39" s="13">
        <v>190.11</v>
      </c>
      <c r="G39" s="13">
        <v>188.47900000000001</v>
      </c>
      <c r="H39" s="13">
        <v>210.702</v>
      </c>
      <c r="I39" s="13">
        <v>209.80799999999999</v>
      </c>
      <c r="J39" s="13">
        <v>214.041</v>
      </c>
      <c r="K39" s="13">
        <v>226.21899999999999</v>
      </c>
      <c r="L39" s="371">
        <v>283.68900000000002</v>
      </c>
      <c r="M39" s="371">
        <v>231.74799999999999</v>
      </c>
      <c r="N39" s="13">
        <v>219.334</v>
      </c>
      <c r="O39" s="13">
        <v>254.10900000000001</v>
      </c>
      <c r="P39" s="13">
        <v>282.50299999999999</v>
      </c>
      <c r="Q39" s="13">
        <v>283.745</v>
      </c>
      <c r="R39">
        <v>269.60000000000002</v>
      </c>
    </row>
    <row r="40" spans="1:19" ht="10.15" customHeight="1">
      <c r="A40" s="86" t="s">
        <v>415</v>
      </c>
      <c r="B40" s="13">
        <v>932.35848317969794</v>
      </c>
      <c r="C40" s="13">
        <v>1015.0025294441491</v>
      </c>
      <c r="D40" s="13">
        <v>1103</v>
      </c>
      <c r="E40" s="13">
        <v>1072</v>
      </c>
      <c r="F40" s="13">
        <v>1136</v>
      </c>
      <c r="G40" s="13">
        <v>1099</v>
      </c>
      <c r="H40" s="13">
        <v>1274</v>
      </c>
      <c r="I40" s="13">
        <v>1562</v>
      </c>
      <c r="J40" s="13">
        <v>1552</v>
      </c>
      <c r="K40" s="13">
        <v>1587.894</v>
      </c>
      <c r="L40" s="371">
        <v>1751.6469999999999</v>
      </c>
      <c r="M40" s="371">
        <v>1654.492</v>
      </c>
      <c r="N40" s="13">
        <v>1531.4369999999999</v>
      </c>
      <c r="O40" s="13">
        <v>1810.0920000000001</v>
      </c>
      <c r="P40" s="13">
        <v>1787.7819999999999</v>
      </c>
      <c r="Q40" s="13">
        <v>1475.2470000000001</v>
      </c>
      <c r="R40">
        <v>1865.5</v>
      </c>
    </row>
    <row r="41" spans="1:19" ht="10.15" customHeight="1">
      <c r="A41" s="354" t="s">
        <v>412</v>
      </c>
      <c r="B41" s="317">
        <v>71.409101654248431</v>
      </c>
      <c r="C41" s="317">
        <v>69.235649845376614</v>
      </c>
      <c r="D41" s="317">
        <v>104.28680716746665</v>
      </c>
      <c r="E41" s="317">
        <v>94.84309191996941</v>
      </c>
      <c r="F41" s="317">
        <v>81.434211243702975</v>
      </c>
      <c r="G41" s="317">
        <v>62.255684269380808</v>
      </c>
      <c r="H41" s="317">
        <v>57.551207058402817</v>
      </c>
      <c r="I41" s="317">
        <v>52.325076002018911</v>
      </c>
      <c r="J41" s="317">
        <v>52.231312756700767</v>
      </c>
      <c r="K41" s="317">
        <v>60.557541431435183</v>
      </c>
      <c r="L41" s="372">
        <v>62.207696114027875</v>
      </c>
      <c r="M41" s="372">
        <v>66.8</v>
      </c>
      <c r="N41" s="13">
        <v>86.1</v>
      </c>
      <c r="O41" s="13">
        <v>69.900000000000006</v>
      </c>
      <c r="P41" s="13">
        <v>53</v>
      </c>
      <c r="Q41" s="13">
        <v>49.9</v>
      </c>
      <c r="R41">
        <v>57</v>
      </c>
    </row>
    <row r="42" spans="1:19" ht="10.15" customHeight="1">
      <c r="A42" s="86" t="s">
        <v>413</v>
      </c>
      <c r="B42" s="13">
        <v>20488.99351</v>
      </c>
      <c r="C42" s="13">
        <v>20579.830779999997</v>
      </c>
      <c r="D42" s="13">
        <v>18744.967840000001</v>
      </c>
      <c r="E42" s="13">
        <v>19615.31352</v>
      </c>
      <c r="F42" s="13">
        <v>18887.582520000004</v>
      </c>
      <c r="G42" s="13">
        <v>19740.489905999999</v>
      </c>
      <c r="H42" s="13">
        <v>19819.526644000001</v>
      </c>
      <c r="I42" s="13">
        <v>20129.804834999995</v>
      </c>
      <c r="J42" s="13">
        <v>21398.771410000005</v>
      </c>
      <c r="K42" s="13">
        <v>21950.231</v>
      </c>
      <c r="L42" s="13">
        <v>22123.409</v>
      </c>
      <c r="M42" s="13">
        <v>23772.428</v>
      </c>
      <c r="N42" s="13">
        <v>24197.199000000001</v>
      </c>
      <c r="O42" s="13">
        <v>24911.125</v>
      </c>
      <c r="P42" s="13">
        <v>25022.667000000001</v>
      </c>
      <c r="Q42" s="13">
        <v>26155.172999999999</v>
      </c>
      <c r="R42">
        <v>26195</v>
      </c>
      <c r="S42" s="13"/>
    </row>
    <row r="43" spans="1:19" ht="10.15" customHeight="1">
      <c r="A43" s="86" t="s">
        <v>414</v>
      </c>
      <c r="B43" s="13">
        <v>600</v>
      </c>
      <c r="C43" s="13">
        <v>632</v>
      </c>
      <c r="D43" s="13">
        <v>646</v>
      </c>
      <c r="E43" s="13">
        <v>722</v>
      </c>
      <c r="F43" s="13">
        <v>487</v>
      </c>
      <c r="G43" s="13">
        <v>322</v>
      </c>
      <c r="H43" s="13">
        <v>428</v>
      </c>
      <c r="I43" s="13">
        <v>430</v>
      </c>
      <c r="J43" s="13">
        <v>322</v>
      </c>
      <c r="K43" s="13">
        <v>452</v>
      </c>
      <c r="L43" s="13">
        <v>465.18</v>
      </c>
      <c r="M43" s="13">
        <v>440.92</v>
      </c>
      <c r="N43" s="13">
        <v>449.74</v>
      </c>
      <c r="O43" s="13">
        <v>359.35</v>
      </c>
      <c r="P43" s="13">
        <v>467.38</v>
      </c>
      <c r="Q43" s="13">
        <v>403.45</v>
      </c>
      <c r="R43" s="13">
        <v>555.55999999999995</v>
      </c>
    </row>
    <row r="44" spans="1:19" ht="10.15" customHeight="1">
      <c r="A44" s="86" t="s">
        <v>416</v>
      </c>
      <c r="B44" s="13">
        <v>1797.7930000000003</v>
      </c>
      <c r="C44" s="13">
        <v>1789.0459999999996</v>
      </c>
      <c r="D44" s="13">
        <v>1846.1</v>
      </c>
      <c r="E44" s="13">
        <v>1821.1536900000001</v>
      </c>
      <c r="F44" s="13">
        <v>2021.0007019999998</v>
      </c>
      <c r="G44" s="13">
        <v>2050.8921600000003</v>
      </c>
      <c r="H44" s="13">
        <v>2053.6843680000002</v>
      </c>
      <c r="I44" s="13">
        <v>1957.91112</v>
      </c>
      <c r="J44" s="13">
        <v>1876.1680400000002</v>
      </c>
      <c r="K44" s="13">
        <v>2111.09</v>
      </c>
      <c r="L44" s="13">
        <v>2051.0079999999998</v>
      </c>
      <c r="M44" s="13">
        <v>2218.9740000000002</v>
      </c>
      <c r="N44" s="13">
        <v>2251.326</v>
      </c>
      <c r="O44" s="13">
        <v>2283.4180000000001</v>
      </c>
      <c r="P44" s="13">
        <v>2272.8179999999998</v>
      </c>
      <c r="Q44" s="13">
        <v>2315.701</v>
      </c>
      <c r="R44">
        <v>2320</v>
      </c>
    </row>
    <row r="45" spans="1:19" ht="10.15" customHeight="1">
      <c r="A45" s="189" t="s">
        <v>421</v>
      </c>
      <c r="B45" s="13">
        <f t="shared" ref="B45:L45" si="3">SUM(B35:B44)</f>
        <v>28269.227618833949</v>
      </c>
      <c r="C45" s="13">
        <f t="shared" si="3"/>
        <v>28486.657641289519</v>
      </c>
      <c r="D45" s="13">
        <f t="shared" si="3"/>
        <v>26542.422019167469</v>
      </c>
      <c r="E45" s="13">
        <f t="shared" si="3"/>
        <v>27409.461911919967</v>
      </c>
      <c r="F45" s="13">
        <f t="shared" si="3"/>
        <v>28148.734635243705</v>
      </c>
      <c r="G45" s="13">
        <f t="shared" si="3"/>
        <v>28724.459534269379</v>
      </c>
      <c r="H45" s="13">
        <f t="shared" si="3"/>
        <v>29217.464443058409</v>
      </c>
      <c r="I45" s="13">
        <f t="shared" si="3"/>
        <v>29741.371003002016</v>
      </c>
      <c r="J45" s="13">
        <f t="shared" si="3"/>
        <v>31684.950078756705</v>
      </c>
      <c r="K45" s="13">
        <f t="shared" si="3"/>
        <v>33109.016793431438</v>
      </c>
      <c r="L45" s="13">
        <f t="shared" si="3"/>
        <v>34114.781172114032</v>
      </c>
      <c r="M45" s="13">
        <f t="shared" ref="M45:R45" si="4">SUM(M35:M44)</f>
        <v>36025.497044000003</v>
      </c>
      <c r="N45" s="13">
        <f t="shared" si="4"/>
        <v>36010.488455999999</v>
      </c>
      <c r="O45" s="13">
        <f t="shared" si="4"/>
        <v>36660.065627999997</v>
      </c>
      <c r="P45" s="13">
        <f t="shared" si="4"/>
        <v>37096.802931999999</v>
      </c>
      <c r="Q45" s="13">
        <f t="shared" si="4"/>
        <v>38261.381959999999</v>
      </c>
      <c r="R45" s="13">
        <f t="shared" si="4"/>
        <v>38801.315825704252</v>
      </c>
      <c r="S45" s="40"/>
    </row>
    <row r="46" spans="1:19" ht="10.15" customHeight="1">
      <c r="A46" s="173" t="s">
        <v>50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9" ht="10.15" customHeight="1">
      <c r="A47" s="86" t="s">
        <v>405</v>
      </c>
      <c r="B47" s="13">
        <v>9.0144590542020016</v>
      </c>
      <c r="C47" s="13">
        <v>8.4873185016479997</v>
      </c>
      <c r="D47" s="13">
        <v>13.888393279362001</v>
      </c>
      <c r="E47" s="13">
        <v>13.550473228445998</v>
      </c>
      <c r="F47" s="13">
        <v>25.953259926887998</v>
      </c>
      <c r="G47" s="13">
        <v>25.497562354866002</v>
      </c>
      <c r="H47" s="13">
        <v>24.250842000000002</v>
      </c>
      <c r="I47" s="13">
        <v>37.478574000000002</v>
      </c>
      <c r="J47" s="13">
        <v>59.524794</v>
      </c>
      <c r="K47" s="13">
        <v>59.524794</v>
      </c>
      <c r="L47" s="13">
        <v>42.667758148049998</v>
      </c>
      <c r="M47" s="13">
        <v>20.150549317836003</v>
      </c>
      <c r="N47" s="13">
        <v>20.890607853906001</v>
      </c>
      <c r="O47" s="13">
        <v>17.209993629528004</v>
      </c>
      <c r="P47" s="13">
        <v>20.652237509400003</v>
      </c>
      <c r="Q47" s="13">
        <v>16.569277565400004</v>
      </c>
      <c r="R47" s="209">
        <v>15</v>
      </c>
    </row>
    <row r="48" spans="1:19" ht="10.15" customHeight="1">
      <c r="A48" s="86" t="s">
        <v>422</v>
      </c>
      <c r="B48" s="13">
        <v>792.96945084226809</v>
      </c>
      <c r="C48" s="13">
        <v>769.257643330512</v>
      </c>
      <c r="D48" s="13">
        <v>813.70250538494417</v>
      </c>
      <c r="E48" s="13">
        <v>774.09081189027006</v>
      </c>
      <c r="F48" s="13">
        <v>791.74480316286599</v>
      </c>
      <c r="G48" s="13">
        <v>1003.3988261799599</v>
      </c>
      <c r="H48" s="13">
        <v>1018.7799337415701</v>
      </c>
      <c r="I48" s="13">
        <v>1004.1465347543701</v>
      </c>
      <c r="J48" s="13">
        <v>908.59042173097805</v>
      </c>
      <c r="K48" s="13">
        <v>1093.9486196317139</v>
      </c>
      <c r="L48" s="13">
        <v>1119.985454574</v>
      </c>
      <c r="M48" s="13">
        <v>728.41857283440004</v>
      </c>
      <c r="N48" s="13">
        <v>573.02975948400001</v>
      </c>
      <c r="O48" s="13">
        <v>482.23989812879995</v>
      </c>
      <c r="P48" s="13">
        <v>423.88928580599998</v>
      </c>
      <c r="Q48" s="13">
        <v>271.307397186</v>
      </c>
      <c r="R48" s="209">
        <v>320</v>
      </c>
    </row>
    <row r="49" spans="1:19" ht="10.15" customHeight="1">
      <c r="A49" s="86" t="s">
        <v>407</v>
      </c>
      <c r="B49" s="13">
        <v>137.81836181925001</v>
      </c>
      <c r="C49" s="13">
        <v>186.49135376713801</v>
      </c>
      <c r="D49" s="13">
        <v>192.22683001905602</v>
      </c>
      <c r="E49" s="13">
        <v>94.027681660121999</v>
      </c>
      <c r="F49" s="13">
        <v>163.23590300938201</v>
      </c>
      <c r="G49" s="13">
        <v>258.72821206747204</v>
      </c>
      <c r="H49" s="13">
        <v>220.66299256251602</v>
      </c>
      <c r="I49" s="13">
        <v>148.403212807248</v>
      </c>
      <c r="J49" s="13">
        <v>118.49962299588</v>
      </c>
      <c r="K49" s="13">
        <v>54.826321230575999</v>
      </c>
      <c r="L49" s="13">
        <v>102.76738111998999</v>
      </c>
      <c r="M49" s="13">
        <v>99.018420354680003</v>
      </c>
      <c r="N49" s="13">
        <v>83.139185009605995</v>
      </c>
      <c r="O49" s="13">
        <v>83.915873558632001</v>
      </c>
      <c r="P49" s="13">
        <v>62.676539237551999</v>
      </c>
      <c r="Q49" s="13">
        <v>127.79756403616</v>
      </c>
      <c r="R49" s="209">
        <v>65</v>
      </c>
      <c r="S49" s="13"/>
    </row>
    <row r="50" spans="1:19" ht="10.15" customHeight="1">
      <c r="A50" s="86" t="s">
        <v>408</v>
      </c>
      <c r="B50" s="13">
        <v>79.380896208138012</v>
      </c>
      <c r="C50" s="13">
        <v>74.713947328692015</v>
      </c>
      <c r="D50" s="13">
        <v>86.878456276752004</v>
      </c>
      <c r="E50" s="13">
        <v>68.718817311479995</v>
      </c>
      <c r="F50" s="13">
        <v>70.372887877908013</v>
      </c>
      <c r="G50" s="13">
        <v>66.008512344852008</v>
      </c>
      <c r="H50" s="13">
        <v>61.456728509442009</v>
      </c>
      <c r="I50" s="13">
        <v>51.786850766994</v>
      </c>
      <c r="J50" s="13">
        <v>46.586295178667996</v>
      </c>
      <c r="K50" s="13">
        <v>43.325469643175992</v>
      </c>
      <c r="L50" s="370">
        <v>38.889382165703992</v>
      </c>
      <c r="M50" s="370">
        <v>36.256415338836</v>
      </c>
      <c r="N50" s="370">
        <v>48.044659245534007</v>
      </c>
      <c r="O50" s="370">
        <v>42.380215914456002</v>
      </c>
      <c r="P50" s="370">
        <v>98.288883088200009</v>
      </c>
      <c r="Q50" s="370">
        <v>139.14405614340001</v>
      </c>
      <c r="R50" s="209">
        <v>86.772251656404336</v>
      </c>
    </row>
    <row r="51" spans="1:19" ht="10.15" customHeight="1">
      <c r="A51" s="86" t="s">
        <v>418</v>
      </c>
      <c r="B51" s="13">
        <v>20.520570869694001</v>
      </c>
      <c r="C51" s="13">
        <v>8.2202748434099995</v>
      </c>
      <c r="D51" s="13">
        <v>10.612554268050003</v>
      </c>
      <c r="E51" s="13">
        <v>7.4812701166560007</v>
      </c>
      <c r="F51" s="13">
        <v>7.8151843693979988</v>
      </c>
      <c r="G51" s="13">
        <v>8.1777609127620003</v>
      </c>
      <c r="H51" s="13">
        <v>15.432354</v>
      </c>
      <c r="I51" s="13">
        <v>13.227732</v>
      </c>
      <c r="J51" s="13">
        <v>17.636976000000001</v>
      </c>
      <c r="K51" s="13">
        <v>17.636976000000001</v>
      </c>
      <c r="L51" s="370">
        <v>28.66</v>
      </c>
      <c r="M51" s="370">
        <v>26.46</v>
      </c>
      <c r="N51" s="370">
        <v>15.43</v>
      </c>
      <c r="O51" s="370">
        <v>15.43</v>
      </c>
      <c r="P51" s="370">
        <v>24.25</v>
      </c>
      <c r="Q51" s="370">
        <v>8.82</v>
      </c>
      <c r="R51" s="209">
        <v>22.05</v>
      </c>
    </row>
    <row r="52" spans="1:19" ht="10.15" customHeight="1">
      <c r="A52" s="86" t="s">
        <v>410</v>
      </c>
      <c r="B52" s="13">
        <v>2.6838957996900001</v>
      </c>
      <c r="C52" s="13">
        <v>5.8580863044480012</v>
      </c>
      <c r="D52" s="13">
        <v>5.4681085142459995</v>
      </c>
      <c r="E52" s="13">
        <v>2.6741976675119998</v>
      </c>
      <c r="F52" s="13">
        <v>2.7318397143239999</v>
      </c>
      <c r="G52" s="13">
        <v>1.9594812613320001</v>
      </c>
      <c r="H52" s="13">
        <v>2.2046220000000001</v>
      </c>
      <c r="I52" s="13">
        <v>2.2046220000000001</v>
      </c>
      <c r="J52" s="13">
        <v>2.2046220000000001</v>
      </c>
      <c r="K52" s="13">
        <v>4.4092440000000002</v>
      </c>
      <c r="L52" s="13">
        <v>2.234</v>
      </c>
      <c r="M52" s="13">
        <v>4.55</v>
      </c>
      <c r="N52" s="13">
        <v>7.3390000000000004</v>
      </c>
      <c r="O52" s="13">
        <v>1.5920000000000001</v>
      </c>
      <c r="P52" s="13">
        <v>1.1080000000000001</v>
      </c>
      <c r="Q52" s="13">
        <v>3.9670000000000001</v>
      </c>
      <c r="R52" s="209">
        <v>4.4089999999999998</v>
      </c>
    </row>
    <row r="53" spans="1:19" ht="10.15" customHeight="1">
      <c r="A53" s="86" t="s">
        <v>409</v>
      </c>
      <c r="B53" s="13">
        <v>92.901053679462009</v>
      </c>
      <c r="C53" s="13">
        <v>48.400941593088007</v>
      </c>
      <c r="D53" s="13">
        <v>43.292157804755995</v>
      </c>
      <c r="E53" s="13">
        <v>34.414475704056002</v>
      </c>
      <c r="F53" s="13">
        <v>59.413290833106004</v>
      </c>
      <c r="G53" s="13">
        <v>40.645209265164006</v>
      </c>
      <c r="H53" s="13">
        <v>59.413290833106004</v>
      </c>
      <c r="I53" s="13">
        <v>40.645209265164006</v>
      </c>
      <c r="J53" s="13">
        <v>81.286364230469999</v>
      </c>
      <c r="K53" s="13">
        <v>27.653367409920001</v>
      </c>
      <c r="L53" s="370">
        <v>38.338999999999999</v>
      </c>
      <c r="M53" s="370">
        <v>35.030999999999999</v>
      </c>
      <c r="N53" s="370">
        <v>12.987</v>
      </c>
      <c r="O53" s="370">
        <v>10.48</v>
      </c>
      <c r="P53" s="370">
        <v>15.285</v>
      </c>
      <c r="Q53" s="370">
        <v>20.661000000000001</v>
      </c>
      <c r="R53" s="209">
        <v>22.045999999999999</v>
      </c>
    </row>
    <row r="54" spans="1:19" ht="10.15" customHeight="1">
      <c r="A54" s="86" t="s">
        <v>411</v>
      </c>
      <c r="B54" s="13">
        <v>11.008921052807999</v>
      </c>
      <c r="C54" s="13">
        <v>12.978894110237999</v>
      </c>
      <c r="D54" s="13">
        <v>9.3111196043880007</v>
      </c>
      <c r="E54" s="13">
        <v>10.76435351586</v>
      </c>
      <c r="F54" s="13">
        <v>15.933208844448</v>
      </c>
      <c r="G54" s="13">
        <v>15.646171469292</v>
      </c>
      <c r="H54" s="13">
        <v>12.597635600046001</v>
      </c>
      <c r="I54" s="13">
        <v>8.9400751079220004</v>
      </c>
      <c r="J54" s="13">
        <v>18.840011769936002</v>
      </c>
      <c r="K54" s="13">
        <v>10.252786413114</v>
      </c>
      <c r="L54" s="13">
        <v>11.907999999999999</v>
      </c>
      <c r="M54" s="13">
        <v>10.943</v>
      </c>
      <c r="N54" s="13">
        <v>9.3989999999999991</v>
      </c>
      <c r="O54" s="13">
        <v>26.803999999999998</v>
      </c>
      <c r="P54" s="13">
        <v>29.167999999999999</v>
      </c>
      <c r="Q54" s="13">
        <v>18.721</v>
      </c>
      <c r="R54" s="209">
        <v>25</v>
      </c>
    </row>
    <row r="55" spans="1:19" ht="10.15" customHeight="1">
      <c r="A55" s="86" t="s">
        <v>415</v>
      </c>
      <c r="B55" s="13">
        <v>629.70799999999997</v>
      </c>
      <c r="C55" s="13">
        <v>348.505</v>
      </c>
      <c r="D55" s="13">
        <v>548.72400000000005</v>
      </c>
      <c r="E55" s="13">
        <v>553.09400000000005</v>
      </c>
      <c r="F55" s="13">
        <v>510.63337037185198</v>
      </c>
      <c r="G55" s="13">
        <v>663.94035255378606</v>
      </c>
      <c r="H55" s="13">
        <v>475.19288210782082</v>
      </c>
      <c r="I55" s="13">
        <v>262.20648211637035</v>
      </c>
      <c r="J55" s="13">
        <v>241.398143700714</v>
      </c>
      <c r="K55" s="13">
        <v>245.60552148728394</v>
      </c>
      <c r="L55" s="13">
        <v>271.15300000000002</v>
      </c>
      <c r="M55" s="370">
        <v>230.822</v>
      </c>
      <c r="N55" s="370">
        <v>198.976</v>
      </c>
      <c r="O55" s="370">
        <v>234.38499999999999</v>
      </c>
      <c r="P55" s="370">
        <v>312.125</v>
      </c>
      <c r="Q55" s="370">
        <v>217.33699999999999</v>
      </c>
      <c r="R55" s="209">
        <v>200.62100000000001</v>
      </c>
    </row>
    <row r="56" spans="1:19" ht="10.15" customHeight="1">
      <c r="A56" s="86" t="s">
        <v>412</v>
      </c>
      <c r="B56" s="13">
        <v>37.232125920485998</v>
      </c>
      <c r="C56" s="13">
        <v>38.639426532588004</v>
      </c>
      <c r="D56" s="13">
        <v>44.291830422924001</v>
      </c>
      <c r="E56" s="13">
        <v>57.051170637426011</v>
      </c>
      <c r="F56" s="13">
        <v>42.156530557092005</v>
      </c>
      <c r="G56" s="13">
        <v>43.863972817518011</v>
      </c>
      <c r="H56" s="13">
        <v>45.138339132264001</v>
      </c>
      <c r="I56" s="13">
        <v>29.561547117312003</v>
      </c>
      <c r="J56" s="13">
        <v>51.611153416703992</v>
      </c>
      <c r="K56" s="317">
        <v>45.716999999999999</v>
      </c>
      <c r="L56" s="13">
        <v>31.33</v>
      </c>
      <c r="M56" s="13">
        <v>29.285</v>
      </c>
      <c r="N56" s="13">
        <v>25.553999999999998</v>
      </c>
      <c r="O56" s="13">
        <v>31.783999999999999</v>
      </c>
      <c r="P56" s="13">
        <v>21.193000000000001</v>
      </c>
      <c r="Q56" s="13">
        <v>17.890999999999998</v>
      </c>
      <c r="R56" s="209">
        <v>18.117999999999999</v>
      </c>
      <c r="S56" s="13"/>
    </row>
    <row r="57" spans="1:19" ht="10.15" customHeight="1">
      <c r="A57" s="189" t="s">
        <v>419</v>
      </c>
      <c r="B57" s="13">
        <v>0.79759696564800009</v>
      </c>
      <c r="C57" s="13">
        <v>1.55814966783</v>
      </c>
      <c r="D57" s="13">
        <v>1.5873498862200002</v>
      </c>
      <c r="E57" s="13">
        <v>1.9717411642740004</v>
      </c>
      <c r="F57" s="13">
        <v>2.2627292220539998</v>
      </c>
      <c r="G57" s="13">
        <v>1.7166421480319998</v>
      </c>
      <c r="H57" s="13">
        <v>1.7691143562540002</v>
      </c>
      <c r="I57" s="13">
        <v>2.5224160566780003</v>
      </c>
      <c r="J57" s="13">
        <v>2.6097168832560005</v>
      </c>
      <c r="K57" s="13">
        <v>2.8829378923379996</v>
      </c>
      <c r="L57" s="13">
        <v>2.6059999999999999</v>
      </c>
      <c r="M57" s="13">
        <v>2.3279999999999998</v>
      </c>
      <c r="N57" s="13">
        <v>3.17</v>
      </c>
      <c r="O57" s="13">
        <v>2.6709999999999998</v>
      </c>
      <c r="P57" s="13">
        <v>2.98</v>
      </c>
      <c r="Q57" s="13">
        <v>3.181</v>
      </c>
      <c r="R57" s="209">
        <v>2.5</v>
      </c>
    </row>
    <row r="58" spans="1:19" ht="10.15" customHeight="1">
      <c r="A58" s="86" t="s">
        <v>413</v>
      </c>
      <c r="B58" s="13">
        <v>1876.6194984711722</v>
      </c>
      <c r="C58" s="13">
        <v>2911.0484564629019</v>
      </c>
      <c r="D58" s="13">
        <v>2193.4384199738643</v>
      </c>
      <c r="E58" s="13">
        <v>3358.4855391315896</v>
      </c>
      <c r="F58" s="13">
        <v>3233.0068589106531</v>
      </c>
      <c r="G58" s="13">
        <v>1464.1127377805883</v>
      </c>
      <c r="H58" s="13">
        <v>2163.493910173554</v>
      </c>
      <c r="I58" s="13">
        <v>1878.4999153737178</v>
      </c>
      <c r="J58" s="13">
        <v>2014.3727820536042</v>
      </c>
      <c r="K58" s="13">
        <v>2242.5412316407378</v>
      </c>
      <c r="L58" s="13">
        <v>2555.6629160845036</v>
      </c>
      <c r="M58" s="13">
        <v>2443.0375649191838</v>
      </c>
      <c r="N58" s="13">
        <v>1940.4219679927719</v>
      </c>
      <c r="O58" s="13">
        <v>2836.6949799463837</v>
      </c>
      <c r="P58" s="13">
        <v>1731.3591481740061</v>
      </c>
      <c r="Q58" s="13">
        <v>1773.4436302917097</v>
      </c>
      <c r="R58" s="209">
        <v>500</v>
      </c>
    </row>
    <row r="59" spans="1:19" ht="10.15" customHeight="1">
      <c r="A59" s="86" t="s">
        <v>414</v>
      </c>
      <c r="B59" s="13">
        <v>169.93776649651201</v>
      </c>
      <c r="C59" s="13">
        <v>169.066583657748</v>
      </c>
      <c r="D59" s="13">
        <v>199.71018791274602</v>
      </c>
      <c r="E59" s="13">
        <v>215.02181240278202</v>
      </c>
      <c r="F59" s="13">
        <v>83.700392251140002</v>
      </c>
      <c r="G59" s="13">
        <v>41.353675567974001</v>
      </c>
      <c r="H59" s="13">
        <v>62.485965108630005</v>
      </c>
      <c r="I59" s="13">
        <v>81.749345873580012</v>
      </c>
      <c r="J59" s="13">
        <v>63.549816477840011</v>
      </c>
      <c r="K59" s="13">
        <v>85.619</v>
      </c>
      <c r="L59" s="13">
        <v>71.472999999999999</v>
      </c>
      <c r="M59" s="13">
        <v>89.088999999999999</v>
      </c>
      <c r="N59" s="13">
        <v>122.309</v>
      </c>
      <c r="O59" s="13">
        <v>87.382999999999996</v>
      </c>
      <c r="P59" s="13">
        <v>98.275999999999996</v>
      </c>
      <c r="Q59" s="13">
        <v>123.95099999999999</v>
      </c>
      <c r="R59" s="209">
        <v>100</v>
      </c>
    </row>
    <row r="60" spans="1:19" ht="10.15" customHeight="1">
      <c r="A60" s="86" t="s">
        <v>416</v>
      </c>
      <c r="B60" s="13">
        <v>334.90629516342602</v>
      </c>
      <c r="C60" s="13">
        <v>247.93102291154401</v>
      </c>
      <c r="D60" s="13">
        <v>181.32182161959602</v>
      </c>
      <c r="E60" s="13">
        <v>183.22264229875202</v>
      </c>
      <c r="F60" s="13">
        <v>139.376793678696</v>
      </c>
      <c r="G60" s="13">
        <v>141.61652869329001</v>
      </c>
      <c r="H60" s="13">
        <v>181.96295656190398</v>
      </c>
      <c r="I60" s="13">
        <v>104.61279058889397</v>
      </c>
      <c r="J60" s="13">
        <v>119.97237001667401</v>
      </c>
      <c r="K60" s="13">
        <v>230.25271245366602</v>
      </c>
      <c r="L60" s="13">
        <v>191.219562478098</v>
      </c>
      <c r="M60" s="13">
        <v>248.42781022840205</v>
      </c>
      <c r="N60" s="13">
        <v>264.33632730645002</v>
      </c>
      <c r="O60" s="13">
        <v>249.38479254616203</v>
      </c>
      <c r="P60" s="13">
        <v>243.07981392996004</v>
      </c>
      <c r="Q60" s="13">
        <v>188.19402963480002</v>
      </c>
      <c r="R60" s="209">
        <v>120</v>
      </c>
    </row>
    <row r="61" spans="1:19" ht="10.15" customHeight="1">
      <c r="A61" s="189" t="s">
        <v>423</v>
      </c>
      <c r="B61" s="13">
        <f t="shared" ref="B61:R61" si="5">SUM(B47:B60)</f>
        <v>4195.4988923427563</v>
      </c>
      <c r="C61" s="13">
        <f t="shared" si="5"/>
        <v>4831.1570990117852</v>
      </c>
      <c r="D61" s="13">
        <f t="shared" si="5"/>
        <v>4344.4537349669054</v>
      </c>
      <c r="E61" s="13">
        <f t="shared" si="5"/>
        <v>5374.5689867292258</v>
      </c>
      <c r="F61" s="13">
        <f t="shared" si="5"/>
        <v>5148.3370527298075</v>
      </c>
      <c r="G61" s="13">
        <f t="shared" si="5"/>
        <v>3776.6656454168888</v>
      </c>
      <c r="H61" s="13">
        <f t="shared" si="5"/>
        <v>4344.8415666871069</v>
      </c>
      <c r="I61" s="13">
        <f t="shared" si="5"/>
        <v>3665.9853078282499</v>
      </c>
      <c r="J61" s="13">
        <f t="shared" si="5"/>
        <v>3746.6830904547242</v>
      </c>
      <c r="K61" s="13">
        <f t="shared" si="5"/>
        <v>4164.1959818025261</v>
      </c>
      <c r="L61" s="13">
        <f t="shared" si="5"/>
        <v>4508.8954545703455</v>
      </c>
      <c r="M61" s="13">
        <f t="shared" si="5"/>
        <v>4003.8173329933375</v>
      </c>
      <c r="N61" s="13">
        <f t="shared" si="5"/>
        <v>3325.0265068922681</v>
      </c>
      <c r="O61" s="13">
        <f t="shared" si="5"/>
        <v>4122.3547537239619</v>
      </c>
      <c r="P61" s="13">
        <f t="shared" si="5"/>
        <v>3084.3309077451181</v>
      </c>
      <c r="Q61" s="13">
        <f t="shared" si="5"/>
        <v>2930.9849548574703</v>
      </c>
      <c r="R61" s="13">
        <f t="shared" si="5"/>
        <v>1501.5162516564046</v>
      </c>
    </row>
    <row r="62" spans="1:19" ht="10.15" customHeight="1">
      <c r="A62" s="173" t="s">
        <v>52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9" ht="10.15" customHeight="1">
      <c r="A63" s="86" t="s">
        <v>405</v>
      </c>
      <c r="B63" s="13">
        <v>999.67484469182216</v>
      </c>
      <c r="C63" s="13">
        <v>1121.065840060136</v>
      </c>
      <c r="D63" s="13">
        <v>942.63990586802004</v>
      </c>
      <c r="E63" s="13">
        <v>1317.8922038438384</v>
      </c>
      <c r="F63" s="13">
        <v>1072.0205455217122</v>
      </c>
      <c r="G63" s="13">
        <v>1135.6730115615119</v>
      </c>
      <c r="H63" s="13">
        <v>1190.4958800000002</v>
      </c>
      <c r="I63" s="13">
        <v>1130.971086</v>
      </c>
      <c r="J63" s="13">
        <v>1238.9975640000002</v>
      </c>
      <c r="K63" s="13">
        <v>1161.8357940000003</v>
      </c>
      <c r="L63" s="13">
        <v>1005.026</v>
      </c>
      <c r="M63" s="13">
        <v>962.90300000000002</v>
      </c>
      <c r="N63" s="13">
        <v>926.81</v>
      </c>
      <c r="O63" s="13">
        <v>1038.2940000000001</v>
      </c>
      <c r="P63" s="13">
        <v>959.52099999999996</v>
      </c>
      <c r="Q63" s="13">
        <v>1132.5840000000001</v>
      </c>
      <c r="R63" s="13">
        <v>1100</v>
      </c>
    </row>
    <row r="64" spans="1:19" ht="10.15" customHeight="1">
      <c r="A64" s="86" t="s">
        <v>406</v>
      </c>
      <c r="B64" s="13">
        <v>1831.6070154047379</v>
      </c>
      <c r="C64" s="13">
        <v>1756.0666496253439</v>
      </c>
      <c r="D64" s="13">
        <v>1567.7993531418733</v>
      </c>
      <c r="E64" s="13">
        <v>1895.0803012535878</v>
      </c>
      <c r="F64" s="13">
        <v>2804.644150177066</v>
      </c>
      <c r="G64" s="13">
        <v>2742.3548912957858</v>
      </c>
      <c r="H64" s="13">
        <v>2726.2658212555179</v>
      </c>
      <c r="I64" s="13">
        <v>2927.9301510077485</v>
      </c>
      <c r="J64" s="13">
        <v>3870.2191376859719</v>
      </c>
      <c r="K64" s="13">
        <v>4288.8865532831724</v>
      </c>
      <c r="L64" s="13">
        <v>4841.3898220697201</v>
      </c>
      <c r="M64" s="13">
        <v>5422.883950611199</v>
      </c>
      <c r="N64" s="13">
        <v>5278.8582748472008</v>
      </c>
      <c r="O64" s="13">
        <v>4945.6847410109995</v>
      </c>
      <c r="P64" s="13">
        <v>5297.1449928814</v>
      </c>
      <c r="Q64" s="13">
        <v>5979.9375779343991</v>
      </c>
      <c r="R64" s="13">
        <v>5978</v>
      </c>
    </row>
    <row r="65" spans="1:19" ht="10.15" customHeight="1">
      <c r="A65" s="86" t="s">
        <v>407</v>
      </c>
      <c r="B65" s="13">
        <v>713.9124309085521</v>
      </c>
      <c r="C65" s="13">
        <v>622.62017890968195</v>
      </c>
      <c r="D65" s="13">
        <v>502.05297804131203</v>
      </c>
      <c r="E65" s="13">
        <v>551.92322662066999</v>
      </c>
      <c r="F65" s="13">
        <v>599.50524319104193</v>
      </c>
      <c r="G65" s="13">
        <v>571.61889468866798</v>
      </c>
      <c r="H65" s="13">
        <v>584.25441577419792</v>
      </c>
      <c r="I65" s="13">
        <v>538.54962385942599</v>
      </c>
      <c r="J65" s="13">
        <v>540.92412416890193</v>
      </c>
      <c r="K65" s="13">
        <v>433.24357832929593</v>
      </c>
      <c r="L65" s="13">
        <v>436.4</v>
      </c>
      <c r="M65" s="13">
        <v>474.49</v>
      </c>
      <c r="N65" s="13">
        <v>369.72</v>
      </c>
      <c r="O65" s="13">
        <v>388.25</v>
      </c>
      <c r="P65" s="13">
        <v>354.94</v>
      </c>
      <c r="Q65" s="13">
        <v>325.58999999999997</v>
      </c>
      <c r="R65" s="13">
        <v>359.7</v>
      </c>
    </row>
    <row r="66" spans="1:19" ht="10.15" customHeight="1">
      <c r="A66" s="86" t="s">
        <v>408</v>
      </c>
      <c r="B66" s="13">
        <v>732.45023092304609</v>
      </c>
      <c r="C66" s="13">
        <v>798.8349652159161</v>
      </c>
      <c r="D66" s="13">
        <v>779.95583160216995</v>
      </c>
      <c r="E66" s="13">
        <v>790.9627176762458</v>
      </c>
      <c r="F66" s="13">
        <v>789.54274072260591</v>
      </c>
      <c r="G66" s="13">
        <v>820.79374574465589</v>
      </c>
      <c r="H66" s="13">
        <v>819.97477022378405</v>
      </c>
      <c r="I66" s="13">
        <v>821.75317044610995</v>
      </c>
      <c r="J66" s="13">
        <v>882.80358397978796</v>
      </c>
      <c r="K66" s="13">
        <v>890.35233496649209</v>
      </c>
      <c r="L66" s="13">
        <v>928.80904224095605</v>
      </c>
      <c r="M66" s="13">
        <v>949.76564790430007</v>
      </c>
      <c r="N66" s="13">
        <v>981.70497217664786</v>
      </c>
      <c r="O66" s="13">
        <v>1040.4511586235221</v>
      </c>
      <c r="P66" s="13">
        <v>968.27237532132017</v>
      </c>
      <c r="Q66" s="13">
        <v>909.52788268220002</v>
      </c>
      <c r="R66" s="13">
        <v>960.88103690191667</v>
      </c>
    </row>
    <row r="67" spans="1:19" ht="10.15" customHeight="1">
      <c r="A67" s="86" t="s">
        <v>418</v>
      </c>
      <c r="B67" s="13">
        <v>559.32025143834005</v>
      </c>
      <c r="C67" s="13">
        <v>578.85045760394985</v>
      </c>
      <c r="D67" s="13">
        <v>602.72504051506735</v>
      </c>
      <c r="E67" s="13">
        <v>590.37511690432814</v>
      </c>
      <c r="F67" s="13">
        <v>643.61405297473198</v>
      </c>
      <c r="G67" s="13">
        <v>701.10577984028407</v>
      </c>
      <c r="H67" s="13">
        <v>660.08161148567399</v>
      </c>
      <c r="I67" s="13">
        <v>695.54035269709209</v>
      </c>
      <c r="J67" s="13">
        <v>684.03296661008392</v>
      </c>
      <c r="K67" s="13">
        <v>741.80041452606588</v>
      </c>
      <c r="L67" s="13">
        <v>701.07</v>
      </c>
      <c r="M67" s="13">
        <v>718.69999999999993</v>
      </c>
      <c r="N67" s="13">
        <v>804.69</v>
      </c>
      <c r="O67" s="13">
        <v>895.07</v>
      </c>
      <c r="P67" s="13">
        <v>870.81999999999994</v>
      </c>
      <c r="Q67" s="13">
        <v>932.55</v>
      </c>
      <c r="R67" s="13">
        <v>839.95</v>
      </c>
    </row>
    <row r="68" spans="1:19" ht="10.15" customHeight="1">
      <c r="A68" s="86" t="s">
        <v>409</v>
      </c>
      <c r="B68" s="13">
        <v>1461.0846824390162</v>
      </c>
      <c r="C68" s="13">
        <v>2090.0923657332396</v>
      </c>
      <c r="D68" s="13">
        <v>2116.1756298581922</v>
      </c>
      <c r="E68" s="13">
        <v>2111.4517787034329</v>
      </c>
      <c r="F68" s="13">
        <v>2107.947118109942</v>
      </c>
      <c r="G68" s="13">
        <v>2299.4760595944167</v>
      </c>
      <c r="H68" s="13">
        <v>2750.7751729988031</v>
      </c>
      <c r="I68" s="13">
        <v>2649.1150392683767</v>
      </c>
      <c r="J68" s="13">
        <v>2374.2068748575934</v>
      </c>
      <c r="K68" s="13">
        <v>2801.2521740599623</v>
      </c>
      <c r="L68" s="13">
        <v>2985.16</v>
      </c>
      <c r="M68" s="13">
        <v>3445.1</v>
      </c>
      <c r="N68" s="13">
        <v>3299.66</v>
      </c>
      <c r="O68" s="13">
        <v>3269.27</v>
      </c>
      <c r="P68" s="13">
        <v>3523.88</v>
      </c>
      <c r="Q68" s="13">
        <v>3449.67</v>
      </c>
      <c r="R68" s="13">
        <v>3784.04</v>
      </c>
      <c r="S68" s="316"/>
    </row>
    <row r="69" spans="1:19" ht="10.15" customHeight="1">
      <c r="A69" s="86" t="s">
        <v>410</v>
      </c>
      <c r="B69" s="13">
        <v>639.37971021515818</v>
      </c>
      <c r="C69" s="13">
        <v>520.51147999783007</v>
      </c>
      <c r="D69" s="13">
        <v>734.88474292317017</v>
      </c>
      <c r="E69" s="13">
        <v>664.52286065646808</v>
      </c>
      <c r="F69" s="13">
        <v>621.86537459087003</v>
      </c>
      <c r="G69" s="13">
        <v>667.54815215994802</v>
      </c>
      <c r="H69" s="13">
        <v>608.89750657810202</v>
      </c>
      <c r="I69" s="13">
        <v>591.02478814302015</v>
      </c>
      <c r="J69" s="13">
        <v>659.47445858687399</v>
      </c>
      <c r="K69" s="13">
        <v>769.48132868787616</v>
      </c>
      <c r="L69" s="13">
        <v>796.59</v>
      </c>
      <c r="M69" s="13">
        <v>851.56</v>
      </c>
      <c r="N69" s="13">
        <v>707.53</v>
      </c>
      <c r="O69" s="13">
        <v>829.16</v>
      </c>
      <c r="P69" s="13">
        <v>861.41</v>
      </c>
      <c r="Q69" s="13">
        <v>739.86</v>
      </c>
      <c r="R69" s="13">
        <v>831.9</v>
      </c>
    </row>
    <row r="70" spans="1:19" ht="10.15" customHeight="1">
      <c r="A70" s="86" t="s">
        <v>411</v>
      </c>
      <c r="B70" s="13">
        <v>273.87219378091203</v>
      </c>
      <c r="C70" s="13">
        <v>218.82216133689002</v>
      </c>
      <c r="D70" s="13">
        <v>193.72578868158999</v>
      </c>
      <c r="E70" s="13">
        <v>198.76279558392199</v>
      </c>
      <c r="F70" s="13">
        <v>226.178445059544</v>
      </c>
      <c r="G70" s="13">
        <v>218.40133741410605</v>
      </c>
      <c r="H70" s="13">
        <v>200.85382144853799</v>
      </c>
      <c r="I70" s="13">
        <v>251.132798349382</v>
      </c>
      <c r="J70" s="13">
        <v>233.44884265241197</v>
      </c>
      <c r="K70" s="13">
        <v>306.20595707239397</v>
      </c>
      <c r="L70" s="13">
        <v>307.23</v>
      </c>
      <c r="M70" s="13">
        <v>263.23</v>
      </c>
      <c r="N70" s="13">
        <v>299.08999999999997</v>
      </c>
      <c r="O70" s="13">
        <v>242.48</v>
      </c>
      <c r="P70" s="13">
        <v>280.72000000000003</v>
      </c>
      <c r="Q70" s="13">
        <v>327.3</v>
      </c>
      <c r="R70" s="13">
        <v>326.2</v>
      </c>
    </row>
    <row r="71" spans="1:19" ht="10.15" customHeight="1">
      <c r="A71" s="86" t="s">
        <v>415</v>
      </c>
      <c r="B71" s="13">
        <v>1984.7564831796981</v>
      </c>
      <c r="C71" s="13">
        <v>2923.3665294441489</v>
      </c>
      <c r="D71" s="13">
        <v>2830.6699999999996</v>
      </c>
      <c r="E71" s="13">
        <v>2847.9120000000003</v>
      </c>
      <c r="F71" s="13">
        <v>3651.0846296281479</v>
      </c>
      <c r="G71" s="13">
        <v>3834.7926474462142</v>
      </c>
      <c r="H71" s="13">
        <v>3607.3671178921786</v>
      </c>
      <c r="I71" s="13">
        <v>4550.2641395629016</v>
      </c>
      <c r="J71" s="13">
        <v>5010.1518215074257</v>
      </c>
      <c r="K71" s="13">
        <v>5318.3714223934558</v>
      </c>
      <c r="L71" s="13">
        <v>5848.71</v>
      </c>
      <c r="M71" s="13">
        <v>5606.96</v>
      </c>
      <c r="N71" s="13">
        <v>5280.51</v>
      </c>
      <c r="O71" s="13">
        <v>5630.77</v>
      </c>
      <c r="P71" s="13">
        <v>5588.32</v>
      </c>
      <c r="Q71" s="13">
        <v>5598.74</v>
      </c>
      <c r="R71" s="13">
        <v>6473.58</v>
      </c>
    </row>
    <row r="72" spans="1:19" ht="10.15" customHeight="1">
      <c r="A72" s="86" t="s">
        <v>412</v>
      </c>
      <c r="B72" s="13">
        <v>88.793392766128449</v>
      </c>
      <c r="C72" s="13">
        <v>89.464711232528629</v>
      </c>
      <c r="D72" s="13">
        <v>94.913403149362665</v>
      </c>
      <c r="E72" s="13">
        <v>88.609958593871411</v>
      </c>
      <c r="F72" s="13">
        <v>96.175837788636301</v>
      </c>
      <c r="G72" s="13">
        <v>86.189926024216021</v>
      </c>
      <c r="H72" s="13">
        <v>80.941560593774568</v>
      </c>
      <c r="I72" s="13">
        <v>85.71228119420131</v>
      </c>
      <c r="J72" s="13">
        <v>50.054341387612958</v>
      </c>
      <c r="K72" s="13">
        <v>48.450222130183832</v>
      </c>
      <c r="L72" s="13">
        <v>70.17</v>
      </c>
      <c r="M72" s="13">
        <v>58.33</v>
      </c>
      <c r="N72" s="13">
        <v>103.27</v>
      </c>
      <c r="O72" s="13">
        <v>77.87</v>
      </c>
      <c r="P72" s="13">
        <v>74.37</v>
      </c>
      <c r="Q72" s="13">
        <v>117.27</v>
      </c>
      <c r="R72" s="13">
        <v>138.04</v>
      </c>
      <c r="S72" s="359"/>
    </row>
    <row r="73" spans="1:19" ht="10.15" customHeight="1">
      <c r="A73" s="189" t="s">
        <v>419</v>
      </c>
      <c r="B73" s="13">
        <v>25.683171685668</v>
      </c>
      <c r="C73" s="13">
        <v>26.247845927771998</v>
      </c>
      <c r="D73" s="13">
        <v>22.026239510814001</v>
      </c>
      <c r="E73" s="13">
        <v>29.444602943322</v>
      </c>
      <c r="F73" s="13">
        <v>25.505611429788008</v>
      </c>
      <c r="G73" s="13">
        <v>25.809686123759995</v>
      </c>
      <c r="H73" s="13">
        <v>27.61186540077</v>
      </c>
      <c r="I73" s="13">
        <v>26.376467984495999</v>
      </c>
      <c r="J73" s="13">
        <v>31.235642265366003</v>
      </c>
      <c r="K73" s="13">
        <v>30.969934608060008</v>
      </c>
      <c r="L73" s="13">
        <v>35.79</v>
      </c>
      <c r="M73" s="13">
        <v>39.67</v>
      </c>
      <c r="N73" s="13">
        <v>39.25</v>
      </c>
      <c r="O73" s="13">
        <v>44.19</v>
      </c>
      <c r="P73" s="13">
        <v>48.03</v>
      </c>
      <c r="Q73" s="13">
        <v>53.33</v>
      </c>
      <c r="R73" s="13">
        <v>51.5</v>
      </c>
      <c r="S73" s="13"/>
    </row>
    <row r="74" spans="1:19" ht="10.15" customHeight="1">
      <c r="A74" s="86" t="s">
        <v>413</v>
      </c>
      <c r="B74" s="13">
        <v>18574.448188614173</v>
      </c>
      <c r="C74" s="13">
        <v>18334.765425604342</v>
      </c>
      <c r="D74" s="13">
        <v>16265.203884786391</v>
      </c>
      <c r="E74" s="13">
        <v>15814.127585273269</v>
      </c>
      <c r="F74" s="13">
        <v>16544.359912982418</v>
      </c>
      <c r="G74" s="13">
        <v>18510.819210565198</v>
      </c>
      <c r="H74" s="13">
        <v>18786.345654953118</v>
      </c>
      <c r="I74" s="13">
        <v>18906.305567893392</v>
      </c>
      <c r="J74" s="13">
        <v>18958.91230114342</v>
      </c>
      <c r="K74" s="13">
        <v>20162.2479225438</v>
      </c>
      <c r="L74" s="13">
        <v>19862.32</v>
      </c>
      <c r="M74" s="13">
        <v>21380.21</v>
      </c>
      <c r="N74" s="13">
        <v>22874.16</v>
      </c>
      <c r="O74" s="13">
        <v>22317</v>
      </c>
      <c r="P74" s="13">
        <v>23314.33</v>
      </c>
      <c r="Q74" s="13">
        <v>24825.1</v>
      </c>
      <c r="R74" s="13">
        <v>26050</v>
      </c>
    </row>
    <row r="75" spans="1:19" ht="10.15" customHeight="1">
      <c r="A75" s="86" t="s">
        <v>414</v>
      </c>
      <c r="B75" s="13">
        <v>580.065233503488</v>
      </c>
      <c r="C75" s="13">
        <v>600.00141634225201</v>
      </c>
      <c r="D75" s="13">
        <v>428.54781208725399</v>
      </c>
      <c r="E75" s="13">
        <v>583.27118759721793</v>
      </c>
      <c r="F75" s="13">
        <v>529.30560774885998</v>
      </c>
      <c r="G75" s="13">
        <v>453.25332443202598</v>
      </c>
      <c r="H75" s="13">
        <v>437.07503489137002</v>
      </c>
      <c r="I75" s="13">
        <v>424.67765412642001</v>
      </c>
      <c r="J75" s="13">
        <v>435.33218352216005</v>
      </c>
      <c r="K75" s="13">
        <v>433.37900000000002</v>
      </c>
      <c r="L75" s="13">
        <v>498.47800000000001</v>
      </c>
      <c r="M75" s="13">
        <v>531.01700000000005</v>
      </c>
      <c r="N75" s="13">
        <v>489.80799999999999</v>
      </c>
      <c r="O75" s="13">
        <v>637.98</v>
      </c>
      <c r="P75" s="13">
        <v>654.77800000000002</v>
      </c>
      <c r="Q75" s="13">
        <v>722.61900000000003</v>
      </c>
      <c r="R75" s="13">
        <v>737.17899999999997</v>
      </c>
    </row>
    <row r="76" spans="1:19" ht="10.15" customHeight="1">
      <c r="A76" s="86" t="s">
        <v>416</v>
      </c>
      <c r="B76" s="13">
        <v>1476.9956379263342</v>
      </c>
      <c r="C76" s="13">
        <v>1564.5458089180856</v>
      </c>
      <c r="D76" s="13">
        <v>1681.2587976971499</v>
      </c>
      <c r="E76" s="13">
        <v>1680.6599856627963</v>
      </c>
      <c r="F76" s="13">
        <v>1901.8913213882076</v>
      </c>
      <c r="G76" s="13">
        <v>1961.5987817056821</v>
      </c>
      <c r="H76" s="13">
        <v>1921.3914723455705</v>
      </c>
      <c r="I76" s="13">
        <v>1904.2148902112458</v>
      </c>
      <c r="J76" s="13">
        <v>1792.6318156670043</v>
      </c>
      <c r="K76" s="13">
        <v>1948.9976329875462</v>
      </c>
      <c r="L76" s="13">
        <v>1933.74</v>
      </c>
      <c r="M76" s="13">
        <v>2007.3</v>
      </c>
      <c r="N76" s="13">
        <v>2009.03</v>
      </c>
      <c r="O76" s="13">
        <v>2069.52</v>
      </c>
      <c r="P76" s="13">
        <v>2041.07</v>
      </c>
      <c r="Q76" s="13">
        <v>2192.2199999999998</v>
      </c>
      <c r="R76" s="13">
        <v>2280</v>
      </c>
    </row>
    <row r="77" spans="1:19" ht="10.15" customHeight="1">
      <c r="A77" s="88" t="s">
        <v>424</v>
      </c>
      <c r="B77" s="14">
        <f t="shared" ref="B77:N77" si="6">SUM(B63:B76)</f>
        <v>29942.043467477073</v>
      </c>
      <c r="C77" s="14">
        <f t="shared" si="6"/>
        <v>31245.255835952117</v>
      </c>
      <c r="D77" s="14">
        <f t="shared" si="6"/>
        <v>28762.579407862366</v>
      </c>
      <c r="E77" s="14">
        <f t="shared" si="6"/>
        <v>29164.996321312967</v>
      </c>
      <c r="F77" s="14">
        <f t="shared" si="6"/>
        <v>31613.640591313571</v>
      </c>
      <c r="G77" s="14">
        <f t="shared" si="6"/>
        <v>34029.435448596472</v>
      </c>
      <c r="H77" s="14">
        <f t="shared" si="6"/>
        <v>34402.331705841396</v>
      </c>
      <c r="I77" s="14">
        <f t="shared" si="6"/>
        <v>35503.568010743809</v>
      </c>
      <c r="J77" s="14">
        <f t="shared" si="6"/>
        <v>36762.425658034612</v>
      </c>
      <c r="K77" s="14">
        <f t="shared" si="6"/>
        <v>39335.474269588303</v>
      </c>
      <c r="L77" s="14">
        <f t="shared" si="6"/>
        <v>40250.882864310675</v>
      </c>
      <c r="M77" s="14">
        <f t="shared" si="6"/>
        <v>42712.119598515499</v>
      </c>
      <c r="N77" s="14">
        <f t="shared" si="6"/>
        <v>43464.091247023847</v>
      </c>
      <c r="O77" s="14">
        <f>SUM(O63:O76)</f>
        <v>43425.989899634522</v>
      </c>
      <c r="P77" s="14">
        <f>SUM(P63:P76)</f>
        <v>44837.606368202716</v>
      </c>
      <c r="Q77" s="14">
        <f>SUM(Q63:Q76)</f>
        <v>47306.298460616599</v>
      </c>
      <c r="R77" s="14">
        <f>SUM(R63:R76)</f>
        <v>49910.970036901919</v>
      </c>
    </row>
    <row r="78" spans="1:19" ht="13.15" customHeight="1">
      <c r="A78" s="52" t="s">
        <v>584</v>
      </c>
    </row>
    <row r="79" spans="1:19">
      <c r="A79" s="52" t="s">
        <v>687</v>
      </c>
    </row>
    <row r="80" spans="1:19">
      <c r="A80" t="s">
        <v>585</v>
      </c>
      <c r="K80" s="55"/>
      <c r="L80" s="55"/>
      <c r="Q80" s="101" t="s">
        <v>592</v>
      </c>
    </row>
    <row r="81" spans="1:18" ht="10.15" customHeight="1">
      <c r="A81" s="77"/>
      <c r="L81" s="13"/>
      <c r="M81" s="13"/>
      <c r="N81" s="13"/>
      <c r="O81" s="13"/>
      <c r="P81" s="13"/>
      <c r="Q81" s="13"/>
      <c r="R81" s="13"/>
    </row>
    <row r="83" spans="1:18">
      <c r="L83" s="13"/>
      <c r="M83" s="13"/>
      <c r="N83" s="13"/>
      <c r="O83" s="13"/>
      <c r="P83" s="13"/>
      <c r="Q83" s="13"/>
      <c r="R83" s="13"/>
    </row>
    <row r="84" spans="1:18">
      <c r="H84" s="348"/>
      <c r="I84" s="348"/>
      <c r="J84" s="348"/>
      <c r="L84" s="348"/>
      <c r="M84" s="348"/>
      <c r="N84" s="348"/>
      <c r="O84" s="348"/>
      <c r="P84" s="348"/>
      <c r="Q84" s="348"/>
      <c r="R84" s="348"/>
    </row>
    <row r="85" spans="1:18">
      <c r="L85" s="348"/>
      <c r="M85" s="348"/>
      <c r="N85" s="348"/>
      <c r="O85" s="348"/>
      <c r="P85" s="348"/>
      <c r="Q85" s="348"/>
      <c r="R85" s="348"/>
    </row>
    <row r="86" spans="1:18">
      <c r="L86" s="13"/>
      <c r="M86" s="13"/>
      <c r="N86" s="13"/>
      <c r="O86" s="13"/>
      <c r="P86" s="13"/>
      <c r="Q86" s="13"/>
      <c r="R86" s="13"/>
    </row>
    <row r="87" spans="1:18">
      <c r="L87" s="13"/>
      <c r="M87" s="13"/>
      <c r="N87" s="13"/>
      <c r="O87" s="13"/>
      <c r="P87" s="13"/>
      <c r="Q87" s="13"/>
      <c r="R87" s="13"/>
    </row>
    <row r="88" spans="1:18">
      <c r="L88" s="13"/>
      <c r="M88" s="13"/>
      <c r="N88" s="13"/>
      <c r="O88" s="13"/>
      <c r="P88" s="13"/>
      <c r="Q88" s="13"/>
      <c r="R88" s="13"/>
    </row>
    <row r="91" spans="1:18">
      <c r="L91" s="13"/>
      <c r="M91" s="13"/>
      <c r="N91" s="13"/>
      <c r="O91" s="13"/>
      <c r="P91" s="13"/>
      <c r="Q91" s="13"/>
      <c r="R91" s="13"/>
    </row>
    <row r="92" spans="1:18">
      <c r="L92" s="13"/>
      <c r="M92" s="13"/>
      <c r="N92" s="13"/>
      <c r="O92" s="13"/>
      <c r="P92" s="13"/>
      <c r="Q92" s="13"/>
      <c r="R92" s="13"/>
    </row>
  </sheetData>
  <phoneticPr fontId="0" type="noConversion"/>
  <pageMargins left="0.75" right="0.75" top="1" bottom="1" header="0.5" footer="0.5"/>
  <pageSetup scale="60" firstPageNumber="32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U59"/>
  <sheetViews>
    <sheetView zoomScaleNormal="100" zoomScaleSheetLayoutView="100" workbookViewId="0">
      <pane ySplit="5" topLeftCell="A6" activePane="bottomLeft" state="frozen"/>
      <selection pane="bottomLeft"/>
    </sheetView>
  </sheetViews>
  <sheetFormatPr defaultRowHeight="11.25"/>
  <cols>
    <col min="1" max="7" width="12.6640625" customWidth="1"/>
    <col min="8" max="8" width="15.5" customWidth="1"/>
    <col min="9" max="11" width="12.6640625" customWidth="1"/>
    <col min="12" max="12" width="11.6640625" customWidth="1"/>
    <col min="13" max="13" width="14.83203125" customWidth="1"/>
    <col min="16" max="16" width="16.33203125" customWidth="1"/>
    <col min="17" max="17" width="10.33203125" customWidth="1"/>
    <col min="19" max="19" width="13.5" bestFit="1" customWidth="1"/>
    <col min="21" max="21" width="13.5" bestFit="1" customWidth="1"/>
  </cols>
  <sheetData>
    <row r="1" spans="1:13">
      <c r="A1" s="223" t="s">
        <v>627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7" t="s">
        <v>378</v>
      </c>
      <c r="B2" s="121"/>
      <c r="C2" s="9" t="s">
        <v>75</v>
      </c>
      <c r="D2" s="9"/>
      <c r="E2" s="9"/>
      <c r="F2" s="121"/>
      <c r="G2" s="9"/>
      <c r="H2" s="9" t="s">
        <v>73</v>
      </c>
      <c r="I2" s="4"/>
      <c r="J2" s="120"/>
      <c r="K2" s="7" t="s">
        <v>98</v>
      </c>
      <c r="L2" s="121" t="s">
        <v>74</v>
      </c>
      <c r="M2" s="4"/>
    </row>
    <row r="3" spans="1:13">
      <c r="A3" s="7" t="s">
        <v>59</v>
      </c>
      <c r="B3" s="109" t="s">
        <v>96</v>
      </c>
      <c r="C3" s="7" t="s">
        <v>123</v>
      </c>
      <c r="D3" s="7" t="s">
        <v>49</v>
      </c>
      <c r="E3" s="7" t="s">
        <v>2</v>
      </c>
      <c r="F3" s="121"/>
      <c r="G3" s="4" t="s">
        <v>336</v>
      </c>
      <c r="H3" s="120"/>
      <c r="I3" s="7" t="s">
        <v>50</v>
      </c>
      <c r="J3" s="112" t="s">
        <v>2</v>
      </c>
      <c r="K3" s="7" t="s">
        <v>66</v>
      </c>
      <c r="L3" s="109" t="s">
        <v>208</v>
      </c>
      <c r="M3" s="7" t="s">
        <v>252</v>
      </c>
    </row>
    <row r="4" spans="1:13">
      <c r="A4" s="9" t="s">
        <v>95</v>
      </c>
      <c r="B4" s="116" t="s">
        <v>66</v>
      </c>
      <c r="C4" s="9"/>
      <c r="D4" s="9"/>
      <c r="E4" s="9"/>
      <c r="F4" s="116" t="s">
        <v>2</v>
      </c>
      <c r="G4" s="4" t="s">
        <v>547</v>
      </c>
      <c r="H4" s="114" t="s">
        <v>544</v>
      </c>
      <c r="I4" s="9"/>
      <c r="J4" s="114"/>
      <c r="K4" s="9"/>
      <c r="L4" s="116" t="s">
        <v>486</v>
      </c>
      <c r="M4" s="9" t="s">
        <v>251</v>
      </c>
    </row>
    <row r="5" spans="1:13">
      <c r="A5" s="73"/>
      <c r="B5" s="73"/>
      <c r="C5" s="150"/>
      <c r="D5" s="150"/>
      <c r="E5" s="150"/>
      <c r="F5" s="174" t="s">
        <v>51</v>
      </c>
      <c r="G5" s="174"/>
      <c r="H5" s="174"/>
      <c r="I5" s="150"/>
      <c r="J5" s="150"/>
      <c r="K5" s="150"/>
      <c r="L5" s="150" t="s">
        <v>248</v>
      </c>
      <c r="M5" s="150" t="s">
        <v>248</v>
      </c>
    </row>
    <row r="6" spans="1:1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>
      <c r="A7" s="10" t="s">
        <v>181</v>
      </c>
      <c r="B7" s="23">
        <v>66</v>
      </c>
      <c r="C7" s="23">
        <v>863.505</v>
      </c>
      <c r="D7" s="23">
        <v>0</v>
      </c>
      <c r="E7" s="23">
        <f>+B7+C7+D7</f>
        <v>929.505</v>
      </c>
      <c r="F7" s="23">
        <f t="shared" ref="F7:F25" si="0">+J7-I7</f>
        <v>673.27199999999993</v>
      </c>
      <c r="G7" s="23">
        <v>0</v>
      </c>
      <c r="H7" s="23">
        <f>F7-G7</f>
        <v>673.27199999999993</v>
      </c>
      <c r="I7" s="23">
        <v>180.53299999999999</v>
      </c>
      <c r="J7" s="23">
        <f t="shared" ref="J7:J45" si="1">+E7-K7</f>
        <v>853.80499999999995</v>
      </c>
      <c r="K7" s="23">
        <v>75.7</v>
      </c>
      <c r="L7" s="24">
        <v>25.22</v>
      </c>
      <c r="M7" s="99" t="s">
        <v>229</v>
      </c>
    </row>
    <row r="8" spans="1:13">
      <c r="A8" s="10" t="s">
        <v>182</v>
      </c>
      <c r="B8" s="23">
        <f t="shared" ref="B8:B25" si="2">+K7</f>
        <v>75.7</v>
      </c>
      <c r="C8" s="23">
        <v>871.52300000000002</v>
      </c>
      <c r="D8" s="23">
        <v>0</v>
      </c>
      <c r="E8" s="23">
        <f t="shared" ref="E8:E30" si="3">+B8+C8+D8</f>
        <v>947.22300000000007</v>
      </c>
      <c r="F8" s="23">
        <f t="shared" si="0"/>
        <v>692.17400000000009</v>
      </c>
      <c r="G8" s="23">
        <v>0</v>
      </c>
      <c r="H8" s="23">
        <f t="shared" ref="H8:H48" si="4">F8-G8</f>
        <v>692.17400000000009</v>
      </c>
      <c r="I8" s="23">
        <v>202.249</v>
      </c>
      <c r="J8" s="23">
        <f t="shared" si="1"/>
        <v>894.42300000000012</v>
      </c>
      <c r="K8" s="23">
        <v>52.8</v>
      </c>
      <c r="L8" s="24">
        <v>23.42</v>
      </c>
      <c r="M8" s="99" t="s">
        <v>229</v>
      </c>
    </row>
    <row r="9" spans="1:13">
      <c r="A9" s="10" t="s">
        <v>183</v>
      </c>
      <c r="B9" s="23">
        <f t="shared" si="2"/>
        <v>52.8</v>
      </c>
      <c r="C9" s="23">
        <v>982.59699999999998</v>
      </c>
      <c r="D9" s="23">
        <v>0.56000000000000005</v>
      </c>
      <c r="E9" s="23">
        <f t="shared" si="3"/>
        <v>1035.9569999999999</v>
      </c>
      <c r="F9" s="23">
        <f t="shared" si="0"/>
        <v>722.07899999999995</v>
      </c>
      <c r="G9" s="23">
        <v>0</v>
      </c>
      <c r="H9" s="23">
        <f t="shared" si="4"/>
        <v>722.07899999999995</v>
      </c>
      <c r="I9" s="23">
        <v>224.37799999999999</v>
      </c>
      <c r="J9" s="23">
        <f t="shared" si="1"/>
        <v>946.45699999999988</v>
      </c>
      <c r="K9" s="23">
        <v>89.5</v>
      </c>
      <c r="L9" s="24">
        <v>23.82</v>
      </c>
      <c r="M9" s="99" t="s">
        <v>229</v>
      </c>
    </row>
    <row r="10" spans="1:13">
      <c r="A10" s="10" t="s">
        <v>184</v>
      </c>
      <c r="B10" s="23">
        <f t="shared" si="2"/>
        <v>89.5</v>
      </c>
      <c r="C10" s="23">
        <v>1052.9839999999999</v>
      </c>
      <c r="D10" s="23">
        <v>0</v>
      </c>
      <c r="E10" s="23">
        <f t="shared" si="3"/>
        <v>1142.4839999999999</v>
      </c>
      <c r="F10" s="23">
        <f t="shared" si="0"/>
        <v>762.15299999999991</v>
      </c>
      <c r="G10" s="23">
        <v>0</v>
      </c>
      <c r="H10" s="23">
        <f t="shared" si="4"/>
        <v>762.15299999999991</v>
      </c>
      <c r="I10" s="23">
        <v>310.63099999999997</v>
      </c>
      <c r="J10" s="23">
        <f t="shared" si="1"/>
        <v>1072.7839999999999</v>
      </c>
      <c r="K10" s="23">
        <v>69.7</v>
      </c>
      <c r="L10" s="24">
        <v>28.62</v>
      </c>
      <c r="M10" s="99" t="s">
        <v>229</v>
      </c>
    </row>
    <row r="11" spans="1:13">
      <c r="A11" s="10" t="s">
        <v>185</v>
      </c>
      <c r="B11" s="23">
        <f t="shared" si="2"/>
        <v>69.7</v>
      </c>
      <c r="C11" s="23">
        <v>1193.9480000000001</v>
      </c>
      <c r="D11" s="23">
        <v>0</v>
      </c>
      <c r="E11" s="23">
        <f t="shared" si="3"/>
        <v>1263.6480000000001</v>
      </c>
      <c r="F11" s="23">
        <f t="shared" si="0"/>
        <v>930.08800000000019</v>
      </c>
      <c r="G11" s="23">
        <v>0</v>
      </c>
      <c r="H11" s="23">
        <f t="shared" si="4"/>
        <v>930.08800000000019</v>
      </c>
      <c r="I11" s="23">
        <v>260.06</v>
      </c>
      <c r="J11" s="23">
        <f t="shared" si="1"/>
        <v>1190.1480000000001</v>
      </c>
      <c r="K11" s="23">
        <v>73.5</v>
      </c>
      <c r="L11" s="24">
        <v>29.14</v>
      </c>
      <c r="M11" s="99" t="s">
        <v>229</v>
      </c>
    </row>
    <row r="12" spans="1:13">
      <c r="A12" s="10" t="s">
        <v>186</v>
      </c>
      <c r="B12" s="23">
        <f t="shared" si="2"/>
        <v>73.5</v>
      </c>
      <c r="C12" s="23">
        <v>1252.7260000000001</v>
      </c>
      <c r="D12" s="23">
        <v>0</v>
      </c>
      <c r="E12" s="23">
        <f t="shared" si="3"/>
        <v>1326.2260000000001</v>
      </c>
      <c r="F12" s="23">
        <f t="shared" si="0"/>
        <v>862.09400000000005</v>
      </c>
      <c r="G12" s="23">
        <v>0</v>
      </c>
      <c r="H12" s="23">
        <f t="shared" si="4"/>
        <v>862.09400000000005</v>
      </c>
      <c r="I12" s="23">
        <v>343.93200000000002</v>
      </c>
      <c r="J12" s="23">
        <f t="shared" si="1"/>
        <v>1206.0260000000001</v>
      </c>
      <c r="K12" s="23">
        <v>120.2</v>
      </c>
      <c r="L12" s="24">
        <v>18.46</v>
      </c>
      <c r="M12" s="99" t="s">
        <v>229</v>
      </c>
    </row>
    <row r="13" spans="1:13">
      <c r="A13" s="10" t="s">
        <v>187</v>
      </c>
      <c r="B13" s="23">
        <f t="shared" si="2"/>
        <v>120.2</v>
      </c>
      <c r="C13" s="23">
        <v>1400.1</v>
      </c>
      <c r="D13" s="23">
        <v>0</v>
      </c>
      <c r="E13" s="23">
        <f t="shared" si="3"/>
        <v>1520.3</v>
      </c>
      <c r="F13" s="23">
        <f t="shared" si="0"/>
        <v>1143.1129999999998</v>
      </c>
      <c r="G13" s="23">
        <v>0</v>
      </c>
      <c r="H13" s="23">
        <f t="shared" si="4"/>
        <v>1143.1129999999998</v>
      </c>
      <c r="I13" s="23">
        <v>267.78699999999998</v>
      </c>
      <c r="J13" s="23">
        <f t="shared" si="1"/>
        <v>1410.8999999999999</v>
      </c>
      <c r="K13" s="23">
        <v>109.4</v>
      </c>
      <c r="L13" s="24">
        <v>21.43</v>
      </c>
      <c r="M13" s="99" t="s">
        <v>229</v>
      </c>
    </row>
    <row r="14" spans="1:13">
      <c r="A14" s="10" t="s">
        <v>188</v>
      </c>
      <c r="B14" s="23">
        <f t="shared" si="2"/>
        <v>109.4</v>
      </c>
      <c r="C14" s="23">
        <v>1435.2950000000001</v>
      </c>
      <c r="D14" s="23">
        <v>2.234</v>
      </c>
      <c r="E14" s="23">
        <f t="shared" si="3"/>
        <v>1546.9290000000001</v>
      </c>
      <c r="F14" s="23">
        <f t="shared" si="0"/>
        <v>1065.9180000000001</v>
      </c>
      <c r="G14" s="23">
        <v>0</v>
      </c>
      <c r="H14" s="23">
        <f t="shared" si="4"/>
        <v>1065.9180000000001</v>
      </c>
      <c r="I14" s="23">
        <v>369.911</v>
      </c>
      <c r="J14" s="23">
        <f t="shared" si="1"/>
        <v>1435.8290000000002</v>
      </c>
      <c r="K14" s="23">
        <v>111.1</v>
      </c>
      <c r="L14" s="24">
        <v>23.27</v>
      </c>
      <c r="M14" s="99" t="s">
        <v>229</v>
      </c>
    </row>
    <row r="15" spans="1:13">
      <c r="A15" s="10" t="s">
        <v>189</v>
      </c>
      <c r="B15" s="23">
        <f t="shared" si="2"/>
        <v>111.1</v>
      </c>
      <c r="C15" s="23">
        <v>1414.8869999999999</v>
      </c>
      <c r="D15" s="23">
        <v>0.80338098975399985</v>
      </c>
      <c r="E15" s="23">
        <f t="shared" si="3"/>
        <v>1526.7903809897539</v>
      </c>
      <c r="F15" s="23">
        <f t="shared" si="0"/>
        <v>1064.395915756128</v>
      </c>
      <c r="G15" s="23">
        <v>0</v>
      </c>
      <c r="H15" s="23">
        <f t="shared" si="4"/>
        <v>1064.395915756128</v>
      </c>
      <c r="I15" s="23">
        <v>363.89446523362597</v>
      </c>
      <c r="J15" s="23">
        <f t="shared" si="1"/>
        <v>1428.2903809897539</v>
      </c>
      <c r="K15" s="23">
        <v>98.5</v>
      </c>
      <c r="L15" s="24">
        <v>21.01</v>
      </c>
      <c r="M15" s="99" t="s">
        <v>229</v>
      </c>
    </row>
    <row r="16" spans="1:13">
      <c r="A16" s="10" t="s">
        <v>4</v>
      </c>
      <c r="B16" s="23">
        <f t="shared" si="2"/>
        <v>98.5</v>
      </c>
      <c r="C16" s="23">
        <v>1470.3</v>
      </c>
      <c r="D16" s="23">
        <v>0</v>
      </c>
      <c r="E16" s="23">
        <f t="shared" si="3"/>
        <v>1568.8</v>
      </c>
      <c r="F16" s="23">
        <f t="shared" si="0"/>
        <v>1111.1774949968681</v>
      </c>
      <c r="G16" s="23">
        <v>0</v>
      </c>
      <c r="H16" s="23">
        <f t="shared" si="4"/>
        <v>1111.1774949968681</v>
      </c>
      <c r="I16" s="23">
        <v>413.52250500313204</v>
      </c>
      <c r="J16" s="23">
        <f t="shared" si="1"/>
        <v>1524.7</v>
      </c>
      <c r="K16" s="23">
        <v>44.1</v>
      </c>
      <c r="L16" s="24">
        <v>24.82</v>
      </c>
      <c r="M16" s="99" t="s">
        <v>229</v>
      </c>
    </row>
    <row r="17" spans="1:13">
      <c r="A17" s="10" t="s">
        <v>5</v>
      </c>
      <c r="B17" s="23">
        <f t="shared" si="2"/>
        <v>44.1</v>
      </c>
      <c r="C17" s="23">
        <v>1655.9290000000001</v>
      </c>
      <c r="D17" s="23">
        <v>1.7629999999999999</v>
      </c>
      <c r="E17" s="23">
        <f t="shared" si="3"/>
        <v>1701.7919999999999</v>
      </c>
      <c r="F17" s="23">
        <f t="shared" si="0"/>
        <v>1065.3483889999998</v>
      </c>
      <c r="G17" s="23">
        <v>0</v>
      </c>
      <c r="H17" s="23">
        <f t="shared" si="4"/>
        <v>1065.3483889999998</v>
      </c>
      <c r="I17" s="23">
        <v>498.05261100000001</v>
      </c>
      <c r="J17" s="23">
        <f t="shared" si="1"/>
        <v>1563.4009999999998</v>
      </c>
      <c r="K17" s="23">
        <v>138.39099999999999</v>
      </c>
      <c r="L17" s="24">
        <v>27.5</v>
      </c>
      <c r="M17" s="99" t="s">
        <v>229</v>
      </c>
    </row>
    <row r="18" spans="1:13">
      <c r="A18" s="10" t="s">
        <v>6</v>
      </c>
      <c r="B18" s="23">
        <f t="shared" si="2"/>
        <v>138.39099999999999</v>
      </c>
      <c r="C18" s="23">
        <v>1821.2860000000001</v>
      </c>
      <c r="D18" s="23">
        <v>5.0516480000000001</v>
      </c>
      <c r="E18" s="23">
        <f t="shared" si="3"/>
        <v>1964.7286480000002</v>
      </c>
      <c r="F18" s="23">
        <f t="shared" si="0"/>
        <v>1201.9076180000002</v>
      </c>
      <c r="G18" s="23">
        <v>0</v>
      </c>
      <c r="H18" s="23">
        <f t="shared" si="4"/>
        <v>1201.9076180000002</v>
      </c>
      <c r="I18" s="23">
        <v>566.41503</v>
      </c>
      <c r="J18" s="23">
        <f t="shared" si="1"/>
        <v>1768.3226480000003</v>
      </c>
      <c r="K18" s="23">
        <v>196.40600000000001</v>
      </c>
      <c r="L18" s="24">
        <v>25.82</v>
      </c>
      <c r="M18" s="99" t="s">
        <v>229</v>
      </c>
    </row>
    <row r="19" spans="1:13">
      <c r="A19" s="10" t="s">
        <v>7</v>
      </c>
      <c r="B19" s="23">
        <f t="shared" si="2"/>
        <v>196.40600000000001</v>
      </c>
      <c r="C19" s="23">
        <v>1877.7349999999999</v>
      </c>
      <c r="D19" s="23">
        <v>7.1773719999999983</v>
      </c>
      <c r="E19" s="23">
        <f t="shared" si="3"/>
        <v>2081.3183720000002</v>
      </c>
      <c r="F19" s="23">
        <f t="shared" si="0"/>
        <v>1220.0821429999999</v>
      </c>
      <c r="G19" s="23">
        <v>0</v>
      </c>
      <c r="H19" s="23">
        <f t="shared" si="4"/>
        <v>1220.0821429999999</v>
      </c>
      <c r="I19" s="23">
        <v>711.5392290000002</v>
      </c>
      <c r="J19" s="23">
        <f t="shared" si="1"/>
        <v>1931.6213720000001</v>
      </c>
      <c r="K19" s="23">
        <v>149.697</v>
      </c>
      <c r="L19" s="24">
        <v>20.9</v>
      </c>
      <c r="M19" s="99" t="s">
        <v>229</v>
      </c>
    </row>
    <row r="20" spans="1:13">
      <c r="A20" s="10" t="s">
        <v>8</v>
      </c>
      <c r="B20" s="23">
        <f t="shared" si="2"/>
        <v>149.697</v>
      </c>
      <c r="C20" s="23">
        <v>1906.184</v>
      </c>
      <c r="D20" s="23">
        <v>6.6099520000000007</v>
      </c>
      <c r="E20" s="23">
        <f t="shared" si="3"/>
        <v>2062.4909519999997</v>
      </c>
      <c r="F20" s="23">
        <f t="shared" si="0"/>
        <v>1227.6414919999997</v>
      </c>
      <c r="G20" s="23">
        <v>0</v>
      </c>
      <c r="H20" s="23">
        <f t="shared" si="4"/>
        <v>1227.6414919999997</v>
      </c>
      <c r="I20" s="23">
        <v>716.57746000000009</v>
      </c>
      <c r="J20" s="23">
        <f t="shared" si="1"/>
        <v>1944.2189519999997</v>
      </c>
      <c r="K20" s="23">
        <v>118.27200000000001</v>
      </c>
      <c r="L20" s="24">
        <v>27.17</v>
      </c>
      <c r="M20" s="99" t="s">
        <v>229</v>
      </c>
    </row>
    <row r="21" spans="1:13">
      <c r="A21" s="10" t="s">
        <v>9</v>
      </c>
      <c r="B21" s="23">
        <f t="shared" si="2"/>
        <v>118.27200000000001</v>
      </c>
      <c r="C21" s="23">
        <v>2227.46</v>
      </c>
      <c r="D21" s="23">
        <v>10.077254118994</v>
      </c>
      <c r="E21" s="23">
        <f t="shared" si="3"/>
        <v>2355.809254118994</v>
      </c>
      <c r="F21" s="23">
        <f t="shared" si="0"/>
        <v>1249.6817045895559</v>
      </c>
      <c r="G21" s="23">
        <v>0</v>
      </c>
      <c r="H21" s="23">
        <f t="shared" si="4"/>
        <v>1249.6817045895559</v>
      </c>
      <c r="I21" s="23">
        <v>865.47554952943801</v>
      </c>
      <c r="J21" s="23">
        <f t="shared" si="1"/>
        <v>2115.1572541189939</v>
      </c>
      <c r="K21" s="23">
        <v>240.65199999999999</v>
      </c>
      <c r="L21" s="24">
        <v>26.47</v>
      </c>
      <c r="M21" s="99" t="s">
        <v>229</v>
      </c>
    </row>
    <row r="22" spans="1:13">
      <c r="A22" s="10" t="s">
        <v>10</v>
      </c>
      <c r="B22" s="23">
        <f t="shared" si="2"/>
        <v>240.65199999999999</v>
      </c>
      <c r="C22" s="23">
        <v>2138.9589999999998</v>
      </c>
      <c r="D22" s="23">
        <v>10.992614835148885</v>
      </c>
      <c r="E22" s="23">
        <f t="shared" si="3"/>
        <v>2390.6036148351486</v>
      </c>
      <c r="F22" s="23">
        <f t="shared" si="0"/>
        <v>1298.3008951060265</v>
      </c>
      <c r="G22" s="23">
        <v>0</v>
      </c>
      <c r="H22" s="23">
        <f t="shared" si="4"/>
        <v>1298.3008951060265</v>
      </c>
      <c r="I22" s="23">
        <v>976.51471972912202</v>
      </c>
      <c r="J22" s="23">
        <f t="shared" si="1"/>
        <v>2274.8156148351486</v>
      </c>
      <c r="K22" s="23">
        <v>115.788</v>
      </c>
      <c r="L22" s="24">
        <v>25.24</v>
      </c>
      <c r="M22" s="99" t="s">
        <v>229</v>
      </c>
    </row>
    <row r="23" spans="1:13">
      <c r="A23" s="10" t="s">
        <v>11</v>
      </c>
      <c r="B23" s="23">
        <f t="shared" si="2"/>
        <v>115.788</v>
      </c>
      <c r="C23" s="23">
        <v>2231.3690000000001</v>
      </c>
      <c r="D23" s="23">
        <v>13.522084310952</v>
      </c>
      <c r="E23" s="23">
        <f t="shared" si="3"/>
        <v>2360.679084310952</v>
      </c>
      <c r="F23" s="23">
        <f t="shared" si="0"/>
        <v>1244.2017755718139</v>
      </c>
      <c r="G23" s="23">
        <v>0</v>
      </c>
      <c r="H23" s="23">
        <f t="shared" si="4"/>
        <v>1244.2017755718139</v>
      </c>
      <c r="I23" s="23">
        <v>987.70830873913803</v>
      </c>
      <c r="J23" s="23">
        <f t="shared" si="1"/>
        <v>2231.9100843109518</v>
      </c>
      <c r="K23" s="23">
        <v>128.76900000000001</v>
      </c>
      <c r="L23" s="24">
        <v>24.05</v>
      </c>
      <c r="M23" s="99" t="s">
        <v>229</v>
      </c>
    </row>
    <row r="24" spans="1:13">
      <c r="A24" s="10" t="s">
        <v>12</v>
      </c>
      <c r="B24" s="23">
        <f t="shared" si="2"/>
        <v>128.76900000000001</v>
      </c>
      <c r="C24" s="23">
        <v>2334.7849999999999</v>
      </c>
      <c r="D24" s="23">
        <v>28.141759526202001</v>
      </c>
      <c r="E24" s="23">
        <f t="shared" si="3"/>
        <v>2491.695759526202</v>
      </c>
      <c r="F24" s="23">
        <f t="shared" si="0"/>
        <v>1271.3171383667341</v>
      </c>
      <c r="G24" s="23">
        <v>0</v>
      </c>
      <c r="H24" s="23">
        <f t="shared" si="4"/>
        <v>1271.3171383667341</v>
      </c>
      <c r="I24" s="23">
        <v>1118.4876211594678</v>
      </c>
      <c r="J24" s="23">
        <f t="shared" si="1"/>
        <v>2389.8047595262019</v>
      </c>
      <c r="K24" s="23">
        <v>101.89100000000001</v>
      </c>
      <c r="L24" s="24">
        <v>28.94</v>
      </c>
      <c r="M24" s="99" t="s">
        <v>229</v>
      </c>
    </row>
    <row r="25" spans="1:13">
      <c r="A25" s="10" t="s">
        <v>13</v>
      </c>
      <c r="B25" s="23">
        <f t="shared" si="2"/>
        <v>101.89100000000001</v>
      </c>
      <c r="C25" s="23">
        <v>2374.4160000000002</v>
      </c>
      <c r="D25" s="23">
        <v>42.447928674564004</v>
      </c>
      <c r="E25" s="23">
        <f t="shared" si="3"/>
        <v>2518.7549286745643</v>
      </c>
      <c r="F25" s="23">
        <f t="shared" si="0"/>
        <v>1394.0783954758404</v>
      </c>
      <c r="G25" s="23">
        <v>0</v>
      </c>
      <c r="H25" s="23">
        <f t="shared" si="4"/>
        <v>1394.0783954758404</v>
      </c>
      <c r="I25" s="23">
        <v>989.25653319872401</v>
      </c>
      <c r="J25" s="23">
        <f t="shared" si="1"/>
        <v>2383.3349286745643</v>
      </c>
      <c r="K25" s="23">
        <v>135.41999999999999</v>
      </c>
      <c r="L25" s="24">
        <v>25.3</v>
      </c>
      <c r="M25" s="99" t="s">
        <v>229</v>
      </c>
    </row>
    <row r="26" spans="1:13">
      <c r="A26" s="10" t="s">
        <v>14</v>
      </c>
      <c r="B26" s="23">
        <f t="shared" ref="B26:B31" si="5">+K25</f>
        <v>135.41999999999999</v>
      </c>
      <c r="C26" s="23">
        <v>2501.3969999999999</v>
      </c>
      <c r="D26" s="23">
        <v>17.533043505054</v>
      </c>
      <c r="E26" s="23">
        <f t="shared" si="3"/>
        <v>2654.3500435050541</v>
      </c>
      <c r="F26" s="23">
        <f t="shared" ref="F26:F31" si="6">+J26-I26</f>
        <v>1416.9118689254624</v>
      </c>
      <c r="G26" s="23">
        <v>0</v>
      </c>
      <c r="H26" s="23">
        <f t="shared" si="4"/>
        <v>1416.9118689254624</v>
      </c>
      <c r="I26" s="23">
        <v>970.07917457959184</v>
      </c>
      <c r="J26" s="23">
        <f t="shared" si="1"/>
        <v>2386.9910435050542</v>
      </c>
      <c r="K26" s="23">
        <v>267.35899999999998</v>
      </c>
      <c r="L26" s="24">
        <v>17.809999999999999</v>
      </c>
      <c r="M26" s="99" t="s">
        <v>229</v>
      </c>
    </row>
    <row r="27" spans="1:13">
      <c r="A27" s="10" t="s">
        <v>397</v>
      </c>
      <c r="B27" s="23">
        <f t="shared" si="5"/>
        <v>267.35899999999998</v>
      </c>
      <c r="C27" s="23">
        <v>2403.192</v>
      </c>
      <c r="D27" s="23">
        <v>27.287245834379998</v>
      </c>
      <c r="E27" s="23">
        <f t="shared" si="3"/>
        <v>2697.8382458343799</v>
      </c>
      <c r="F27" s="23">
        <f t="shared" si="6"/>
        <v>1630.443410628096</v>
      </c>
      <c r="G27" s="23">
        <v>0</v>
      </c>
      <c r="H27" s="23">
        <f t="shared" si="4"/>
        <v>1630.443410628096</v>
      </c>
      <c r="I27" s="23">
        <v>950.78583520628399</v>
      </c>
      <c r="J27" s="23">
        <f t="shared" si="1"/>
        <v>2581.22924583438</v>
      </c>
      <c r="K27" s="23">
        <v>116.60899999999999</v>
      </c>
      <c r="L27" s="24">
        <v>13.54</v>
      </c>
      <c r="M27" s="99" t="s">
        <v>229</v>
      </c>
    </row>
    <row r="28" spans="1:13">
      <c r="A28" s="10" t="s">
        <v>210</v>
      </c>
      <c r="B28" s="23">
        <f t="shared" si="5"/>
        <v>116.60899999999999</v>
      </c>
      <c r="C28" s="23">
        <v>2461.4560000000001</v>
      </c>
      <c r="D28" s="23">
        <v>61.393407356357997</v>
      </c>
      <c r="E28" s="23">
        <f t="shared" si="3"/>
        <v>2639.4584073563578</v>
      </c>
      <c r="F28" s="23">
        <f t="shared" si="6"/>
        <v>1363.0188588097576</v>
      </c>
      <c r="G28" s="23">
        <v>0</v>
      </c>
      <c r="H28" s="23">
        <f t="shared" si="4"/>
        <v>1363.0188588097576</v>
      </c>
      <c r="I28" s="23">
        <v>1172.3745485466002</v>
      </c>
      <c r="J28" s="23">
        <f t="shared" si="1"/>
        <v>2535.3934073563578</v>
      </c>
      <c r="K28" s="23">
        <v>104.065</v>
      </c>
      <c r="L28" s="24">
        <v>19.14</v>
      </c>
      <c r="M28" s="99" t="s">
        <v>229</v>
      </c>
    </row>
    <row r="29" spans="1:13">
      <c r="A29" s="10" t="s">
        <v>217</v>
      </c>
      <c r="B29" s="23">
        <f t="shared" si="5"/>
        <v>104.065</v>
      </c>
      <c r="C29" s="23">
        <v>2453.0439999999999</v>
      </c>
      <c r="D29" s="23">
        <v>65.615917668335996</v>
      </c>
      <c r="E29" s="23">
        <f t="shared" si="3"/>
        <v>2622.7249176683358</v>
      </c>
      <c r="F29" s="23">
        <f t="shared" si="6"/>
        <v>1615.0979483683259</v>
      </c>
      <c r="G29" s="23">
        <v>0</v>
      </c>
      <c r="H29" s="23">
        <f t="shared" si="4"/>
        <v>1615.0979483683259</v>
      </c>
      <c r="I29" s="23">
        <v>888.27296930001</v>
      </c>
      <c r="J29" s="23">
        <f t="shared" si="1"/>
        <v>2503.370917668336</v>
      </c>
      <c r="K29" s="23">
        <v>119.354</v>
      </c>
      <c r="L29" s="24">
        <v>28.17</v>
      </c>
      <c r="M29" s="99" t="s">
        <v>229</v>
      </c>
    </row>
    <row r="30" spans="1:13">
      <c r="A30" s="10" t="s">
        <v>398</v>
      </c>
      <c r="B30" s="23">
        <f t="shared" si="5"/>
        <v>119.354</v>
      </c>
      <c r="C30" s="23">
        <v>2396.4520000000002</v>
      </c>
      <c r="D30" s="23">
        <v>66.015042435216003</v>
      </c>
      <c r="E30" s="23">
        <f t="shared" si="3"/>
        <v>2581.821042435216</v>
      </c>
      <c r="F30" s="23">
        <f t="shared" si="6"/>
        <v>1662.059957777708</v>
      </c>
      <c r="G30" s="23">
        <v>0</v>
      </c>
      <c r="H30" s="23">
        <f t="shared" si="4"/>
        <v>1662.059957777708</v>
      </c>
      <c r="I30" s="23">
        <v>766.88308465750799</v>
      </c>
      <c r="J30" s="23">
        <f t="shared" si="1"/>
        <v>2428.9430424352158</v>
      </c>
      <c r="K30" s="23">
        <v>152.87799999999999</v>
      </c>
      <c r="L30" s="24">
        <v>28.43</v>
      </c>
      <c r="M30" s="99" t="s">
        <v>229</v>
      </c>
    </row>
    <row r="31" spans="1:13">
      <c r="A31" s="10" t="s">
        <v>222</v>
      </c>
      <c r="B31" s="23">
        <f t="shared" si="5"/>
        <v>152.87799999999999</v>
      </c>
      <c r="C31" s="23">
        <v>2396.105</v>
      </c>
      <c r="D31" s="23">
        <v>49.0514064957</v>
      </c>
      <c r="E31" s="23">
        <f t="shared" ref="E31:E36" si="7">+B31+C31+D31</f>
        <v>2598.0344064957003</v>
      </c>
      <c r="F31" s="23">
        <f t="shared" si="6"/>
        <v>1653.0855688741904</v>
      </c>
      <c r="G31" s="23">
        <v>0</v>
      </c>
      <c r="H31" s="23">
        <f t="shared" si="4"/>
        <v>1653.0855688741904</v>
      </c>
      <c r="I31" s="23">
        <v>789.40283762151012</v>
      </c>
      <c r="J31" s="23">
        <f t="shared" si="1"/>
        <v>2442.4884064957005</v>
      </c>
      <c r="K31" s="23">
        <v>155.54599999999999</v>
      </c>
      <c r="L31" s="24">
        <v>27.86</v>
      </c>
      <c r="M31" s="99" t="s">
        <v>229</v>
      </c>
    </row>
    <row r="32" spans="1:13">
      <c r="A32" s="10" t="s">
        <v>225</v>
      </c>
      <c r="B32" s="23">
        <f t="shared" ref="B32:B37" si="8">+K31</f>
        <v>155.54599999999999</v>
      </c>
      <c r="C32" s="23">
        <v>2482.7339999999999</v>
      </c>
      <c r="D32" s="23">
        <v>45.018266599656002</v>
      </c>
      <c r="E32" s="23">
        <f t="shared" si="7"/>
        <v>2683.2982665996556</v>
      </c>
      <c r="F32" s="23">
        <f t="shared" ref="F32:F39" si="9">+J32-I32</f>
        <v>1684.6369031388035</v>
      </c>
      <c r="G32" s="23">
        <v>0</v>
      </c>
      <c r="H32" s="23">
        <f t="shared" si="4"/>
        <v>1684.6369031388035</v>
      </c>
      <c r="I32" s="23">
        <v>798.77636346085228</v>
      </c>
      <c r="J32" s="23">
        <f t="shared" si="1"/>
        <v>2483.4132665996558</v>
      </c>
      <c r="K32" s="23">
        <v>199.88499999999999</v>
      </c>
      <c r="L32" s="24">
        <v>25.18</v>
      </c>
      <c r="M32" s="99" t="s">
        <v>229</v>
      </c>
    </row>
    <row r="33" spans="1:21">
      <c r="A33" s="10" t="s">
        <v>227</v>
      </c>
      <c r="B33" s="23">
        <f t="shared" si="8"/>
        <v>199.88499999999999</v>
      </c>
      <c r="C33" s="23">
        <v>2560.2550000000001</v>
      </c>
      <c r="D33" s="23">
        <v>43.093466247005999</v>
      </c>
      <c r="E33" s="23">
        <f t="shared" si="7"/>
        <v>2803.2334662470062</v>
      </c>
      <c r="F33" s="23">
        <f t="shared" si="9"/>
        <v>1831.6070154047379</v>
      </c>
      <c r="G33" s="23">
        <v>0</v>
      </c>
      <c r="H33" s="23">
        <f t="shared" si="4"/>
        <v>1831.6070154047379</v>
      </c>
      <c r="I33" s="23">
        <v>792.96945084226809</v>
      </c>
      <c r="J33" s="23">
        <f t="shared" si="1"/>
        <v>2624.576466247006</v>
      </c>
      <c r="K33" s="23">
        <v>178.65700000000001</v>
      </c>
      <c r="L33" s="24">
        <v>31.81</v>
      </c>
      <c r="M33" s="99" t="s">
        <v>229</v>
      </c>
    </row>
    <row r="34" spans="1:21">
      <c r="A34" s="10" t="s">
        <v>230</v>
      </c>
      <c r="B34" s="23">
        <f t="shared" si="8"/>
        <v>178.65700000000001</v>
      </c>
      <c r="C34" s="23">
        <v>2506.8400499999998</v>
      </c>
      <c r="D34" s="23">
        <v>45.188242955856005</v>
      </c>
      <c r="E34" s="23">
        <f t="shared" si="7"/>
        <v>2730.6852929558559</v>
      </c>
      <c r="F34" s="23">
        <f t="shared" si="9"/>
        <v>1756.0666496253439</v>
      </c>
      <c r="G34" s="23">
        <v>0</v>
      </c>
      <c r="H34" s="23">
        <f t="shared" si="4"/>
        <v>1756.0666496253439</v>
      </c>
      <c r="I34" s="23">
        <v>769.257643330512</v>
      </c>
      <c r="J34" s="23">
        <f t="shared" si="1"/>
        <v>2525.324292955856</v>
      </c>
      <c r="K34" s="23">
        <v>205.36099999999999</v>
      </c>
      <c r="L34" s="24">
        <v>69.400000000000006</v>
      </c>
      <c r="M34" s="99" t="s">
        <v>229</v>
      </c>
    </row>
    <row r="35" spans="1:21">
      <c r="A35" s="10" t="s">
        <v>231</v>
      </c>
      <c r="B35" s="23">
        <f t="shared" si="8"/>
        <v>205.36099999999999</v>
      </c>
      <c r="C35" s="23">
        <v>2418.4557500000001</v>
      </c>
      <c r="D35" s="23">
        <v>43.485108526818003</v>
      </c>
      <c r="E35" s="23">
        <f t="shared" si="7"/>
        <v>2667.3018585268178</v>
      </c>
      <c r="F35" s="23">
        <f t="shared" si="9"/>
        <v>1567.7993531418733</v>
      </c>
      <c r="G35" s="23">
        <v>0</v>
      </c>
      <c r="H35" s="23">
        <f t="shared" si="4"/>
        <v>1567.7993531418733</v>
      </c>
      <c r="I35" s="23">
        <v>813.70250538494417</v>
      </c>
      <c r="J35" s="23">
        <f t="shared" si="1"/>
        <v>2381.5018585268176</v>
      </c>
      <c r="K35" s="23">
        <v>285.8</v>
      </c>
      <c r="L35" s="24">
        <v>32.75</v>
      </c>
      <c r="M35" s="99" t="s">
        <v>229</v>
      </c>
    </row>
    <row r="36" spans="1:21">
      <c r="A36" s="10" t="s">
        <v>234</v>
      </c>
      <c r="B36" s="23">
        <f t="shared" si="8"/>
        <v>285.8</v>
      </c>
      <c r="C36" s="23">
        <v>2485.1489999999999</v>
      </c>
      <c r="D36" s="23">
        <v>37.046113143858008</v>
      </c>
      <c r="E36" s="23">
        <f t="shared" si="7"/>
        <v>2807.9951131438579</v>
      </c>
      <c r="F36" s="23">
        <f t="shared" si="9"/>
        <v>1895.0803012535878</v>
      </c>
      <c r="G36" s="23">
        <v>102</v>
      </c>
      <c r="H36" s="23">
        <f t="shared" si="4"/>
        <v>1793.0803012535878</v>
      </c>
      <c r="I36" s="23">
        <v>774.09081189027006</v>
      </c>
      <c r="J36" s="23">
        <f t="shared" si="1"/>
        <v>2669.1711131438578</v>
      </c>
      <c r="K36" s="23">
        <v>138.82400000000001</v>
      </c>
      <c r="L36" s="24">
        <v>39.29</v>
      </c>
      <c r="M36" s="99" t="s">
        <v>229</v>
      </c>
    </row>
    <row r="37" spans="1:21">
      <c r="A37" s="10" t="s">
        <v>236</v>
      </c>
      <c r="B37" s="23">
        <f t="shared" si="8"/>
        <v>138.82400000000001</v>
      </c>
      <c r="C37" s="23">
        <v>3650</v>
      </c>
      <c r="D37" s="23">
        <v>47.564953339931989</v>
      </c>
      <c r="E37" s="23">
        <f t="shared" ref="E37:E42" si="10">+B37+C37+D37</f>
        <v>3836.388953339932</v>
      </c>
      <c r="F37" s="23">
        <f t="shared" si="9"/>
        <v>2804.644150177066</v>
      </c>
      <c r="G37" s="23">
        <v>261</v>
      </c>
      <c r="H37" s="23">
        <f t="shared" si="4"/>
        <v>2543.644150177066</v>
      </c>
      <c r="I37" s="23">
        <v>791.74480316286599</v>
      </c>
      <c r="J37" s="23">
        <f t="shared" si="1"/>
        <v>3596.388953339932</v>
      </c>
      <c r="K37" s="23">
        <v>240</v>
      </c>
      <c r="L37" s="24">
        <v>60.76</v>
      </c>
      <c r="M37" s="99" t="s">
        <v>229</v>
      </c>
    </row>
    <row r="38" spans="1:21">
      <c r="A38" s="10" t="s">
        <v>239</v>
      </c>
      <c r="B38" s="23">
        <f>+K37</f>
        <v>240</v>
      </c>
      <c r="C38" s="23">
        <v>3625</v>
      </c>
      <c r="D38" s="23">
        <v>45.753717475746001</v>
      </c>
      <c r="E38" s="23">
        <f t="shared" si="10"/>
        <v>3910.7537174757458</v>
      </c>
      <c r="F38" s="23">
        <f t="shared" si="9"/>
        <v>2742.3548912957858</v>
      </c>
      <c r="G38" s="23">
        <v>575</v>
      </c>
      <c r="H38" s="23">
        <f t="shared" si="4"/>
        <v>2167.3548912957858</v>
      </c>
      <c r="I38" s="23">
        <v>1003.3988261799599</v>
      </c>
      <c r="J38" s="23">
        <f t="shared" si="1"/>
        <v>3745.7537174757458</v>
      </c>
      <c r="K38" s="23">
        <v>165</v>
      </c>
      <c r="L38" s="24">
        <v>56.09</v>
      </c>
      <c r="M38" s="99" t="s">
        <v>229</v>
      </c>
    </row>
    <row r="39" spans="1:21">
      <c r="A39" s="10" t="s">
        <v>241</v>
      </c>
      <c r="B39" s="23">
        <f>+K38</f>
        <v>165</v>
      </c>
      <c r="C39" s="23">
        <v>3685</v>
      </c>
      <c r="D39" s="23">
        <v>60.04575499708799</v>
      </c>
      <c r="E39" s="23">
        <f t="shared" si="10"/>
        <v>3910.0457549970879</v>
      </c>
      <c r="F39" s="23">
        <f t="shared" si="9"/>
        <v>2726.2658212555179</v>
      </c>
      <c r="G39" s="23">
        <v>918</v>
      </c>
      <c r="H39" s="23">
        <f t="shared" si="4"/>
        <v>1808.2658212555179</v>
      </c>
      <c r="I39" s="23">
        <v>1018.7799337415701</v>
      </c>
      <c r="J39" s="23">
        <f t="shared" si="1"/>
        <v>3745.0457549970879</v>
      </c>
      <c r="K39" s="23">
        <v>165</v>
      </c>
      <c r="L39" s="24">
        <v>46.66</v>
      </c>
      <c r="M39" s="24">
        <v>36.770000000000003</v>
      </c>
    </row>
    <row r="40" spans="1:21">
      <c r="A40" s="10" t="s">
        <v>253</v>
      </c>
      <c r="B40" s="23">
        <f>+K39</f>
        <v>165</v>
      </c>
      <c r="C40" s="23">
        <v>3890</v>
      </c>
      <c r="D40" s="23">
        <v>42.076685762118004</v>
      </c>
      <c r="E40" s="23">
        <f t="shared" si="10"/>
        <v>4097.0766857621184</v>
      </c>
      <c r="F40" s="23">
        <f t="shared" ref="F40:F48" si="11">+J40-I40</f>
        <v>2927.9301510077485</v>
      </c>
      <c r="G40" s="23">
        <v>1010.76</v>
      </c>
      <c r="H40" s="23">
        <f t="shared" si="4"/>
        <v>1917.1701510077485</v>
      </c>
      <c r="I40" s="23">
        <v>1004.1465347543701</v>
      </c>
      <c r="J40" s="23">
        <f t="shared" si="1"/>
        <v>3932.0766857621184</v>
      </c>
      <c r="K40" s="23">
        <v>165</v>
      </c>
      <c r="L40" s="24">
        <v>39.43</v>
      </c>
      <c r="M40" s="24">
        <v>31.55</v>
      </c>
    </row>
    <row r="41" spans="1:21">
      <c r="A41" s="10" t="s">
        <v>258</v>
      </c>
      <c r="B41" s="23">
        <f t="shared" ref="B41:B48" si="12">+K40</f>
        <v>165</v>
      </c>
      <c r="C41" s="23">
        <v>4740</v>
      </c>
      <c r="D41" s="23">
        <v>38.809559416950002</v>
      </c>
      <c r="E41" s="23">
        <f t="shared" si="10"/>
        <v>4943.8095594169499</v>
      </c>
      <c r="F41" s="23">
        <f t="shared" si="11"/>
        <v>3870.2191376859719</v>
      </c>
      <c r="G41" s="23">
        <v>1030.8900000000001</v>
      </c>
      <c r="H41" s="23">
        <f t="shared" si="4"/>
        <v>2839.3291376859715</v>
      </c>
      <c r="I41" s="23">
        <v>908.59042173097805</v>
      </c>
      <c r="J41" s="23">
        <f t="shared" si="1"/>
        <v>4778.8095594169499</v>
      </c>
      <c r="K41" s="23">
        <v>165</v>
      </c>
      <c r="L41" s="24">
        <v>37.479999999999997</v>
      </c>
      <c r="M41" s="24">
        <v>26.82</v>
      </c>
    </row>
    <row r="42" spans="1:21">
      <c r="A42" s="10" t="s">
        <v>265</v>
      </c>
      <c r="B42" s="23">
        <f t="shared" si="12"/>
        <v>165</v>
      </c>
      <c r="C42" s="23">
        <v>5300</v>
      </c>
      <c r="D42" s="23">
        <v>83.430314425480006</v>
      </c>
      <c r="E42" s="23">
        <f t="shared" si="10"/>
        <v>5548.43031442548</v>
      </c>
      <c r="F42" s="23">
        <f t="shared" si="11"/>
        <v>4289.43031442548</v>
      </c>
      <c r="G42" s="23">
        <v>1205.93</v>
      </c>
      <c r="H42" s="23">
        <f t="shared" si="4"/>
        <v>3083.5003144254797</v>
      </c>
      <c r="I42" s="23">
        <v>1094</v>
      </c>
      <c r="J42" s="23">
        <f t="shared" si="1"/>
        <v>5383.43031442548</v>
      </c>
      <c r="K42" s="23">
        <v>165</v>
      </c>
      <c r="L42" s="24">
        <v>39.25</v>
      </c>
      <c r="M42" s="24">
        <v>26.21</v>
      </c>
    </row>
    <row r="43" spans="1:21">
      <c r="A43" s="10" t="s">
        <v>262</v>
      </c>
      <c r="B43" s="23">
        <f t="shared" si="12"/>
        <v>165</v>
      </c>
      <c r="C43" s="23">
        <v>5850</v>
      </c>
      <c r="D43" s="23">
        <v>73.525276643720005</v>
      </c>
      <c r="E43" s="23">
        <f>+B43+C43+D43</f>
        <v>6088.5252766437197</v>
      </c>
      <c r="F43" s="23">
        <f t="shared" si="11"/>
        <v>4841.3898220697201</v>
      </c>
      <c r="G43" s="23">
        <v>1669.845</v>
      </c>
      <c r="H43" s="23">
        <f t="shared" si="4"/>
        <v>3171.5448220697199</v>
      </c>
      <c r="I43" s="23">
        <v>1119.985454574</v>
      </c>
      <c r="J43" s="23">
        <f t="shared" si="1"/>
        <v>5961.3752766437201</v>
      </c>
      <c r="K43" s="23">
        <v>127.15</v>
      </c>
      <c r="L43" s="263">
        <v>37.408749999999998</v>
      </c>
      <c r="M43" s="24">
        <v>28.133278508771934</v>
      </c>
    </row>
    <row r="44" spans="1:21">
      <c r="A44" s="30" t="s">
        <v>270</v>
      </c>
      <c r="B44" s="23">
        <f t="shared" si="12"/>
        <v>127.15</v>
      </c>
      <c r="C44" s="23">
        <v>6066.1379999999999</v>
      </c>
      <c r="D44" s="23">
        <v>62.467523445600001</v>
      </c>
      <c r="E44" s="23">
        <f>+B44+C44+D44</f>
        <v>6255.7555234455995</v>
      </c>
      <c r="F44" s="23">
        <f t="shared" si="11"/>
        <v>5422.883950611199</v>
      </c>
      <c r="G44" s="211">
        <v>2336.1190000000001</v>
      </c>
      <c r="H44" s="211">
        <f t="shared" si="4"/>
        <v>3086.7649506111989</v>
      </c>
      <c r="I44" s="23">
        <v>728.41857283440004</v>
      </c>
      <c r="J44" s="23">
        <f t="shared" si="1"/>
        <v>6151.302523445599</v>
      </c>
      <c r="K44" s="23">
        <v>104.453</v>
      </c>
      <c r="L44" s="263">
        <v>30.394791666666663</v>
      </c>
      <c r="M44" s="263">
        <v>24.56</v>
      </c>
      <c r="N44" s="190"/>
      <c r="O44" s="294"/>
      <c r="P44" s="40"/>
      <c r="Q44" s="360"/>
      <c r="R44" s="316"/>
      <c r="S44" s="336"/>
      <c r="U44" s="336"/>
    </row>
    <row r="45" spans="1:21">
      <c r="A45" s="30" t="s">
        <v>295</v>
      </c>
      <c r="B45" s="23">
        <f t="shared" si="12"/>
        <v>104.453</v>
      </c>
      <c r="C45" s="23">
        <v>5764.6880000000001</v>
      </c>
      <c r="D45" s="23">
        <v>64.352034331200002</v>
      </c>
      <c r="E45" s="23">
        <f t="shared" ref="E45:E49" si="13">+B45+C45+D45</f>
        <v>5933.4930343312008</v>
      </c>
      <c r="F45" s="23">
        <f t="shared" si="11"/>
        <v>5278.8582748472008</v>
      </c>
      <c r="G45" s="211">
        <v>2825.5</v>
      </c>
      <c r="H45" s="211">
        <f t="shared" si="4"/>
        <v>2453.3582748472008</v>
      </c>
      <c r="I45" s="23">
        <v>573.02975948400001</v>
      </c>
      <c r="J45" s="23">
        <f t="shared" si="1"/>
        <v>5851.8880343312012</v>
      </c>
      <c r="K45" s="23">
        <v>81.605000000000004</v>
      </c>
      <c r="L45" s="263">
        <v>26.93416666666667</v>
      </c>
      <c r="M45" s="263">
        <v>25.091999999999999</v>
      </c>
      <c r="N45" s="190"/>
      <c r="O45" s="294"/>
      <c r="P45" s="40"/>
      <c r="Q45" s="360"/>
      <c r="R45" s="316"/>
      <c r="S45" s="336"/>
      <c r="U45" s="336"/>
    </row>
    <row r="46" spans="1:21">
      <c r="A46" s="30" t="s">
        <v>334</v>
      </c>
      <c r="B46" s="23">
        <f t="shared" si="12"/>
        <v>81.605000000000004</v>
      </c>
      <c r="C46" s="23">
        <v>5394.1009999999997</v>
      </c>
      <c r="D46" s="23">
        <v>54.213639139800009</v>
      </c>
      <c r="E46" s="23">
        <f t="shared" si="13"/>
        <v>5529.9196391397991</v>
      </c>
      <c r="F46" s="23">
        <f t="shared" si="11"/>
        <v>4945.6847410109995</v>
      </c>
      <c r="G46" s="211">
        <v>2296.6030000000001</v>
      </c>
      <c r="H46" s="211">
        <f t="shared" si="4"/>
        <v>2649.0817410109994</v>
      </c>
      <c r="I46" s="23">
        <v>482.23989812879995</v>
      </c>
      <c r="J46" s="23">
        <f>+E46-K46</f>
        <v>5427.9246391397992</v>
      </c>
      <c r="K46" s="23">
        <v>101.995</v>
      </c>
      <c r="L46" s="263">
        <v>39.538333333333334</v>
      </c>
      <c r="M46" s="263">
        <v>26.123000000000001</v>
      </c>
      <c r="N46" s="190"/>
      <c r="O46" s="294"/>
      <c r="P46" s="40"/>
      <c r="Q46" s="360"/>
      <c r="R46" s="316"/>
      <c r="S46" s="336"/>
      <c r="U46" s="336"/>
    </row>
    <row r="47" spans="1:21">
      <c r="A47" s="254" t="s">
        <v>350</v>
      </c>
      <c r="B47" s="23">
        <f t="shared" si="12"/>
        <v>101.995</v>
      </c>
      <c r="C47" s="23">
        <v>5723.7129999999997</v>
      </c>
      <c r="D47" s="23">
        <v>51.294278687400002</v>
      </c>
      <c r="E47" s="23">
        <f t="shared" si="13"/>
        <v>5877.0022786873997</v>
      </c>
      <c r="F47" s="211">
        <f t="shared" si="11"/>
        <v>5297.1449928814</v>
      </c>
      <c r="G47" s="211">
        <v>2486.1309999999999</v>
      </c>
      <c r="H47" s="211">
        <f t="shared" si="4"/>
        <v>2811.0139928814001</v>
      </c>
      <c r="I47" s="23">
        <v>423.88928580599998</v>
      </c>
      <c r="J47" s="211">
        <f>+E47-K47</f>
        <v>5721.0342786873998</v>
      </c>
      <c r="K47" s="211">
        <f>155.968</f>
        <v>155.96799999999999</v>
      </c>
      <c r="L47" s="263">
        <v>54.403333333333336</v>
      </c>
      <c r="M47" s="263">
        <v>47.792999999999999</v>
      </c>
      <c r="N47" s="190"/>
      <c r="O47" s="294"/>
      <c r="P47" s="40"/>
      <c r="R47" s="316"/>
      <c r="S47" s="336"/>
      <c r="U47" s="336"/>
    </row>
    <row r="48" spans="1:21">
      <c r="A48" s="254" t="s">
        <v>513</v>
      </c>
      <c r="B48" s="23">
        <f t="shared" si="12"/>
        <v>155.96799999999999</v>
      </c>
      <c r="C48" s="211">
        <v>6088.0839999999998</v>
      </c>
      <c r="D48" s="23">
        <v>155.4659751204</v>
      </c>
      <c r="E48" s="211">
        <f t="shared" si="13"/>
        <v>6399.5179751203996</v>
      </c>
      <c r="F48" s="211">
        <f t="shared" si="11"/>
        <v>5979.9375779343991</v>
      </c>
      <c r="G48" s="211">
        <v>3027.606843</v>
      </c>
      <c r="H48" s="211">
        <f t="shared" si="4"/>
        <v>2952.3307349343991</v>
      </c>
      <c r="I48" s="23">
        <v>271.307397186</v>
      </c>
      <c r="J48" s="211">
        <f>+E48-K48</f>
        <v>6251.2449751203994</v>
      </c>
      <c r="K48" s="23">
        <v>148.273</v>
      </c>
      <c r="L48" s="263">
        <v>64.267208333333329</v>
      </c>
      <c r="M48" s="263">
        <v>70.611000000000004</v>
      </c>
      <c r="N48" s="190"/>
      <c r="O48" s="294"/>
      <c r="P48" s="40"/>
      <c r="R48" s="316"/>
      <c r="S48" s="336"/>
      <c r="U48" s="336"/>
    </row>
    <row r="49" spans="1:14">
      <c r="A49" s="256" t="s">
        <v>628</v>
      </c>
      <c r="B49" s="291">
        <f>K48</f>
        <v>148.273</v>
      </c>
      <c r="C49" s="291">
        <v>6100</v>
      </c>
      <c r="D49" s="291">
        <v>200</v>
      </c>
      <c r="E49" s="291">
        <f t="shared" si="13"/>
        <v>6448.2730000000001</v>
      </c>
      <c r="F49" s="291">
        <f>SUM(G49:H49)</f>
        <v>5978</v>
      </c>
      <c r="G49" s="291">
        <v>3050</v>
      </c>
      <c r="H49" s="291">
        <v>2928</v>
      </c>
      <c r="I49" s="291">
        <v>320</v>
      </c>
      <c r="J49" s="291">
        <f>SUM(F49,I49)</f>
        <v>6298</v>
      </c>
      <c r="K49" s="291">
        <f>E49-J49</f>
        <v>150.27300000000014</v>
      </c>
      <c r="L49" s="241">
        <v>62</v>
      </c>
      <c r="M49" s="241">
        <v>68</v>
      </c>
      <c r="N49" s="190"/>
    </row>
    <row r="50" spans="1:14">
      <c r="A50" s="61" t="s">
        <v>542</v>
      </c>
      <c r="B50" s="23"/>
      <c r="C50" s="23"/>
      <c r="D50" s="23"/>
      <c r="E50" s="23"/>
      <c r="F50" s="23"/>
      <c r="G50" s="23"/>
      <c r="H50" s="211"/>
      <c r="I50" s="23"/>
      <c r="J50" s="23"/>
      <c r="K50" s="23"/>
      <c r="L50" s="24"/>
      <c r="M50" s="24"/>
    </row>
    <row r="51" spans="1:14">
      <c r="A51" s="30" t="s">
        <v>518</v>
      </c>
      <c r="B51" s="23"/>
      <c r="C51" s="23"/>
      <c r="D51" s="23"/>
      <c r="E51" s="23"/>
      <c r="F51" s="23"/>
      <c r="G51" s="23"/>
      <c r="H51" s="211"/>
      <c r="I51" s="23"/>
      <c r="J51" s="23"/>
      <c r="K51" s="23"/>
      <c r="L51" s="24"/>
      <c r="M51" s="24"/>
    </row>
    <row r="52" spans="1:14" ht="13.15" customHeight="1">
      <c r="A52" s="52" t="s">
        <v>546</v>
      </c>
    </row>
    <row r="53" spans="1:14" ht="13.15" customHeight="1">
      <c r="A53" t="s">
        <v>704</v>
      </c>
    </row>
    <row r="54" spans="1:14" ht="13.15" customHeight="1">
      <c r="A54" t="s">
        <v>705</v>
      </c>
    </row>
    <row r="55" spans="1:14" ht="13.15" customHeight="1">
      <c r="A55" s="10" t="s">
        <v>524</v>
      </c>
    </row>
    <row r="56" spans="1:14">
      <c r="A56" s="52" t="s">
        <v>688</v>
      </c>
    </row>
    <row r="57" spans="1:14">
      <c r="A57" t="s">
        <v>700</v>
      </c>
      <c r="M57" s="55"/>
      <c r="N57" s="55"/>
    </row>
    <row r="58" spans="1:14">
      <c r="A58" t="s">
        <v>712</v>
      </c>
    </row>
    <row r="59" spans="1:14" ht="10.15" customHeight="1">
      <c r="M59" s="225" t="s">
        <v>592</v>
      </c>
      <c r="N59" s="78"/>
    </row>
  </sheetData>
  <phoneticPr fontId="0" type="noConversion"/>
  <pageMargins left="0.75" right="0.75" top="1" bottom="1" header="0.5" footer="0.5"/>
  <pageSetup scale="66" firstPageNumber="33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O54"/>
  <sheetViews>
    <sheetView zoomScaleNormal="100" zoomScaleSheetLayoutView="100" workbookViewId="0">
      <pane ySplit="3" topLeftCell="A4" activePane="bottomLeft" state="frozen"/>
      <selection activeCell="N55" sqref="A1:N55"/>
      <selection pane="bottomLeft"/>
    </sheetView>
  </sheetViews>
  <sheetFormatPr defaultRowHeight="11.25"/>
  <cols>
    <col min="1" max="1" width="52.83203125" customWidth="1"/>
    <col min="2" max="2" width="25.33203125" customWidth="1"/>
    <col min="3" max="14" width="9.6640625" customWidth="1"/>
  </cols>
  <sheetData>
    <row r="1" spans="1:15">
      <c r="A1" s="223" t="s">
        <v>650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>
      <c r="C2" s="92"/>
      <c r="D2" s="92"/>
      <c r="E2" s="92"/>
      <c r="F2" s="92"/>
      <c r="G2" s="92"/>
      <c r="H2" s="175">
        <v>2014</v>
      </c>
      <c r="I2" s="92"/>
      <c r="J2" s="92"/>
      <c r="K2" s="92"/>
      <c r="L2" s="92"/>
      <c r="M2" s="92"/>
      <c r="N2" s="4"/>
    </row>
    <row r="3" spans="1:15">
      <c r="A3" s="1" t="s">
        <v>425</v>
      </c>
      <c r="B3" s="88" t="s">
        <v>198</v>
      </c>
      <c r="C3" s="92" t="s">
        <v>105</v>
      </c>
      <c r="D3" s="92" t="s">
        <v>106</v>
      </c>
      <c r="E3" s="92" t="s">
        <v>107</v>
      </c>
      <c r="F3" s="92" t="s">
        <v>108</v>
      </c>
      <c r="G3" s="92" t="s">
        <v>100</v>
      </c>
      <c r="H3" s="92" t="s">
        <v>715</v>
      </c>
      <c r="I3" s="92" t="s">
        <v>716</v>
      </c>
      <c r="J3" s="92" t="s">
        <v>109</v>
      </c>
      <c r="K3" s="92" t="s">
        <v>110</v>
      </c>
      <c r="L3" s="92" t="s">
        <v>102</v>
      </c>
      <c r="M3" s="92" t="s">
        <v>103</v>
      </c>
      <c r="N3" s="92" t="s">
        <v>104</v>
      </c>
      <c r="O3" s="7"/>
    </row>
    <row r="4" spans="1:15">
      <c r="A4" s="173" t="s">
        <v>194</v>
      </c>
    </row>
    <row r="5" spans="1:15">
      <c r="A5" s="173" t="s">
        <v>713</v>
      </c>
    </row>
    <row r="6" spans="1:15">
      <c r="A6" t="s">
        <v>48</v>
      </c>
      <c r="B6" t="s">
        <v>371</v>
      </c>
      <c r="C6" s="40">
        <v>19.8</v>
      </c>
      <c r="D6" s="40">
        <v>18.5</v>
      </c>
      <c r="E6" s="40">
        <v>18.399999999999999</v>
      </c>
      <c r="F6" s="40">
        <v>19.5</v>
      </c>
      <c r="G6" s="40">
        <v>21.7</v>
      </c>
      <c r="H6" s="40">
        <v>20.8</v>
      </c>
      <c r="I6" s="40">
        <v>20.7</v>
      </c>
      <c r="J6" s="40">
        <v>17.8</v>
      </c>
      <c r="K6" s="40">
        <v>16.2</v>
      </c>
      <c r="L6" s="40">
        <v>15.6</v>
      </c>
      <c r="M6" s="40">
        <v>17.100000000000001</v>
      </c>
      <c r="N6" s="40">
        <v>16.600000000000001</v>
      </c>
    </row>
    <row r="7" spans="1:15">
      <c r="A7" t="s">
        <v>47</v>
      </c>
      <c r="B7" t="s">
        <v>355</v>
      </c>
      <c r="C7" s="40">
        <v>230</v>
      </c>
      <c r="D7" s="40">
        <v>226</v>
      </c>
      <c r="E7" s="36" t="s">
        <v>229</v>
      </c>
      <c r="F7" s="36" t="s">
        <v>229</v>
      </c>
      <c r="G7" s="36" t="s">
        <v>229</v>
      </c>
      <c r="H7" s="36" t="s">
        <v>229</v>
      </c>
      <c r="I7" s="36" t="s">
        <v>229</v>
      </c>
      <c r="J7" s="40">
        <v>182</v>
      </c>
      <c r="K7" s="40">
        <v>175</v>
      </c>
      <c r="L7" s="40">
        <v>201</v>
      </c>
      <c r="M7" s="40">
        <v>198</v>
      </c>
      <c r="N7" s="40">
        <v>186</v>
      </c>
    </row>
    <row r="8" spans="1:15">
      <c r="A8" t="s">
        <v>426</v>
      </c>
      <c r="B8" t="s">
        <v>354</v>
      </c>
      <c r="C8" s="40">
        <v>13.8</v>
      </c>
      <c r="D8" s="40">
        <v>13.8</v>
      </c>
      <c r="E8" s="40">
        <v>13.5</v>
      </c>
      <c r="F8" s="40">
        <v>13.9</v>
      </c>
      <c r="G8" s="40">
        <v>14.9</v>
      </c>
      <c r="H8" s="40">
        <v>14.4</v>
      </c>
      <c r="I8" s="40">
        <v>14</v>
      </c>
      <c r="J8" s="40">
        <v>13.3</v>
      </c>
      <c r="K8" s="40">
        <v>11.7</v>
      </c>
      <c r="L8" s="40">
        <v>11.5</v>
      </c>
      <c r="M8" s="40">
        <v>11.6</v>
      </c>
      <c r="N8" s="40">
        <v>11.4</v>
      </c>
    </row>
    <row r="9" spans="1:15">
      <c r="A9" t="s">
        <v>205</v>
      </c>
      <c r="B9" t="s">
        <v>248</v>
      </c>
      <c r="C9" s="40">
        <v>25.4</v>
      </c>
      <c r="D9" s="40">
        <v>24.3</v>
      </c>
      <c r="E9" s="40">
        <v>25</v>
      </c>
      <c r="F9" s="40">
        <v>24.2</v>
      </c>
      <c r="G9" s="40">
        <v>23.7</v>
      </c>
      <c r="H9" s="40">
        <v>20</v>
      </c>
      <c r="I9" s="40">
        <v>21.7</v>
      </c>
      <c r="J9" s="40">
        <v>22.1</v>
      </c>
      <c r="K9" s="40">
        <v>21.5</v>
      </c>
      <c r="L9" s="40">
        <v>21</v>
      </c>
      <c r="M9" s="40">
        <v>21.4</v>
      </c>
      <c r="N9" s="40">
        <v>20.9</v>
      </c>
    </row>
    <row r="10" spans="1:15">
      <c r="A10" t="s">
        <v>204</v>
      </c>
      <c r="B10" t="s">
        <v>354</v>
      </c>
      <c r="C10" s="40">
        <v>12.9</v>
      </c>
      <c r="D10" s="40">
        <v>13.2</v>
      </c>
      <c r="E10" s="40">
        <v>13.7</v>
      </c>
      <c r="F10" s="40">
        <v>14.3</v>
      </c>
      <c r="G10" s="40">
        <v>14.4</v>
      </c>
      <c r="H10" s="40">
        <v>14.3</v>
      </c>
      <c r="I10" s="40">
        <v>13.1</v>
      </c>
      <c r="J10" s="40">
        <v>12.4</v>
      </c>
      <c r="K10" s="40">
        <v>13.3</v>
      </c>
      <c r="L10" s="40">
        <v>12.5</v>
      </c>
      <c r="M10" s="40">
        <v>12.7</v>
      </c>
      <c r="N10" s="40">
        <v>13</v>
      </c>
    </row>
    <row r="11" spans="1:15">
      <c r="A11" t="s">
        <v>427</v>
      </c>
      <c r="B11" t="s">
        <v>371</v>
      </c>
      <c r="C11" s="40">
        <v>19.600000000000001</v>
      </c>
      <c r="D11" s="40">
        <v>22.8</v>
      </c>
      <c r="E11" s="40">
        <v>21.6</v>
      </c>
      <c r="F11" s="40">
        <v>22.3</v>
      </c>
      <c r="G11" s="40">
        <v>24.1</v>
      </c>
      <c r="H11" s="40">
        <v>22.8</v>
      </c>
      <c r="I11" s="40">
        <v>22.1</v>
      </c>
      <c r="J11" s="40">
        <v>22.4</v>
      </c>
      <c r="K11" s="40">
        <v>20.2</v>
      </c>
      <c r="L11" s="40">
        <v>21.7</v>
      </c>
      <c r="M11" s="40">
        <v>20.3</v>
      </c>
      <c r="N11" s="40">
        <v>19.7</v>
      </c>
    </row>
    <row r="12" spans="1:15">
      <c r="A12" t="s">
        <v>548</v>
      </c>
      <c r="B12" t="s">
        <v>371</v>
      </c>
      <c r="C12" s="40">
        <v>18.7</v>
      </c>
      <c r="D12" s="40">
        <v>20</v>
      </c>
      <c r="E12" s="40">
        <v>19.399999999999999</v>
      </c>
      <c r="F12" s="40">
        <v>19.7</v>
      </c>
      <c r="G12" s="40">
        <v>21.7</v>
      </c>
      <c r="H12" s="40">
        <v>20.7</v>
      </c>
      <c r="I12" s="40">
        <v>20.5</v>
      </c>
      <c r="J12" s="40">
        <v>19.399999999999999</v>
      </c>
      <c r="K12" s="40">
        <v>19.3</v>
      </c>
      <c r="L12" s="40">
        <v>18.100000000000001</v>
      </c>
      <c r="M12" s="40">
        <v>17.5</v>
      </c>
      <c r="N12" s="40">
        <v>17.7</v>
      </c>
    </row>
    <row r="13" spans="1:15">
      <c r="A13" t="s">
        <v>428</v>
      </c>
      <c r="B13" t="s">
        <v>371</v>
      </c>
      <c r="C13" s="40">
        <v>34</v>
      </c>
      <c r="D13" s="40">
        <v>32</v>
      </c>
      <c r="E13" s="40">
        <v>33</v>
      </c>
      <c r="F13" s="40">
        <v>32</v>
      </c>
      <c r="G13" s="40">
        <v>30.8</v>
      </c>
      <c r="H13" s="40">
        <v>30.8</v>
      </c>
      <c r="I13" s="40">
        <v>32.4</v>
      </c>
      <c r="J13" s="40">
        <v>31.8</v>
      </c>
      <c r="K13" s="40">
        <v>33.6</v>
      </c>
      <c r="L13" s="40">
        <v>32.799999999999997</v>
      </c>
      <c r="M13" s="40">
        <v>32.6</v>
      </c>
      <c r="N13" s="40">
        <v>31.3</v>
      </c>
    </row>
    <row r="14" spans="1:15">
      <c r="A14" s="173" t="s">
        <v>429</v>
      </c>
    </row>
    <row r="15" spans="1:15">
      <c r="A15" t="s">
        <v>430</v>
      </c>
      <c r="B15" t="s">
        <v>371</v>
      </c>
      <c r="C15" s="40">
        <v>17.13</v>
      </c>
      <c r="D15" s="40">
        <v>17.260000000000002</v>
      </c>
      <c r="E15" s="40">
        <v>19.07</v>
      </c>
      <c r="F15" s="40">
        <v>19.920000000000002</v>
      </c>
      <c r="G15" s="40">
        <v>20.89</v>
      </c>
      <c r="H15" s="40">
        <v>19.25</v>
      </c>
      <c r="I15" s="40">
        <v>18.61</v>
      </c>
      <c r="J15" s="40">
        <v>16.809999999999999</v>
      </c>
      <c r="K15" s="40">
        <v>15.91</v>
      </c>
      <c r="L15" s="40">
        <v>16.41</v>
      </c>
      <c r="M15" s="40">
        <v>17.39</v>
      </c>
      <c r="N15" s="40">
        <v>17.13</v>
      </c>
    </row>
    <row r="16" spans="1:15">
      <c r="A16" t="s">
        <v>431</v>
      </c>
      <c r="B16" t="s">
        <v>355</v>
      </c>
      <c r="C16" s="40">
        <v>320.25</v>
      </c>
      <c r="D16" s="40">
        <v>371.25</v>
      </c>
      <c r="E16" s="40">
        <v>400.5</v>
      </c>
      <c r="F16" s="40">
        <v>421</v>
      </c>
      <c r="G16" s="40">
        <v>451.75</v>
      </c>
      <c r="H16" s="40">
        <v>453.25</v>
      </c>
      <c r="I16" s="40">
        <v>383</v>
      </c>
      <c r="J16" s="40">
        <v>356.25</v>
      </c>
      <c r="K16" s="40">
        <v>346</v>
      </c>
      <c r="L16" s="40">
        <v>236.75</v>
      </c>
      <c r="M16" s="40">
        <v>220</v>
      </c>
      <c r="N16" s="40">
        <v>259</v>
      </c>
    </row>
    <row r="17" spans="1:15">
      <c r="A17" t="s">
        <v>432</v>
      </c>
      <c r="B17" t="s">
        <v>354</v>
      </c>
      <c r="C17" s="40">
        <v>14.07</v>
      </c>
      <c r="D17" s="40">
        <v>14.06</v>
      </c>
      <c r="E17" s="40">
        <v>14.6</v>
      </c>
      <c r="F17" s="40">
        <v>15.48</v>
      </c>
      <c r="G17" s="40">
        <v>15.71</v>
      </c>
      <c r="H17" s="40">
        <v>15.73</v>
      </c>
      <c r="I17" s="40">
        <v>14.8</v>
      </c>
      <c r="J17" s="40">
        <v>13.82</v>
      </c>
      <c r="K17" s="40">
        <v>13.2</v>
      </c>
      <c r="L17" s="40">
        <v>12.84</v>
      </c>
      <c r="M17" s="40">
        <v>13</v>
      </c>
      <c r="N17" s="40">
        <v>12.89</v>
      </c>
    </row>
    <row r="18" spans="1:15">
      <c r="A18" t="s">
        <v>433</v>
      </c>
      <c r="B18" t="s">
        <v>354</v>
      </c>
      <c r="C18" s="40">
        <v>12.93</v>
      </c>
      <c r="D18" s="40">
        <v>13.43</v>
      </c>
      <c r="E18" s="40">
        <v>14.17</v>
      </c>
      <c r="F18" s="40">
        <v>14.89</v>
      </c>
      <c r="G18" s="40">
        <v>14.91</v>
      </c>
      <c r="H18" s="40">
        <v>14.45</v>
      </c>
      <c r="I18" s="40">
        <v>12.85</v>
      </c>
      <c r="J18" s="40">
        <v>12.38</v>
      </c>
      <c r="K18" s="40">
        <v>10.37</v>
      </c>
      <c r="L18" s="40">
        <v>9.4</v>
      </c>
      <c r="M18" s="40">
        <v>10.15</v>
      </c>
      <c r="N18" s="40">
        <v>10.23</v>
      </c>
    </row>
    <row r="19" spans="1:15">
      <c r="A19" t="s">
        <v>434</v>
      </c>
      <c r="B19" t="s">
        <v>354</v>
      </c>
      <c r="C19" s="40">
        <v>14.05</v>
      </c>
      <c r="D19" s="40">
        <v>14.47</v>
      </c>
      <c r="E19" s="40">
        <v>15.12</v>
      </c>
      <c r="F19" s="40">
        <v>15.59</v>
      </c>
      <c r="G19" s="40">
        <v>15.58</v>
      </c>
      <c r="H19" s="40">
        <v>15.07</v>
      </c>
      <c r="I19" s="40">
        <v>13.62</v>
      </c>
      <c r="J19" s="40">
        <v>13.71</v>
      </c>
      <c r="K19">
        <v>11.12</v>
      </c>
      <c r="L19">
        <v>10.84</v>
      </c>
      <c r="M19">
        <v>11.41</v>
      </c>
      <c r="N19">
        <v>11.23</v>
      </c>
    </row>
    <row r="20" spans="1:15">
      <c r="A20" t="s">
        <v>435</v>
      </c>
      <c r="B20" t="s">
        <v>371</v>
      </c>
      <c r="C20" s="40">
        <v>19.260000000000002</v>
      </c>
      <c r="D20" s="40">
        <v>19.690000000000001</v>
      </c>
      <c r="E20" s="40">
        <v>20.49</v>
      </c>
      <c r="F20" s="40">
        <v>21.43</v>
      </c>
      <c r="G20" s="40">
        <v>21.25</v>
      </c>
      <c r="H20" s="40">
        <v>21.39</v>
      </c>
      <c r="I20" s="40">
        <v>19.96</v>
      </c>
      <c r="J20" s="40">
        <v>17.78</v>
      </c>
      <c r="K20">
        <v>17.420000000000002</v>
      </c>
      <c r="L20">
        <v>17.3</v>
      </c>
      <c r="M20">
        <v>17.54</v>
      </c>
      <c r="N20">
        <v>18.53</v>
      </c>
    </row>
    <row r="21" spans="1:15">
      <c r="A21" s="173" t="s">
        <v>195</v>
      </c>
    </row>
    <row r="22" spans="1:15">
      <c r="A22" s="173" t="s">
        <v>436</v>
      </c>
    </row>
    <row r="23" spans="1:15">
      <c r="A23" t="s">
        <v>437</v>
      </c>
      <c r="B23" t="s">
        <v>248</v>
      </c>
      <c r="C23" s="40">
        <v>39.75</v>
      </c>
      <c r="D23" s="40">
        <v>42.56</v>
      </c>
      <c r="E23" s="40">
        <v>45.75</v>
      </c>
      <c r="F23" s="40">
        <v>47.63</v>
      </c>
      <c r="G23" s="40">
        <v>47.5</v>
      </c>
      <c r="H23" s="40">
        <v>46</v>
      </c>
      <c r="I23" s="40">
        <v>43.63</v>
      </c>
      <c r="J23" s="40">
        <v>40.1</v>
      </c>
      <c r="K23" s="40">
        <v>38.94</v>
      </c>
      <c r="L23" s="40">
        <v>39.450000000000003</v>
      </c>
      <c r="M23" s="40">
        <v>38.94</v>
      </c>
      <c r="N23" s="40">
        <v>39.25</v>
      </c>
      <c r="O23" s="36"/>
    </row>
    <row r="24" spans="1:15">
      <c r="A24" t="s">
        <v>488</v>
      </c>
      <c r="B24" t="s">
        <v>248</v>
      </c>
      <c r="C24" s="40">
        <v>59.7</v>
      </c>
      <c r="D24" s="40">
        <v>63</v>
      </c>
      <c r="E24" s="40">
        <v>65.38</v>
      </c>
      <c r="F24" s="40">
        <v>62.75</v>
      </c>
      <c r="G24" s="40">
        <v>65.7</v>
      </c>
      <c r="H24" s="40">
        <v>65.31</v>
      </c>
      <c r="I24" s="40">
        <v>62.88</v>
      </c>
      <c r="J24" s="40">
        <v>56.6</v>
      </c>
      <c r="K24" s="40">
        <v>55.31</v>
      </c>
      <c r="L24" s="40">
        <v>53.75</v>
      </c>
      <c r="M24" s="40">
        <v>55.69</v>
      </c>
      <c r="N24" s="40">
        <v>56.5</v>
      </c>
      <c r="O24" s="36"/>
    </row>
    <row r="25" spans="1:15">
      <c r="A25" t="s">
        <v>438</v>
      </c>
      <c r="B25" t="s">
        <v>248</v>
      </c>
      <c r="C25" s="40">
        <v>38.79</v>
      </c>
      <c r="D25" s="40">
        <v>41.07</v>
      </c>
      <c r="E25" s="40">
        <v>43.19</v>
      </c>
      <c r="F25" s="40">
        <v>41.94</v>
      </c>
      <c r="G25" s="40">
        <v>41.02</v>
      </c>
      <c r="H25" s="40">
        <v>40.01</v>
      </c>
      <c r="I25" s="40">
        <v>39.020000000000003</v>
      </c>
      <c r="J25" s="40">
        <v>38</v>
      </c>
      <c r="K25" s="40">
        <v>35.17</v>
      </c>
      <c r="L25">
        <v>34.5</v>
      </c>
      <c r="M25">
        <v>33.96</v>
      </c>
      <c r="N25">
        <v>33.68</v>
      </c>
      <c r="O25" s="36"/>
    </row>
    <row r="26" spans="1:15">
      <c r="A26" t="s">
        <v>489</v>
      </c>
      <c r="B26" t="s">
        <v>248</v>
      </c>
      <c r="C26" s="40">
        <v>29.78</v>
      </c>
      <c r="D26" s="40">
        <v>31.22</v>
      </c>
      <c r="E26" s="40">
        <v>33.92</v>
      </c>
      <c r="F26" s="40">
        <v>34.770000000000003</v>
      </c>
      <c r="G26" s="40">
        <v>35.520000000000003</v>
      </c>
      <c r="H26" s="40">
        <v>35.119999999999997</v>
      </c>
      <c r="I26" s="40">
        <v>32.28</v>
      </c>
      <c r="J26" s="40">
        <v>29.57</v>
      </c>
      <c r="K26" s="40">
        <v>28.02</v>
      </c>
      <c r="L26" s="40">
        <v>28.13</v>
      </c>
      <c r="M26" s="40">
        <v>30.1</v>
      </c>
      <c r="N26" s="40">
        <v>30.017857142857142</v>
      </c>
      <c r="O26" s="36"/>
    </row>
    <row r="27" spans="1:15">
      <c r="A27" t="s">
        <v>439</v>
      </c>
      <c r="B27" t="s">
        <v>248</v>
      </c>
      <c r="C27" s="40">
        <v>47.1</v>
      </c>
      <c r="D27" s="40">
        <v>57.8125</v>
      </c>
      <c r="E27" s="40">
        <v>69.9375</v>
      </c>
      <c r="F27" s="40">
        <v>75</v>
      </c>
      <c r="G27" s="40">
        <v>84.25</v>
      </c>
      <c r="H27" s="40">
        <v>83.3125</v>
      </c>
      <c r="I27" s="40">
        <v>73.150000000000006</v>
      </c>
      <c r="J27" s="40">
        <v>61.25</v>
      </c>
      <c r="K27" s="40">
        <v>49.625</v>
      </c>
      <c r="L27" s="40">
        <v>41.45</v>
      </c>
      <c r="M27" s="40">
        <v>40.75</v>
      </c>
      <c r="N27" s="40">
        <v>40.3125</v>
      </c>
      <c r="O27" s="36"/>
    </row>
    <row r="28" spans="1:15">
      <c r="A28" t="s">
        <v>440</v>
      </c>
      <c r="B28" t="s">
        <v>248</v>
      </c>
      <c r="C28" s="40">
        <v>33</v>
      </c>
      <c r="D28" s="40">
        <v>38</v>
      </c>
      <c r="E28" s="40">
        <v>40.67</v>
      </c>
      <c r="F28" s="40">
        <v>53</v>
      </c>
      <c r="G28" s="147" t="s">
        <v>229</v>
      </c>
      <c r="H28" s="40">
        <v>45</v>
      </c>
      <c r="I28" s="147" t="s">
        <v>229</v>
      </c>
      <c r="J28" s="40">
        <v>46.5</v>
      </c>
      <c r="K28" s="40">
        <v>50.67</v>
      </c>
      <c r="L28" s="40">
        <v>48</v>
      </c>
      <c r="M28" s="40">
        <v>42.81</v>
      </c>
      <c r="N28" s="40">
        <v>35.909999999999997</v>
      </c>
      <c r="O28" s="36"/>
    </row>
    <row r="29" spans="1:15">
      <c r="A29" t="s">
        <v>490</v>
      </c>
      <c r="B29" t="s">
        <v>248</v>
      </c>
      <c r="C29" s="40">
        <v>40.9</v>
      </c>
      <c r="D29" s="40">
        <v>42.5</v>
      </c>
      <c r="E29" s="40">
        <v>45</v>
      </c>
      <c r="F29" s="40">
        <v>43.44</v>
      </c>
      <c r="G29" s="40">
        <v>42.4</v>
      </c>
      <c r="H29" s="40">
        <v>40.380000000000003</v>
      </c>
      <c r="I29" s="40">
        <v>40.630000000000003</v>
      </c>
      <c r="J29" s="40">
        <v>38.35</v>
      </c>
      <c r="K29" s="40">
        <v>36.56</v>
      </c>
      <c r="L29" s="40">
        <v>37</v>
      </c>
      <c r="M29" s="40">
        <v>36.94</v>
      </c>
      <c r="N29" s="40">
        <v>34.19</v>
      </c>
      <c r="O29" s="36"/>
    </row>
    <row r="30" spans="1:15">
      <c r="A30" t="s">
        <v>491</v>
      </c>
      <c r="B30" t="s">
        <v>248</v>
      </c>
      <c r="C30" s="40">
        <v>46.6</v>
      </c>
      <c r="D30" s="40">
        <v>47.25</v>
      </c>
      <c r="E30" s="40">
        <v>49.75</v>
      </c>
      <c r="F30" s="40">
        <v>48.75</v>
      </c>
      <c r="G30" s="40">
        <v>48.45</v>
      </c>
      <c r="H30" s="40">
        <v>46.19</v>
      </c>
      <c r="I30" s="40">
        <v>45.5</v>
      </c>
      <c r="J30" s="40">
        <v>43.8</v>
      </c>
      <c r="K30" s="40">
        <v>42.63</v>
      </c>
      <c r="L30" s="40">
        <v>43</v>
      </c>
      <c r="M30" s="40">
        <v>41.94</v>
      </c>
      <c r="N30" s="40">
        <v>40</v>
      </c>
      <c r="O30" s="36"/>
    </row>
    <row r="31" spans="1:15">
      <c r="A31" t="s">
        <v>492</v>
      </c>
      <c r="B31" t="s">
        <v>248</v>
      </c>
      <c r="C31" s="40">
        <v>65.7</v>
      </c>
      <c r="D31" s="40">
        <v>62.0625</v>
      </c>
      <c r="E31" s="40">
        <v>59.0625</v>
      </c>
      <c r="F31" s="40">
        <v>57.75</v>
      </c>
      <c r="G31" s="40">
        <v>57.2</v>
      </c>
      <c r="H31" s="40">
        <v>58.25</v>
      </c>
      <c r="I31" s="40">
        <v>58.625</v>
      </c>
      <c r="J31" s="40">
        <v>62.8</v>
      </c>
      <c r="K31" s="40">
        <v>61.75</v>
      </c>
      <c r="L31" s="40">
        <v>59.95</v>
      </c>
      <c r="M31" s="40">
        <v>60.625</v>
      </c>
      <c r="N31" s="40">
        <v>60.125</v>
      </c>
      <c r="O31" s="36"/>
    </row>
    <row r="32" spans="1:15">
      <c r="A32" t="s">
        <v>493</v>
      </c>
      <c r="B32" t="s">
        <v>248</v>
      </c>
      <c r="C32" s="40">
        <v>34.950000000000003</v>
      </c>
      <c r="D32" s="40">
        <v>37.11</v>
      </c>
      <c r="E32" s="40">
        <v>40.82</v>
      </c>
      <c r="F32" s="40">
        <v>41.87</v>
      </c>
      <c r="G32" s="40">
        <v>40.68</v>
      </c>
      <c r="H32" s="40">
        <v>39.840000000000003</v>
      </c>
      <c r="I32" s="40">
        <v>37.6</v>
      </c>
      <c r="J32" s="40">
        <v>35.04</v>
      </c>
      <c r="K32" s="40">
        <v>33.99</v>
      </c>
      <c r="L32" s="40">
        <v>34.1</v>
      </c>
      <c r="M32" s="40">
        <v>33.450000000000003</v>
      </c>
      <c r="N32" s="40">
        <v>32.56</v>
      </c>
      <c r="O32" s="36"/>
    </row>
    <row r="33" spans="1:15">
      <c r="A33" t="s">
        <v>441</v>
      </c>
      <c r="B33" t="s">
        <v>248</v>
      </c>
      <c r="C33" s="40">
        <v>57</v>
      </c>
      <c r="D33" s="40">
        <v>57</v>
      </c>
      <c r="E33" s="40">
        <v>58</v>
      </c>
      <c r="F33" s="40">
        <v>59</v>
      </c>
      <c r="G33" s="40">
        <v>59</v>
      </c>
      <c r="H33" s="40">
        <v>57.5</v>
      </c>
      <c r="I33" s="40">
        <v>61</v>
      </c>
      <c r="J33" s="40">
        <v>63</v>
      </c>
      <c r="K33" s="40">
        <v>63</v>
      </c>
      <c r="L33" s="40">
        <v>63</v>
      </c>
      <c r="M33" s="40">
        <v>61.75</v>
      </c>
      <c r="N33" s="40">
        <v>58</v>
      </c>
      <c r="O33" s="36"/>
    </row>
    <row r="34" spans="1:15">
      <c r="A34" t="s">
        <v>442</v>
      </c>
      <c r="B34" t="s">
        <v>248</v>
      </c>
      <c r="C34" s="40">
        <v>35.840000000000003</v>
      </c>
      <c r="D34" s="40">
        <v>35.67</v>
      </c>
      <c r="E34" s="40">
        <v>41.63</v>
      </c>
      <c r="F34" s="40">
        <v>45.5</v>
      </c>
      <c r="G34" s="40">
        <v>47</v>
      </c>
      <c r="H34" s="40">
        <v>42</v>
      </c>
      <c r="I34" s="40">
        <v>40.83</v>
      </c>
      <c r="J34" s="40">
        <v>40.9</v>
      </c>
      <c r="K34" s="40">
        <v>36.07</v>
      </c>
      <c r="L34" s="40">
        <v>30.33</v>
      </c>
      <c r="M34" s="40">
        <v>35.049999999999997</v>
      </c>
      <c r="N34" s="40">
        <v>36.11</v>
      </c>
      <c r="O34" s="36"/>
    </row>
    <row r="35" spans="1:15">
      <c r="A35" s="52" t="s">
        <v>443</v>
      </c>
      <c r="B35" t="s">
        <v>248</v>
      </c>
      <c r="C35" s="40">
        <v>27</v>
      </c>
      <c r="D35" s="40">
        <v>27.44</v>
      </c>
      <c r="E35" s="40">
        <v>32</v>
      </c>
      <c r="F35" s="40">
        <v>34.299999999999997</v>
      </c>
      <c r="G35" s="40">
        <v>36.090000000000003</v>
      </c>
      <c r="H35" s="40">
        <v>35.81</v>
      </c>
      <c r="I35" s="40">
        <v>34.6</v>
      </c>
      <c r="J35" s="40">
        <v>30.94</v>
      </c>
      <c r="K35" s="40">
        <v>28.05</v>
      </c>
      <c r="L35" s="40">
        <v>26.06</v>
      </c>
      <c r="M35" s="40">
        <v>27.09</v>
      </c>
      <c r="N35" s="40">
        <v>26.38</v>
      </c>
      <c r="O35" s="36"/>
    </row>
    <row r="36" spans="1:15">
      <c r="A36" s="52" t="s">
        <v>235</v>
      </c>
      <c r="B36" s="52" t="s">
        <v>372</v>
      </c>
      <c r="C36" s="40">
        <v>3.347</v>
      </c>
      <c r="D36" s="40">
        <v>3.3812500000000001</v>
      </c>
      <c r="E36" s="40">
        <v>3.6737500000000001</v>
      </c>
      <c r="F36" s="40">
        <v>3.7450000000000001</v>
      </c>
      <c r="G36" s="40">
        <v>3.7509999999999999</v>
      </c>
      <c r="H36" s="40">
        <v>3.7250000000000001</v>
      </c>
      <c r="I36" s="40">
        <v>3.6625000000000001</v>
      </c>
      <c r="J36" s="40">
        <v>3.4919999999999995</v>
      </c>
      <c r="K36" s="40">
        <v>3.36625</v>
      </c>
      <c r="L36" s="40">
        <v>3.1390000000000002</v>
      </c>
      <c r="M36" s="40">
        <v>3.1174999999999997</v>
      </c>
      <c r="N36" s="40">
        <v>3.0274999999999999</v>
      </c>
    </row>
    <row r="37" spans="1:15">
      <c r="A37" s="173" t="s">
        <v>196</v>
      </c>
    </row>
    <row r="38" spans="1:15">
      <c r="A38" t="s">
        <v>494</v>
      </c>
      <c r="B38" t="s">
        <v>355</v>
      </c>
      <c r="C38">
        <v>365.48</v>
      </c>
      <c r="D38">
        <v>384.21</v>
      </c>
      <c r="E38">
        <v>383.68</v>
      </c>
      <c r="F38">
        <v>398.39</v>
      </c>
      <c r="G38">
        <v>407.14</v>
      </c>
      <c r="H38">
        <v>387.65</v>
      </c>
      <c r="I38">
        <v>317.81</v>
      </c>
      <c r="J38">
        <v>303.74</v>
      </c>
      <c r="K38">
        <v>316.94</v>
      </c>
      <c r="L38">
        <v>301.75</v>
      </c>
      <c r="M38">
        <v>356.31</v>
      </c>
      <c r="N38">
        <v>349.31</v>
      </c>
    </row>
    <row r="39" spans="1:15">
      <c r="A39" t="s">
        <v>495</v>
      </c>
      <c r="B39" t="s">
        <v>355</v>
      </c>
      <c r="C39" s="40">
        <v>375.63</v>
      </c>
      <c r="D39" s="40">
        <v>388.75</v>
      </c>
      <c r="E39" s="40">
        <v>401.25</v>
      </c>
      <c r="F39" s="40">
        <v>405.5</v>
      </c>
      <c r="G39" s="40">
        <v>416.88</v>
      </c>
      <c r="H39" s="40">
        <v>412.5</v>
      </c>
      <c r="I39" s="40">
        <v>359.5</v>
      </c>
      <c r="J39" s="40">
        <v>310</v>
      </c>
      <c r="K39" s="40">
        <v>360.63</v>
      </c>
      <c r="L39" s="40">
        <v>346.88</v>
      </c>
      <c r="M39" s="40">
        <v>313.13</v>
      </c>
      <c r="N39" s="40">
        <v>332.5</v>
      </c>
    </row>
    <row r="40" spans="1:15">
      <c r="A40" t="s">
        <v>496</v>
      </c>
      <c r="B40" t="s">
        <v>355</v>
      </c>
      <c r="C40" s="40">
        <v>330</v>
      </c>
      <c r="D40" s="40">
        <v>377.5</v>
      </c>
      <c r="E40" s="40">
        <v>413.75</v>
      </c>
      <c r="F40" s="40">
        <v>388</v>
      </c>
      <c r="G40" s="40">
        <v>355</v>
      </c>
      <c r="H40" s="40">
        <v>323.75</v>
      </c>
      <c r="I40" s="40">
        <v>295</v>
      </c>
      <c r="J40" s="40">
        <v>252.5</v>
      </c>
      <c r="K40" s="40">
        <v>302.5</v>
      </c>
      <c r="L40" s="40">
        <v>214.38</v>
      </c>
      <c r="M40" s="40">
        <v>283.75</v>
      </c>
      <c r="N40" s="40">
        <v>287.5</v>
      </c>
    </row>
    <row r="41" spans="1:15">
      <c r="A41" t="s">
        <v>444</v>
      </c>
      <c r="B41" t="s">
        <v>355</v>
      </c>
      <c r="C41">
        <v>479.54</v>
      </c>
      <c r="D41">
        <v>509.25</v>
      </c>
      <c r="E41">
        <v>495.71</v>
      </c>
      <c r="F41">
        <v>514.01</v>
      </c>
      <c r="G41">
        <v>519.38</v>
      </c>
      <c r="H41">
        <v>501.72</v>
      </c>
      <c r="I41">
        <v>450.79</v>
      </c>
      <c r="J41">
        <v>490.32</v>
      </c>
      <c r="K41">
        <v>525.72</v>
      </c>
      <c r="L41">
        <v>381.5</v>
      </c>
      <c r="M41">
        <v>441.39</v>
      </c>
      <c r="N41">
        <v>431.73</v>
      </c>
    </row>
    <row r="42" spans="1:15">
      <c r="A42" t="s">
        <v>497</v>
      </c>
      <c r="B42" t="s">
        <v>355</v>
      </c>
      <c r="C42" s="40">
        <v>283.75</v>
      </c>
      <c r="D42" s="40">
        <v>285</v>
      </c>
      <c r="E42" s="40">
        <v>271.25</v>
      </c>
      <c r="F42" s="40">
        <v>267.5</v>
      </c>
      <c r="G42" s="40">
        <v>265</v>
      </c>
      <c r="H42" s="40">
        <v>250</v>
      </c>
      <c r="I42" s="40">
        <v>192.5</v>
      </c>
      <c r="J42" s="40">
        <v>151.25</v>
      </c>
      <c r="K42" s="40">
        <v>139.5</v>
      </c>
      <c r="L42" s="40">
        <v>162.5</v>
      </c>
      <c r="M42" s="40">
        <v>208.13</v>
      </c>
      <c r="N42" s="40">
        <v>245</v>
      </c>
    </row>
    <row r="43" spans="1:15">
      <c r="A43" s="173" t="s">
        <v>233</v>
      </c>
      <c r="O43" s="20"/>
    </row>
    <row r="44" spans="1:15">
      <c r="A44" s="173" t="s">
        <v>445</v>
      </c>
      <c r="O44" s="20"/>
    </row>
    <row r="45" spans="1:15">
      <c r="A45" t="s">
        <v>446</v>
      </c>
      <c r="B45" t="s">
        <v>197</v>
      </c>
      <c r="C45" s="38">
        <v>286.10000000000002</v>
      </c>
      <c r="D45" s="38">
        <v>216</v>
      </c>
      <c r="E45" s="38">
        <v>225.3</v>
      </c>
      <c r="F45" s="38">
        <v>264.2</v>
      </c>
      <c r="G45" s="38">
        <v>323.5</v>
      </c>
      <c r="H45" s="38">
        <v>326.5</v>
      </c>
      <c r="I45" s="38">
        <v>286.2</v>
      </c>
      <c r="J45" s="38">
        <v>279.7</v>
      </c>
      <c r="K45" s="38">
        <v>283.60000000000002</v>
      </c>
      <c r="L45" s="38">
        <v>303.8</v>
      </c>
      <c r="M45" s="38">
        <v>298.89999999999998</v>
      </c>
      <c r="N45" s="38">
        <v>240.6</v>
      </c>
      <c r="O45" s="20"/>
    </row>
    <row r="46" spans="1:15">
      <c r="A46" s="173" t="s">
        <v>447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20"/>
    </row>
    <row r="47" spans="1:15">
      <c r="A47" t="s">
        <v>448</v>
      </c>
      <c r="B47" t="s">
        <v>197</v>
      </c>
      <c r="C47" s="38">
        <v>314.3</v>
      </c>
      <c r="D47" s="38">
        <v>319.2</v>
      </c>
      <c r="E47" s="38">
        <v>320.5</v>
      </c>
      <c r="F47" s="38">
        <v>313.3</v>
      </c>
      <c r="G47" s="38">
        <v>318</v>
      </c>
      <c r="H47" s="38">
        <v>319</v>
      </c>
      <c r="I47" s="38">
        <v>319.5</v>
      </c>
      <c r="J47" s="38">
        <v>319.2</v>
      </c>
      <c r="K47" s="38">
        <v>326.2</v>
      </c>
      <c r="L47" s="38">
        <v>323</v>
      </c>
      <c r="M47" s="38">
        <v>310.89999999999998</v>
      </c>
      <c r="N47" s="38">
        <v>315.60000000000002</v>
      </c>
      <c r="O47" s="20"/>
    </row>
    <row r="48" spans="1:15">
      <c r="A48" t="s">
        <v>449</v>
      </c>
      <c r="B48" t="s">
        <v>197</v>
      </c>
      <c r="C48" s="38">
        <v>260.3</v>
      </c>
      <c r="D48" s="38">
        <v>256</v>
      </c>
      <c r="E48" s="38">
        <v>251</v>
      </c>
      <c r="F48" s="38">
        <v>260.60000000000002</v>
      </c>
      <c r="G48" s="38">
        <v>259.2</v>
      </c>
      <c r="H48" s="38">
        <v>259.3</v>
      </c>
      <c r="I48" s="38">
        <v>258.60000000000002</v>
      </c>
      <c r="J48" s="38">
        <v>258</v>
      </c>
      <c r="K48" s="38">
        <v>255.5</v>
      </c>
      <c r="L48" s="38">
        <v>252.2</v>
      </c>
      <c r="M48" s="38">
        <v>251.3</v>
      </c>
      <c r="N48" s="38">
        <v>251.1</v>
      </c>
      <c r="O48" s="20"/>
    </row>
    <row r="49" spans="1:14">
      <c r="A49" t="s">
        <v>450</v>
      </c>
      <c r="B49" t="s">
        <v>197</v>
      </c>
      <c r="C49" s="38">
        <v>256.5</v>
      </c>
      <c r="D49" s="38">
        <v>256.8</v>
      </c>
      <c r="E49" s="38">
        <v>279.7</v>
      </c>
      <c r="F49" s="38">
        <v>277.5</v>
      </c>
      <c r="G49" s="38">
        <v>272.3</v>
      </c>
      <c r="H49" s="38">
        <v>269.7</v>
      </c>
      <c r="I49" s="38">
        <v>256.39999999999998</v>
      </c>
      <c r="J49" s="38">
        <v>248.7</v>
      </c>
      <c r="K49" s="38">
        <v>231.6</v>
      </c>
      <c r="L49" s="38">
        <v>226.9</v>
      </c>
      <c r="M49" s="38">
        <v>232.1</v>
      </c>
      <c r="N49" s="38">
        <v>225.3</v>
      </c>
    </row>
    <row r="50" spans="1:14">
      <c r="A50" s="1" t="s">
        <v>451</v>
      </c>
      <c r="B50" s="1" t="s">
        <v>240</v>
      </c>
      <c r="C50" s="62">
        <v>147.30000000000001</v>
      </c>
      <c r="D50" s="62">
        <v>147.30000000000001</v>
      </c>
      <c r="E50" s="62">
        <v>147.30000000000001</v>
      </c>
      <c r="F50" s="62">
        <v>147.30000000000001</v>
      </c>
      <c r="G50" s="62">
        <v>147.30000000000001</v>
      </c>
      <c r="H50" s="62">
        <v>147.30000000000001</v>
      </c>
      <c r="I50" s="62">
        <v>147.30000000000001</v>
      </c>
      <c r="J50" s="62">
        <v>147.30000000000001</v>
      </c>
      <c r="K50" s="62">
        <v>147.30000000000001</v>
      </c>
      <c r="L50" s="62">
        <v>135.80000000000001</v>
      </c>
      <c r="M50" s="62">
        <v>135.80000000000001</v>
      </c>
      <c r="N50" s="62">
        <v>135.80000000000001</v>
      </c>
    </row>
    <row r="51" spans="1:14">
      <c r="A51" s="52" t="s">
        <v>549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</row>
    <row r="52" spans="1:14" ht="10.15" customHeight="1">
      <c r="A52" s="52" t="s">
        <v>689</v>
      </c>
      <c r="M52" s="37"/>
    </row>
    <row r="53" spans="1:14">
      <c r="A53" s="52" t="s">
        <v>587</v>
      </c>
      <c r="K53" s="69"/>
      <c r="M53" s="55"/>
    </row>
    <row r="54" spans="1:14">
      <c r="N54" s="225" t="s">
        <v>592</v>
      </c>
    </row>
  </sheetData>
  <phoneticPr fontId="0" type="noConversion"/>
  <pageMargins left="0.75" right="0.75" top="1" bottom="1" header="0.5" footer="0.5"/>
  <pageSetup scale="83" firstPageNumber="35" fitToWidth="0" orientation="landscape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O54"/>
  <sheetViews>
    <sheetView zoomScaleNormal="100" zoomScaleSheetLayoutView="90" workbookViewId="0">
      <pane ySplit="3" topLeftCell="A4" activePane="bottomLeft" state="frozen"/>
      <selection activeCell="N55" sqref="A1:N55"/>
      <selection pane="bottomLeft"/>
    </sheetView>
  </sheetViews>
  <sheetFormatPr defaultRowHeight="11.25"/>
  <cols>
    <col min="1" max="1" width="52.5" customWidth="1"/>
    <col min="2" max="2" width="19.5" bestFit="1" customWidth="1"/>
    <col min="3" max="14" width="9.83203125" customWidth="1"/>
  </cols>
  <sheetData>
    <row r="1" spans="1:14">
      <c r="A1" s="223" t="s">
        <v>650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92"/>
      <c r="D2" s="92"/>
      <c r="E2" s="92"/>
      <c r="F2" s="92"/>
      <c r="G2" s="92"/>
      <c r="H2" s="175">
        <v>2015</v>
      </c>
      <c r="I2" s="92"/>
      <c r="J2" s="92"/>
      <c r="K2" s="92"/>
      <c r="L2" s="92"/>
      <c r="M2" s="92"/>
      <c r="N2" s="4"/>
    </row>
    <row r="3" spans="1:14">
      <c r="A3" s="1" t="s">
        <v>425</v>
      </c>
      <c r="B3" s="88" t="s">
        <v>198</v>
      </c>
      <c r="C3" s="92" t="s">
        <v>105</v>
      </c>
      <c r="D3" s="92" t="s">
        <v>106</v>
      </c>
      <c r="E3" s="92" t="s">
        <v>107</v>
      </c>
      <c r="F3" s="92" t="s">
        <v>108</v>
      </c>
      <c r="G3" s="92" t="s">
        <v>100</v>
      </c>
      <c r="H3" s="92" t="s">
        <v>715</v>
      </c>
      <c r="I3" s="92" t="s">
        <v>716</v>
      </c>
      <c r="J3" s="92" t="s">
        <v>109</v>
      </c>
      <c r="K3" s="92" t="s">
        <v>110</v>
      </c>
      <c r="L3" s="92" t="s">
        <v>102</v>
      </c>
      <c r="M3" s="92" t="s">
        <v>103</v>
      </c>
      <c r="N3" s="92" t="s">
        <v>104</v>
      </c>
    </row>
    <row r="4" spans="1:14">
      <c r="A4" s="173" t="s">
        <v>194</v>
      </c>
    </row>
    <row r="5" spans="1:14">
      <c r="A5" s="173" t="s">
        <v>713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</row>
    <row r="6" spans="1:14">
      <c r="A6" t="s">
        <v>48</v>
      </c>
      <c r="B6" t="s">
        <v>371</v>
      </c>
      <c r="C6" s="40">
        <v>17.8</v>
      </c>
      <c r="D6" s="40">
        <v>17.2</v>
      </c>
      <c r="E6" s="40">
        <v>16.600000000000001</v>
      </c>
      <c r="F6" s="40">
        <v>16.3</v>
      </c>
      <c r="G6" s="40">
        <v>16.7</v>
      </c>
      <c r="H6" s="40">
        <v>17.8</v>
      </c>
      <c r="I6" s="40">
        <v>18.100000000000001</v>
      </c>
      <c r="J6" s="40">
        <v>15.6</v>
      </c>
      <c r="K6" s="40">
        <v>15.1</v>
      </c>
      <c r="L6" s="40">
        <v>14.8</v>
      </c>
      <c r="M6" s="40">
        <v>15.1</v>
      </c>
      <c r="N6" s="40">
        <v>14.9</v>
      </c>
    </row>
    <row r="7" spans="1:14">
      <c r="A7" t="s">
        <v>47</v>
      </c>
      <c r="B7" t="s">
        <v>355</v>
      </c>
      <c r="C7" s="40">
        <v>194</v>
      </c>
      <c r="D7" s="40">
        <v>196</v>
      </c>
      <c r="E7" s="36" t="s">
        <v>229</v>
      </c>
      <c r="F7" s="36" t="s">
        <v>229</v>
      </c>
      <c r="G7" s="36" t="s">
        <v>229</v>
      </c>
      <c r="H7" s="36" t="s">
        <v>229</v>
      </c>
      <c r="I7" s="36" t="s">
        <v>229</v>
      </c>
      <c r="J7" s="40">
        <v>192</v>
      </c>
      <c r="K7" s="40">
        <v>203</v>
      </c>
      <c r="L7" s="40">
        <v>235</v>
      </c>
      <c r="M7" s="40">
        <v>233</v>
      </c>
      <c r="N7" s="40">
        <v>217</v>
      </c>
    </row>
    <row r="8" spans="1:14">
      <c r="A8" t="s">
        <v>426</v>
      </c>
      <c r="B8" t="s">
        <v>354</v>
      </c>
      <c r="C8" s="40">
        <v>11.7</v>
      </c>
      <c r="D8" s="40">
        <v>11.5</v>
      </c>
      <c r="E8" s="40">
        <v>11.5</v>
      </c>
      <c r="F8" s="40">
        <v>12</v>
      </c>
      <c r="G8" s="40">
        <v>12.1</v>
      </c>
      <c r="H8" s="40">
        <v>11.4</v>
      </c>
      <c r="I8" s="40">
        <v>11.5</v>
      </c>
      <c r="J8" s="40">
        <v>10</v>
      </c>
      <c r="K8" s="40">
        <v>9.08</v>
      </c>
      <c r="L8" s="40">
        <v>8.57</v>
      </c>
      <c r="M8" s="40">
        <v>8.7100000000000009</v>
      </c>
      <c r="N8" s="40">
        <v>8.6199999999999992</v>
      </c>
    </row>
    <row r="9" spans="1:14">
      <c r="A9" t="s">
        <v>205</v>
      </c>
      <c r="B9" t="s">
        <v>248</v>
      </c>
      <c r="C9" s="40">
        <v>22.5</v>
      </c>
      <c r="D9" s="40">
        <v>22.2</v>
      </c>
      <c r="E9" s="40">
        <v>22.5</v>
      </c>
      <c r="F9" s="40">
        <v>22.1</v>
      </c>
      <c r="G9" s="40">
        <v>22.5</v>
      </c>
      <c r="H9" s="40">
        <v>21.8</v>
      </c>
      <c r="I9" s="40">
        <v>23</v>
      </c>
      <c r="J9" s="40">
        <v>20.7</v>
      </c>
      <c r="K9" s="40">
        <v>19.600000000000001</v>
      </c>
      <c r="L9" s="40">
        <v>18.8</v>
      </c>
      <c r="M9" s="40">
        <v>18.5</v>
      </c>
      <c r="N9" s="40">
        <v>17.8</v>
      </c>
    </row>
    <row r="10" spans="1:14">
      <c r="A10" t="s">
        <v>204</v>
      </c>
      <c r="B10" t="s">
        <v>354</v>
      </c>
      <c r="C10" s="40">
        <v>10.3</v>
      </c>
      <c r="D10" s="40">
        <v>9.91</v>
      </c>
      <c r="E10" s="40">
        <v>9.85</v>
      </c>
      <c r="F10" s="40">
        <v>9.69</v>
      </c>
      <c r="G10" s="40">
        <v>9.58</v>
      </c>
      <c r="H10" s="40">
        <v>9.58</v>
      </c>
      <c r="I10" s="40">
        <v>9.9499999999999993</v>
      </c>
      <c r="J10" s="40">
        <v>9.7100000000000009</v>
      </c>
      <c r="K10" s="40">
        <v>9.0500000000000007</v>
      </c>
      <c r="L10" s="40">
        <v>8.81</v>
      </c>
      <c r="M10" s="40">
        <v>8.68</v>
      </c>
      <c r="N10" s="40">
        <v>8.76</v>
      </c>
    </row>
    <row r="11" spans="1:14">
      <c r="A11" t="s">
        <v>427</v>
      </c>
      <c r="B11" t="s">
        <v>371</v>
      </c>
      <c r="C11" s="40">
        <v>19.100000000000001</v>
      </c>
      <c r="D11" s="40">
        <v>21.5</v>
      </c>
      <c r="E11" s="40">
        <v>22.5</v>
      </c>
      <c r="F11" s="40">
        <v>23.2</v>
      </c>
      <c r="G11" s="40">
        <v>26.4</v>
      </c>
      <c r="H11" s="40">
        <v>25.4</v>
      </c>
      <c r="I11" s="40">
        <v>26.4</v>
      </c>
      <c r="J11" s="40">
        <v>24.2</v>
      </c>
      <c r="K11" s="40">
        <v>25.1</v>
      </c>
      <c r="L11" s="40">
        <v>18.399999999999999</v>
      </c>
      <c r="M11" s="40">
        <v>18.3</v>
      </c>
      <c r="N11" s="40">
        <v>19.3</v>
      </c>
    </row>
    <row r="12" spans="1:14">
      <c r="A12" t="s">
        <v>548</v>
      </c>
      <c r="B12" t="s">
        <v>371</v>
      </c>
      <c r="C12" s="40">
        <v>18.899999999999999</v>
      </c>
      <c r="D12" s="40">
        <v>19.399999999999999</v>
      </c>
      <c r="E12" s="40">
        <v>20.100000000000001</v>
      </c>
      <c r="F12" s="40">
        <v>21.4</v>
      </c>
      <c r="G12" s="40">
        <v>23.3</v>
      </c>
      <c r="H12" s="40">
        <v>23</v>
      </c>
      <c r="I12" s="40">
        <v>21.8</v>
      </c>
      <c r="J12" s="40">
        <v>21.3</v>
      </c>
      <c r="K12" s="40">
        <v>25.2</v>
      </c>
      <c r="L12" s="40">
        <v>17.5</v>
      </c>
      <c r="M12" s="40">
        <v>17.3</v>
      </c>
      <c r="N12" s="40">
        <v>17.5</v>
      </c>
    </row>
    <row r="13" spans="1:14">
      <c r="A13" t="s">
        <v>428</v>
      </c>
      <c r="B13" t="s">
        <v>371</v>
      </c>
      <c r="C13" s="40">
        <v>25.8</v>
      </c>
      <c r="D13" s="40">
        <v>31.9</v>
      </c>
      <c r="E13" s="40">
        <v>32</v>
      </c>
      <c r="F13" s="40">
        <v>31</v>
      </c>
      <c r="G13" s="40">
        <v>31.4</v>
      </c>
      <c r="H13" s="40">
        <v>29.6</v>
      </c>
      <c r="I13" s="40">
        <v>31.6</v>
      </c>
      <c r="J13" s="40">
        <v>29.1</v>
      </c>
      <c r="K13" s="40">
        <v>24.7</v>
      </c>
      <c r="L13" s="40">
        <v>27.2</v>
      </c>
      <c r="M13" s="40">
        <v>25.8</v>
      </c>
      <c r="N13" s="40">
        <v>28.4</v>
      </c>
    </row>
    <row r="14" spans="1:14">
      <c r="A14" s="173" t="s">
        <v>429</v>
      </c>
    </row>
    <row r="15" spans="1:14">
      <c r="A15" t="s">
        <v>430</v>
      </c>
      <c r="B15" t="s">
        <v>371</v>
      </c>
      <c r="C15" s="40">
        <v>17.05</v>
      </c>
      <c r="D15" s="40">
        <v>16.45</v>
      </c>
      <c r="E15" s="40">
        <v>16.12</v>
      </c>
      <c r="F15" s="40">
        <v>16.05</v>
      </c>
      <c r="G15" s="40">
        <v>16.809999999999999</v>
      </c>
      <c r="H15" s="40">
        <v>17.989999999999998</v>
      </c>
      <c r="I15" s="40">
        <v>17.14</v>
      </c>
      <c r="J15" s="40">
        <v>15.58</v>
      </c>
      <c r="K15" s="40">
        <v>14.06</v>
      </c>
      <c r="L15" s="40">
        <v>14.52</v>
      </c>
      <c r="M15" s="40">
        <v>14.35</v>
      </c>
      <c r="N15" s="40">
        <v>14.85</v>
      </c>
    </row>
    <row r="16" spans="1:14">
      <c r="A16" t="s">
        <v>431</v>
      </c>
      <c r="B16" t="s">
        <v>355</v>
      </c>
      <c r="C16" s="40">
        <v>263.25</v>
      </c>
      <c r="D16" s="40">
        <v>266.5</v>
      </c>
      <c r="E16" s="40">
        <v>277</v>
      </c>
      <c r="F16" s="40">
        <v>270</v>
      </c>
      <c r="G16" s="40">
        <v>297.5</v>
      </c>
      <c r="H16" s="40">
        <v>308.39999999999998</v>
      </c>
      <c r="I16" s="40">
        <v>315</v>
      </c>
      <c r="J16" s="40">
        <v>300.5</v>
      </c>
      <c r="K16" s="40">
        <v>288.75</v>
      </c>
      <c r="L16" s="40">
        <v>276.25</v>
      </c>
      <c r="M16" s="40">
        <v>280</v>
      </c>
      <c r="N16" s="40">
        <v>285</v>
      </c>
    </row>
    <row r="17" spans="1:14">
      <c r="A17" t="s">
        <v>432</v>
      </c>
      <c r="B17" t="s">
        <v>354</v>
      </c>
      <c r="C17" s="40">
        <v>12.75</v>
      </c>
      <c r="D17" s="40">
        <v>12.75</v>
      </c>
      <c r="E17" s="40">
        <v>12.75</v>
      </c>
      <c r="F17" s="40">
        <v>12.59</v>
      </c>
      <c r="G17" s="40">
        <v>12.45</v>
      </c>
      <c r="H17" s="40">
        <v>12.07</v>
      </c>
      <c r="I17" s="40">
        <v>11.75</v>
      </c>
      <c r="J17" s="40">
        <v>11.15</v>
      </c>
      <c r="K17" s="40">
        <v>9.58</v>
      </c>
      <c r="L17" s="40">
        <v>9.2100000000000009</v>
      </c>
      <c r="M17" s="40">
        <v>9.4</v>
      </c>
      <c r="N17" s="40">
        <v>9.27</v>
      </c>
    </row>
    <row r="18" spans="1:14">
      <c r="A18" t="s">
        <v>433</v>
      </c>
      <c r="B18" t="s">
        <v>354</v>
      </c>
      <c r="C18" s="40">
        <v>9.8800000000000008</v>
      </c>
      <c r="D18" s="40">
        <v>10.039999999999999</v>
      </c>
      <c r="E18" s="40">
        <v>9.68</v>
      </c>
      <c r="F18" s="40">
        <v>9.6199999999999992</v>
      </c>
      <c r="G18" s="40">
        <v>9.49</v>
      </c>
      <c r="H18" s="40">
        <v>9.6300000000000008</v>
      </c>
      <c r="I18" s="40">
        <v>10.11</v>
      </c>
      <c r="J18" s="40">
        <v>9.48</v>
      </c>
      <c r="K18" s="40">
        <v>8.6199999999999992</v>
      </c>
      <c r="L18" s="40">
        <v>8.7100000000000009</v>
      </c>
      <c r="M18" s="40">
        <v>8.6</v>
      </c>
      <c r="N18" s="40">
        <v>8.73</v>
      </c>
    </row>
    <row r="19" spans="1:14">
      <c r="A19" t="s">
        <v>434</v>
      </c>
      <c r="B19" t="s">
        <v>354</v>
      </c>
      <c r="C19" s="40">
        <v>10.84</v>
      </c>
      <c r="D19" s="40">
        <v>10.74</v>
      </c>
      <c r="E19" s="40">
        <v>10.52</v>
      </c>
      <c r="F19" s="40">
        <v>10.45</v>
      </c>
      <c r="G19" s="40">
        <v>10.37</v>
      </c>
      <c r="H19" s="40">
        <v>10.48</v>
      </c>
      <c r="I19" s="40">
        <v>10.92</v>
      </c>
      <c r="J19" s="40">
        <v>10</v>
      </c>
      <c r="K19">
        <v>9.69</v>
      </c>
      <c r="L19">
        <v>9.68</v>
      </c>
      <c r="M19">
        <v>9.34</v>
      </c>
      <c r="N19">
        <v>9.44</v>
      </c>
    </row>
    <row r="20" spans="1:14">
      <c r="A20" t="s">
        <v>435</v>
      </c>
      <c r="B20" t="s">
        <v>371</v>
      </c>
      <c r="C20" s="40">
        <v>19.05</v>
      </c>
      <c r="D20" s="40">
        <v>19.100000000000001</v>
      </c>
      <c r="E20" s="40">
        <v>19.239999999999998</v>
      </c>
      <c r="F20" s="40">
        <v>19.82</v>
      </c>
      <c r="G20" s="40">
        <v>21.03</v>
      </c>
      <c r="H20" s="40">
        <v>22.01</v>
      </c>
      <c r="I20" s="40">
        <v>22.95</v>
      </c>
      <c r="J20" s="40">
        <v>19.55</v>
      </c>
      <c r="K20">
        <v>16.71</v>
      </c>
      <c r="L20">
        <v>16.739999999999998</v>
      </c>
      <c r="M20">
        <v>16.59</v>
      </c>
      <c r="N20">
        <v>16.95</v>
      </c>
    </row>
    <row r="21" spans="1:14">
      <c r="A21" s="173" t="s">
        <v>195</v>
      </c>
    </row>
    <row r="22" spans="1:14">
      <c r="A22" s="173" t="s">
        <v>436</v>
      </c>
    </row>
    <row r="23" spans="1:14">
      <c r="A23" t="s">
        <v>437</v>
      </c>
      <c r="B23" t="s">
        <v>248</v>
      </c>
      <c r="C23" s="40">
        <v>38.799999999999997</v>
      </c>
      <c r="D23" s="40">
        <v>38.94</v>
      </c>
      <c r="E23" s="40">
        <v>35.69</v>
      </c>
      <c r="F23" s="40">
        <v>37.19</v>
      </c>
      <c r="G23" s="40">
        <v>38.549999999999997</v>
      </c>
      <c r="H23" s="40">
        <v>40.19</v>
      </c>
      <c r="I23" s="40">
        <v>38.299999999999997</v>
      </c>
      <c r="J23" s="40">
        <v>35.130000000000003</v>
      </c>
      <c r="K23" s="40">
        <v>33.31</v>
      </c>
      <c r="L23" s="40">
        <v>34.200000000000003</v>
      </c>
      <c r="M23" s="40">
        <v>33.630000000000003</v>
      </c>
      <c r="N23" s="40">
        <v>36.5</v>
      </c>
    </row>
    <row r="24" spans="1:14">
      <c r="A24" t="s">
        <v>488</v>
      </c>
      <c r="B24" t="s">
        <v>248</v>
      </c>
      <c r="C24" s="40">
        <v>56.3</v>
      </c>
      <c r="D24" s="40">
        <v>54.94</v>
      </c>
      <c r="E24" s="40">
        <v>52.94</v>
      </c>
      <c r="F24" s="40">
        <v>49.5</v>
      </c>
      <c r="G24" s="40">
        <v>52.25</v>
      </c>
      <c r="H24" s="40">
        <v>53.19</v>
      </c>
      <c r="I24" s="40">
        <v>52.3</v>
      </c>
      <c r="J24" s="40">
        <v>51.56</v>
      </c>
      <c r="K24" s="40">
        <v>50.75</v>
      </c>
      <c r="L24" s="40">
        <v>51.05</v>
      </c>
      <c r="M24" s="40">
        <v>50.31</v>
      </c>
      <c r="N24" s="40">
        <v>52.2</v>
      </c>
    </row>
    <row r="25" spans="1:14">
      <c r="A25" t="s">
        <v>438</v>
      </c>
      <c r="B25" t="s">
        <v>248</v>
      </c>
      <c r="C25" s="40">
        <v>34.86</v>
      </c>
      <c r="D25" s="40">
        <v>36.130000000000003</v>
      </c>
      <c r="E25" s="40">
        <v>37.729999999999997</v>
      </c>
      <c r="F25" s="40">
        <v>39.270000000000003</v>
      </c>
      <c r="G25" s="40">
        <v>39.5</v>
      </c>
      <c r="H25" s="40">
        <v>40.340000000000003</v>
      </c>
      <c r="I25" s="40">
        <v>41.49</v>
      </c>
      <c r="J25" s="40">
        <v>40.75</v>
      </c>
      <c r="K25" s="40">
        <v>37.549999999999997</v>
      </c>
      <c r="L25" s="40">
        <v>36.6</v>
      </c>
      <c r="M25">
        <v>36.43</v>
      </c>
      <c r="N25">
        <v>38.25</v>
      </c>
    </row>
    <row r="26" spans="1:14">
      <c r="A26" t="s">
        <v>489</v>
      </c>
      <c r="B26" t="s">
        <v>248</v>
      </c>
      <c r="C26" s="40">
        <v>27.68</v>
      </c>
      <c r="D26" s="40">
        <v>26.43</v>
      </c>
      <c r="E26" s="40">
        <v>28.13</v>
      </c>
      <c r="F26" s="40">
        <v>26.66</v>
      </c>
      <c r="G26" s="40">
        <v>24.87</v>
      </c>
      <c r="H26" s="40">
        <v>28.38</v>
      </c>
      <c r="I26" s="40">
        <v>25.27</v>
      </c>
      <c r="J26" s="40">
        <v>23.56</v>
      </c>
      <c r="K26" s="40">
        <v>22.63</v>
      </c>
      <c r="L26" s="40">
        <v>23.12</v>
      </c>
      <c r="M26" s="40">
        <v>23.4</v>
      </c>
      <c r="N26" s="40">
        <v>22.08</v>
      </c>
    </row>
    <row r="27" spans="1:14">
      <c r="A27" t="s">
        <v>439</v>
      </c>
      <c r="B27" t="s">
        <v>248</v>
      </c>
      <c r="C27" s="40">
        <v>44.95</v>
      </c>
      <c r="D27" s="40">
        <v>48.81</v>
      </c>
      <c r="E27" s="40">
        <v>46.06</v>
      </c>
      <c r="F27" s="40">
        <v>48.19</v>
      </c>
      <c r="G27" s="40">
        <v>48.9</v>
      </c>
      <c r="H27" s="40">
        <v>49.94</v>
      </c>
      <c r="I27" s="40">
        <v>49.15</v>
      </c>
      <c r="J27" s="40">
        <v>46.25</v>
      </c>
      <c r="K27" s="40">
        <v>44.13</v>
      </c>
      <c r="L27" s="40">
        <v>44.25</v>
      </c>
      <c r="M27" s="40">
        <v>45.19</v>
      </c>
      <c r="N27" s="40">
        <v>48.35</v>
      </c>
    </row>
    <row r="28" spans="1:14">
      <c r="A28" t="s">
        <v>440</v>
      </c>
      <c r="B28" t="s">
        <v>248</v>
      </c>
      <c r="C28" s="40">
        <v>29.5</v>
      </c>
      <c r="D28" s="40">
        <v>28</v>
      </c>
      <c r="E28" s="147" t="s">
        <v>229</v>
      </c>
      <c r="F28" s="40">
        <v>26.64</v>
      </c>
      <c r="G28" s="40">
        <v>28</v>
      </c>
      <c r="H28" s="147" t="s">
        <v>229</v>
      </c>
      <c r="I28" s="36">
        <v>31</v>
      </c>
      <c r="J28" s="40">
        <v>31</v>
      </c>
      <c r="K28" s="147" t="s">
        <v>229</v>
      </c>
      <c r="L28" s="40">
        <v>34.229999999999997</v>
      </c>
      <c r="M28" s="40">
        <v>35.5</v>
      </c>
      <c r="N28" s="40">
        <v>28.8</v>
      </c>
    </row>
    <row r="29" spans="1:14">
      <c r="A29" t="s">
        <v>490</v>
      </c>
      <c r="B29" t="s">
        <v>248</v>
      </c>
      <c r="C29" s="40">
        <v>36.049999999999997</v>
      </c>
      <c r="D29" s="40">
        <v>34.880000000000003</v>
      </c>
      <c r="E29" s="40">
        <v>34.5</v>
      </c>
      <c r="F29" s="40">
        <v>32.380000000000003</v>
      </c>
      <c r="G29" s="40">
        <v>33.049999999999997</v>
      </c>
      <c r="H29" s="40">
        <v>33.19</v>
      </c>
      <c r="I29" s="40">
        <v>32.15</v>
      </c>
      <c r="J29" s="40">
        <v>29.88</v>
      </c>
      <c r="K29" s="40">
        <v>29.25</v>
      </c>
      <c r="L29" s="40">
        <v>30.75</v>
      </c>
      <c r="M29" s="40">
        <v>29.5</v>
      </c>
      <c r="N29" s="40">
        <v>29.6</v>
      </c>
    </row>
    <row r="30" spans="1:14">
      <c r="A30" t="s">
        <v>491</v>
      </c>
      <c r="B30" t="s">
        <v>248</v>
      </c>
      <c r="C30" s="40">
        <v>41</v>
      </c>
      <c r="D30" s="40">
        <v>49.06</v>
      </c>
      <c r="E30" s="40">
        <v>55.31</v>
      </c>
      <c r="F30" s="40">
        <v>43.31</v>
      </c>
      <c r="G30" s="40">
        <v>37.549999999999997</v>
      </c>
      <c r="H30" s="40">
        <v>37</v>
      </c>
      <c r="I30" s="40">
        <v>37.6</v>
      </c>
      <c r="J30" s="40">
        <v>36.25</v>
      </c>
      <c r="K30" s="40">
        <v>36.130000000000003</v>
      </c>
      <c r="L30" s="40">
        <v>36.450000000000003</v>
      </c>
      <c r="M30" s="40">
        <v>36.06</v>
      </c>
      <c r="N30" s="40">
        <v>37.9</v>
      </c>
    </row>
    <row r="31" spans="1:14">
      <c r="A31" t="s">
        <v>492</v>
      </c>
      <c r="B31" t="s">
        <v>248</v>
      </c>
      <c r="C31" s="40">
        <v>56.15</v>
      </c>
      <c r="D31" s="40">
        <v>55.56</v>
      </c>
      <c r="E31" s="40">
        <v>54.69</v>
      </c>
      <c r="F31" s="40">
        <v>54.81</v>
      </c>
      <c r="G31" s="40">
        <v>54.65</v>
      </c>
      <c r="H31" s="40">
        <v>56.31</v>
      </c>
      <c r="I31" s="40">
        <v>58.15</v>
      </c>
      <c r="J31" s="40">
        <v>58.63</v>
      </c>
      <c r="K31" s="40">
        <v>58.69</v>
      </c>
      <c r="L31" s="40">
        <v>57.7</v>
      </c>
      <c r="M31" s="40">
        <v>58.06</v>
      </c>
      <c r="N31" s="40">
        <v>58.5</v>
      </c>
    </row>
    <row r="32" spans="1:14">
      <c r="A32" t="s">
        <v>493</v>
      </c>
      <c r="B32" t="s">
        <v>248</v>
      </c>
      <c r="C32" s="40">
        <v>32.33</v>
      </c>
      <c r="D32" s="40">
        <v>31.57</v>
      </c>
      <c r="E32" s="40">
        <v>30.89</v>
      </c>
      <c r="F32" s="40">
        <v>31.13</v>
      </c>
      <c r="G32" s="40">
        <v>32.65</v>
      </c>
      <c r="H32" s="40">
        <v>33.729999999999997</v>
      </c>
      <c r="I32" s="40">
        <v>31.54</v>
      </c>
      <c r="J32" s="40">
        <v>28.87</v>
      </c>
      <c r="K32" s="40">
        <v>26.43</v>
      </c>
      <c r="L32" s="40">
        <v>27.14</v>
      </c>
      <c r="M32">
        <v>26.42</v>
      </c>
      <c r="N32">
        <v>29.72</v>
      </c>
    </row>
    <row r="33" spans="1:15">
      <c r="A33" t="s">
        <v>441</v>
      </c>
      <c r="B33" t="s">
        <v>248</v>
      </c>
      <c r="C33" s="40">
        <v>63</v>
      </c>
      <c r="D33" s="40">
        <v>65.63</v>
      </c>
      <c r="E33" s="40">
        <v>65.56</v>
      </c>
      <c r="F33" s="40">
        <v>65.5</v>
      </c>
      <c r="G33" s="40">
        <v>65</v>
      </c>
      <c r="H33" s="40">
        <v>69.75</v>
      </c>
      <c r="I33" s="40">
        <v>73.400000000000006</v>
      </c>
      <c r="J33" s="40">
        <v>75</v>
      </c>
      <c r="K33" s="40">
        <v>75</v>
      </c>
      <c r="L33" s="40">
        <v>72</v>
      </c>
      <c r="M33" s="40">
        <v>64.5</v>
      </c>
      <c r="N33" s="40">
        <v>62</v>
      </c>
    </row>
    <row r="34" spans="1:15">
      <c r="A34" t="s">
        <v>442</v>
      </c>
      <c r="B34" t="s">
        <v>248</v>
      </c>
      <c r="C34" s="40">
        <v>31.2</v>
      </c>
      <c r="D34" s="40">
        <v>31.38</v>
      </c>
      <c r="E34" s="40">
        <v>32.299999999999997</v>
      </c>
      <c r="F34" s="40">
        <v>28.58</v>
      </c>
      <c r="G34" s="40">
        <v>31.32</v>
      </c>
      <c r="H34" s="40">
        <v>32.04</v>
      </c>
      <c r="I34" s="40">
        <v>29.75</v>
      </c>
      <c r="J34" s="40">
        <v>30.14</v>
      </c>
      <c r="K34" s="40">
        <v>28.1</v>
      </c>
      <c r="L34" s="40">
        <v>24.61</v>
      </c>
      <c r="M34" s="40">
        <v>21.1</v>
      </c>
      <c r="N34" s="40">
        <v>20.5</v>
      </c>
    </row>
    <row r="35" spans="1:15">
      <c r="A35" s="52" t="s">
        <v>443</v>
      </c>
      <c r="B35" t="s">
        <v>248</v>
      </c>
      <c r="C35" s="40">
        <v>25.47</v>
      </c>
      <c r="D35" s="40">
        <v>25.25</v>
      </c>
      <c r="E35" s="40">
        <v>25.35</v>
      </c>
      <c r="F35" s="40">
        <v>23.16</v>
      </c>
      <c r="G35" s="40">
        <v>23.16</v>
      </c>
      <c r="H35" s="40">
        <v>25.18</v>
      </c>
      <c r="I35" s="40">
        <v>24.88</v>
      </c>
      <c r="J35" s="40">
        <v>23.19</v>
      </c>
      <c r="K35" s="40">
        <v>20.8</v>
      </c>
      <c r="L35" s="40">
        <v>18.440000000000001</v>
      </c>
      <c r="M35" s="40">
        <v>18.190000000000001</v>
      </c>
      <c r="N35" s="40">
        <v>18.09</v>
      </c>
      <c r="O35" s="36"/>
    </row>
    <row r="36" spans="1:15">
      <c r="A36" s="52" t="s">
        <v>235</v>
      </c>
      <c r="B36" s="52" t="s">
        <v>372</v>
      </c>
      <c r="C36" s="40">
        <v>2.9916666666666667</v>
      </c>
      <c r="D36" s="40">
        <v>2.94625</v>
      </c>
      <c r="E36" s="40">
        <v>2.89</v>
      </c>
      <c r="F36" s="40">
        <v>2.88375</v>
      </c>
      <c r="G36" s="40">
        <v>3.097</v>
      </c>
      <c r="H36" s="40">
        <v>3.2362500000000001</v>
      </c>
      <c r="I36" s="40">
        <v>3.0129999999999999</v>
      </c>
      <c r="J36" s="40">
        <v>2.6062500000000002</v>
      </c>
      <c r="K36" s="40">
        <v>2.5237500000000002</v>
      </c>
      <c r="L36" s="40">
        <v>2.5780000000000003</v>
      </c>
      <c r="M36" s="40">
        <v>2.585</v>
      </c>
      <c r="N36" s="40">
        <v>2.7524999999999999</v>
      </c>
      <c r="O36" s="36"/>
    </row>
    <row r="37" spans="1:15">
      <c r="A37" s="173" t="s">
        <v>196</v>
      </c>
    </row>
    <row r="38" spans="1:15">
      <c r="A38" t="s">
        <v>494</v>
      </c>
      <c r="B38" t="s">
        <v>355</v>
      </c>
      <c r="C38">
        <v>311.56</v>
      </c>
      <c r="D38">
        <v>296.20999999999998</v>
      </c>
      <c r="E38">
        <v>279.54000000000002</v>
      </c>
      <c r="F38">
        <v>261.35000000000002</v>
      </c>
      <c r="G38" s="40">
        <v>274.60000000000002</v>
      </c>
      <c r="H38">
        <v>305.85000000000002</v>
      </c>
      <c r="I38">
        <v>328.03</v>
      </c>
      <c r="J38">
        <v>285.83</v>
      </c>
      <c r="K38">
        <v>264.01</v>
      </c>
      <c r="L38">
        <v>257.69</v>
      </c>
      <c r="M38">
        <v>248.98</v>
      </c>
      <c r="N38">
        <v>240.64</v>
      </c>
    </row>
    <row r="39" spans="1:15">
      <c r="A39" t="s">
        <v>495</v>
      </c>
      <c r="B39" t="s">
        <v>355</v>
      </c>
      <c r="C39" s="40">
        <v>313.75</v>
      </c>
      <c r="D39" s="40">
        <v>302.5</v>
      </c>
      <c r="E39" s="40">
        <v>310.5</v>
      </c>
      <c r="F39" s="40">
        <v>288.13</v>
      </c>
      <c r="G39" s="40">
        <v>274.38</v>
      </c>
      <c r="H39" s="40">
        <v>281</v>
      </c>
      <c r="I39" s="40">
        <v>299.38</v>
      </c>
      <c r="J39" s="40">
        <v>295.63</v>
      </c>
      <c r="K39" s="40">
        <v>293.5</v>
      </c>
      <c r="L39" s="40">
        <v>292.5</v>
      </c>
      <c r="M39" s="40">
        <v>291.88</v>
      </c>
      <c r="N39" s="40">
        <v>267.5</v>
      </c>
    </row>
    <row r="40" spans="1:15">
      <c r="A40" t="s">
        <v>496</v>
      </c>
      <c r="B40" t="s">
        <v>355</v>
      </c>
      <c r="C40" s="40">
        <v>250</v>
      </c>
      <c r="D40" s="40">
        <v>230.63</v>
      </c>
      <c r="E40" s="40">
        <v>230.5</v>
      </c>
      <c r="F40" s="40">
        <v>239.38</v>
      </c>
      <c r="G40" s="40">
        <v>256.88</v>
      </c>
      <c r="H40" s="40">
        <v>258</v>
      </c>
      <c r="I40" s="40">
        <v>284.38</v>
      </c>
      <c r="J40" s="40">
        <v>287.5</v>
      </c>
      <c r="K40" s="40">
        <v>256</v>
      </c>
      <c r="L40" s="40">
        <v>215</v>
      </c>
      <c r="M40" s="40">
        <v>209</v>
      </c>
      <c r="N40" s="40">
        <v>200</v>
      </c>
    </row>
    <row r="41" spans="1:15">
      <c r="A41" t="s">
        <v>444</v>
      </c>
      <c r="B41" t="s">
        <v>355</v>
      </c>
      <c r="C41" s="40">
        <v>380.03</v>
      </c>
      <c r="D41" s="40">
        <v>370.38</v>
      </c>
      <c r="E41" s="40">
        <v>357.83</v>
      </c>
      <c r="F41" s="40">
        <v>336.61</v>
      </c>
      <c r="G41" s="40">
        <v>320.23</v>
      </c>
      <c r="H41" s="40">
        <v>335.03</v>
      </c>
      <c r="I41" s="40">
        <v>375.71</v>
      </c>
      <c r="J41" s="40">
        <v>357.85</v>
      </c>
      <c r="K41" s="40">
        <v>333.62</v>
      </c>
      <c r="L41" s="40">
        <v>327.97</v>
      </c>
      <c r="M41" s="40">
        <v>308.60000000000002</v>
      </c>
      <c r="N41" s="40">
        <v>289.77999999999997</v>
      </c>
    </row>
    <row r="42" spans="1:15">
      <c r="A42" t="s">
        <v>497</v>
      </c>
      <c r="B42" t="s">
        <v>355</v>
      </c>
      <c r="C42" s="40">
        <v>247.5</v>
      </c>
      <c r="D42" s="40">
        <v>225.63</v>
      </c>
      <c r="E42" s="40">
        <v>202.5</v>
      </c>
      <c r="F42" s="40">
        <v>202.5</v>
      </c>
      <c r="G42" s="40">
        <v>192.5</v>
      </c>
      <c r="H42" s="40">
        <v>180.5</v>
      </c>
      <c r="I42" s="40">
        <v>214.38</v>
      </c>
      <c r="J42" s="40">
        <v>222.5</v>
      </c>
      <c r="K42" s="40">
        <v>216</v>
      </c>
      <c r="L42" s="40">
        <v>212.5</v>
      </c>
      <c r="M42" s="40">
        <v>187.5</v>
      </c>
      <c r="N42" s="40">
        <v>163.13</v>
      </c>
    </row>
    <row r="43" spans="1:15">
      <c r="A43" s="173" t="s">
        <v>233</v>
      </c>
    </row>
    <row r="44" spans="1:15">
      <c r="A44" s="173" t="s">
        <v>445</v>
      </c>
    </row>
    <row r="45" spans="1:15">
      <c r="A45" t="s">
        <v>446</v>
      </c>
      <c r="B45" t="s">
        <v>197</v>
      </c>
      <c r="C45" s="38">
        <v>213.1</v>
      </c>
      <c r="D45" s="38">
        <v>181</v>
      </c>
      <c r="E45" s="38">
        <v>174</v>
      </c>
      <c r="F45" s="38">
        <v>169.4</v>
      </c>
      <c r="G45" s="38">
        <v>164.7</v>
      </c>
      <c r="H45" s="38">
        <v>170.8</v>
      </c>
      <c r="I45" s="38">
        <v>172</v>
      </c>
      <c r="J45" s="38">
        <v>179.8</v>
      </c>
      <c r="K45" s="38">
        <v>180.3</v>
      </c>
      <c r="L45" s="147" t="s">
        <v>229</v>
      </c>
      <c r="M45" s="147" t="s">
        <v>229</v>
      </c>
      <c r="N45" s="147" t="s">
        <v>229</v>
      </c>
    </row>
    <row r="46" spans="1:15">
      <c r="A46" s="173" t="s">
        <v>447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</row>
    <row r="47" spans="1:15">
      <c r="A47" t="s">
        <v>448</v>
      </c>
      <c r="B47" t="s">
        <v>197</v>
      </c>
      <c r="C47" s="38">
        <v>309.5</v>
      </c>
      <c r="D47" s="38">
        <v>306.5</v>
      </c>
      <c r="E47" s="38">
        <v>310.60000000000002</v>
      </c>
      <c r="F47" s="38">
        <v>310.3</v>
      </c>
      <c r="G47" s="38">
        <v>312.8</v>
      </c>
      <c r="H47" s="38">
        <v>313.89999999999998</v>
      </c>
      <c r="I47" s="38">
        <v>313.39999999999998</v>
      </c>
      <c r="J47" s="38">
        <v>319.8</v>
      </c>
      <c r="K47" s="38">
        <v>322.10000000000002</v>
      </c>
      <c r="L47" s="38">
        <v>321</v>
      </c>
      <c r="M47" s="38">
        <v>325.89999999999998</v>
      </c>
      <c r="N47" s="38">
        <v>322.60000000000002</v>
      </c>
    </row>
    <row r="48" spans="1:15">
      <c r="A48" t="s">
        <v>449</v>
      </c>
      <c r="B48" t="s">
        <v>197</v>
      </c>
      <c r="C48" s="38">
        <v>245.1</v>
      </c>
      <c r="D48" s="38">
        <v>245.7</v>
      </c>
      <c r="E48" s="38">
        <v>246</v>
      </c>
      <c r="F48" s="38">
        <v>243.6</v>
      </c>
      <c r="G48" s="38">
        <v>245.1</v>
      </c>
      <c r="H48" s="38">
        <v>245.6</v>
      </c>
      <c r="I48" s="38">
        <v>246.6</v>
      </c>
      <c r="J48" s="38">
        <v>243.2</v>
      </c>
      <c r="K48" s="38">
        <v>241.9</v>
      </c>
      <c r="L48" s="38">
        <v>239</v>
      </c>
      <c r="M48" s="38">
        <v>239.4</v>
      </c>
      <c r="N48" s="38">
        <v>238.2</v>
      </c>
    </row>
    <row r="49" spans="1:14">
      <c r="A49" t="s">
        <v>450</v>
      </c>
      <c r="B49" t="s">
        <v>197</v>
      </c>
      <c r="C49" s="38">
        <v>223.8</v>
      </c>
      <c r="D49" s="38">
        <v>218.1</v>
      </c>
      <c r="E49" s="38">
        <v>213.6</v>
      </c>
      <c r="F49" s="38">
        <v>215.3</v>
      </c>
      <c r="G49" s="38">
        <v>219.6</v>
      </c>
      <c r="H49" s="38">
        <v>223.3</v>
      </c>
      <c r="I49" s="38">
        <v>213.9</v>
      </c>
      <c r="J49" s="38">
        <v>204.3</v>
      </c>
      <c r="K49" s="38">
        <v>186.5</v>
      </c>
      <c r="L49" s="38">
        <v>180</v>
      </c>
      <c r="M49" s="38">
        <v>173.8</v>
      </c>
      <c r="N49" s="38">
        <v>186.4</v>
      </c>
    </row>
    <row r="50" spans="1:14">
      <c r="A50" s="1" t="s">
        <v>451</v>
      </c>
      <c r="B50" s="1" t="s">
        <v>240</v>
      </c>
      <c r="C50" s="62">
        <v>135.80000000000001</v>
      </c>
      <c r="D50" s="62">
        <v>135.80000000000001</v>
      </c>
      <c r="E50" s="62">
        <v>135.80000000000001</v>
      </c>
      <c r="F50" s="62">
        <v>135.80000000000001</v>
      </c>
      <c r="G50" s="62">
        <v>135.80000000000001</v>
      </c>
      <c r="H50" s="62">
        <v>135.80000000000001</v>
      </c>
      <c r="I50" s="62">
        <v>135.80000000000001</v>
      </c>
      <c r="J50" s="62">
        <v>135.80000000000001</v>
      </c>
      <c r="K50" s="62">
        <v>135.80000000000001</v>
      </c>
      <c r="L50" s="62">
        <v>135.80000000000001</v>
      </c>
      <c r="M50" s="62">
        <v>135.80000000000001</v>
      </c>
      <c r="N50" s="62">
        <v>135.80000000000001</v>
      </c>
    </row>
    <row r="51" spans="1:14">
      <c r="A51" s="52" t="s">
        <v>549</v>
      </c>
      <c r="N51" s="65"/>
    </row>
    <row r="52" spans="1:14">
      <c r="A52" s="52" t="s">
        <v>689</v>
      </c>
      <c r="M52" s="37"/>
    </row>
    <row r="53" spans="1:14" ht="10.15" customHeight="1">
      <c r="A53" s="194" t="s">
        <v>699</v>
      </c>
      <c r="K53" s="69"/>
      <c r="M53" s="55"/>
    </row>
    <row r="54" spans="1:14">
      <c r="N54" s="225" t="s">
        <v>592</v>
      </c>
    </row>
  </sheetData>
  <phoneticPr fontId="0" type="noConversion"/>
  <pageMargins left="0.75" right="0.75" top="1" bottom="1" header="0.5" footer="0.5"/>
  <pageSetup scale="83" firstPageNumber="35" fitToWidth="0" orientation="landscape" useFirstPageNumber="1" r:id="rId1"/>
  <headerFooter alignWithMargins="0">
    <oddHeader xml:space="preserve">&amp;C
</oddHeader>
    <oddFooter>&amp;COil Crops Yearbook/OCS-2023
March 2023
Economic Research Service
&amp;P</oddFooter>
  </headerFooter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O54"/>
  <sheetViews>
    <sheetView zoomScaleNormal="100" zoomScaleSheetLayoutView="100" workbookViewId="0">
      <pane ySplit="3" topLeftCell="A4" activePane="bottomLeft" state="frozen"/>
      <selection activeCell="N55" sqref="A1:N55"/>
      <selection pane="bottomLeft"/>
    </sheetView>
  </sheetViews>
  <sheetFormatPr defaultRowHeight="11.25"/>
  <cols>
    <col min="1" max="1" width="52.33203125" customWidth="1"/>
    <col min="2" max="2" width="19.5" bestFit="1" customWidth="1"/>
    <col min="3" max="14" width="9.6640625" customWidth="1"/>
  </cols>
  <sheetData>
    <row r="1" spans="1:14">
      <c r="A1" s="223" t="s">
        <v>650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92"/>
      <c r="D2" s="92"/>
      <c r="E2" s="92"/>
      <c r="F2" s="92"/>
      <c r="G2" s="92"/>
      <c r="H2" s="175">
        <v>2016</v>
      </c>
      <c r="I2" s="92"/>
      <c r="J2" s="92"/>
      <c r="K2" s="92"/>
      <c r="L2" s="92"/>
      <c r="M2" s="92"/>
      <c r="N2" s="4"/>
    </row>
    <row r="3" spans="1:14">
      <c r="A3" s="1" t="s">
        <v>425</v>
      </c>
      <c r="B3" s="88" t="s">
        <v>198</v>
      </c>
      <c r="C3" s="92" t="s">
        <v>105</v>
      </c>
      <c r="D3" s="92" t="s">
        <v>106</v>
      </c>
      <c r="E3" s="92" t="s">
        <v>107</v>
      </c>
      <c r="F3" s="92" t="s">
        <v>108</v>
      </c>
      <c r="G3" s="92" t="s">
        <v>100</v>
      </c>
      <c r="H3" s="92" t="s">
        <v>715</v>
      </c>
      <c r="I3" s="92" t="s">
        <v>716</v>
      </c>
      <c r="J3" s="92" t="s">
        <v>109</v>
      </c>
      <c r="K3" s="92" t="s">
        <v>110</v>
      </c>
      <c r="L3" s="92" t="s">
        <v>102</v>
      </c>
      <c r="M3" s="92" t="s">
        <v>103</v>
      </c>
      <c r="N3" s="92" t="s">
        <v>104</v>
      </c>
    </row>
    <row r="4" spans="1:14">
      <c r="A4" s="173" t="s">
        <v>194</v>
      </c>
    </row>
    <row r="5" spans="1:14">
      <c r="A5" s="173" t="s">
        <v>713</v>
      </c>
    </row>
    <row r="6" spans="1:14">
      <c r="A6" t="s">
        <v>48</v>
      </c>
      <c r="B6" t="s">
        <v>371</v>
      </c>
      <c r="C6" s="40">
        <v>13.8</v>
      </c>
      <c r="D6" s="40">
        <v>15.3</v>
      </c>
      <c r="E6" s="40">
        <v>15.1</v>
      </c>
      <c r="F6" s="40">
        <v>16.100000000000001</v>
      </c>
      <c r="G6" s="36" t="s">
        <v>229</v>
      </c>
      <c r="H6" s="40">
        <v>18.8</v>
      </c>
      <c r="I6" s="40">
        <v>16.100000000000001</v>
      </c>
      <c r="J6" s="40">
        <v>15.6</v>
      </c>
      <c r="K6" s="40">
        <v>15.5</v>
      </c>
      <c r="L6" s="40">
        <v>15.8</v>
      </c>
      <c r="M6" s="40">
        <v>16.2</v>
      </c>
      <c r="N6" s="40">
        <v>17.100000000000001</v>
      </c>
    </row>
    <row r="7" spans="1:14">
      <c r="A7" t="s">
        <v>47</v>
      </c>
      <c r="B7" t="s">
        <v>355</v>
      </c>
      <c r="C7" s="40">
        <v>227</v>
      </c>
      <c r="D7" s="40">
        <v>236</v>
      </c>
      <c r="E7" s="36" t="s">
        <v>229</v>
      </c>
      <c r="F7" s="36" t="s">
        <v>229</v>
      </c>
      <c r="G7" s="36" t="s">
        <v>229</v>
      </c>
      <c r="H7" s="36" t="s">
        <v>229</v>
      </c>
      <c r="I7" s="36" t="s">
        <v>229</v>
      </c>
      <c r="J7" s="40">
        <v>176</v>
      </c>
      <c r="K7" s="40">
        <v>180</v>
      </c>
      <c r="L7" s="40">
        <v>197</v>
      </c>
      <c r="M7" s="40">
        <v>195</v>
      </c>
      <c r="N7" s="40">
        <v>197</v>
      </c>
    </row>
    <row r="8" spans="1:14">
      <c r="A8" t="s">
        <v>426</v>
      </c>
      <c r="B8" t="s">
        <v>354</v>
      </c>
      <c r="C8" s="40">
        <v>8.4600000000000009</v>
      </c>
      <c r="D8" s="40">
        <v>8.1</v>
      </c>
      <c r="E8" s="40">
        <v>8.3699999999999992</v>
      </c>
      <c r="F8" s="40">
        <v>8.1</v>
      </c>
      <c r="G8" s="40">
        <v>7.93</v>
      </c>
      <c r="H8" s="40">
        <v>8.44</v>
      </c>
      <c r="I8" s="40">
        <v>8.48</v>
      </c>
      <c r="J8" s="40">
        <v>8.25</v>
      </c>
      <c r="K8" s="40">
        <v>7.61</v>
      </c>
      <c r="L8" s="40">
        <v>7.37</v>
      </c>
      <c r="M8" s="40">
        <v>7.36</v>
      </c>
      <c r="N8" s="40">
        <v>7.59</v>
      </c>
    </row>
    <row r="9" spans="1:14">
      <c r="A9" t="s">
        <v>205</v>
      </c>
      <c r="B9" t="s">
        <v>248</v>
      </c>
      <c r="C9" s="40">
        <v>19.3</v>
      </c>
      <c r="D9" s="40">
        <v>19.8</v>
      </c>
      <c r="E9" s="40">
        <v>19.5</v>
      </c>
      <c r="F9" s="40">
        <v>19.8</v>
      </c>
      <c r="G9" s="40">
        <v>19.600000000000001</v>
      </c>
      <c r="H9" s="40">
        <v>19.5</v>
      </c>
      <c r="I9" s="40">
        <v>19</v>
      </c>
      <c r="J9" s="40">
        <v>19</v>
      </c>
      <c r="K9" s="40">
        <v>19.100000000000001</v>
      </c>
      <c r="L9" s="40">
        <v>19.5</v>
      </c>
      <c r="M9" s="40">
        <v>19</v>
      </c>
      <c r="N9" s="40">
        <v>18.600000000000001</v>
      </c>
    </row>
    <row r="10" spans="1:14">
      <c r="A10" t="s">
        <v>204</v>
      </c>
      <c r="B10" t="s">
        <v>354</v>
      </c>
      <c r="C10" s="40">
        <v>8.7100000000000009</v>
      </c>
      <c r="D10" s="40">
        <v>8.51</v>
      </c>
      <c r="E10" s="40">
        <v>8.56</v>
      </c>
      <c r="F10" s="40">
        <v>9.01</v>
      </c>
      <c r="G10" s="40">
        <v>9.76</v>
      </c>
      <c r="H10" s="40">
        <v>10.199999999999999</v>
      </c>
      <c r="I10" s="40">
        <v>10.199999999999999</v>
      </c>
      <c r="J10" s="40">
        <v>9.93</v>
      </c>
      <c r="K10" s="40">
        <v>9.41</v>
      </c>
      <c r="L10" s="40">
        <v>9.3000000000000007</v>
      </c>
      <c r="M10" s="40">
        <v>9.4700000000000006</v>
      </c>
      <c r="N10" s="40">
        <v>9.64</v>
      </c>
    </row>
    <row r="11" spans="1:14">
      <c r="A11" t="s">
        <v>427</v>
      </c>
      <c r="B11" t="s">
        <v>371</v>
      </c>
      <c r="C11" s="40">
        <v>20.100000000000001</v>
      </c>
      <c r="D11" s="40">
        <v>20.399999999999999</v>
      </c>
      <c r="E11" s="40">
        <v>21.1</v>
      </c>
      <c r="F11" s="40">
        <v>20.9</v>
      </c>
      <c r="G11" s="40">
        <v>19.5</v>
      </c>
      <c r="H11" s="40">
        <v>20.100000000000001</v>
      </c>
      <c r="I11" s="40">
        <v>19</v>
      </c>
      <c r="J11" s="40">
        <v>19.600000000000001</v>
      </c>
      <c r="K11" s="40">
        <v>17.899999999999999</v>
      </c>
      <c r="L11" s="40">
        <v>17</v>
      </c>
      <c r="M11" s="40">
        <v>16.399999999999999</v>
      </c>
      <c r="N11" s="40">
        <v>17.2</v>
      </c>
    </row>
    <row r="12" spans="1:14">
      <c r="A12" t="s">
        <v>548</v>
      </c>
      <c r="B12" t="s">
        <v>371</v>
      </c>
      <c r="C12" s="40">
        <v>18.600000000000001</v>
      </c>
      <c r="D12" s="40">
        <v>18.399999999999999</v>
      </c>
      <c r="E12" s="40">
        <v>18.399999999999999</v>
      </c>
      <c r="F12" s="40">
        <v>18.600000000000001</v>
      </c>
      <c r="G12" s="40">
        <v>18</v>
      </c>
      <c r="H12" s="40">
        <v>18.600000000000001</v>
      </c>
      <c r="I12" s="40">
        <v>18</v>
      </c>
      <c r="J12" s="40">
        <v>17.8</v>
      </c>
      <c r="K12" s="40">
        <v>17.399999999999999</v>
      </c>
      <c r="L12" s="40">
        <v>16.7</v>
      </c>
      <c r="M12" s="40">
        <v>16</v>
      </c>
      <c r="N12" s="40">
        <v>16.8</v>
      </c>
    </row>
    <row r="13" spans="1:14">
      <c r="A13" t="s">
        <v>428</v>
      </c>
      <c r="B13" t="s">
        <v>371</v>
      </c>
      <c r="C13" s="40">
        <v>26.8</v>
      </c>
      <c r="D13" s="40">
        <v>26.8</v>
      </c>
      <c r="E13" s="40">
        <v>27.1</v>
      </c>
      <c r="F13" s="40">
        <v>26</v>
      </c>
      <c r="G13" s="40">
        <v>26.2</v>
      </c>
      <c r="H13" s="40">
        <v>27.5</v>
      </c>
      <c r="I13" s="40">
        <v>25.8</v>
      </c>
      <c r="J13" s="40">
        <v>26.5</v>
      </c>
      <c r="K13" s="40">
        <v>23.3</v>
      </c>
      <c r="L13" s="40">
        <v>20.9</v>
      </c>
      <c r="M13" s="40">
        <v>21.6</v>
      </c>
      <c r="N13" s="40">
        <v>19.5</v>
      </c>
    </row>
    <row r="14" spans="1:14">
      <c r="A14" s="173" t="s">
        <v>429</v>
      </c>
    </row>
    <row r="15" spans="1:14">
      <c r="A15" t="s">
        <v>430</v>
      </c>
      <c r="B15" t="s">
        <v>371</v>
      </c>
      <c r="C15" s="40">
        <v>14.51</v>
      </c>
      <c r="D15" s="40">
        <v>14.64</v>
      </c>
      <c r="E15" s="40">
        <v>15.63</v>
      </c>
      <c r="F15" s="40">
        <v>17</v>
      </c>
      <c r="G15" s="40">
        <v>17.68</v>
      </c>
      <c r="H15" s="40">
        <v>17.239999999999998</v>
      </c>
      <c r="I15" s="40">
        <v>15.65</v>
      </c>
      <c r="J15" s="40">
        <v>15.3</v>
      </c>
      <c r="K15" s="40">
        <v>14.66</v>
      </c>
      <c r="L15" s="40">
        <v>15.83</v>
      </c>
      <c r="M15" s="40">
        <v>16.54</v>
      </c>
      <c r="N15" s="40">
        <v>16.78</v>
      </c>
    </row>
    <row r="16" spans="1:14">
      <c r="A16" t="s">
        <v>431</v>
      </c>
      <c r="B16" t="s">
        <v>355</v>
      </c>
      <c r="C16" s="40">
        <v>276.25</v>
      </c>
      <c r="D16" s="40">
        <v>258</v>
      </c>
      <c r="E16" s="40">
        <v>251.7</v>
      </c>
      <c r="F16" s="40">
        <v>249</v>
      </c>
      <c r="G16" s="40">
        <v>258.75</v>
      </c>
      <c r="H16" s="40">
        <v>276.25</v>
      </c>
      <c r="I16" s="40">
        <v>260</v>
      </c>
      <c r="J16" s="40">
        <v>247</v>
      </c>
      <c r="K16" s="40">
        <v>245.75</v>
      </c>
      <c r="L16" s="40">
        <v>206.25</v>
      </c>
      <c r="M16" s="40">
        <v>203.25</v>
      </c>
      <c r="N16" s="40">
        <v>205</v>
      </c>
    </row>
    <row r="17" spans="1:14">
      <c r="A17" t="s">
        <v>432</v>
      </c>
      <c r="B17" t="s">
        <v>354</v>
      </c>
      <c r="C17" s="40">
        <v>9.17</v>
      </c>
      <c r="D17" s="40">
        <v>9.02</v>
      </c>
      <c r="E17" s="40">
        <v>8.7200000000000006</v>
      </c>
      <c r="F17" s="40">
        <v>8.6999999999999993</v>
      </c>
      <c r="G17" s="40">
        <v>9.16</v>
      </c>
      <c r="H17" s="40">
        <v>9.69</v>
      </c>
      <c r="I17" s="40">
        <v>9.48</v>
      </c>
      <c r="J17" s="40">
        <v>9.11</v>
      </c>
      <c r="K17" s="40">
        <v>8.48</v>
      </c>
      <c r="L17" s="40">
        <v>8.34</v>
      </c>
      <c r="M17" s="40">
        <v>8.75</v>
      </c>
      <c r="N17" s="40">
        <v>9.2799999999999994</v>
      </c>
    </row>
    <row r="18" spans="1:14">
      <c r="A18" t="s">
        <v>433</v>
      </c>
      <c r="B18" t="s">
        <v>354</v>
      </c>
      <c r="C18" s="40">
        <v>8.6999999999999993</v>
      </c>
      <c r="D18" s="40">
        <v>8.69</v>
      </c>
      <c r="E18" s="40">
        <v>8.77</v>
      </c>
      <c r="F18" s="40">
        <v>9.3800000000000008</v>
      </c>
      <c r="G18" s="40">
        <v>10.27</v>
      </c>
      <c r="H18" s="40">
        <v>11.21</v>
      </c>
      <c r="I18" s="40">
        <v>10.45</v>
      </c>
      <c r="J18" s="40">
        <v>9.5299999999999994</v>
      </c>
      <c r="K18" s="40">
        <v>9.5299999999999994</v>
      </c>
      <c r="L18" s="40">
        <v>9.4499999999999993</v>
      </c>
      <c r="M18" s="40">
        <v>9.74</v>
      </c>
      <c r="N18" s="40">
        <v>9.98</v>
      </c>
    </row>
    <row r="19" spans="1:14">
      <c r="A19" t="s">
        <v>434</v>
      </c>
      <c r="B19" t="s">
        <v>354</v>
      </c>
      <c r="C19" s="40">
        <v>9.4499999999999993</v>
      </c>
      <c r="D19" s="40">
        <v>9.26</v>
      </c>
      <c r="E19" s="40">
        <v>9.34</v>
      </c>
      <c r="F19" s="40">
        <v>10</v>
      </c>
      <c r="G19" s="40">
        <v>10.84</v>
      </c>
      <c r="H19" s="40">
        <v>11.92</v>
      </c>
      <c r="I19" s="40">
        <v>11.43</v>
      </c>
      <c r="J19" s="40">
        <v>10.9</v>
      </c>
      <c r="K19" s="40">
        <v>10.5</v>
      </c>
      <c r="L19" s="40">
        <v>10.9</v>
      </c>
      <c r="M19" s="40">
        <v>10.29</v>
      </c>
      <c r="N19" s="40">
        <v>10.6</v>
      </c>
    </row>
    <row r="20" spans="1:14">
      <c r="A20" t="s">
        <v>435</v>
      </c>
      <c r="B20" t="s">
        <v>371</v>
      </c>
      <c r="C20" s="40">
        <v>16.440000000000001</v>
      </c>
      <c r="D20" s="40">
        <v>16.670000000000002</v>
      </c>
      <c r="E20" s="40">
        <v>16.55</v>
      </c>
      <c r="F20" s="40">
        <v>16.559999999999999</v>
      </c>
      <c r="G20" s="40">
        <v>16.75</v>
      </c>
      <c r="H20" s="40">
        <v>17.29</v>
      </c>
      <c r="I20" s="40">
        <v>17.02</v>
      </c>
      <c r="J20" s="40">
        <v>17.97</v>
      </c>
      <c r="K20">
        <v>17.57</v>
      </c>
      <c r="L20">
        <v>16.23</v>
      </c>
      <c r="M20">
        <v>14.6</v>
      </c>
      <c r="N20">
        <v>14.51</v>
      </c>
    </row>
    <row r="21" spans="1:14">
      <c r="A21" s="173" t="s">
        <v>195</v>
      </c>
    </row>
    <row r="22" spans="1:14">
      <c r="A22" s="173" t="s">
        <v>436</v>
      </c>
    </row>
    <row r="23" spans="1:14">
      <c r="A23" t="s">
        <v>437</v>
      </c>
      <c r="B23" t="s">
        <v>248</v>
      </c>
      <c r="C23" s="40">
        <v>34.0625</v>
      </c>
      <c r="D23" s="40">
        <v>34.625</v>
      </c>
      <c r="E23" s="40">
        <v>35.549999999999997</v>
      </c>
      <c r="F23" s="40">
        <v>36.799999999999997</v>
      </c>
      <c r="G23" s="40">
        <v>35.0625</v>
      </c>
      <c r="H23" s="40">
        <v>35.1</v>
      </c>
      <c r="I23" s="40">
        <v>33.549999999999997</v>
      </c>
      <c r="J23" s="40">
        <v>36.9375</v>
      </c>
      <c r="K23" s="40">
        <v>37.25</v>
      </c>
      <c r="L23" s="40">
        <v>38.9375</v>
      </c>
      <c r="M23" s="40">
        <v>39.25</v>
      </c>
      <c r="N23" s="40">
        <v>40.200000000000003</v>
      </c>
    </row>
    <row r="24" spans="1:14">
      <c r="A24" t="s">
        <v>488</v>
      </c>
      <c r="B24" t="s">
        <v>248</v>
      </c>
      <c r="C24" s="40">
        <v>53.6875</v>
      </c>
      <c r="D24" s="40">
        <v>54.4375</v>
      </c>
      <c r="E24" s="40">
        <v>67.75</v>
      </c>
      <c r="F24" s="40">
        <v>76.900000000000006</v>
      </c>
      <c r="G24" s="40">
        <v>68.375</v>
      </c>
      <c r="H24" s="40">
        <v>69.349999999999994</v>
      </c>
      <c r="I24" s="40">
        <v>70.849999999999994</v>
      </c>
      <c r="J24" s="40">
        <v>72.0625</v>
      </c>
      <c r="K24" s="40">
        <v>74.3</v>
      </c>
      <c r="L24" s="40">
        <v>70</v>
      </c>
      <c r="M24" s="40">
        <v>73.5</v>
      </c>
      <c r="N24" s="40">
        <v>78.2</v>
      </c>
    </row>
    <row r="25" spans="1:14">
      <c r="A25" t="s">
        <v>438</v>
      </c>
      <c r="B25" t="s">
        <v>248</v>
      </c>
      <c r="C25" s="40">
        <v>39.93</v>
      </c>
      <c r="D25" s="40">
        <v>40.29</v>
      </c>
      <c r="E25" s="40">
        <v>41.05</v>
      </c>
      <c r="F25" s="40">
        <v>42.12</v>
      </c>
      <c r="G25" s="40">
        <v>40.33</v>
      </c>
      <c r="H25" s="40">
        <v>39.94</v>
      </c>
      <c r="I25" s="40">
        <v>38.86</v>
      </c>
      <c r="J25" s="40">
        <v>39.06</v>
      </c>
      <c r="K25" s="40">
        <v>38.11</v>
      </c>
      <c r="L25" s="40">
        <v>36.22</v>
      </c>
      <c r="M25">
        <v>36.83</v>
      </c>
      <c r="N25">
        <v>38.119999999999997</v>
      </c>
    </row>
    <row r="26" spans="1:14">
      <c r="A26" t="s">
        <v>489</v>
      </c>
      <c r="B26" t="s">
        <v>248</v>
      </c>
      <c r="C26" s="40">
        <v>23.75</v>
      </c>
      <c r="D26" s="40">
        <v>25.34</v>
      </c>
      <c r="E26" s="40">
        <v>27.71</v>
      </c>
      <c r="F26" s="40">
        <v>30.11</v>
      </c>
      <c r="G26" s="40">
        <v>31.04</v>
      </c>
      <c r="H26" s="40">
        <v>27.94</v>
      </c>
      <c r="I26" s="40">
        <v>26.28</v>
      </c>
      <c r="J26" s="40">
        <v>25.8</v>
      </c>
      <c r="K26" s="40">
        <v>27.93</v>
      </c>
      <c r="L26" s="40">
        <v>28.68</v>
      </c>
      <c r="M26" s="40">
        <v>27.91</v>
      </c>
      <c r="N26" s="40">
        <v>26.49</v>
      </c>
    </row>
    <row r="27" spans="1:14">
      <c r="A27" t="s">
        <v>439</v>
      </c>
      <c r="B27" t="s">
        <v>248</v>
      </c>
      <c r="C27" s="40">
        <v>47.3125</v>
      </c>
      <c r="D27" s="40">
        <v>46.0625</v>
      </c>
      <c r="E27" s="40">
        <v>46.2</v>
      </c>
      <c r="F27" s="40">
        <v>47.35</v>
      </c>
      <c r="G27" s="40">
        <v>46.0625</v>
      </c>
      <c r="H27" s="40">
        <v>45.55</v>
      </c>
      <c r="I27" s="40">
        <v>44.75</v>
      </c>
      <c r="J27" s="40">
        <v>45.25</v>
      </c>
      <c r="K27" s="40">
        <v>44.15</v>
      </c>
      <c r="L27" s="40">
        <v>44.875</v>
      </c>
      <c r="M27" s="40">
        <v>45.8125</v>
      </c>
      <c r="N27" s="40">
        <v>46.4</v>
      </c>
    </row>
    <row r="28" spans="1:14">
      <c r="A28" t="s">
        <v>440</v>
      </c>
      <c r="B28" t="s">
        <v>248</v>
      </c>
      <c r="C28" s="40">
        <v>24</v>
      </c>
      <c r="D28" s="147" t="s">
        <v>229</v>
      </c>
      <c r="E28" s="40">
        <v>29</v>
      </c>
      <c r="F28" s="40">
        <v>33</v>
      </c>
      <c r="G28" s="147" t="s">
        <v>229</v>
      </c>
      <c r="H28" s="147" t="s">
        <v>229</v>
      </c>
      <c r="I28" s="147" t="s">
        <v>229</v>
      </c>
      <c r="J28" s="40">
        <v>36.53</v>
      </c>
      <c r="K28" s="40">
        <v>36.75</v>
      </c>
      <c r="L28" s="40">
        <v>34</v>
      </c>
      <c r="M28" s="147" t="s">
        <v>229</v>
      </c>
      <c r="N28" s="40">
        <v>31</v>
      </c>
    </row>
    <row r="29" spans="1:14">
      <c r="A29" t="s">
        <v>490</v>
      </c>
      <c r="B29" t="s">
        <v>248</v>
      </c>
      <c r="C29" s="40">
        <v>30.0625</v>
      </c>
      <c r="D29" s="40">
        <v>31.4375</v>
      </c>
      <c r="E29" s="40">
        <v>32.799999999999997</v>
      </c>
      <c r="F29" s="40">
        <v>35.35</v>
      </c>
      <c r="G29" s="40">
        <v>34.9375</v>
      </c>
      <c r="H29" s="40">
        <v>33</v>
      </c>
      <c r="I29" s="40">
        <v>31.45</v>
      </c>
      <c r="J29" s="40">
        <v>35.25</v>
      </c>
      <c r="K29" s="40">
        <v>36.85</v>
      </c>
      <c r="L29" s="40">
        <v>36.4375</v>
      </c>
      <c r="M29" s="40">
        <v>37.125</v>
      </c>
      <c r="N29" s="40">
        <v>37.950000000000003</v>
      </c>
    </row>
    <row r="30" spans="1:14">
      <c r="A30" t="s">
        <v>491</v>
      </c>
      <c r="B30" t="s">
        <v>248</v>
      </c>
      <c r="C30" s="40">
        <v>34.9375</v>
      </c>
      <c r="D30" s="40">
        <v>35.8125</v>
      </c>
      <c r="E30" s="40">
        <v>36.65</v>
      </c>
      <c r="F30" s="40">
        <v>38.299999999999997</v>
      </c>
      <c r="G30" s="40">
        <v>37.4375</v>
      </c>
      <c r="H30" s="40">
        <v>36.049999999999997</v>
      </c>
      <c r="I30" s="40">
        <v>34.799999999999997</v>
      </c>
      <c r="J30" s="40">
        <v>37.3125</v>
      </c>
      <c r="K30" s="40">
        <v>39.25</v>
      </c>
      <c r="L30" s="40">
        <v>40.0625</v>
      </c>
      <c r="M30" s="40">
        <v>40.5</v>
      </c>
      <c r="N30" s="40">
        <v>41.3</v>
      </c>
    </row>
    <row r="31" spans="1:14">
      <c r="A31" t="s">
        <v>492</v>
      </c>
      <c r="B31" t="s">
        <v>248</v>
      </c>
      <c r="C31" s="40">
        <v>56.1875</v>
      </c>
      <c r="D31" s="40">
        <v>55</v>
      </c>
      <c r="E31" s="40">
        <v>55.55</v>
      </c>
      <c r="F31" s="40">
        <v>56.2</v>
      </c>
      <c r="G31" s="40">
        <v>61.375</v>
      </c>
      <c r="H31" s="40">
        <v>61.1</v>
      </c>
      <c r="I31" s="40">
        <v>62.1</v>
      </c>
      <c r="J31" s="40">
        <v>61</v>
      </c>
      <c r="K31" s="40">
        <v>61.6</v>
      </c>
      <c r="L31" s="40">
        <v>64.875</v>
      </c>
      <c r="M31" s="40">
        <v>66</v>
      </c>
      <c r="N31" s="40">
        <v>63.1</v>
      </c>
    </row>
    <row r="32" spans="1:14">
      <c r="A32" t="s">
        <v>493</v>
      </c>
      <c r="B32" t="s">
        <v>248</v>
      </c>
      <c r="C32" s="40">
        <v>28.89</v>
      </c>
      <c r="D32" s="40">
        <v>29.79</v>
      </c>
      <c r="E32" s="40">
        <v>30.86</v>
      </c>
      <c r="F32" s="40">
        <v>32.450000000000003</v>
      </c>
      <c r="G32" s="40">
        <v>30.76</v>
      </c>
      <c r="H32" s="40">
        <v>30.35</v>
      </c>
      <c r="I32" s="40">
        <v>28.75</v>
      </c>
      <c r="J32" s="40">
        <v>31.21</v>
      </c>
      <c r="K32" s="40">
        <v>31.99</v>
      </c>
      <c r="L32" s="40">
        <v>33.86</v>
      </c>
      <c r="M32">
        <v>34.520000000000003</v>
      </c>
      <c r="N32">
        <v>35.57</v>
      </c>
    </row>
    <row r="33" spans="1:15">
      <c r="A33" t="s">
        <v>441</v>
      </c>
      <c r="B33" t="s">
        <v>248</v>
      </c>
      <c r="C33" s="40">
        <v>58</v>
      </c>
      <c r="D33" s="40">
        <v>54.25</v>
      </c>
      <c r="E33" s="40">
        <v>53.8</v>
      </c>
      <c r="F33" s="40">
        <v>53.8</v>
      </c>
      <c r="G33" s="40">
        <v>54</v>
      </c>
      <c r="H33" s="40">
        <v>54.2</v>
      </c>
      <c r="I33" s="40">
        <v>55.2</v>
      </c>
      <c r="J33" s="40">
        <v>56</v>
      </c>
      <c r="K33" s="40">
        <v>56</v>
      </c>
      <c r="L33" s="40">
        <v>56</v>
      </c>
      <c r="M33" s="40">
        <v>56</v>
      </c>
      <c r="N33" s="40">
        <v>56</v>
      </c>
    </row>
    <row r="34" spans="1:15">
      <c r="A34" t="s">
        <v>442</v>
      </c>
      <c r="B34" t="s">
        <v>248</v>
      </c>
      <c r="C34" s="40">
        <v>24.1</v>
      </c>
      <c r="D34" s="40">
        <v>29.41</v>
      </c>
      <c r="E34" s="40">
        <v>35</v>
      </c>
      <c r="F34" s="40">
        <v>39</v>
      </c>
      <c r="G34" s="40">
        <v>34.6</v>
      </c>
      <c r="H34" s="40">
        <v>33.54</v>
      </c>
      <c r="I34" s="40">
        <v>34</v>
      </c>
      <c r="J34" s="40">
        <v>33.25</v>
      </c>
      <c r="K34" s="40">
        <v>31.71</v>
      </c>
      <c r="L34" s="40">
        <v>32.25</v>
      </c>
      <c r="M34" s="40">
        <v>34.69</v>
      </c>
      <c r="N34" s="40">
        <v>34</v>
      </c>
    </row>
    <row r="35" spans="1:15">
      <c r="A35" s="52" t="s">
        <v>443</v>
      </c>
      <c r="B35" t="s">
        <v>248</v>
      </c>
      <c r="C35" s="40">
        <v>18.920000000000002</v>
      </c>
      <c r="D35" s="40">
        <v>20.47</v>
      </c>
      <c r="E35" s="40">
        <v>23.43</v>
      </c>
      <c r="F35" s="40">
        <v>26.72</v>
      </c>
      <c r="G35" s="40">
        <v>28.18</v>
      </c>
      <c r="H35" s="40">
        <v>26.97</v>
      </c>
      <c r="I35" s="40">
        <v>25.31</v>
      </c>
      <c r="J35" s="40">
        <v>24.25</v>
      </c>
      <c r="K35" s="40">
        <v>24.47</v>
      </c>
      <c r="L35" s="40">
        <v>24.13</v>
      </c>
      <c r="M35" s="40">
        <v>23.55</v>
      </c>
      <c r="N35" s="40">
        <v>23.67</v>
      </c>
      <c r="O35" s="36"/>
    </row>
    <row r="36" spans="1:15">
      <c r="A36" s="52" t="s">
        <v>235</v>
      </c>
      <c r="B36" s="52" t="s">
        <v>372</v>
      </c>
      <c r="C36" s="40">
        <v>2.7719999999999994</v>
      </c>
      <c r="D36" s="40">
        <v>2.8774999999999999</v>
      </c>
      <c r="E36" s="40">
        <v>3.07</v>
      </c>
      <c r="F36" s="40">
        <v>3.2039999999999997</v>
      </c>
      <c r="G36" s="40">
        <v>3.35</v>
      </c>
      <c r="H36" s="40">
        <v>3.355</v>
      </c>
      <c r="I36" s="40">
        <v>3.117</v>
      </c>
      <c r="J36" s="40">
        <v>3.3425000000000002</v>
      </c>
      <c r="K36" s="40">
        <v>3.3079999999999998</v>
      </c>
      <c r="L36" s="40">
        <v>3.2774999999999999</v>
      </c>
      <c r="M36" s="40">
        <v>3.4662500000000001</v>
      </c>
      <c r="N36" s="40">
        <v>3.5260000000000007</v>
      </c>
      <c r="O36" s="36"/>
    </row>
    <row r="37" spans="1:15">
      <c r="A37" s="173" t="s">
        <v>196</v>
      </c>
    </row>
    <row r="38" spans="1:15">
      <c r="A38" t="s">
        <v>494</v>
      </c>
      <c r="B38" t="s">
        <v>355</v>
      </c>
      <c r="C38" s="40">
        <v>231.76</v>
      </c>
      <c r="D38" s="40">
        <v>224.34</v>
      </c>
      <c r="E38" s="40">
        <v>228.87</v>
      </c>
      <c r="F38" s="40">
        <v>247.53</v>
      </c>
      <c r="G38" s="40">
        <v>329.01</v>
      </c>
      <c r="H38" s="40">
        <v>345.14</v>
      </c>
      <c r="I38" s="40">
        <v>306.02999999999997</v>
      </c>
      <c r="J38" s="40">
        <v>255.35</v>
      </c>
      <c r="K38" s="40">
        <v>231</v>
      </c>
      <c r="L38" s="40">
        <v>225.05</v>
      </c>
      <c r="M38" s="40">
        <v>234.78</v>
      </c>
      <c r="N38" s="40">
        <v>243.3</v>
      </c>
    </row>
    <row r="39" spans="1:15">
      <c r="A39" t="s">
        <v>495</v>
      </c>
      <c r="B39" t="s">
        <v>355</v>
      </c>
      <c r="C39" s="40">
        <v>248.75</v>
      </c>
      <c r="D39" s="40">
        <v>238.13</v>
      </c>
      <c r="E39" s="40">
        <v>216.5</v>
      </c>
      <c r="F39" s="40">
        <v>207.5</v>
      </c>
      <c r="G39" s="40">
        <v>242.5</v>
      </c>
      <c r="H39" s="40">
        <v>284</v>
      </c>
      <c r="I39" s="40">
        <v>280</v>
      </c>
      <c r="J39" s="40">
        <v>280</v>
      </c>
      <c r="K39" s="40">
        <v>285</v>
      </c>
      <c r="L39" s="40">
        <v>241.88</v>
      </c>
      <c r="M39" s="40">
        <v>221</v>
      </c>
      <c r="N39" s="40">
        <v>217.5</v>
      </c>
    </row>
    <row r="40" spans="1:15">
      <c r="A40" t="s">
        <v>496</v>
      </c>
      <c r="B40" t="s">
        <v>355</v>
      </c>
      <c r="C40" s="40">
        <v>195</v>
      </c>
      <c r="D40" s="40">
        <v>197.5</v>
      </c>
      <c r="E40" s="40">
        <v>195</v>
      </c>
      <c r="F40" s="40">
        <v>218.13</v>
      </c>
      <c r="G40" s="40">
        <v>301.5</v>
      </c>
      <c r="H40" s="40">
        <v>375.63</v>
      </c>
      <c r="I40" s="40">
        <v>364.38</v>
      </c>
      <c r="J40" s="40">
        <v>335</v>
      </c>
      <c r="K40" s="40">
        <v>316.25</v>
      </c>
      <c r="L40" s="40">
        <v>305.625</v>
      </c>
      <c r="M40" s="40">
        <v>296</v>
      </c>
      <c r="N40" s="40">
        <v>290</v>
      </c>
    </row>
    <row r="41" spans="1:15">
      <c r="A41" t="s">
        <v>444</v>
      </c>
      <c r="B41" t="s">
        <v>355</v>
      </c>
      <c r="C41">
        <v>279.56</v>
      </c>
      <c r="D41">
        <v>273.61</v>
      </c>
      <c r="E41">
        <v>276.22000000000003</v>
      </c>
      <c r="F41">
        <v>303.81</v>
      </c>
      <c r="G41">
        <v>376.35</v>
      </c>
      <c r="H41">
        <v>408.57</v>
      </c>
      <c r="I41">
        <v>371.49</v>
      </c>
      <c r="J41">
        <v>340.8</v>
      </c>
      <c r="K41">
        <v>337.95</v>
      </c>
      <c r="L41">
        <v>323.27</v>
      </c>
      <c r="M41">
        <v>322.41000000000003</v>
      </c>
      <c r="N41">
        <v>321.02</v>
      </c>
    </row>
    <row r="42" spans="1:15">
      <c r="A42" t="s">
        <v>497</v>
      </c>
      <c r="B42" t="s">
        <v>355</v>
      </c>
      <c r="C42" s="40">
        <v>156.88</v>
      </c>
      <c r="D42" s="40">
        <v>131.88</v>
      </c>
      <c r="E42" s="40">
        <v>120</v>
      </c>
      <c r="F42" s="40">
        <v>109.38</v>
      </c>
      <c r="G42" s="40">
        <v>149.5</v>
      </c>
      <c r="H42" s="40">
        <v>165.63</v>
      </c>
      <c r="I42" s="40">
        <v>151.88</v>
      </c>
      <c r="J42" s="40">
        <v>141</v>
      </c>
      <c r="K42" s="40">
        <v>148.75</v>
      </c>
      <c r="L42" s="40">
        <v>148.75</v>
      </c>
      <c r="M42" s="40">
        <v>140.5</v>
      </c>
      <c r="N42" s="40">
        <v>145</v>
      </c>
    </row>
    <row r="43" spans="1:15">
      <c r="A43" s="173" t="s">
        <v>233</v>
      </c>
    </row>
    <row r="44" spans="1:15">
      <c r="A44" s="173" t="s">
        <v>445</v>
      </c>
    </row>
    <row r="45" spans="1:15">
      <c r="A45" t="s">
        <v>446</v>
      </c>
      <c r="B45" t="s">
        <v>197</v>
      </c>
      <c r="C45" s="147" t="s">
        <v>229</v>
      </c>
      <c r="D45" s="147" t="s">
        <v>229</v>
      </c>
      <c r="E45" s="147" t="s">
        <v>229</v>
      </c>
      <c r="F45" s="147" t="s">
        <v>229</v>
      </c>
      <c r="G45" s="147" t="s">
        <v>229</v>
      </c>
      <c r="H45" s="147" t="s">
        <v>229</v>
      </c>
      <c r="I45" s="147" t="s">
        <v>229</v>
      </c>
      <c r="J45" s="147" t="s">
        <v>229</v>
      </c>
      <c r="K45" s="147" t="s">
        <v>229</v>
      </c>
      <c r="L45" s="147" t="s">
        <v>229</v>
      </c>
      <c r="M45" s="147" t="s">
        <v>229</v>
      </c>
      <c r="N45" s="147" t="s">
        <v>229</v>
      </c>
    </row>
    <row r="46" spans="1:15">
      <c r="A46" s="173" t="s">
        <v>447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</row>
    <row r="47" spans="1:15">
      <c r="A47" t="s">
        <v>448</v>
      </c>
      <c r="B47" t="s">
        <v>197</v>
      </c>
      <c r="C47" s="38">
        <v>317</v>
      </c>
      <c r="D47" s="38">
        <v>319</v>
      </c>
      <c r="E47" s="38">
        <v>318.7</v>
      </c>
      <c r="F47" s="38">
        <v>320.10000000000002</v>
      </c>
      <c r="G47" s="38">
        <v>318</v>
      </c>
      <c r="H47" s="38">
        <v>323.2</v>
      </c>
      <c r="I47" s="38">
        <v>331.7</v>
      </c>
      <c r="J47" s="38">
        <v>335.5</v>
      </c>
      <c r="K47" s="38">
        <v>332.2</v>
      </c>
      <c r="L47" s="38">
        <v>332.7</v>
      </c>
      <c r="M47" s="38">
        <v>323.8</v>
      </c>
      <c r="N47" s="38">
        <v>317.60000000000002</v>
      </c>
    </row>
    <row r="48" spans="1:15">
      <c r="A48" t="s">
        <v>449</v>
      </c>
      <c r="B48" t="s">
        <v>197</v>
      </c>
      <c r="C48" s="38">
        <v>234.8</v>
      </c>
      <c r="D48" s="38">
        <v>237.6</v>
      </c>
      <c r="E48" s="38">
        <v>237.4</v>
      </c>
      <c r="F48" s="38">
        <v>239.6</v>
      </c>
      <c r="G48" s="38">
        <v>239.8</v>
      </c>
      <c r="H48" s="38">
        <v>244.4</v>
      </c>
      <c r="I48" s="38">
        <v>243.7</v>
      </c>
      <c r="J48" s="38">
        <v>244.7</v>
      </c>
      <c r="K48" s="38">
        <v>244</v>
      </c>
      <c r="L48" s="38">
        <v>246.4</v>
      </c>
      <c r="M48" s="38">
        <v>246.2</v>
      </c>
      <c r="N48" s="38">
        <v>249</v>
      </c>
    </row>
    <row r="49" spans="1:14">
      <c r="A49" t="s">
        <v>450</v>
      </c>
      <c r="B49" t="s">
        <v>197</v>
      </c>
      <c r="C49" s="38">
        <v>183.1</v>
      </c>
      <c r="D49" s="38">
        <v>195.8</v>
      </c>
      <c r="E49" s="38">
        <v>205.5</v>
      </c>
      <c r="F49" s="38">
        <v>212.6</v>
      </c>
      <c r="G49" s="38">
        <v>212.6</v>
      </c>
      <c r="H49" s="38">
        <v>212.6</v>
      </c>
      <c r="I49" s="38">
        <v>204.8</v>
      </c>
      <c r="J49" s="38">
        <v>204.7</v>
      </c>
      <c r="K49" s="38">
        <v>206.4</v>
      </c>
      <c r="L49" s="38">
        <v>214.3</v>
      </c>
      <c r="M49" s="38">
        <v>222.1</v>
      </c>
      <c r="N49" s="38">
        <v>234</v>
      </c>
    </row>
    <row r="50" spans="1:14">
      <c r="A50" s="1" t="s">
        <v>451</v>
      </c>
      <c r="B50" s="1" t="s">
        <v>240</v>
      </c>
      <c r="C50" s="62">
        <v>135.80000000000001</v>
      </c>
      <c r="D50" s="62">
        <v>135.80000000000001</v>
      </c>
      <c r="E50" s="62">
        <v>135.80000000000001</v>
      </c>
      <c r="F50" s="62">
        <v>135.80000000000001</v>
      </c>
      <c r="G50" s="62">
        <v>135.80000000000001</v>
      </c>
      <c r="H50" s="62">
        <v>135.80000000000001</v>
      </c>
      <c r="I50" s="62">
        <v>135.80000000000001</v>
      </c>
      <c r="J50" s="62">
        <v>135.80000000000001</v>
      </c>
      <c r="K50" s="62">
        <v>135.80000000000001</v>
      </c>
      <c r="L50" s="62">
        <v>135.80000000000001</v>
      </c>
      <c r="M50" s="62">
        <v>135.80000000000001</v>
      </c>
      <c r="N50" s="62">
        <v>135.80000000000001</v>
      </c>
    </row>
    <row r="51" spans="1:14">
      <c r="A51" s="52" t="s">
        <v>549</v>
      </c>
      <c r="N51" s="65"/>
    </row>
    <row r="52" spans="1:14">
      <c r="A52" s="52" t="s">
        <v>689</v>
      </c>
      <c r="M52" s="37"/>
    </row>
    <row r="53" spans="1:14" ht="10.15" customHeight="1">
      <c r="A53" s="52" t="s">
        <v>586</v>
      </c>
      <c r="K53" s="69"/>
      <c r="M53" s="55"/>
    </row>
    <row r="54" spans="1:14">
      <c r="N54" s="225" t="s">
        <v>592</v>
      </c>
    </row>
  </sheetData>
  <pageMargins left="0.75" right="0.75" top="1" bottom="1" header="0.5" footer="0.5"/>
  <pageSetup scale="83" firstPageNumber="35" fitToWidth="0" orientation="landscape" useFirstPageNumber="1" r:id="rId1"/>
  <headerFooter alignWithMargins="0">
    <oddHeader xml:space="preserve">&amp;C
</oddHeader>
    <oddFooter>&amp;COil Crops Yearbook/OCS-2023
March 2023
Economic Research Service
&amp;P</oddFooter>
  </headerFooter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AN54"/>
  <sheetViews>
    <sheetView zoomScaleNormal="100" zoomScaleSheetLayoutView="100" workbookViewId="0">
      <pane ySplit="3" topLeftCell="A4" activePane="bottomLeft" state="frozen"/>
      <selection activeCell="N55" sqref="A1:N55"/>
      <selection pane="bottomLeft"/>
    </sheetView>
  </sheetViews>
  <sheetFormatPr defaultRowHeight="11.25"/>
  <cols>
    <col min="1" max="1" width="54.1640625" customWidth="1"/>
    <col min="2" max="2" width="19.5" bestFit="1" customWidth="1"/>
    <col min="3" max="14" width="9.6640625" customWidth="1"/>
  </cols>
  <sheetData>
    <row r="1" spans="1:40">
      <c r="A1" s="223" t="s">
        <v>650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40">
      <c r="C2" s="92"/>
      <c r="D2" s="92"/>
      <c r="E2" s="92"/>
      <c r="F2" s="92"/>
      <c r="G2" s="92"/>
      <c r="H2" s="175">
        <v>2017</v>
      </c>
      <c r="I2" s="92"/>
      <c r="J2" s="92"/>
      <c r="K2" s="92"/>
      <c r="L2" s="92"/>
      <c r="M2" s="92"/>
      <c r="N2" s="4"/>
    </row>
    <row r="3" spans="1:40">
      <c r="A3" s="1" t="s">
        <v>425</v>
      </c>
      <c r="B3" s="88" t="s">
        <v>198</v>
      </c>
      <c r="C3" s="92" t="s">
        <v>105</v>
      </c>
      <c r="D3" s="92" t="s">
        <v>106</v>
      </c>
      <c r="E3" s="92" t="s">
        <v>107</v>
      </c>
      <c r="F3" s="92" t="s">
        <v>108</v>
      </c>
      <c r="G3" s="92" t="s">
        <v>100</v>
      </c>
      <c r="H3" s="92" t="s">
        <v>715</v>
      </c>
      <c r="I3" s="92" t="s">
        <v>716</v>
      </c>
      <c r="J3" s="92" t="s">
        <v>109</v>
      </c>
      <c r="K3" s="92" t="s">
        <v>110</v>
      </c>
      <c r="L3" s="92" t="s">
        <v>102</v>
      </c>
      <c r="M3" s="92" t="s">
        <v>103</v>
      </c>
      <c r="N3" s="92" t="s">
        <v>104</v>
      </c>
    </row>
    <row r="4" spans="1:40">
      <c r="A4" s="173" t="s">
        <v>194</v>
      </c>
    </row>
    <row r="5" spans="1:40">
      <c r="A5" s="173" t="s">
        <v>713</v>
      </c>
    </row>
    <row r="6" spans="1:40">
      <c r="A6" t="s">
        <v>48</v>
      </c>
      <c r="B6" t="s">
        <v>371</v>
      </c>
      <c r="C6" s="40">
        <v>17.3</v>
      </c>
      <c r="D6" s="40">
        <v>17.399999999999999</v>
      </c>
      <c r="E6" s="40">
        <v>17.600000000000001</v>
      </c>
      <c r="F6" s="40">
        <v>18</v>
      </c>
      <c r="G6" s="36">
        <v>16.8</v>
      </c>
      <c r="H6" s="40">
        <v>17.399999999999999</v>
      </c>
      <c r="I6" s="40">
        <v>17.8</v>
      </c>
      <c r="J6" s="40">
        <v>17.7</v>
      </c>
      <c r="K6" s="40">
        <v>17.3</v>
      </c>
      <c r="L6" s="40">
        <v>16.7</v>
      </c>
      <c r="M6" s="40">
        <v>17.2</v>
      </c>
      <c r="N6" s="40">
        <v>16.7</v>
      </c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</row>
    <row r="7" spans="1:40">
      <c r="A7" t="s">
        <v>47</v>
      </c>
      <c r="B7" t="s">
        <v>355</v>
      </c>
      <c r="C7" s="40">
        <v>199</v>
      </c>
      <c r="D7" s="40">
        <v>203</v>
      </c>
      <c r="E7" s="36" t="s">
        <v>229</v>
      </c>
      <c r="F7" s="36" t="s">
        <v>229</v>
      </c>
      <c r="G7" s="36" t="s">
        <v>229</v>
      </c>
      <c r="H7" s="36" t="s">
        <v>229</v>
      </c>
      <c r="I7" s="36" t="s">
        <v>229</v>
      </c>
      <c r="J7" s="40">
        <v>127</v>
      </c>
      <c r="K7" s="40">
        <v>127</v>
      </c>
      <c r="L7" s="40">
        <v>141</v>
      </c>
      <c r="M7" s="40">
        <v>144</v>
      </c>
      <c r="N7" s="40">
        <v>143</v>
      </c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</row>
    <row r="8" spans="1:40">
      <c r="A8" t="s">
        <v>426</v>
      </c>
      <c r="B8" t="s">
        <v>354</v>
      </c>
      <c r="C8" s="40">
        <v>8.26</v>
      </c>
      <c r="D8" s="40">
        <v>7.86</v>
      </c>
      <c r="E8" s="40">
        <v>8.34</v>
      </c>
      <c r="F8" s="40">
        <v>8.0299999999999994</v>
      </c>
      <c r="G8" s="40">
        <v>8.9600000000000009</v>
      </c>
      <c r="H8" s="40">
        <v>8.52</v>
      </c>
      <c r="I8" s="40">
        <v>8.4</v>
      </c>
      <c r="J8" s="40">
        <v>9.2100000000000009</v>
      </c>
      <c r="K8" s="40">
        <v>9.56</v>
      </c>
      <c r="L8" s="40">
        <v>9.23</v>
      </c>
      <c r="M8" s="40">
        <v>9.2100000000000009</v>
      </c>
      <c r="N8" s="40">
        <v>9.36</v>
      </c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</row>
    <row r="9" spans="1:40">
      <c r="A9" t="s">
        <v>205</v>
      </c>
      <c r="B9" t="s">
        <v>248</v>
      </c>
      <c r="C9" s="40">
        <v>19.8</v>
      </c>
      <c r="D9" s="40">
        <v>20.100000000000001</v>
      </c>
      <c r="E9" s="40">
        <v>20.599999999999998</v>
      </c>
      <c r="F9" s="40">
        <v>19.8</v>
      </c>
      <c r="G9" s="40">
        <v>19.400000000000002</v>
      </c>
      <c r="H9" s="40">
        <v>19.7</v>
      </c>
      <c r="I9" s="40">
        <v>20.5</v>
      </c>
      <c r="J9" s="40">
        <v>19.7</v>
      </c>
      <c r="K9" s="40">
        <v>23</v>
      </c>
      <c r="L9" s="40">
        <v>23.200000000000003</v>
      </c>
      <c r="M9" s="40">
        <v>22.7</v>
      </c>
      <c r="N9" s="40">
        <v>23</v>
      </c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</row>
    <row r="10" spans="1:40">
      <c r="A10" t="s">
        <v>204</v>
      </c>
      <c r="B10" t="s">
        <v>354</v>
      </c>
      <c r="C10" s="40">
        <v>9.7100000000000009</v>
      </c>
      <c r="D10" s="40">
        <v>9.86</v>
      </c>
      <c r="E10" s="40">
        <v>9.69</v>
      </c>
      <c r="F10" s="40">
        <v>9.33</v>
      </c>
      <c r="G10" s="40">
        <v>9.2899999999999991</v>
      </c>
      <c r="H10" s="40">
        <v>9.1</v>
      </c>
      <c r="I10" s="40">
        <v>9.42</v>
      </c>
      <c r="J10" s="40">
        <v>9.24</v>
      </c>
      <c r="K10" s="40">
        <v>9.35</v>
      </c>
      <c r="L10" s="40">
        <v>9.18</v>
      </c>
      <c r="M10" s="40">
        <v>9.2200000000000006</v>
      </c>
      <c r="N10" s="40">
        <v>9.3000000000000007</v>
      </c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</row>
    <row r="11" spans="1:40">
      <c r="A11" t="s">
        <v>427</v>
      </c>
      <c r="B11" t="s">
        <v>371</v>
      </c>
      <c r="C11" s="40">
        <v>17.2</v>
      </c>
      <c r="D11" s="40">
        <v>17.600000000000001</v>
      </c>
      <c r="E11" s="40">
        <v>17.399999999999999</v>
      </c>
      <c r="F11" s="40">
        <v>17.899999999999999</v>
      </c>
      <c r="G11" s="40">
        <v>17.3</v>
      </c>
      <c r="H11" s="40">
        <v>17.600000000000001</v>
      </c>
      <c r="I11" s="40">
        <v>17.899999999999999</v>
      </c>
      <c r="J11" s="40">
        <v>19.100000000000001</v>
      </c>
      <c r="K11" s="40">
        <v>17.399999999999999</v>
      </c>
      <c r="L11" s="40">
        <v>16.8</v>
      </c>
      <c r="M11" s="40">
        <v>16.600000000000001</v>
      </c>
      <c r="N11" s="40">
        <v>17</v>
      </c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</row>
    <row r="12" spans="1:40">
      <c r="A12" t="s">
        <v>548</v>
      </c>
      <c r="B12" t="s">
        <v>371</v>
      </c>
      <c r="C12" s="40">
        <v>17.100000000000001</v>
      </c>
      <c r="D12" s="40">
        <v>17.3</v>
      </c>
      <c r="E12" s="40">
        <v>16.8</v>
      </c>
      <c r="F12" s="40">
        <v>17.3</v>
      </c>
      <c r="G12" s="40">
        <v>16.100000000000001</v>
      </c>
      <c r="H12" s="40">
        <v>17.100000000000001</v>
      </c>
      <c r="I12" s="40">
        <v>17.7</v>
      </c>
      <c r="J12" s="40">
        <v>18.5</v>
      </c>
      <c r="K12" s="40">
        <v>17.2</v>
      </c>
      <c r="L12" s="40">
        <v>16.5</v>
      </c>
      <c r="M12" s="40">
        <v>16.100000000000001</v>
      </c>
      <c r="N12" s="40">
        <v>16.7</v>
      </c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</row>
    <row r="13" spans="1:40">
      <c r="A13" t="s">
        <v>428</v>
      </c>
      <c r="B13" t="s">
        <v>371</v>
      </c>
      <c r="C13" s="40">
        <v>18.899999999999999</v>
      </c>
      <c r="D13" s="40">
        <v>20.6</v>
      </c>
      <c r="E13" s="40">
        <v>21.4</v>
      </c>
      <c r="F13" s="40">
        <v>22.6</v>
      </c>
      <c r="G13" s="40">
        <v>23.3</v>
      </c>
      <c r="H13" s="40">
        <v>20.9</v>
      </c>
      <c r="I13" s="40">
        <v>19.8</v>
      </c>
      <c r="J13" s="40">
        <v>23.1</v>
      </c>
      <c r="K13" s="36">
        <v>21.7</v>
      </c>
      <c r="L13" s="36">
        <v>22.1</v>
      </c>
      <c r="M13" s="36">
        <v>20.5</v>
      </c>
      <c r="N13" s="36">
        <v>20</v>
      </c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</row>
    <row r="14" spans="1:40">
      <c r="A14" s="173" t="s">
        <v>429</v>
      </c>
    </row>
    <row r="15" spans="1:40">
      <c r="A15" t="s">
        <v>430</v>
      </c>
      <c r="B15" t="s">
        <v>371</v>
      </c>
      <c r="C15" s="40">
        <v>17.14</v>
      </c>
      <c r="D15" s="40">
        <v>17.34</v>
      </c>
      <c r="E15" s="40">
        <v>16.559999999999999</v>
      </c>
      <c r="F15" s="40">
        <v>17</v>
      </c>
      <c r="G15" s="40">
        <v>17.47</v>
      </c>
      <c r="H15" s="40">
        <v>17.690000000000001</v>
      </c>
      <c r="I15" s="40">
        <v>18.54</v>
      </c>
      <c r="J15" s="40">
        <v>17.559999999999999</v>
      </c>
      <c r="K15" s="40">
        <v>17.41</v>
      </c>
      <c r="L15" s="40">
        <v>17.48</v>
      </c>
      <c r="M15" s="40">
        <v>17.71</v>
      </c>
      <c r="N15" s="40">
        <v>17.27</v>
      </c>
    </row>
    <row r="16" spans="1:40">
      <c r="A16" t="s">
        <v>431</v>
      </c>
      <c r="B16" t="s">
        <v>355</v>
      </c>
      <c r="C16" s="40">
        <v>199.2</v>
      </c>
      <c r="D16" s="40">
        <v>194.5</v>
      </c>
      <c r="E16" s="40">
        <v>180.75</v>
      </c>
      <c r="F16" s="40">
        <v>178</v>
      </c>
      <c r="G16" s="40">
        <v>178.8</v>
      </c>
      <c r="H16" s="40">
        <v>194.75</v>
      </c>
      <c r="I16" s="40">
        <v>201.67</v>
      </c>
      <c r="J16" s="40">
        <v>198</v>
      </c>
      <c r="K16" s="40">
        <v>221.25</v>
      </c>
      <c r="L16" s="40">
        <v>154</v>
      </c>
      <c r="M16" s="40">
        <v>136.25</v>
      </c>
      <c r="N16" s="40">
        <v>144.33000000000001</v>
      </c>
    </row>
    <row r="17" spans="1:14">
      <c r="A17" t="s">
        <v>432</v>
      </c>
      <c r="B17" t="s">
        <v>354</v>
      </c>
      <c r="C17" s="40">
        <v>9.5</v>
      </c>
      <c r="D17" s="40">
        <v>9.5</v>
      </c>
      <c r="E17" s="40">
        <v>9.66</v>
      </c>
      <c r="F17" s="40">
        <v>9.25</v>
      </c>
      <c r="G17" s="40">
        <v>9.2799999999999994</v>
      </c>
      <c r="H17" s="40">
        <v>9.25</v>
      </c>
      <c r="I17" s="40">
        <v>9.31</v>
      </c>
      <c r="J17" s="40">
        <v>9.99</v>
      </c>
      <c r="K17" s="40">
        <v>10.52</v>
      </c>
      <c r="L17" s="40">
        <v>10.55</v>
      </c>
      <c r="M17" s="40">
        <v>10.3</v>
      </c>
      <c r="N17" s="40">
        <v>10.3</v>
      </c>
    </row>
    <row r="18" spans="1:14">
      <c r="A18" t="s">
        <v>433</v>
      </c>
      <c r="B18" t="s">
        <v>354</v>
      </c>
      <c r="C18" s="40">
        <v>10.09</v>
      </c>
      <c r="D18" s="40">
        <v>10.06</v>
      </c>
      <c r="E18" s="40">
        <v>9.6300000000000008</v>
      </c>
      <c r="F18" s="40">
        <v>9.1300000000000008</v>
      </c>
      <c r="G18" s="40">
        <v>9.24</v>
      </c>
      <c r="H18" s="40">
        <v>8.99</v>
      </c>
      <c r="I18" s="40">
        <v>9.66</v>
      </c>
      <c r="J18" s="40">
        <v>9.18</v>
      </c>
      <c r="K18" s="40">
        <v>9.34</v>
      </c>
      <c r="L18" s="40">
        <v>9.32</v>
      </c>
      <c r="M18" s="40">
        <v>9.42</v>
      </c>
      <c r="N18" s="40">
        <v>9.3800000000000008</v>
      </c>
    </row>
    <row r="19" spans="1:14">
      <c r="A19" t="s">
        <v>434</v>
      </c>
      <c r="B19" t="s">
        <v>354</v>
      </c>
      <c r="C19" s="40">
        <v>10.74</v>
      </c>
      <c r="D19" s="40">
        <v>10.7</v>
      </c>
      <c r="E19" s="40">
        <v>10.29</v>
      </c>
      <c r="F19" s="40">
        <v>9.73</v>
      </c>
      <c r="G19" s="40">
        <v>9.94</v>
      </c>
      <c r="H19" s="40">
        <v>9.58</v>
      </c>
      <c r="I19" s="40">
        <v>10.32</v>
      </c>
      <c r="J19" s="40">
        <v>9.9499999999999993</v>
      </c>
      <c r="K19" s="40">
        <v>10.09</v>
      </c>
      <c r="L19" s="40">
        <v>10.050000000000001</v>
      </c>
      <c r="M19" s="40">
        <v>10.06</v>
      </c>
      <c r="N19" s="40">
        <v>9.9600000000000009</v>
      </c>
    </row>
    <row r="20" spans="1:14">
      <c r="A20" t="s">
        <v>435</v>
      </c>
      <c r="B20" t="s">
        <v>371</v>
      </c>
      <c r="C20" s="40">
        <v>15.09</v>
      </c>
      <c r="D20" s="40">
        <v>15.16</v>
      </c>
      <c r="E20" s="40">
        <v>14.9</v>
      </c>
      <c r="F20" s="40">
        <v>14.9</v>
      </c>
      <c r="G20" s="40">
        <v>15.26</v>
      </c>
      <c r="H20" s="40">
        <v>15.6</v>
      </c>
      <c r="I20" s="40">
        <v>17.16</v>
      </c>
      <c r="J20" s="40">
        <v>17.510000000000002</v>
      </c>
      <c r="K20">
        <v>16.98</v>
      </c>
      <c r="L20">
        <v>16.82</v>
      </c>
      <c r="M20">
        <v>17.37</v>
      </c>
      <c r="N20">
        <v>17.43</v>
      </c>
    </row>
    <row r="21" spans="1:14">
      <c r="A21" s="173" t="s">
        <v>195</v>
      </c>
    </row>
    <row r="22" spans="1:14">
      <c r="A22" s="173" t="s">
        <v>436</v>
      </c>
    </row>
    <row r="23" spans="1:14">
      <c r="A23" t="s">
        <v>437</v>
      </c>
      <c r="B23" t="s">
        <v>248</v>
      </c>
      <c r="C23" s="40">
        <v>38.6875</v>
      </c>
      <c r="D23" s="40">
        <v>37.25</v>
      </c>
      <c r="E23" s="40">
        <v>37.299999999999997</v>
      </c>
      <c r="F23" s="40">
        <v>36.125</v>
      </c>
      <c r="G23" s="40">
        <v>37.0625</v>
      </c>
      <c r="H23" s="40">
        <v>37.85</v>
      </c>
      <c r="I23" s="40">
        <v>39.75</v>
      </c>
      <c r="J23" s="40">
        <v>41.1875</v>
      </c>
      <c r="K23" s="40">
        <v>41.15</v>
      </c>
      <c r="L23" s="40">
        <v>39.0625</v>
      </c>
      <c r="M23" s="40">
        <v>39.6875</v>
      </c>
      <c r="N23" s="40">
        <v>38.65</v>
      </c>
    </row>
    <row r="24" spans="1:14">
      <c r="A24" t="s">
        <v>488</v>
      </c>
      <c r="B24" t="s">
        <v>248</v>
      </c>
      <c r="C24" s="40">
        <v>83.625</v>
      </c>
      <c r="D24" s="40">
        <v>90</v>
      </c>
      <c r="E24" s="40">
        <v>73.900000000000006</v>
      </c>
      <c r="F24" s="40">
        <v>82.8125</v>
      </c>
      <c r="G24" s="40">
        <v>84</v>
      </c>
      <c r="H24" s="40">
        <v>83.6</v>
      </c>
      <c r="I24" s="40">
        <v>81</v>
      </c>
      <c r="J24" s="40">
        <v>85.875</v>
      </c>
      <c r="K24" s="40">
        <v>86.625</v>
      </c>
      <c r="L24" s="40">
        <v>68.5</v>
      </c>
      <c r="M24" s="40">
        <v>72.25</v>
      </c>
      <c r="N24" s="40">
        <v>72.099999999999994</v>
      </c>
    </row>
    <row r="25" spans="1:14">
      <c r="A25" t="s">
        <v>438</v>
      </c>
      <c r="B25" t="s">
        <v>248</v>
      </c>
      <c r="C25" s="40">
        <v>37.885000000000005</v>
      </c>
      <c r="D25" s="40">
        <v>38.174999999999997</v>
      </c>
      <c r="E25" s="40">
        <v>37.894999999999996</v>
      </c>
      <c r="F25" s="40">
        <v>37.619999999999997</v>
      </c>
      <c r="G25" s="40">
        <v>37.71</v>
      </c>
      <c r="H25" s="40">
        <v>37.54</v>
      </c>
      <c r="I25" s="40">
        <v>37.685000000000002</v>
      </c>
      <c r="J25" s="40">
        <v>36.75</v>
      </c>
      <c r="K25" s="40">
        <v>36.474999999999994</v>
      </c>
      <c r="L25" s="40">
        <v>34.96</v>
      </c>
      <c r="M25">
        <v>34.620000000000005</v>
      </c>
      <c r="N25">
        <v>33.96</v>
      </c>
    </row>
    <row r="26" spans="1:14">
      <c r="A26" t="s">
        <v>489</v>
      </c>
      <c r="B26" t="s">
        <v>248</v>
      </c>
      <c r="C26" s="40">
        <v>26.5625</v>
      </c>
      <c r="D26" s="40">
        <v>27.236842105263158</v>
      </c>
      <c r="E26" s="40">
        <v>28.01</v>
      </c>
      <c r="F26" s="40">
        <v>27.29</v>
      </c>
      <c r="G26" s="40">
        <v>29.26</v>
      </c>
      <c r="H26" s="40">
        <v>29.97</v>
      </c>
      <c r="I26" s="40">
        <v>28.71</v>
      </c>
      <c r="J26" s="40">
        <v>28.43</v>
      </c>
      <c r="K26" s="40">
        <v>29.05</v>
      </c>
      <c r="L26" s="40">
        <v>27.07</v>
      </c>
      <c r="M26" s="40">
        <v>26.06</v>
      </c>
      <c r="N26" s="40">
        <v>24.2</v>
      </c>
    </row>
    <row r="27" spans="1:14">
      <c r="A27" t="s">
        <v>439</v>
      </c>
      <c r="B27" t="s">
        <v>248</v>
      </c>
      <c r="C27" s="40">
        <v>44.5625</v>
      </c>
      <c r="D27" s="40">
        <v>41.5</v>
      </c>
      <c r="E27" s="40">
        <v>39.450000000000003</v>
      </c>
      <c r="F27" s="40">
        <v>37.5625</v>
      </c>
      <c r="G27" s="40">
        <v>38.625</v>
      </c>
      <c r="H27" s="40">
        <v>38.6</v>
      </c>
      <c r="I27" s="40">
        <v>38.875</v>
      </c>
      <c r="J27" s="40">
        <v>36.375</v>
      </c>
      <c r="K27" s="40">
        <v>38.450000000000003</v>
      </c>
      <c r="L27" s="40">
        <v>37.0625</v>
      </c>
      <c r="M27" s="40">
        <v>37</v>
      </c>
      <c r="N27" s="40">
        <v>34.25</v>
      </c>
    </row>
    <row r="28" spans="1:14">
      <c r="A28" t="s">
        <v>440</v>
      </c>
      <c r="B28" t="s">
        <v>248</v>
      </c>
      <c r="C28" s="40">
        <v>30.1</v>
      </c>
      <c r="D28" s="147" t="s">
        <v>229</v>
      </c>
      <c r="E28" s="147" t="s">
        <v>229</v>
      </c>
      <c r="F28" s="147" t="s">
        <v>229</v>
      </c>
      <c r="G28" s="147" t="s">
        <v>229</v>
      </c>
      <c r="H28" s="36">
        <v>34.5</v>
      </c>
      <c r="I28" s="147" t="s">
        <v>229</v>
      </c>
      <c r="J28" s="147" t="s">
        <v>229</v>
      </c>
      <c r="K28" s="40">
        <v>35.75</v>
      </c>
      <c r="L28" s="40">
        <v>36</v>
      </c>
      <c r="M28" s="40">
        <v>38.17</v>
      </c>
      <c r="N28" s="40">
        <v>37</v>
      </c>
    </row>
    <row r="29" spans="1:14">
      <c r="A29" t="s">
        <v>490</v>
      </c>
      <c r="B29" t="s">
        <v>248</v>
      </c>
      <c r="C29" s="40">
        <v>37.75</v>
      </c>
      <c r="D29" s="40">
        <v>37.375</v>
      </c>
      <c r="E29" s="40">
        <v>35.9</v>
      </c>
      <c r="F29" s="40">
        <v>34.0625</v>
      </c>
      <c r="G29" s="40">
        <v>36.3125</v>
      </c>
      <c r="H29" s="40">
        <v>35.049999999999997</v>
      </c>
      <c r="I29" s="40">
        <v>35.1875</v>
      </c>
      <c r="J29" s="40">
        <v>35.0625</v>
      </c>
      <c r="K29" s="40">
        <v>36.4375</v>
      </c>
      <c r="L29" s="40">
        <v>36.1875</v>
      </c>
      <c r="M29" s="40">
        <v>35.4375</v>
      </c>
      <c r="N29" s="40">
        <v>33.25</v>
      </c>
    </row>
    <row r="30" spans="1:14">
      <c r="A30" t="s">
        <v>491</v>
      </c>
      <c r="B30" t="s">
        <v>248</v>
      </c>
      <c r="C30" s="40">
        <v>40.375</v>
      </c>
      <c r="D30" s="40">
        <v>39.5625</v>
      </c>
      <c r="E30" s="40">
        <v>38.5</v>
      </c>
      <c r="F30" s="40">
        <v>37.375</v>
      </c>
      <c r="G30" s="40">
        <v>39.0625</v>
      </c>
      <c r="H30" s="40">
        <v>38.299999999999997</v>
      </c>
      <c r="I30" s="40">
        <v>39</v>
      </c>
      <c r="J30" s="40">
        <v>39.625</v>
      </c>
      <c r="K30" s="40">
        <v>39.6875</v>
      </c>
      <c r="L30" s="40">
        <v>38.9375</v>
      </c>
      <c r="M30" s="40">
        <v>36.875</v>
      </c>
      <c r="N30" s="40">
        <v>45.75</v>
      </c>
    </row>
    <row r="31" spans="1:14">
      <c r="A31" t="s">
        <v>492</v>
      </c>
      <c r="B31" t="s">
        <v>248</v>
      </c>
      <c r="C31" s="40">
        <v>62.875</v>
      </c>
      <c r="D31" s="40">
        <v>63.125</v>
      </c>
      <c r="E31" s="40">
        <v>65.8</v>
      </c>
      <c r="F31" s="40">
        <v>69.6875</v>
      </c>
      <c r="G31" s="40">
        <v>70.75</v>
      </c>
      <c r="H31" s="40">
        <v>76.2</v>
      </c>
      <c r="I31" s="40">
        <v>75.75</v>
      </c>
      <c r="J31" s="40">
        <v>69.625</v>
      </c>
      <c r="K31" s="40">
        <v>66.599999999999994</v>
      </c>
      <c r="L31" s="40">
        <v>65.4375</v>
      </c>
      <c r="M31" s="40">
        <v>65</v>
      </c>
      <c r="N31" s="40">
        <v>65.2</v>
      </c>
    </row>
    <row r="32" spans="1:14">
      <c r="A32" t="s">
        <v>493</v>
      </c>
      <c r="B32" t="s">
        <v>248</v>
      </c>
      <c r="C32" s="40">
        <v>33.58</v>
      </c>
      <c r="D32" s="40">
        <v>32</v>
      </c>
      <c r="E32" s="40">
        <v>30.86</v>
      </c>
      <c r="F32" s="40">
        <v>29.57</v>
      </c>
      <c r="G32" s="40">
        <v>30.6</v>
      </c>
      <c r="H32" s="40">
        <v>30.74</v>
      </c>
      <c r="I32" s="40">
        <v>32.82</v>
      </c>
      <c r="J32" s="40">
        <v>33.17</v>
      </c>
      <c r="K32" s="40">
        <v>33.28</v>
      </c>
      <c r="L32" s="40">
        <v>32.35</v>
      </c>
      <c r="M32">
        <v>33.43</v>
      </c>
      <c r="N32">
        <v>32.270000000000003</v>
      </c>
    </row>
    <row r="33" spans="1:15">
      <c r="A33" t="s">
        <v>441</v>
      </c>
      <c r="B33" t="s">
        <v>248</v>
      </c>
      <c r="C33" s="40">
        <v>56</v>
      </c>
      <c r="D33" s="40">
        <v>55</v>
      </c>
      <c r="E33" s="40">
        <v>52</v>
      </c>
      <c r="F33" s="40">
        <v>51</v>
      </c>
      <c r="G33" s="40">
        <v>50.5</v>
      </c>
      <c r="H33" s="40">
        <v>50.8</v>
      </c>
      <c r="I33" s="40">
        <v>51.25</v>
      </c>
      <c r="J33" s="40">
        <v>52.75</v>
      </c>
      <c r="K33" s="40">
        <v>55.2</v>
      </c>
      <c r="L33" s="40">
        <v>56</v>
      </c>
      <c r="M33" s="40">
        <v>55.5</v>
      </c>
      <c r="N33" s="40">
        <v>54.8</v>
      </c>
    </row>
    <row r="34" spans="1:15">
      <c r="A34" t="s">
        <v>442</v>
      </c>
      <c r="B34" t="s">
        <v>248</v>
      </c>
      <c r="C34" s="40">
        <v>34</v>
      </c>
      <c r="D34" s="40">
        <v>34.5</v>
      </c>
      <c r="E34" s="40">
        <v>33.799999999999997</v>
      </c>
      <c r="F34" s="40">
        <v>33.5</v>
      </c>
      <c r="G34" s="40">
        <v>35.909999999999997</v>
      </c>
      <c r="H34" s="40">
        <v>36.6</v>
      </c>
      <c r="I34" s="40">
        <v>36.89</v>
      </c>
      <c r="J34" s="40">
        <v>35.78</v>
      </c>
      <c r="K34" s="40">
        <v>35.08</v>
      </c>
      <c r="L34" s="40">
        <v>32.06</v>
      </c>
      <c r="M34" s="40">
        <v>33.44</v>
      </c>
      <c r="N34" s="40">
        <v>31.63</v>
      </c>
    </row>
    <row r="35" spans="1:15">
      <c r="A35" s="52" t="s">
        <v>443</v>
      </c>
      <c r="B35" t="s">
        <v>248</v>
      </c>
      <c r="C35" s="40">
        <v>23.28</v>
      </c>
      <c r="D35" s="40">
        <v>23.53</v>
      </c>
      <c r="E35" s="40">
        <v>24</v>
      </c>
      <c r="F35" s="40">
        <v>24.69</v>
      </c>
      <c r="G35" s="40">
        <v>25.93</v>
      </c>
      <c r="H35" s="40">
        <v>27.72</v>
      </c>
      <c r="I35" s="40">
        <v>27.78</v>
      </c>
      <c r="J35" s="40">
        <v>28.05</v>
      </c>
      <c r="K35" s="40">
        <v>28.16</v>
      </c>
      <c r="L35" s="40">
        <v>25</v>
      </c>
      <c r="M35" s="40">
        <v>23.63</v>
      </c>
      <c r="N35" s="40">
        <v>19.170000000000002</v>
      </c>
      <c r="O35" s="36"/>
    </row>
    <row r="36" spans="1:15">
      <c r="A36" s="52" t="s">
        <v>235</v>
      </c>
      <c r="B36" s="52" t="s">
        <v>372</v>
      </c>
      <c r="C36" s="40">
        <v>3.15</v>
      </c>
      <c r="D36" s="40">
        <v>3.06</v>
      </c>
      <c r="E36" s="40">
        <v>3.08</v>
      </c>
      <c r="F36" s="40">
        <v>3.07</v>
      </c>
      <c r="G36" s="40">
        <v>3.21</v>
      </c>
      <c r="H36" s="40">
        <v>3.14</v>
      </c>
      <c r="I36" s="40">
        <v>3.24</v>
      </c>
      <c r="J36" s="40">
        <v>3.25</v>
      </c>
      <c r="K36" s="40">
        <v>3.26</v>
      </c>
      <c r="L36" s="40">
        <v>3.18</v>
      </c>
      <c r="M36" s="40">
        <v>3.23</v>
      </c>
      <c r="N36" s="40">
        <v>3.1</v>
      </c>
      <c r="O36" s="36"/>
    </row>
    <row r="37" spans="1:15">
      <c r="A37" s="173" t="s">
        <v>196</v>
      </c>
    </row>
    <row r="38" spans="1:15">
      <c r="A38" t="s">
        <v>494</v>
      </c>
      <c r="B38" t="s">
        <v>355</v>
      </c>
      <c r="C38" s="40">
        <v>267.41000000000003</v>
      </c>
      <c r="D38" s="40">
        <v>276.89999999999998</v>
      </c>
      <c r="E38" s="40">
        <v>276.33</v>
      </c>
      <c r="F38" s="40">
        <v>270.66000000000003</v>
      </c>
      <c r="G38" s="40">
        <v>279.64</v>
      </c>
      <c r="H38" s="40">
        <v>281.66000000000003</v>
      </c>
      <c r="I38" s="40">
        <v>307.73</v>
      </c>
      <c r="J38" s="40">
        <v>289.45</v>
      </c>
      <c r="K38" s="40">
        <v>262.33</v>
      </c>
      <c r="L38" s="40">
        <v>257.73</v>
      </c>
      <c r="M38" s="40">
        <v>255.74</v>
      </c>
      <c r="N38" s="40">
        <v>266.52999999999997</v>
      </c>
    </row>
    <row r="39" spans="1:15">
      <c r="A39" t="s">
        <v>495</v>
      </c>
      <c r="B39" t="s">
        <v>355</v>
      </c>
      <c r="C39" s="40">
        <v>223.5</v>
      </c>
      <c r="D39" s="40">
        <v>221.88</v>
      </c>
      <c r="E39" s="40">
        <v>210.63</v>
      </c>
      <c r="F39" s="40">
        <v>195</v>
      </c>
      <c r="G39" s="40">
        <v>179.5</v>
      </c>
      <c r="H39" s="40">
        <v>179.38</v>
      </c>
      <c r="I39" s="40">
        <v>200.83</v>
      </c>
      <c r="J39" s="40">
        <v>198.5</v>
      </c>
      <c r="K39" s="40">
        <v>213.75</v>
      </c>
      <c r="L39" s="40">
        <v>229</v>
      </c>
      <c r="M39" s="40">
        <v>228.75</v>
      </c>
      <c r="N39" s="40">
        <v>232.5</v>
      </c>
    </row>
    <row r="40" spans="1:15">
      <c r="A40" t="s">
        <v>496</v>
      </c>
      <c r="B40" t="s">
        <v>355</v>
      </c>
      <c r="C40" s="40">
        <v>364.38</v>
      </c>
      <c r="D40" s="40">
        <v>335</v>
      </c>
      <c r="E40" s="40">
        <v>316.25</v>
      </c>
      <c r="F40" s="40">
        <v>305.625</v>
      </c>
      <c r="G40" s="40">
        <v>296</v>
      </c>
      <c r="H40" s="40">
        <v>290</v>
      </c>
      <c r="I40" s="40">
        <v>297</v>
      </c>
      <c r="J40" s="40">
        <v>299.38</v>
      </c>
      <c r="K40" s="40">
        <v>297.5</v>
      </c>
      <c r="L40" s="40">
        <v>291.25</v>
      </c>
      <c r="M40" s="40">
        <v>290</v>
      </c>
      <c r="N40" s="40">
        <v>282.63</v>
      </c>
    </row>
    <row r="41" spans="1:15">
      <c r="A41" t="s">
        <v>444</v>
      </c>
      <c r="B41" t="s">
        <v>355</v>
      </c>
      <c r="C41">
        <v>332.34</v>
      </c>
      <c r="D41">
        <v>334.42</v>
      </c>
      <c r="E41">
        <v>320.33999999999997</v>
      </c>
      <c r="F41">
        <v>305.67</v>
      </c>
      <c r="G41">
        <v>307.63</v>
      </c>
      <c r="H41">
        <v>300.72000000000003</v>
      </c>
      <c r="I41">
        <v>326.04000000000002</v>
      </c>
      <c r="J41">
        <v>301.05</v>
      </c>
      <c r="K41" s="40">
        <v>307.7</v>
      </c>
      <c r="L41">
        <v>315.23</v>
      </c>
      <c r="M41">
        <v>313.52</v>
      </c>
      <c r="N41">
        <v>319.22000000000003</v>
      </c>
    </row>
    <row r="42" spans="1:15">
      <c r="A42" t="s">
        <v>497</v>
      </c>
      <c r="B42" t="s">
        <v>355</v>
      </c>
      <c r="C42" s="40">
        <v>159</v>
      </c>
      <c r="D42" s="40">
        <v>161.88</v>
      </c>
      <c r="E42" s="40">
        <v>155</v>
      </c>
      <c r="F42" s="40">
        <v>147.5</v>
      </c>
      <c r="G42" s="40">
        <v>144</v>
      </c>
      <c r="H42" s="40">
        <v>140</v>
      </c>
      <c r="I42" s="40">
        <v>130.63</v>
      </c>
      <c r="J42" s="40">
        <v>134.5</v>
      </c>
      <c r="K42" s="40">
        <v>134.38</v>
      </c>
      <c r="L42" s="40">
        <v>153</v>
      </c>
      <c r="M42" s="40">
        <v>165</v>
      </c>
      <c r="N42" s="40">
        <v>185</v>
      </c>
    </row>
    <row r="43" spans="1:15">
      <c r="A43" s="173" t="s">
        <v>233</v>
      </c>
    </row>
    <row r="44" spans="1:15">
      <c r="A44" s="173" t="s">
        <v>445</v>
      </c>
    </row>
    <row r="45" spans="1:15">
      <c r="A45" t="s">
        <v>446</v>
      </c>
      <c r="B45" t="s">
        <v>197</v>
      </c>
      <c r="C45" s="147" t="s">
        <v>229</v>
      </c>
      <c r="D45" s="147" t="s">
        <v>229</v>
      </c>
      <c r="E45" s="147" t="s">
        <v>229</v>
      </c>
      <c r="F45" s="147" t="s">
        <v>229</v>
      </c>
      <c r="G45" s="147" t="s">
        <v>229</v>
      </c>
      <c r="H45" s="147" t="s">
        <v>229</v>
      </c>
      <c r="I45" s="147" t="s">
        <v>229</v>
      </c>
      <c r="J45" s="147" t="s">
        <v>229</v>
      </c>
      <c r="K45" s="147" t="s">
        <v>229</v>
      </c>
      <c r="L45" s="147" t="s">
        <v>229</v>
      </c>
      <c r="M45" s="147" t="s">
        <v>229</v>
      </c>
      <c r="N45" s="147" t="s">
        <v>229</v>
      </c>
    </row>
    <row r="46" spans="1:15">
      <c r="A46" s="173" t="s">
        <v>447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</row>
    <row r="47" spans="1:15">
      <c r="A47" t="s">
        <v>448</v>
      </c>
      <c r="B47" t="s">
        <v>197</v>
      </c>
      <c r="C47" s="38">
        <v>318</v>
      </c>
      <c r="D47" s="38">
        <v>318.10000000000002</v>
      </c>
      <c r="E47" s="38">
        <v>318.2</v>
      </c>
      <c r="F47" s="38">
        <v>318.5</v>
      </c>
      <c r="G47" s="38">
        <v>316.2</v>
      </c>
      <c r="H47" s="38">
        <v>322.8</v>
      </c>
      <c r="I47" s="38">
        <v>318.10000000000002</v>
      </c>
      <c r="J47" s="38">
        <v>317.3</v>
      </c>
      <c r="K47" s="38">
        <v>320.8</v>
      </c>
      <c r="L47" s="38">
        <v>311.60000000000002</v>
      </c>
      <c r="M47" s="38">
        <v>314.7</v>
      </c>
      <c r="N47" s="38">
        <v>317.2</v>
      </c>
    </row>
    <row r="48" spans="1:15">
      <c r="A48" t="s">
        <v>449</v>
      </c>
      <c r="B48" t="s">
        <v>197</v>
      </c>
      <c r="C48" s="38">
        <v>255.2</v>
      </c>
      <c r="D48" s="38">
        <v>252.9</v>
      </c>
      <c r="E48" s="38">
        <v>258.8</v>
      </c>
      <c r="F48" s="38">
        <v>257.7</v>
      </c>
      <c r="G48" s="38">
        <v>256.2</v>
      </c>
      <c r="H48" s="38">
        <v>257.2</v>
      </c>
      <c r="I48" s="38">
        <v>259.3</v>
      </c>
      <c r="J48" s="38">
        <v>254.9</v>
      </c>
      <c r="K48" s="38">
        <v>257.3</v>
      </c>
      <c r="L48" s="38">
        <v>259.3</v>
      </c>
      <c r="M48" s="38">
        <v>257.7</v>
      </c>
      <c r="N48" s="38">
        <v>256.7</v>
      </c>
    </row>
    <row r="49" spans="1:14">
      <c r="A49" t="s">
        <v>450</v>
      </c>
      <c r="B49" t="s">
        <v>197</v>
      </c>
      <c r="C49" s="38">
        <v>231.5</v>
      </c>
      <c r="D49" s="38">
        <v>225.8</v>
      </c>
      <c r="E49" s="38">
        <v>218.9</v>
      </c>
      <c r="F49" s="38">
        <v>215.2</v>
      </c>
      <c r="G49" s="38">
        <v>223.4</v>
      </c>
      <c r="H49" s="38">
        <v>222.7</v>
      </c>
      <c r="I49" s="38">
        <v>228.9</v>
      </c>
      <c r="J49" s="38">
        <v>228</v>
      </c>
      <c r="K49" s="38">
        <v>230.5</v>
      </c>
      <c r="L49" s="38">
        <v>225.9</v>
      </c>
      <c r="M49" s="38">
        <v>229.2</v>
      </c>
      <c r="N49" s="38">
        <v>222.2</v>
      </c>
    </row>
    <row r="50" spans="1:14">
      <c r="A50" s="1" t="s">
        <v>451</v>
      </c>
      <c r="B50" s="1" t="s">
        <v>240</v>
      </c>
      <c r="C50" s="62">
        <v>135.80000000000001</v>
      </c>
      <c r="D50" s="62">
        <v>136.4</v>
      </c>
      <c r="E50" s="62">
        <v>135</v>
      </c>
      <c r="F50" s="62">
        <v>136.6</v>
      </c>
      <c r="G50" s="62">
        <v>136.6</v>
      </c>
      <c r="H50" s="62">
        <v>139.9</v>
      </c>
      <c r="I50" s="62">
        <v>139.9</v>
      </c>
      <c r="J50" s="62">
        <v>140.4</v>
      </c>
      <c r="K50" s="62">
        <v>140.1</v>
      </c>
      <c r="L50" s="62">
        <v>141.19999999999999</v>
      </c>
      <c r="M50" s="62">
        <v>140.4</v>
      </c>
      <c r="N50" s="62">
        <v>142.30000000000001</v>
      </c>
    </row>
    <row r="51" spans="1:14">
      <c r="A51" s="52" t="s">
        <v>549</v>
      </c>
      <c r="N51" s="65"/>
    </row>
    <row r="52" spans="1:14">
      <c r="A52" s="52" t="s">
        <v>689</v>
      </c>
      <c r="M52" s="37"/>
    </row>
    <row r="53" spans="1:14" ht="10.15" customHeight="1">
      <c r="A53" s="52" t="s">
        <v>586</v>
      </c>
      <c r="K53" s="69"/>
      <c r="M53" s="55"/>
    </row>
    <row r="54" spans="1:14">
      <c r="N54" s="225" t="s">
        <v>592</v>
      </c>
    </row>
  </sheetData>
  <pageMargins left="0.75" right="0.75" top="1" bottom="1" header="0.5" footer="0.5"/>
  <pageSetup scale="83" firstPageNumber="35" fitToWidth="0" orientation="landscape" useFirstPageNumber="1" r:id="rId1"/>
  <headerFooter alignWithMargins="0">
    <oddHeader xml:space="preserve">&amp;C
</oddHeader>
    <oddFooter>&amp;COil Crops Yearbook/OCS-2023
March 2023
Economic Research Service
&amp;P</oddFooter>
  </headerFooter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AN54"/>
  <sheetViews>
    <sheetView zoomScaleNormal="100" zoomScaleSheetLayoutView="100" workbookViewId="0">
      <pane ySplit="3" topLeftCell="A4" activePane="bottomLeft" state="frozen"/>
      <selection activeCell="N55" sqref="A1:N55"/>
      <selection pane="bottomLeft"/>
    </sheetView>
  </sheetViews>
  <sheetFormatPr defaultRowHeight="11.25"/>
  <cols>
    <col min="1" max="1" width="52.6640625" customWidth="1"/>
    <col min="2" max="2" width="19.5" bestFit="1" customWidth="1"/>
    <col min="3" max="14" width="9.6640625" customWidth="1"/>
  </cols>
  <sheetData>
    <row r="1" spans="1:40">
      <c r="A1" s="223" t="s">
        <v>650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40">
      <c r="C2" s="92"/>
      <c r="D2" s="92"/>
      <c r="E2" s="92"/>
      <c r="F2" s="92"/>
      <c r="G2" s="92"/>
      <c r="H2" s="175">
        <v>2018</v>
      </c>
      <c r="I2" s="92"/>
      <c r="J2" s="92"/>
      <c r="K2" s="92"/>
      <c r="L2" s="92"/>
      <c r="M2" s="92"/>
      <c r="N2" s="4"/>
    </row>
    <row r="3" spans="1:40">
      <c r="A3" s="1" t="s">
        <v>425</v>
      </c>
      <c r="B3" s="88" t="s">
        <v>198</v>
      </c>
      <c r="C3" s="92" t="s">
        <v>105</v>
      </c>
      <c r="D3" s="92" t="s">
        <v>106</v>
      </c>
      <c r="E3" s="92" t="s">
        <v>107</v>
      </c>
      <c r="F3" s="92" t="s">
        <v>108</v>
      </c>
      <c r="G3" s="92" t="s">
        <v>100</v>
      </c>
      <c r="H3" s="92" t="s">
        <v>715</v>
      </c>
      <c r="I3" s="92" t="s">
        <v>716</v>
      </c>
      <c r="J3" s="92" t="s">
        <v>109</v>
      </c>
      <c r="K3" s="92" t="s">
        <v>110</v>
      </c>
      <c r="L3" s="92" t="s">
        <v>102</v>
      </c>
      <c r="M3" s="92" t="s">
        <v>103</v>
      </c>
      <c r="N3" s="92" t="s">
        <v>104</v>
      </c>
    </row>
    <row r="4" spans="1:40">
      <c r="A4" s="173" t="s">
        <v>194</v>
      </c>
    </row>
    <row r="5" spans="1:40">
      <c r="A5" s="173" t="s">
        <v>713</v>
      </c>
    </row>
    <row r="6" spans="1:40">
      <c r="A6" t="s">
        <v>48</v>
      </c>
      <c r="B6" t="s">
        <v>371</v>
      </c>
      <c r="C6" s="40">
        <v>17.7</v>
      </c>
      <c r="D6" s="40">
        <v>18.3</v>
      </c>
      <c r="E6" s="40">
        <v>18.2</v>
      </c>
      <c r="F6" s="40">
        <v>17.5</v>
      </c>
      <c r="G6" s="36">
        <v>18.5</v>
      </c>
      <c r="H6" s="40">
        <v>17.2</v>
      </c>
      <c r="I6" s="40">
        <v>17.100000000000001</v>
      </c>
      <c r="J6" s="40">
        <v>15.3</v>
      </c>
      <c r="K6" s="40">
        <v>15.2</v>
      </c>
      <c r="L6" s="40">
        <v>15.6</v>
      </c>
      <c r="M6" s="40">
        <v>16.100000000000001</v>
      </c>
      <c r="N6" s="40">
        <v>16.3</v>
      </c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</row>
    <row r="7" spans="1:40">
      <c r="A7" t="s">
        <v>47</v>
      </c>
      <c r="B7" t="s">
        <v>355</v>
      </c>
      <c r="C7" s="40">
        <v>139</v>
      </c>
      <c r="D7" s="40">
        <v>156</v>
      </c>
      <c r="E7" s="40" t="s">
        <v>229</v>
      </c>
      <c r="F7" s="40" t="s">
        <v>229</v>
      </c>
      <c r="G7" s="40" t="s">
        <v>229</v>
      </c>
      <c r="H7" s="40" t="s">
        <v>229</v>
      </c>
      <c r="I7" s="40" t="s">
        <v>229</v>
      </c>
      <c r="J7" s="40">
        <v>134</v>
      </c>
      <c r="K7" s="40">
        <v>141</v>
      </c>
      <c r="L7" s="40">
        <v>146</v>
      </c>
      <c r="M7" s="40">
        <v>152</v>
      </c>
      <c r="N7" s="40">
        <v>161</v>
      </c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</row>
    <row r="8" spans="1:40">
      <c r="A8" t="s">
        <v>426</v>
      </c>
      <c r="B8" t="s">
        <v>354</v>
      </c>
      <c r="C8" s="40">
        <v>9.4</v>
      </c>
      <c r="D8" s="40">
        <v>10</v>
      </c>
      <c r="E8" s="40">
        <v>9.76</v>
      </c>
      <c r="F8" s="40">
        <v>9.92</v>
      </c>
      <c r="G8" s="40">
        <v>10.1</v>
      </c>
      <c r="H8" s="40">
        <v>10</v>
      </c>
      <c r="I8" s="40">
        <v>9.9600000000000009</v>
      </c>
      <c r="J8" s="40">
        <v>10.199999999999999</v>
      </c>
      <c r="K8" s="40">
        <v>9.7899999999999991</v>
      </c>
      <c r="L8" s="40">
        <v>9.7899999999999991</v>
      </c>
      <c r="M8" s="40">
        <v>10.199999999999999</v>
      </c>
      <c r="N8" s="40">
        <v>9.8699999999999992</v>
      </c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</row>
    <row r="9" spans="1:40">
      <c r="A9" t="s">
        <v>205</v>
      </c>
      <c r="B9" t="s">
        <v>248</v>
      </c>
      <c r="C9" s="40">
        <v>22.9</v>
      </c>
      <c r="D9" s="40">
        <v>22.7</v>
      </c>
      <c r="E9" s="40">
        <v>24.4</v>
      </c>
      <c r="F9" s="40">
        <v>23.3</v>
      </c>
      <c r="G9" s="40">
        <v>22.7</v>
      </c>
      <c r="H9" s="40">
        <v>22.7</v>
      </c>
      <c r="I9" s="40">
        <v>22.4</v>
      </c>
      <c r="J9" s="40">
        <v>22</v>
      </c>
      <c r="K9" s="40">
        <v>22.3</v>
      </c>
      <c r="L9" s="40">
        <v>21.8</v>
      </c>
      <c r="M9" s="40">
        <v>21.6</v>
      </c>
      <c r="N9" s="40">
        <v>20.5</v>
      </c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</row>
    <row r="10" spans="1:40">
      <c r="A10" t="s">
        <v>204</v>
      </c>
      <c r="B10" t="s">
        <v>354</v>
      </c>
      <c r="C10" s="40">
        <v>9.3000000000000007</v>
      </c>
      <c r="D10" s="40">
        <v>9.5</v>
      </c>
      <c r="E10" s="40">
        <v>9.81</v>
      </c>
      <c r="F10" s="40">
        <v>9.85</v>
      </c>
      <c r="G10" s="40">
        <v>9.84</v>
      </c>
      <c r="H10" s="40">
        <v>9.5500000000000007</v>
      </c>
      <c r="I10" s="40">
        <v>9.08</v>
      </c>
      <c r="J10" s="40">
        <v>8.59</v>
      </c>
      <c r="K10" s="40">
        <v>8.7799999999999994</v>
      </c>
      <c r="L10" s="40">
        <v>8.59</v>
      </c>
      <c r="M10" s="40">
        <v>8.36</v>
      </c>
      <c r="N10" s="40">
        <v>8.56</v>
      </c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</row>
    <row r="11" spans="1:40">
      <c r="A11" t="s">
        <v>427</v>
      </c>
      <c r="B11" t="s">
        <v>371</v>
      </c>
      <c r="C11" s="40">
        <v>17.600000000000001</v>
      </c>
      <c r="D11" s="40">
        <v>17.7</v>
      </c>
      <c r="E11" s="40">
        <v>17.3</v>
      </c>
      <c r="F11" s="40">
        <v>18</v>
      </c>
      <c r="G11" s="40">
        <v>17.899999999999999</v>
      </c>
      <c r="H11" s="40">
        <v>17.7</v>
      </c>
      <c r="I11" s="40">
        <v>17.399999999999999</v>
      </c>
      <c r="J11" s="40">
        <v>16.899999999999999</v>
      </c>
      <c r="K11" s="40">
        <v>16.7</v>
      </c>
      <c r="L11" s="40">
        <v>16.7</v>
      </c>
      <c r="M11" s="40">
        <v>17</v>
      </c>
      <c r="N11" s="40">
        <v>16.899999999999999</v>
      </c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</row>
    <row r="12" spans="1:40">
      <c r="A12" t="s">
        <v>548</v>
      </c>
      <c r="B12" t="s">
        <v>371</v>
      </c>
      <c r="C12" s="40">
        <v>17.3</v>
      </c>
      <c r="D12" s="40">
        <v>17.3</v>
      </c>
      <c r="E12" s="40">
        <v>17</v>
      </c>
      <c r="F12" s="40">
        <v>17.5</v>
      </c>
      <c r="G12" s="40">
        <v>17.100000000000001</v>
      </c>
      <c r="H12" s="40">
        <v>17.2</v>
      </c>
      <c r="I12" s="40">
        <v>17.3</v>
      </c>
      <c r="J12" s="40">
        <v>16.2</v>
      </c>
      <c r="K12" s="40">
        <v>16.600000000000001</v>
      </c>
      <c r="L12" s="40">
        <v>16.3</v>
      </c>
      <c r="M12" s="40">
        <v>16.399999999999999</v>
      </c>
      <c r="N12" s="40">
        <v>16.2</v>
      </c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</row>
    <row r="13" spans="1:40">
      <c r="A13" t="s">
        <v>428</v>
      </c>
      <c r="B13" t="s">
        <v>371</v>
      </c>
      <c r="C13" s="40">
        <v>19.8</v>
      </c>
      <c r="D13" s="40">
        <v>23.6</v>
      </c>
      <c r="E13" s="40">
        <v>21.5</v>
      </c>
      <c r="F13" s="40">
        <v>21.5</v>
      </c>
      <c r="G13" s="40">
        <v>23.2</v>
      </c>
      <c r="H13" s="40">
        <v>21.4</v>
      </c>
      <c r="I13" s="40">
        <v>19.5</v>
      </c>
      <c r="J13" s="40">
        <v>22.4</v>
      </c>
      <c r="K13" s="40">
        <v>19.3</v>
      </c>
      <c r="L13" s="40">
        <v>21.1</v>
      </c>
      <c r="M13" s="40">
        <v>22.9</v>
      </c>
      <c r="N13" s="40">
        <v>23.5</v>
      </c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</row>
    <row r="14" spans="1:40">
      <c r="A14" s="173" t="s">
        <v>429</v>
      </c>
    </row>
    <row r="15" spans="1:40">
      <c r="A15" t="s">
        <v>430</v>
      </c>
      <c r="B15" t="s">
        <v>371</v>
      </c>
      <c r="C15" s="40">
        <v>17.86</v>
      </c>
      <c r="D15" s="40">
        <v>17.93</v>
      </c>
      <c r="E15" s="40">
        <v>17.96</v>
      </c>
      <c r="F15" s="40">
        <v>18.670000000000002</v>
      </c>
      <c r="G15" s="40">
        <v>18.600000000000001</v>
      </c>
      <c r="H15" s="40">
        <v>17.84</v>
      </c>
      <c r="I15">
        <v>15.67</v>
      </c>
      <c r="J15">
        <v>15.61</v>
      </c>
      <c r="K15">
        <v>15.23</v>
      </c>
      <c r="L15">
        <v>15.84</v>
      </c>
      <c r="M15">
        <v>15.71</v>
      </c>
      <c r="N15">
        <v>15.87</v>
      </c>
    </row>
    <row r="16" spans="1:40">
      <c r="A16" t="s">
        <v>431</v>
      </c>
      <c r="B16" t="s">
        <v>355</v>
      </c>
      <c r="C16" s="40">
        <v>158.6</v>
      </c>
      <c r="D16" s="40">
        <v>158.75</v>
      </c>
      <c r="E16" s="40">
        <v>164.5</v>
      </c>
      <c r="F16" s="40">
        <v>164.5</v>
      </c>
      <c r="G16" s="40">
        <v>173.33</v>
      </c>
      <c r="H16" s="40">
        <v>179</v>
      </c>
      <c r="I16" s="40">
        <v>178.67</v>
      </c>
      <c r="J16" s="40">
        <v>174.25</v>
      </c>
      <c r="K16" s="40">
        <v>183.33</v>
      </c>
      <c r="L16" s="40">
        <v>161</v>
      </c>
      <c r="M16" s="40">
        <v>167.25</v>
      </c>
      <c r="N16" s="40">
        <v>174</v>
      </c>
    </row>
    <row r="17" spans="1:16">
      <c r="A17" t="s">
        <v>432</v>
      </c>
      <c r="B17" t="s">
        <v>354</v>
      </c>
      <c r="C17" s="40">
        <v>10.3</v>
      </c>
      <c r="D17" s="40">
        <v>10.3</v>
      </c>
      <c r="E17" s="40">
        <v>10.3</v>
      </c>
      <c r="F17" s="40">
        <v>10.3</v>
      </c>
      <c r="G17" s="40">
        <v>10.3</v>
      </c>
      <c r="H17" s="40">
        <v>10.3</v>
      </c>
      <c r="I17" s="40">
        <v>10.31</v>
      </c>
      <c r="J17" s="40">
        <v>10.4</v>
      </c>
      <c r="K17" s="40">
        <v>10.72</v>
      </c>
      <c r="L17" s="40">
        <v>11.1</v>
      </c>
      <c r="M17" s="40">
        <v>11.15</v>
      </c>
      <c r="N17" s="40">
        <v>11.1</v>
      </c>
    </row>
    <row r="18" spans="1:16">
      <c r="A18" t="s">
        <v>433</v>
      </c>
      <c r="B18" t="s">
        <v>354</v>
      </c>
      <c r="C18" s="40">
        <v>9.39</v>
      </c>
      <c r="D18" s="40">
        <v>9.75</v>
      </c>
      <c r="E18" s="40">
        <v>9.9499999999999993</v>
      </c>
      <c r="F18" s="40">
        <v>9.98</v>
      </c>
      <c r="G18" s="40">
        <v>9.86</v>
      </c>
      <c r="H18" s="40">
        <v>8.92</v>
      </c>
      <c r="I18" s="40">
        <v>8.1999999999999993</v>
      </c>
      <c r="J18" s="40">
        <v>8.23</v>
      </c>
      <c r="K18" s="40">
        <v>7.74</v>
      </c>
      <c r="L18" s="40">
        <v>7.92</v>
      </c>
      <c r="M18" s="40">
        <v>8.25</v>
      </c>
      <c r="N18" s="40">
        <v>8.5299999999999994</v>
      </c>
    </row>
    <row r="19" spans="1:16">
      <c r="A19" t="s">
        <v>434</v>
      </c>
      <c r="B19" t="s">
        <v>354</v>
      </c>
      <c r="C19" s="40">
        <v>10.14</v>
      </c>
      <c r="D19" s="40">
        <v>10.46</v>
      </c>
      <c r="E19" s="40">
        <v>10.8</v>
      </c>
      <c r="F19" s="40">
        <v>10.96</v>
      </c>
      <c r="G19" s="40">
        <v>10.75</v>
      </c>
      <c r="H19" s="40">
        <v>9.7899999999999991</v>
      </c>
      <c r="I19" s="40">
        <v>9.0399999999999991</v>
      </c>
      <c r="J19" s="40">
        <v>9.01</v>
      </c>
      <c r="K19" s="40">
        <v>8.3800000000000008</v>
      </c>
      <c r="L19" s="40">
        <v>8.7100000000000009</v>
      </c>
      <c r="M19" s="40">
        <v>8.99</v>
      </c>
      <c r="N19" s="40">
        <v>9.1999999999999993</v>
      </c>
    </row>
    <row r="20" spans="1:16">
      <c r="A20" t="s">
        <v>435</v>
      </c>
      <c r="B20" t="s">
        <v>371</v>
      </c>
      <c r="C20" s="40">
        <v>17.41</v>
      </c>
      <c r="D20" s="40">
        <v>17.23</v>
      </c>
      <c r="E20" s="40">
        <v>17.489999999999998</v>
      </c>
      <c r="F20" s="40">
        <v>17.72</v>
      </c>
      <c r="G20" s="40">
        <v>17.86</v>
      </c>
      <c r="H20" s="40">
        <v>18.07</v>
      </c>
      <c r="I20" s="40">
        <v>17.68</v>
      </c>
      <c r="J20" s="40">
        <v>17.309999999999999</v>
      </c>
      <c r="K20" s="40">
        <v>17.3</v>
      </c>
      <c r="L20">
        <v>16.989999999999998</v>
      </c>
      <c r="M20">
        <v>16.54</v>
      </c>
      <c r="N20">
        <v>16.89</v>
      </c>
    </row>
    <row r="21" spans="1:16">
      <c r="A21" s="173" t="s">
        <v>195</v>
      </c>
    </row>
    <row r="22" spans="1:16">
      <c r="A22" s="173" t="s">
        <v>436</v>
      </c>
    </row>
    <row r="23" spans="1:16">
      <c r="A23" t="s">
        <v>437</v>
      </c>
      <c r="B23" t="s">
        <v>248</v>
      </c>
      <c r="C23" s="40">
        <v>38.3125</v>
      </c>
      <c r="D23" s="40">
        <v>37.4375</v>
      </c>
      <c r="E23" s="40">
        <v>37.1</v>
      </c>
      <c r="F23" s="40">
        <v>37.3125</v>
      </c>
      <c r="G23" s="40">
        <v>38.25</v>
      </c>
      <c r="H23" s="40">
        <v>37.75</v>
      </c>
      <c r="I23" s="40">
        <v>38.6875</v>
      </c>
      <c r="J23" s="40">
        <v>38.75</v>
      </c>
      <c r="K23" s="40">
        <v>38.1875</v>
      </c>
      <c r="L23" s="40">
        <v>38.9375</v>
      </c>
      <c r="M23" s="40">
        <v>37.450000000000003</v>
      </c>
      <c r="N23" s="40">
        <v>36.75</v>
      </c>
    </row>
    <row r="24" spans="1:16">
      <c r="A24" t="s">
        <v>488</v>
      </c>
      <c r="B24" t="s">
        <v>248</v>
      </c>
      <c r="C24" s="40">
        <v>68.75</v>
      </c>
      <c r="D24" s="40">
        <v>66</v>
      </c>
      <c r="E24" s="40">
        <v>55.9</v>
      </c>
      <c r="F24" s="40">
        <v>58.75</v>
      </c>
      <c r="G24" s="40">
        <v>52.5</v>
      </c>
      <c r="H24" s="40">
        <v>46.2</v>
      </c>
      <c r="I24" s="40">
        <v>45</v>
      </c>
      <c r="J24" s="40">
        <v>45</v>
      </c>
      <c r="K24" s="40">
        <v>44.5</v>
      </c>
      <c r="L24" s="40">
        <v>43</v>
      </c>
      <c r="M24" s="40">
        <v>39</v>
      </c>
      <c r="N24" s="40">
        <v>37.5</v>
      </c>
      <c r="P24" s="217"/>
    </row>
    <row r="25" spans="1:16">
      <c r="A25" t="s">
        <v>438</v>
      </c>
      <c r="B25" t="s">
        <v>248</v>
      </c>
      <c r="C25" s="40">
        <v>30.675000000000001</v>
      </c>
      <c r="D25" s="40">
        <v>29.715</v>
      </c>
      <c r="E25" s="40">
        <v>29.659999999999997</v>
      </c>
      <c r="F25" s="40">
        <v>29.9375</v>
      </c>
      <c r="G25" s="40">
        <v>29.65</v>
      </c>
      <c r="H25" s="40">
        <v>29.54</v>
      </c>
      <c r="I25" s="40">
        <v>28.754999999999999</v>
      </c>
      <c r="J25" s="40">
        <v>26.799999999999997</v>
      </c>
      <c r="K25" s="40">
        <v>26.465</v>
      </c>
      <c r="L25" s="40">
        <v>27.19</v>
      </c>
      <c r="M25">
        <v>26.369999999999997</v>
      </c>
      <c r="N25">
        <v>26.46</v>
      </c>
      <c r="P25" s="217"/>
    </row>
    <row r="26" spans="1:16">
      <c r="A26" t="s">
        <v>489</v>
      </c>
      <c r="B26" t="s">
        <v>248</v>
      </c>
      <c r="C26" s="40">
        <v>23.79</v>
      </c>
      <c r="D26" s="40">
        <v>22.87</v>
      </c>
      <c r="E26" s="40">
        <v>23.15</v>
      </c>
      <c r="F26" s="40">
        <v>23.86</v>
      </c>
      <c r="G26" s="40">
        <v>24.1</v>
      </c>
      <c r="H26" s="40">
        <v>24.27</v>
      </c>
      <c r="I26" s="40">
        <v>26.37</v>
      </c>
      <c r="J26" s="40">
        <v>24.11</v>
      </c>
      <c r="K26" s="40">
        <v>24.87</v>
      </c>
      <c r="L26" s="40">
        <v>25.4</v>
      </c>
      <c r="M26" s="40">
        <v>25.23</v>
      </c>
      <c r="N26" s="40">
        <v>25.77</v>
      </c>
    </row>
    <row r="27" spans="1:16">
      <c r="A27" t="s">
        <v>439</v>
      </c>
      <c r="B27" t="s">
        <v>248</v>
      </c>
      <c r="C27" s="40">
        <v>32.75</v>
      </c>
      <c r="D27" s="40">
        <v>31.4375</v>
      </c>
      <c r="E27" s="40">
        <v>31.35</v>
      </c>
      <c r="F27" s="40">
        <v>31.1875</v>
      </c>
      <c r="G27" s="40">
        <v>31.25</v>
      </c>
      <c r="H27" s="40">
        <v>29.9</v>
      </c>
      <c r="I27" s="40">
        <v>28.75</v>
      </c>
      <c r="J27" s="40">
        <v>28.6</v>
      </c>
      <c r="K27" s="40">
        <v>28.875</v>
      </c>
      <c r="L27" s="40">
        <v>30.5625</v>
      </c>
      <c r="M27" s="40">
        <v>31.45</v>
      </c>
      <c r="N27" s="40">
        <v>32.0625</v>
      </c>
    </row>
    <row r="28" spans="1:16">
      <c r="A28" t="s">
        <v>440</v>
      </c>
      <c r="B28" t="s">
        <v>248</v>
      </c>
      <c r="C28" s="40">
        <v>32.08</v>
      </c>
      <c r="D28" s="40">
        <v>32.200000000000003</v>
      </c>
      <c r="E28" s="147" t="s">
        <v>229</v>
      </c>
      <c r="F28" s="147" t="s">
        <v>229</v>
      </c>
      <c r="G28" s="147" t="s">
        <v>229</v>
      </c>
      <c r="H28" s="36">
        <v>32.5</v>
      </c>
      <c r="I28" s="147" t="s">
        <v>229</v>
      </c>
      <c r="J28" s="40">
        <v>32.380000000000003</v>
      </c>
      <c r="K28" s="40">
        <v>32.93</v>
      </c>
      <c r="L28" s="40">
        <v>33</v>
      </c>
      <c r="M28" s="40">
        <v>34.33</v>
      </c>
      <c r="N28" s="40">
        <v>31</v>
      </c>
    </row>
    <row r="29" spans="1:16">
      <c r="A29" t="s">
        <v>490</v>
      </c>
      <c r="B29" t="s">
        <v>248</v>
      </c>
      <c r="C29" s="40">
        <v>34.125</v>
      </c>
      <c r="D29" s="40">
        <v>33.6875</v>
      </c>
      <c r="E29" s="40">
        <v>34.1</v>
      </c>
      <c r="F29" s="40">
        <v>33.8125</v>
      </c>
      <c r="G29" s="40">
        <v>32.875</v>
      </c>
      <c r="H29" s="40">
        <v>32.35</v>
      </c>
      <c r="I29" s="40">
        <v>30.375</v>
      </c>
      <c r="J29" s="40">
        <v>30.1</v>
      </c>
      <c r="K29" s="40">
        <v>29.9375</v>
      </c>
      <c r="L29" s="40">
        <v>29.625</v>
      </c>
      <c r="M29" s="40">
        <v>27</v>
      </c>
      <c r="N29" s="40">
        <v>27.125</v>
      </c>
    </row>
    <row r="30" spans="1:16">
      <c r="A30" t="s">
        <v>491</v>
      </c>
      <c r="B30" t="s">
        <v>248</v>
      </c>
      <c r="C30" s="40">
        <v>63.5</v>
      </c>
      <c r="D30" s="40">
        <v>62.9375</v>
      </c>
      <c r="E30" s="40">
        <v>62.75</v>
      </c>
      <c r="F30" s="40">
        <v>61.8125</v>
      </c>
      <c r="G30" s="40">
        <v>61.875</v>
      </c>
      <c r="H30" s="40">
        <v>61</v>
      </c>
      <c r="I30" s="40">
        <v>59.375</v>
      </c>
      <c r="J30" s="40">
        <v>59</v>
      </c>
      <c r="K30" s="40">
        <v>58.75</v>
      </c>
      <c r="L30" s="40">
        <v>58.375</v>
      </c>
      <c r="M30" s="40">
        <v>55.85</v>
      </c>
      <c r="N30" s="40">
        <v>55.6875</v>
      </c>
    </row>
    <row r="31" spans="1:16">
      <c r="A31" t="s">
        <v>492</v>
      </c>
      <c r="B31" t="s">
        <v>248</v>
      </c>
      <c r="C31" s="40">
        <v>66.125</v>
      </c>
      <c r="D31" s="40">
        <v>66.625</v>
      </c>
      <c r="E31" s="40">
        <v>67</v>
      </c>
      <c r="F31" s="40">
        <v>66.875</v>
      </c>
      <c r="G31" s="40">
        <v>66.5</v>
      </c>
      <c r="H31" s="40">
        <v>67.7</v>
      </c>
      <c r="I31" s="40">
        <v>68</v>
      </c>
      <c r="J31" s="40">
        <v>68</v>
      </c>
      <c r="K31" s="40">
        <v>67.625</v>
      </c>
      <c r="L31" s="40">
        <v>66.625</v>
      </c>
      <c r="M31" s="40">
        <v>64.8</v>
      </c>
      <c r="N31" s="40">
        <v>62.25</v>
      </c>
    </row>
    <row r="32" spans="1:16">
      <c r="A32" t="s">
        <v>493</v>
      </c>
      <c r="B32" t="s">
        <v>248</v>
      </c>
      <c r="C32" s="40">
        <v>31.61</v>
      </c>
      <c r="D32" s="40">
        <v>30.63</v>
      </c>
      <c r="E32" s="40">
        <v>30.28</v>
      </c>
      <c r="F32" s="40">
        <v>29.7</v>
      </c>
      <c r="G32" s="40">
        <v>29.4</v>
      </c>
      <c r="H32" s="40">
        <v>28.3</v>
      </c>
      <c r="I32" s="40">
        <v>27.21</v>
      </c>
      <c r="J32" s="40">
        <v>27.6</v>
      </c>
      <c r="K32" s="40">
        <v>27.73</v>
      </c>
      <c r="L32" s="40">
        <v>28.89</v>
      </c>
      <c r="M32">
        <v>27.49</v>
      </c>
      <c r="N32">
        <v>28.14</v>
      </c>
    </row>
    <row r="33" spans="1:15">
      <c r="A33" t="s">
        <v>441</v>
      </c>
      <c r="B33" t="s">
        <v>248</v>
      </c>
      <c r="C33" s="40">
        <v>55.5</v>
      </c>
      <c r="D33" s="40">
        <v>55</v>
      </c>
      <c r="E33" s="40">
        <v>54</v>
      </c>
      <c r="F33" s="40">
        <v>54</v>
      </c>
      <c r="G33" s="40">
        <v>54</v>
      </c>
      <c r="H33" s="40">
        <v>54</v>
      </c>
      <c r="I33" s="40">
        <v>54</v>
      </c>
      <c r="J33" s="40">
        <v>54</v>
      </c>
      <c r="K33" s="40">
        <v>54</v>
      </c>
      <c r="L33" s="40">
        <v>54</v>
      </c>
      <c r="M33" s="40">
        <v>52.8</v>
      </c>
      <c r="N33" s="40">
        <v>53.5</v>
      </c>
    </row>
    <row r="34" spans="1:15">
      <c r="A34" t="s">
        <v>442</v>
      </c>
      <c r="B34" t="s">
        <v>248</v>
      </c>
      <c r="C34" s="147" t="s">
        <v>229</v>
      </c>
      <c r="D34" s="40">
        <v>31</v>
      </c>
      <c r="E34" s="147" t="s">
        <v>229</v>
      </c>
      <c r="F34" s="40">
        <v>29.5</v>
      </c>
      <c r="G34" s="40">
        <v>29</v>
      </c>
      <c r="H34" s="40">
        <v>30</v>
      </c>
      <c r="I34" s="40">
        <v>32.47</v>
      </c>
      <c r="J34" s="40">
        <v>32</v>
      </c>
      <c r="K34" s="40">
        <v>31</v>
      </c>
      <c r="L34" s="40">
        <v>31.29</v>
      </c>
      <c r="M34" s="40">
        <v>33.56</v>
      </c>
      <c r="N34" s="40">
        <v>32.5</v>
      </c>
    </row>
    <row r="35" spans="1:15">
      <c r="A35" s="52" t="s">
        <v>443</v>
      </c>
      <c r="B35" t="s">
        <v>248</v>
      </c>
      <c r="C35" s="147" t="s">
        <v>229</v>
      </c>
      <c r="D35" s="147" t="s">
        <v>229</v>
      </c>
      <c r="E35" s="147" t="s">
        <v>229</v>
      </c>
      <c r="F35" s="147" t="s">
        <v>229</v>
      </c>
      <c r="G35" s="40">
        <v>22.35</v>
      </c>
      <c r="H35" s="147" t="s">
        <v>229</v>
      </c>
      <c r="I35" s="147" t="s">
        <v>229</v>
      </c>
      <c r="J35" s="147" t="s">
        <v>229</v>
      </c>
      <c r="K35" s="147" t="s">
        <v>229</v>
      </c>
      <c r="L35" s="147" t="s">
        <v>229</v>
      </c>
      <c r="M35" s="147" t="s">
        <v>229</v>
      </c>
      <c r="N35" s="147" t="s">
        <v>229</v>
      </c>
      <c r="O35" s="36"/>
    </row>
    <row r="36" spans="1:15">
      <c r="A36" s="52" t="s">
        <v>235</v>
      </c>
      <c r="B36" s="52" t="s">
        <v>372</v>
      </c>
      <c r="C36" s="40">
        <v>3.26</v>
      </c>
      <c r="D36" s="40">
        <v>3.18</v>
      </c>
      <c r="E36" s="40">
        <v>3.2169999999999996</v>
      </c>
      <c r="F36" s="40">
        <v>3.1412499999999999</v>
      </c>
      <c r="G36" s="40">
        <v>3.14</v>
      </c>
      <c r="H36" s="147" t="s">
        <v>229</v>
      </c>
      <c r="I36" s="40">
        <v>2.915</v>
      </c>
      <c r="J36" s="40">
        <v>3.15</v>
      </c>
      <c r="K36" s="147" t="s">
        <v>229</v>
      </c>
      <c r="L36" s="40">
        <v>3</v>
      </c>
      <c r="M36" s="40">
        <v>2.8375000000000004</v>
      </c>
      <c r="N36" s="40">
        <v>2.8</v>
      </c>
      <c r="O36" s="36"/>
    </row>
    <row r="37" spans="1:15">
      <c r="A37" s="173" t="s">
        <v>196</v>
      </c>
    </row>
    <row r="38" spans="1:15">
      <c r="A38" t="s">
        <v>494</v>
      </c>
      <c r="B38" t="s">
        <v>355</v>
      </c>
      <c r="C38" s="40">
        <v>270.2</v>
      </c>
      <c r="D38" s="40">
        <v>315.95</v>
      </c>
      <c r="E38" s="40">
        <v>334.58</v>
      </c>
      <c r="F38" s="40">
        <v>332.16</v>
      </c>
      <c r="G38" s="40">
        <v>336.93</v>
      </c>
      <c r="H38" s="40">
        <v>302.75</v>
      </c>
      <c r="I38" s="40">
        <v>279.83999999999997</v>
      </c>
      <c r="J38" s="40">
        <v>274.55</v>
      </c>
      <c r="K38" s="40">
        <v>266.86</v>
      </c>
      <c r="L38" s="40">
        <v>279.39999999999998</v>
      </c>
      <c r="M38" s="40">
        <v>279.05</v>
      </c>
      <c r="N38" s="40">
        <v>291.42</v>
      </c>
    </row>
    <row r="39" spans="1:15">
      <c r="A39" t="s">
        <v>495</v>
      </c>
      <c r="B39" t="s">
        <v>355</v>
      </c>
      <c r="C39" s="40">
        <v>259</v>
      </c>
      <c r="D39" s="40">
        <v>303.13</v>
      </c>
      <c r="E39" s="40">
        <v>323.13</v>
      </c>
      <c r="F39" s="40">
        <v>263.13</v>
      </c>
      <c r="G39" s="40">
        <v>262.5</v>
      </c>
      <c r="H39" s="40">
        <v>257.5</v>
      </c>
      <c r="I39" s="40">
        <v>253.13</v>
      </c>
      <c r="J39" s="40">
        <v>260</v>
      </c>
      <c r="K39" s="40">
        <v>258.75</v>
      </c>
      <c r="L39" s="40">
        <v>249</v>
      </c>
      <c r="M39" s="40">
        <v>240</v>
      </c>
      <c r="N39" s="40">
        <v>243.75</v>
      </c>
    </row>
    <row r="40" spans="1:15">
      <c r="A40" t="s">
        <v>496</v>
      </c>
      <c r="B40" t="s">
        <v>355</v>
      </c>
      <c r="C40" s="40">
        <v>215.5</v>
      </c>
      <c r="D40" s="40">
        <v>233.13</v>
      </c>
      <c r="E40" s="40">
        <v>237.5</v>
      </c>
      <c r="F40" s="40">
        <v>238.13</v>
      </c>
      <c r="G40" s="40">
        <v>267.5</v>
      </c>
      <c r="H40" s="40">
        <v>271.25</v>
      </c>
      <c r="I40" s="40">
        <v>278</v>
      </c>
      <c r="J40" s="40">
        <v>265.625</v>
      </c>
      <c r="K40" s="40">
        <v>235</v>
      </c>
      <c r="L40" s="40">
        <v>196.5</v>
      </c>
      <c r="M40" s="40">
        <v>209.38</v>
      </c>
      <c r="N40" s="40">
        <v>225.83</v>
      </c>
    </row>
    <row r="41" spans="1:15">
      <c r="A41" t="s">
        <v>444</v>
      </c>
      <c r="B41" t="s">
        <v>355</v>
      </c>
      <c r="C41" s="40">
        <v>322.60000000000002</v>
      </c>
      <c r="D41" s="40">
        <v>362.85</v>
      </c>
      <c r="E41" s="40">
        <v>379.85</v>
      </c>
      <c r="F41" s="40">
        <v>385.84</v>
      </c>
      <c r="G41" s="40">
        <v>393.55</v>
      </c>
      <c r="H41" s="40">
        <v>355.71</v>
      </c>
      <c r="I41" s="40">
        <v>341.08</v>
      </c>
      <c r="J41" s="40">
        <v>332.5</v>
      </c>
      <c r="K41" s="40">
        <v>318.32</v>
      </c>
      <c r="L41" s="40">
        <v>319.14999999999998</v>
      </c>
      <c r="M41" s="40">
        <v>310.62</v>
      </c>
      <c r="N41" s="40">
        <v>311.7</v>
      </c>
    </row>
    <row r="42" spans="1:15">
      <c r="A42" t="s">
        <v>497</v>
      </c>
      <c r="B42" t="s">
        <v>355</v>
      </c>
      <c r="C42" s="40">
        <v>178</v>
      </c>
      <c r="D42" s="40">
        <v>185.63</v>
      </c>
      <c r="E42" s="40">
        <v>187.5</v>
      </c>
      <c r="F42" s="40">
        <v>191.88</v>
      </c>
      <c r="G42" s="40">
        <v>201.5</v>
      </c>
      <c r="H42" s="40">
        <v>175.63</v>
      </c>
      <c r="I42" s="40">
        <v>155.5</v>
      </c>
      <c r="J42" s="40">
        <v>153.13</v>
      </c>
      <c r="K42" s="40">
        <v>150.63</v>
      </c>
      <c r="L42" s="40">
        <v>164</v>
      </c>
      <c r="M42" s="40">
        <v>171.25</v>
      </c>
      <c r="N42" s="40">
        <v>187.5</v>
      </c>
    </row>
    <row r="43" spans="1:15">
      <c r="A43" s="173" t="s">
        <v>233</v>
      </c>
    </row>
    <row r="44" spans="1:15">
      <c r="A44" s="173" t="s">
        <v>445</v>
      </c>
    </row>
    <row r="45" spans="1:15">
      <c r="A45" t="s">
        <v>446</v>
      </c>
      <c r="B45" t="s">
        <v>197</v>
      </c>
      <c r="C45" s="147" t="s">
        <v>229</v>
      </c>
      <c r="D45" s="147" t="s">
        <v>229</v>
      </c>
      <c r="E45" s="147" t="s">
        <v>229</v>
      </c>
      <c r="F45" s="147" t="s">
        <v>229</v>
      </c>
      <c r="G45" s="147" t="s">
        <v>229</v>
      </c>
      <c r="H45" s="147" t="s">
        <v>229</v>
      </c>
      <c r="I45" s="147" t="s">
        <v>229</v>
      </c>
      <c r="J45" s="147" t="s">
        <v>229</v>
      </c>
      <c r="K45" s="147" t="s">
        <v>229</v>
      </c>
      <c r="L45" s="147" t="s">
        <v>229</v>
      </c>
      <c r="M45" s="147" t="s">
        <v>229</v>
      </c>
      <c r="N45" s="147" t="s">
        <v>229</v>
      </c>
    </row>
    <row r="46" spans="1:15">
      <c r="A46" s="173" t="s">
        <v>447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</row>
    <row r="47" spans="1:15">
      <c r="A47" t="s">
        <v>448</v>
      </c>
      <c r="B47" t="s">
        <v>197</v>
      </c>
      <c r="C47" s="38">
        <v>322.10000000000002</v>
      </c>
      <c r="D47" s="38">
        <v>319.3</v>
      </c>
      <c r="E47" s="38">
        <v>318.3</v>
      </c>
      <c r="F47" s="38">
        <v>316.5</v>
      </c>
      <c r="G47" s="38">
        <v>317.10000000000002</v>
      </c>
      <c r="H47" s="38">
        <v>321</v>
      </c>
      <c r="I47" s="38">
        <v>318</v>
      </c>
      <c r="J47" s="38">
        <v>317.3</v>
      </c>
      <c r="K47" s="38">
        <v>316.8</v>
      </c>
      <c r="L47" s="38">
        <v>317.5</v>
      </c>
      <c r="M47" s="38">
        <v>318</v>
      </c>
      <c r="N47" s="38">
        <v>317.7</v>
      </c>
    </row>
    <row r="48" spans="1:15">
      <c r="A48" t="s">
        <v>449</v>
      </c>
      <c r="B48" t="s">
        <v>197</v>
      </c>
      <c r="C48" s="38">
        <v>259.60000000000002</v>
      </c>
      <c r="D48" s="38">
        <v>259.8</v>
      </c>
      <c r="E48" s="38">
        <v>259</v>
      </c>
      <c r="F48" s="38">
        <v>257.89999999999998</v>
      </c>
      <c r="G48" s="38">
        <v>249</v>
      </c>
      <c r="H48" s="38">
        <v>249.7</v>
      </c>
      <c r="I48" s="38">
        <v>247.4</v>
      </c>
      <c r="J48" s="38">
        <v>245.1</v>
      </c>
      <c r="K48" s="38">
        <v>243.4</v>
      </c>
      <c r="L48" s="38">
        <v>245.2</v>
      </c>
      <c r="M48" s="38">
        <v>244.2</v>
      </c>
      <c r="N48" s="38">
        <v>248.4</v>
      </c>
    </row>
    <row r="49" spans="1:14">
      <c r="A49" t="s">
        <v>450</v>
      </c>
      <c r="B49" t="s">
        <v>197</v>
      </c>
      <c r="C49" s="38">
        <v>222.6</v>
      </c>
      <c r="D49" s="38">
        <v>214.4</v>
      </c>
      <c r="E49" s="38">
        <v>211.7</v>
      </c>
      <c r="F49" s="38">
        <v>209.9</v>
      </c>
      <c r="G49" s="38">
        <v>207.2</v>
      </c>
      <c r="H49" s="38">
        <v>188.9</v>
      </c>
      <c r="I49" s="38">
        <v>187.2</v>
      </c>
      <c r="J49" s="38">
        <v>184.4</v>
      </c>
      <c r="K49" s="38">
        <v>189.2</v>
      </c>
      <c r="L49" s="38">
        <v>187.7</v>
      </c>
      <c r="M49" s="38">
        <v>188.9</v>
      </c>
      <c r="N49" s="38">
        <v>191</v>
      </c>
    </row>
    <row r="50" spans="1:14">
      <c r="A50" s="1" t="s">
        <v>451</v>
      </c>
      <c r="B50" s="1" t="s">
        <v>240</v>
      </c>
      <c r="C50" s="62">
        <v>143.30000000000001</v>
      </c>
      <c r="D50" s="62">
        <v>143.9</v>
      </c>
      <c r="E50" s="62">
        <v>142.5</v>
      </c>
      <c r="F50" s="62">
        <v>142.9</v>
      </c>
      <c r="G50" s="62">
        <v>143.4</v>
      </c>
      <c r="H50" s="62">
        <v>142.30000000000001</v>
      </c>
      <c r="I50" s="62">
        <v>142.69999999999999</v>
      </c>
      <c r="J50" s="62">
        <v>143.1</v>
      </c>
      <c r="K50" s="62">
        <v>143.5</v>
      </c>
      <c r="L50" s="62">
        <v>142.4</v>
      </c>
      <c r="M50" s="62">
        <v>142.30000000000001</v>
      </c>
      <c r="N50" s="62">
        <v>143.69999999999999</v>
      </c>
    </row>
    <row r="51" spans="1:14">
      <c r="A51" s="52" t="s">
        <v>549</v>
      </c>
      <c r="N51" s="65"/>
    </row>
    <row r="52" spans="1:14">
      <c r="A52" s="52" t="s">
        <v>689</v>
      </c>
      <c r="M52" s="37"/>
    </row>
    <row r="53" spans="1:14" ht="10.15" customHeight="1">
      <c r="A53" s="52" t="s">
        <v>586</v>
      </c>
      <c r="K53" s="69"/>
      <c r="M53" s="55"/>
    </row>
    <row r="54" spans="1:14">
      <c r="N54" s="225" t="s">
        <v>592</v>
      </c>
    </row>
  </sheetData>
  <pageMargins left="0.75" right="0.75" top="1" bottom="1" header="0.5" footer="0.5"/>
  <pageSetup scale="83" firstPageNumber="35" fitToWidth="0" orientation="landscape" useFirstPageNumber="1" r:id="rId1"/>
  <headerFooter alignWithMargins="0">
    <oddHeader xml:space="preserve">&amp;C
</oddHeader>
    <oddFooter>&amp;COil Crops Yearbook/OCS-2023
March 2023
Economic Research Service
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54"/>
  <sheetViews>
    <sheetView zoomScaleNormal="100" zoomScaleSheetLayoutView="100" workbookViewId="0">
      <pane ySplit="6" topLeftCell="A7" activePane="bottomLeft" state="frozen"/>
      <selection pane="bottomLeft"/>
    </sheetView>
  </sheetViews>
  <sheetFormatPr defaultRowHeight="11.25"/>
  <cols>
    <col min="1" max="1" width="11.83203125" customWidth="1"/>
    <col min="2" max="3" width="11.6640625" customWidth="1"/>
    <col min="4" max="4" width="13.6640625" customWidth="1"/>
    <col min="5" max="10" width="11.6640625" customWidth="1"/>
    <col min="11" max="11" width="13.83203125" customWidth="1"/>
  </cols>
  <sheetData>
    <row r="1" spans="1:12">
      <c r="A1" s="67" t="s">
        <v>596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>
      <c r="A2" t="s">
        <v>378</v>
      </c>
      <c r="B2" s="123"/>
      <c r="C2" s="4"/>
      <c r="D2" s="136" t="s">
        <v>75</v>
      </c>
      <c r="E2" s="120"/>
      <c r="G2" s="4"/>
      <c r="H2" s="135" t="s">
        <v>73</v>
      </c>
      <c r="I2" s="120"/>
      <c r="K2" s="9" t="s">
        <v>74</v>
      </c>
    </row>
    <row r="3" spans="1:12">
      <c r="A3" t="s">
        <v>59</v>
      </c>
      <c r="B3" s="108" t="s">
        <v>96</v>
      </c>
      <c r="E3" s="111"/>
      <c r="F3" s="115"/>
      <c r="H3" s="7" t="s">
        <v>242</v>
      </c>
      <c r="I3" s="111"/>
      <c r="J3" s="7" t="s">
        <v>98</v>
      </c>
      <c r="K3" s="7" t="s">
        <v>266</v>
      </c>
    </row>
    <row r="4" spans="1:12">
      <c r="A4" t="s">
        <v>119</v>
      </c>
      <c r="B4" s="109" t="s">
        <v>66</v>
      </c>
      <c r="C4" s="7" t="s">
        <v>40</v>
      </c>
      <c r="D4" s="7" t="s">
        <v>49</v>
      </c>
      <c r="E4" s="112" t="s">
        <v>120</v>
      </c>
      <c r="F4" s="109" t="s">
        <v>67</v>
      </c>
      <c r="G4" s="7" t="s">
        <v>50</v>
      </c>
      <c r="H4" s="7" t="s">
        <v>69</v>
      </c>
      <c r="I4" s="124" t="s">
        <v>2</v>
      </c>
      <c r="J4" s="7" t="s">
        <v>66</v>
      </c>
      <c r="K4" s="7" t="s">
        <v>70</v>
      </c>
    </row>
    <row r="5" spans="1:12">
      <c r="A5" s="1"/>
      <c r="B5" s="116"/>
      <c r="C5" s="1"/>
      <c r="D5" s="1"/>
      <c r="E5" s="113"/>
      <c r="F5" s="116"/>
      <c r="G5" s="9"/>
      <c r="H5" s="9" t="s">
        <v>121</v>
      </c>
      <c r="I5" s="114"/>
      <c r="J5" s="1"/>
      <c r="K5" s="9" t="s">
        <v>116</v>
      </c>
    </row>
    <row r="6" spans="1:12">
      <c r="A6" s="126"/>
      <c r="B6" s="126"/>
      <c r="C6" s="126"/>
      <c r="D6" s="126"/>
      <c r="E6" s="126"/>
      <c r="F6" s="152" t="s">
        <v>247</v>
      </c>
      <c r="G6" s="126"/>
      <c r="H6" s="126"/>
      <c r="I6" s="126"/>
      <c r="J6" s="126"/>
      <c r="K6" s="152" t="s">
        <v>354</v>
      </c>
    </row>
    <row r="7" spans="1:12">
      <c r="B7" s="74"/>
      <c r="C7" s="74"/>
      <c r="D7" s="74"/>
      <c r="E7" s="74"/>
      <c r="F7" s="74"/>
      <c r="G7" s="74"/>
      <c r="H7" s="74"/>
      <c r="I7" s="74"/>
      <c r="J7" s="74"/>
      <c r="K7" s="7"/>
    </row>
    <row r="8" spans="1:12">
      <c r="A8" s="10" t="s">
        <v>181</v>
      </c>
      <c r="B8" s="27">
        <v>358</v>
      </c>
      <c r="C8" s="27">
        <f>+'tab02'!E6/1000</f>
        <v>1797.5429999999999</v>
      </c>
      <c r="D8" s="27">
        <v>0</v>
      </c>
      <c r="E8" s="27">
        <f t="shared" ref="E8:E44" si="0">+B8+C8+D8</f>
        <v>2155.5429999999997</v>
      </c>
      <c r="F8" s="27">
        <v>1020</v>
      </c>
      <c r="G8" s="27">
        <v>724</v>
      </c>
      <c r="H8" s="27">
        <f t="shared" ref="H8:H29" si="1">+I8-F8-G8</f>
        <v>98.535999999999603</v>
      </c>
      <c r="I8" s="27">
        <f t="shared" ref="I8:I46" si="2">+E8-J8</f>
        <v>1842.5359999999996</v>
      </c>
      <c r="J8" s="27">
        <v>313.00700000000001</v>
      </c>
      <c r="K8" s="24">
        <v>7.57</v>
      </c>
    </row>
    <row r="9" spans="1:12">
      <c r="A9" s="10" t="s">
        <v>182</v>
      </c>
      <c r="B9" s="27">
        <f t="shared" ref="B9:B29" si="3">+J8</f>
        <v>313.00700000000001</v>
      </c>
      <c r="C9" s="27">
        <f>+'tab02'!E7/1000</f>
        <v>1989.11</v>
      </c>
      <c r="D9" s="27">
        <v>0</v>
      </c>
      <c r="E9" s="27">
        <f t="shared" si="0"/>
        <v>2302.1169999999997</v>
      </c>
      <c r="F9" s="27">
        <v>1030</v>
      </c>
      <c r="G9" s="27">
        <v>929</v>
      </c>
      <c r="H9" s="27">
        <f t="shared" si="1"/>
        <v>88.605999999999767</v>
      </c>
      <c r="I9" s="27">
        <f t="shared" si="2"/>
        <v>2047.6059999999998</v>
      </c>
      <c r="J9" s="27">
        <v>254.511</v>
      </c>
      <c r="K9" s="24">
        <v>6.07</v>
      </c>
      <c r="L9" s="27"/>
    </row>
    <row r="10" spans="1:12">
      <c r="A10" s="10" t="s">
        <v>183</v>
      </c>
      <c r="B10" s="27">
        <f t="shared" si="3"/>
        <v>254.511</v>
      </c>
      <c r="C10" s="27">
        <f>+'tab02'!E8/1000</f>
        <v>2190.297</v>
      </c>
      <c r="D10" s="27">
        <v>0</v>
      </c>
      <c r="E10" s="27">
        <f t="shared" si="0"/>
        <v>2444.808</v>
      </c>
      <c r="F10" s="27">
        <v>1108</v>
      </c>
      <c r="G10" s="27">
        <v>905</v>
      </c>
      <c r="H10" s="27">
        <f t="shared" si="1"/>
        <v>87.173999999999978</v>
      </c>
      <c r="I10" s="27">
        <f t="shared" si="2"/>
        <v>2100.174</v>
      </c>
      <c r="J10" s="27">
        <v>344.63400000000001</v>
      </c>
      <c r="K10" s="24">
        <v>5.71</v>
      </c>
      <c r="L10" s="27"/>
    </row>
    <row r="11" spans="1:12">
      <c r="A11" s="10" t="s">
        <v>184</v>
      </c>
      <c r="B11" s="27">
        <f t="shared" si="3"/>
        <v>344.63400000000001</v>
      </c>
      <c r="C11" s="27">
        <f>+'tab02'!E9/1000</f>
        <v>1635.7719999999999</v>
      </c>
      <c r="D11" s="27">
        <v>0</v>
      </c>
      <c r="E11" s="27">
        <f t="shared" si="0"/>
        <v>1980.4059999999999</v>
      </c>
      <c r="F11" s="27">
        <v>983</v>
      </c>
      <c r="G11" s="27">
        <v>743</v>
      </c>
      <c r="H11" s="27">
        <f t="shared" si="1"/>
        <v>78.710000000000036</v>
      </c>
      <c r="I11" s="27">
        <f t="shared" si="2"/>
        <v>1804.71</v>
      </c>
      <c r="J11" s="27">
        <v>175.696</v>
      </c>
      <c r="K11" s="24">
        <v>7.83</v>
      </c>
      <c r="L11" s="27"/>
    </row>
    <row r="12" spans="1:12">
      <c r="A12" s="10" t="s">
        <v>185</v>
      </c>
      <c r="B12" s="27">
        <f t="shared" si="3"/>
        <v>175.696</v>
      </c>
      <c r="C12" s="27">
        <f>+'tab02'!E10/1000</f>
        <v>1860.8630000000001</v>
      </c>
      <c r="D12" s="27">
        <v>0</v>
      </c>
      <c r="E12" s="27">
        <f t="shared" si="0"/>
        <v>2036.559</v>
      </c>
      <c r="F12" s="27">
        <v>1030</v>
      </c>
      <c r="G12" s="27">
        <v>598</v>
      </c>
      <c r="H12" s="27">
        <f t="shared" si="1"/>
        <v>92.501999999999953</v>
      </c>
      <c r="I12" s="27">
        <f t="shared" si="2"/>
        <v>1720.502</v>
      </c>
      <c r="J12" s="27">
        <v>316.05700000000002</v>
      </c>
      <c r="K12" s="24">
        <v>5.84</v>
      </c>
      <c r="L12" s="27"/>
    </row>
    <row r="13" spans="1:12">
      <c r="A13" s="10" t="s">
        <v>186</v>
      </c>
      <c r="B13" s="27">
        <f t="shared" si="3"/>
        <v>316.05700000000002</v>
      </c>
      <c r="C13" s="27">
        <f>+'tab02'!E11/1000</f>
        <v>2099.056</v>
      </c>
      <c r="D13" s="27">
        <v>1</v>
      </c>
      <c r="E13" s="27">
        <f t="shared" si="0"/>
        <v>2416.1130000000003</v>
      </c>
      <c r="F13" s="27">
        <v>1053</v>
      </c>
      <c r="G13" s="27">
        <v>741</v>
      </c>
      <c r="H13" s="27">
        <f t="shared" si="1"/>
        <v>85.748000000000275</v>
      </c>
      <c r="I13" s="27">
        <f t="shared" si="2"/>
        <v>1879.7480000000003</v>
      </c>
      <c r="J13" s="27">
        <v>536.36500000000001</v>
      </c>
      <c r="K13" s="24">
        <v>5.05</v>
      </c>
      <c r="L13" s="27"/>
    </row>
    <row r="14" spans="1:12">
      <c r="A14" s="10" t="s">
        <v>187</v>
      </c>
      <c r="B14" s="27">
        <f t="shared" si="3"/>
        <v>536.36500000000001</v>
      </c>
      <c r="C14" s="27">
        <f>+'tab02'!E12/1000</f>
        <v>1942.558</v>
      </c>
      <c r="D14" s="27">
        <v>0</v>
      </c>
      <c r="E14" s="27">
        <f t="shared" si="0"/>
        <v>2478.9229999999998</v>
      </c>
      <c r="F14" s="27">
        <v>1179</v>
      </c>
      <c r="G14" s="27">
        <v>757</v>
      </c>
      <c r="H14" s="27">
        <f t="shared" si="1"/>
        <v>106.47599999999966</v>
      </c>
      <c r="I14" s="27">
        <f t="shared" si="2"/>
        <v>2042.4759999999997</v>
      </c>
      <c r="J14" s="27">
        <v>436.447</v>
      </c>
      <c r="K14" s="24">
        <v>4.78</v>
      </c>
      <c r="L14" s="27"/>
    </row>
    <row r="15" spans="1:12">
      <c r="A15" s="10" t="s">
        <v>188</v>
      </c>
      <c r="B15" s="27">
        <f t="shared" si="3"/>
        <v>436.447</v>
      </c>
      <c r="C15" s="27">
        <f>+'tab02'!E13/1000</f>
        <v>1937.722</v>
      </c>
      <c r="D15" s="27">
        <v>1</v>
      </c>
      <c r="E15" s="27">
        <f t="shared" si="0"/>
        <v>2375.1689999999999</v>
      </c>
      <c r="F15" s="27">
        <v>1174</v>
      </c>
      <c r="G15" s="27">
        <v>804</v>
      </c>
      <c r="H15" s="27">
        <f t="shared" si="1"/>
        <v>94.692999999999756</v>
      </c>
      <c r="I15" s="27">
        <f t="shared" si="2"/>
        <v>2072.6929999999998</v>
      </c>
      <c r="J15" s="27">
        <v>302.476</v>
      </c>
      <c r="K15" s="24">
        <v>5.88</v>
      </c>
      <c r="L15" s="27"/>
    </row>
    <row r="16" spans="1:12">
      <c r="A16" s="10" t="s">
        <v>189</v>
      </c>
      <c r="B16" s="27">
        <f t="shared" si="3"/>
        <v>302.476</v>
      </c>
      <c r="C16" s="27">
        <f>+'tab02'!E14/1000</f>
        <v>1548.8409999999999</v>
      </c>
      <c r="D16" s="27">
        <v>4</v>
      </c>
      <c r="E16" s="27">
        <f t="shared" si="0"/>
        <v>1855.317</v>
      </c>
      <c r="F16" s="27">
        <v>1058</v>
      </c>
      <c r="G16" s="27">
        <v>527</v>
      </c>
      <c r="H16" s="27">
        <f t="shared" si="1"/>
        <v>88.288000000000011</v>
      </c>
      <c r="I16" s="27">
        <f t="shared" si="2"/>
        <v>1673.288</v>
      </c>
      <c r="J16" s="27">
        <v>182.029</v>
      </c>
      <c r="K16" s="24">
        <v>7.42</v>
      </c>
      <c r="L16" s="27"/>
    </row>
    <row r="17" spans="1:12">
      <c r="A17" s="10" t="s">
        <v>4</v>
      </c>
      <c r="B17" s="27">
        <f t="shared" si="3"/>
        <v>182.029</v>
      </c>
      <c r="C17" s="27">
        <f>+'tab02'!E15/1000</f>
        <v>1923.6659999999999</v>
      </c>
      <c r="D17" s="27">
        <v>1</v>
      </c>
      <c r="E17" s="27">
        <f t="shared" si="0"/>
        <v>2106.6949999999997</v>
      </c>
      <c r="F17" s="27">
        <v>1146</v>
      </c>
      <c r="G17" s="27">
        <v>622</v>
      </c>
      <c r="H17" s="27">
        <f t="shared" si="1"/>
        <v>99.555999999999585</v>
      </c>
      <c r="I17" s="27">
        <f t="shared" si="2"/>
        <v>1867.5559999999996</v>
      </c>
      <c r="J17" s="27">
        <v>239.13900000000001</v>
      </c>
      <c r="K17" s="24">
        <v>5.69</v>
      </c>
      <c r="L17" s="27"/>
    </row>
    <row r="18" spans="1:12">
      <c r="A18" s="10" t="s">
        <v>5</v>
      </c>
      <c r="B18" s="27">
        <f t="shared" si="3"/>
        <v>239.13900000000001</v>
      </c>
      <c r="C18" s="27">
        <f>+'tab02'!E16/1000</f>
        <v>1925.9469999999999</v>
      </c>
      <c r="D18" s="27">
        <v>3</v>
      </c>
      <c r="E18" s="27">
        <f t="shared" si="0"/>
        <v>2168.0859999999998</v>
      </c>
      <c r="F18" s="27">
        <v>1187</v>
      </c>
      <c r="G18" s="27">
        <v>557</v>
      </c>
      <c r="H18" s="27">
        <f t="shared" si="1"/>
        <v>95.043999999999869</v>
      </c>
      <c r="I18" s="27">
        <f t="shared" si="2"/>
        <v>1839.0439999999999</v>
      </c>
      <c r="J18" s="27">
        <v>329.04199999999997</v>
      </c>
      <c r="K18" s="24">
        <v>5.74</v>
      </c>
      <c r="L18" s="27"/>
    </row>
    <row r="19" spans="1:12">
      <c r="A19" s="10" t="s">
        <v>6</v>
      </c>
      <c r="B19" s="27">
        <f t="shared" si="3"/>
        <v>329.04199999999997</v>
      </c>
      <c r="C19" s="27">
        <f>+'tab02'!E17/1000</f>
        <v>1986.539</v>
      </c>
      <c r="D19" s="27">
        <v>3</v>
      </c>
      <c r="E19" s="27">
        <f t="shared" si="0"/>
        <v>2318.5810000000001</v>
      </c>
      <c r="F19" s="27">
        <v>1254</v>
      </c>
      <c r="G19" s="27">
        <v>684</v>
      </c>
      <c r="H19" s="27">
        <f t="shared" si="1"/>
        <v>102.14400000000023</v>
      </c>
      <c r="I19" s="27">
        <f t="shared" si="2"/>
        <v>2040.1440000000002</v>
      </c>
      <c r="J19" s="27">
        <v>278.43700000000001</v>
      </c>
      <c r="K19" s="24">
        <v>5.58</v>
      </c>
      <c r="L19" s="27"/>
    </row>
    <row r="20" spans="1:12">
      <c r="A20" s="10" t="s">
        <v>7</v>
      </c>
      <c r="B20" s="27">
        <f t="shared" si="3"/>
        <v>278.43700000000001</v>
      </c>
      <c r="C20" s="27">
        <f>+'tab02'!E18/1000</f>
        <v>2190.3539999999998</v>
      </c>
      <c r="D20" s="27">
        <v>2.0567152327931999</v>
      </c>
      <c r="E20" s="27">
        <f t="shared" si="0"/>
        <v>2470.8477152327928</v>
      </c>
      <c r="F20" s="27">
        <v>1279</v>
      </c>
      <c r="G20" s="27">
        <v>771</v>
      </c>
      <c r="H20" s="27">
        <f t="shared" si="1"/>
        <v>128.56371523279267</v>
      </c>
      <c r="I20" s="27">
        <f t="shared" si="2"/>
        <v>2178.5637152327927</v>
      </c>
      <c r="J20" s="27">
        <v>292.28399999999999</v>
      </c>
      <c r="K20" s="24">
        <v>5.56</v>
      </c>
      <c r="L20" s="27"/>
    </row>
    <row r="21" spans="1:12">
      <c r="A21" s="10" t="s">
        <v>8</v>
      </c>
      <c r="B21" s="27">
        <f t="shared" si="3"/>
        <v>292.28399999999999</v>
      </c>
      <c r="C21" s="27">
        <f>+'tab02'!E19/1000</f>
        <v>1869.7180000000001</v>
      </c>
      <c r="D21" s="27">
        <v>6.4164705762675007</v>
      </c>
      <c r="E21" s="27">
        <f t="shared" si="0"/>
        <v>2168.4184705762673</v>
      </c>
      <c r="F21" s="27">
        <v>1276</v>
      </c>
      <c r="G21" s="27">
        <v>588</v>
      </c>
      <c r="H21" s="27">
        <f t="shared" si="1"/>
        <v>95.30147057626732</v>
      </c>
      <c r="I21" s="27">
        <f t="shared" si="2"/>
        <v>1959.3014705762673</v>
      </c>
      <c r="J21" s="27">
        <v>209.11699999999999</v>
      </c>
      <c r="K21" s="24">
        <v>6.4</v>
      </c>
      <c r="L21" s="27"/>
    </row>
    <row r="22" spans="1:12">
      <c r="A22" s="10" t="s">
        <v>9</v>
      </c>
      <c r="B22" s="27">
        <f t="shared" si="3"/>
        <v>209.11699999999999</v>
      </c>
      <c r="C22" s="27">
        <f>+'tab02'!E20/1000</f>
        <v>2514.8690000000001</v>
      </c>
      <c r="D22" s="27">
        <v>5.4799449460455003</v>
      </c>
      <c r="E22" s="27">
        <f t="shared" si="0"/>
        <v>2729.465944946046</v>
      </c>
      <c r="F22" s="27">
        <v>1405</v>
      </c>
      <c r="G22" s="27">
        <v>840</v>
      </c>
      <c r="H22" s="27">
        <f t="shared" si="1"/>
        <v>149.65194494604611</v>
      </c>
      <c r="I22" s="27">
        <f t="shared" si="2"/>
        <v>2394.6519449460461</v>
      </c>
      <c r="J22" s="27">
        <v>334.81400000000002</v>
      </c>
      <c r="K22" s="24">
        <v>5.48</v>
      </c>
      <c r="L22" s="27"/>
    </row>
    <row r="23" spans="1:12">
      <c r="A23" s="10" t="s">
        <v>10</v>
      </c>
      <c r="B23" s="27">
        <f t="shared" si="3"/>
        <v>334.81400000000002</v>
      </c>
      <c r="C23" s="27">
        <f>+'tab02'!E21/1000</f>
        <v>2174.2539999999999</v>
      </c>
      <c r="D23" s="27">
        <v>4.4558110914512996</v>
      </c>
      <c r="E23" s="27">
        <f t="shared" si="0"/>
        <v>2513.5238110914511</v>
      </c>
      <c r="F23" s="27">
        <v>1370</v>
      </c>
      <c r="G23" s="27">
        <v>849</v>
      </c>
      <c r="H23" s="27">
        <f t="shared" si="1"/>
        <v>111.065811091451</v>
      </c>
      <c r="I23" s="27">
        <f t="shared" si="2"/>
        <v>2330.065811091451</v>
      </c>
      <c r="J23" s="27">
        <v>183.458</v>
      </c>
      <c r="K23" s="24">
        <v>6.72</v>
      </c>
      <c r="L23" s="27"/>
    </row>
    <row r="24" spans="1:12">
      <c r="A24" s="10" t="s">
        <v>11</v>
      </c>
      <c r="B24" s="27">
        <f t="shared" si="3"/>
        <v>183.458</v>
      </c>
      <c r="C24" s="27">
        <f>+'tab02'!E22/1000</f>
        <v>2380.2739999999999</v>
      </c>
      <c r="D24" s="27">
        <v>8.9039324246229015</v>
      </c>
      <c r="E24" s="27">
        <f t="shared" si="0"/>
        <v>2572.6359324246228</v>
      </c>
      <c r="F24" s="27">
        <v>1436</v>
      </c>
      <c r="G24" s="27">
        <v>886</v>
      </c>
      <c r="H24" s="27">
        <f t="shared" si="1"/>
        <v>118.80293242462267</v>
      </c>
      <c r="I24" s="27">
        <f t="shared" si="2"/>
        <v>2440.8029324246227</v>
      </c>
      <c r="J24" s="27">
        <v>131.833</v>
      </c>
      <c r="K24" s="24">
        <v>7.35</v>
      </c>
      <c r="L24" s="27"/>
    </row>
    <row r="25" spans="1:12">
      <c r="A25" s="10" t="s">
        <v>12</v>
      </c>
      <c r="B25" s="27">
        <f t="shared" si="3"/>
        <v>131.833</v>
      </c>
      <c r="C25" s="27">
        <f>+'tab02'!E23/1000</f>
        <v>2688.75</v>
      </c>
      <c r="D25" s="27">
        <v>5.0059507383774005</v>
      </c>
      <c r="E25" s="27">
        <f t="shared" si="0"/>
        <v>2825.5889507383777</v>
      </c>
      <c r="F25" s="27">
        <v>1597</v>
      </c>
      <c r="G25" s="27">
        <v>874</v>
      </c>
      <c r="H25" s="27">
        <f t="shared" si="1"/>
        <v>154.78995073837768</v>
      </c>
      <c r="I25" s="27">
        <f t="shared" si="2"/>
        <v>2625.7899507383777</v>
      </c>
      <c r="J25" s="27">
        <v>199.79900000000001</v>
      </c>
      <c r="K25" s="24">
        <v>6.47</v>
      </c>
      <c r="L25" s="27"/>
    </row>
    <row r="26" spans="1:12">
      <c r="A26" s="10" t="s">
        <v>13</v>
      </c>
      <c r="B26" s="27">
        <f t="shared" si="3"/>
        <v>199.79900000000001</v>
      </c>
      <c r="C26" s="27">
        <f>+'tab02'!E24/1000</f>
        <v>2741.0140000000001</v>
      </c>
      <c r="D26" s="27">
        <v>3.5211952517805001</v>
      </c>
      <c r="E26" s="27">
        <f t="shared" si="0"/>
        <v>2944.3341952517808</v>
      </c>
      <c r="F26" s="27">
        <v>1590</v>
      </c>
      <c r="G26" s="27">
        <v>805</v>
      </c>
      <c r="H26" s="27">
        <f t="shared" si="1"/>
        <v>200.85219525178081</v>
      </c>
      <c r="I26" s="27">
        <f t="shared" si="2"/>
        <v>2595.8521952517808</v>
      </c>
      <c r="J26" s="27">
        <v>348.48200000000003</v>
      </c>
      <c r="K26" s="24">
        <v>4.93</v>
      </c>
      <c r="L26" s="27"/>
    </row>
    <row r="27" spans="1:12">
      <c r="A27" s="10" t="s">
        <v>14</v>
      </c>
      <c r="B27" s="27">
        <f t="shared" si="3"/>
        <v>348.48200000000003</v>
      </c>
      <c r="C27" s="27">
        <f>+'tab02'!E25/1000</f>
        <v>2653.7579999999998</v>
      </c>
      <c r="D27" s="27">
        <v>4.1711473593153006</v>
      </c>
      <c r="E27" s="27">
        <f t="shared" si="0"/>
        <v>3006.4111473593152</v>
      </c>
      <c r="F27" s="27">
        <v>1578</v>
      </c>
      <c r="G27" s="27">
        <v>973</v>
      </c>
      <c r="H27" s="27">
        <f t="shared" si="1"/>
        <v>165.24914735931543</v>
      </c>
      <c r="I27" s="27">
        <f t="shared" si="2"/>
        <v>2716.2491473593154</v>
      </c>
      <c r="J27" s="27">
        <f>+'tab01'!D8/1000</f>
        <v>290.16199999999998</v>
      </c>
      <c r="K27" s="24">
        <v>4.63</v>
      </c>
      <c r="L27" s="27"/>
    </row>
    <row r="28" spans="1:12">
      <c r="A28" s="10" t="s">
        <v>209</v>
      </c>
      <c r="B28" s="27">
        <f t="shared" si="3"/>
        <v>290.16199999999998</v>
      </c>
      <c r="C28" s="27">
        <f>+'tab02'!E26/1000</f>
        <v>2757.81</v>
      </c>
      <c r="D28" s="27">
        <f>'tab6'!D12/1000</f>
        <v>3.5678253219336002</v>
      </c>
      <c r="E28" s="27">
        <f t="shared" si="0"/>
        <v>3051.5398253219332</v>
      </c>
      <c r="F28" s="27">
        <f>'tab6'!F12/1000</f>
        <v>1639.67</v>
      </c>
      <c r="G28" s="27">
        <f>'tab6'!G12/1000</f>
        <v>995.87118845340001</v>
      </c>
      <c r="H28" s="27">
        <f t="shared" si="1"/>
        <v>168.2516368685333</v>
      </c>
      <c r="I28" s="27">
        <f t="shared" si="2"/>
        <v>2803.7928253219334</v>
      </c>
      <c r="J28" s="27">
        <f>+'tab01'!D14/1000</f>
        <v>247.74700000000001</v>
      </c>
      <c r="K28" s="24">
        <v>4.54</v>
      </c>
      <c r="L28" s="27"/>
    </row>
    <row r="29" spans="1:12">
      <c r="A29" s="10" t="s">
        <v>210</v>
      </c>
      <c r="B29" s="27">
        <f t="shared" si="3"/>
        <v>247.74700000000001</v>
      </c>
      <c r="C29" s="27">
        <f>+'tab02'!E27/1000</f>
        <v>2890.6819999999998</v>
      </c>
      <c r="D29" s="27">
        <f>'tab6'!D19/1000</f>
        <v>2.3197743674594999</v>
      </c>
      <c r="E29" s="27">
        <f t="shared" si="0"/>
        <v>3140.7487743674592</v>
      </c>
      <c r="F29" s="27">
        <f>'tab6'!F19/1000</f>
        <v>1699.7408</v>
      </c>
      <c r="G29" s="27">
        <f>'tab6'!G19/1000</f>
        <v>1063.6514467383001</v>
      </c>
      <c r="H29" s="27">
        <f t="shared" si="1"/>
        <v>169.29552762915887</v>
      </c>
      <c r="I29" s="27">
        <f t="shared" si="2"/>
        <v>2932.687774367459</v>
      </c>
      <c r="J29" s="27">
        <f>+'tab01'!D20/1000</f>
        <v>208.06100000000001</v>
      </c>
      <c r="K29" s="24">
        <v>4.38</v>
      </c>
      <c r="L29" s="27"/>
    </row>
    <row r="30" spans="1:12">
      <c r="A30" s="10" t="s">
        <v>217</v>
      </c>
      <c r="B30" s="27">
        <f t="shared" ref="B30:B35" si="4">+J29</f>
        <v>208.06100000000001</v>
      </c>
      <c r="C30" s="27">
        <f>+'tab02'!E28/1000</f>
        <v>2756.1469999999999</v>
      </c>
      <c r="D30" s="27">
        <f>'tab6'!D26/1000</f>
        <v>4.6609782486581999</v>
      </c>
      <c r="E30" s="27">
        <f t="shared" si="0"/>
        <v>2968.8689782486581</v>
      </c>
      <c r="F30" s="27">
        <f>'tab6'!F26/1000</f>
        <v>1614.7874333333334</v>
      </c>
      <c r="G30" s="27">
        <f>'tab6'!G26/1000</f>
        <v>1044.3721008357002</v>
      </c>
      <c r="H30" s="27">
        <f t="shared" ref="H30:H35" si="5">+I30-F30-G30</f>
        <v>131.38044407962434</v>
      </c>
      <c r="I30" s="27">
        <f t="shared" si="2"/>
        <v>2790.5399782486579</v>
      </c>
      <c r="J30" s="27">
        <f>+'tab01'!D26/1000</f>
        <v>178.32900000000001</v>
      </c>
      <c r="K30" s="24">
        <v>5.53</v>
      </c>
      <c r="L30" s="27"/>
    </row>
    <row r="31" spans="1:12">
      <c r="A31" s="10" t="s">
        <v>221</v>
      </c>
      <c r="B31" s="27">
        <f t="shared" si="4"/>
        <v>178.32900000000001</v>
      </c>
      <c r="C31" s="27">
        <f>+'tab02'!E29/1000</f>
        <v>2453.8449999999998</v>
      </c>
      <c r="D31" s="27">
        <f>'tab6'!D33/1000</f>
        <v>5.5615535121069</v>
      </c>
      <c r="E31" s="27">
        <f t="shared" si="0"/>
        <v>2637.7355535121069</v>
      </c>
      <c r="F31" s="27">
        <f>'tab6'!F33/1000</f>
        <v>1529.6987333333334</v>
      </c>
      <c r="G31" s="27">
        <f>'tab6'!G33/1000</f>
        <v>886.55056059570006</v>
      </c>
      <c r="H31" s="27">
        <f t="shared" si="5"/>
        <v>109.07225958307322</v>
      </c>
      <c r="I31" s="27">
        <f t="shared" si="2"/>
        <v>2525.3215535121067</v>
      </c>
      <c r="J31" s="27">
        <f>+'tab01'!D32/1000</f>
        <v>112.414</v>
      </c>
      <c r="K31" s="24">
        <v>7.34</v>
      </c>
      <c r="L31" s="27"/>
    </row>
    <row r="32" spans="1:12">
      <c r="A32" s="10" t="s">
        <v>222</v>
      </c>
      <c r="B32" s="27">
        <f t="shared" si="4"/>
        <v>112.414</v>
      </c>
      <c r="C32" s="27">
        <f>+'tab02'!E30/1000</f>
        <v>3123.79</v>
      </c>
      <c r="D32" s="27">
        <f>'tab6'!D40/1000</f>
        <v>5.5775644691508006</v>
      </c>
      <c r="E32" s="27">
        <f t="shared" si="0"/>
        <v>3241.7815644691509</v>
      </c>
      <c r="F32" s="27">
        <f>'tab6'!F40/1000</f>
        <v>1696.0812333333333</v>
      </c>
      <c r="G32" s="27">
        <f>'tab6'!G40/1000</f>
        <v>1097.1562998144</v>
      </c>
      <c r="H32" s="27">
        <f t="shared" si="5"/>
        <v>192.80603132141778</v>
      </c>
      <c r="I32" s="27">
        <f t="shared" si="2"/>
        <v>2986.0435644691511</v>
      </c>
      <c r="J32" s="27">
        <f>'tab01'!D38/1000</f>
        <v>255.738</v>
      </c>
      <c r="K32" s="24">
        <v>5.74</v>
      </c>
      <c r="L32" s="27"/>
    </row>
    <row r="33" spans="1:12">
      <c r="A33" s="10" t="s">
        <v>225</v>
      </c>
      <c r="B33" s="27">
        <f t="shared" si="4"/>
        <v>255.738</v>
      </c>
      <c r="C33" s="27">
        <f>+'tab02'!E31/1000</f>
        <v>3068.3420000000001</v>
      </c>
      <c r="D33" s="27">
        <f>'tab6'!D47/1000</f>
        <v>3.3720085912715998</v>
      </c>
      <c r="E33" s="27">
        <f t="shared" si="0"/>
        <v>3327.4520085912714</v>
      </c>
      <c r="F33" s="27">
        <f>'tab6'!F47/1000</f>
        <v>1738.8517333333334</v>
      </c>
      <c r="G33" s="27">
        <f>'tab6'!G47/1000</f>
        <v>939.87875005290005</v>
      </c>
      <c r="H33" s="27">
        <f t="shared" si="5"/>
        <v>199.39552520503787</v>
      </c>
      <c r="I33" s="27">
        <f t="shared" si="2"/>
        <v>2878.1260085912713</v>
      </c>
      <c r="J33" s="27">
        <f>'tab01'!D44/1000</f>
        <v>449.32600000000002</v>
      </c>
      <c r="K33" s="24">
        <v>5.66</v>
      </c>
      <c r="L33" s="27"/>
    </row>
    <row r="34" spans="1:12">
      <c r="A34" s="10" t="s">
        <v>227</v>
      </c>
      <c r="B34" s="27">
        <f t="shared" si="4"/>
        <v>449.32600000000002</v>
      </c>
      <c r="C34" s="27">
        <f>+'tab02'!E32/1000</f>
        <v>3196.7260000000001</v>
      </c>
      <c r="D34" s="27">
        <f>'tab6'!D54/1000</f>
        <v>9.0337511501685004</v>
      </c>
      <c r="E34" s="27">
        <f t="shared" si="0"/>
        <v>3655.0857511501686</v>
      </c>
      <c r="F34" s="27">
        <f>'tab6'!F54/1000</f>
        <v>1807.7056423333333</v>
      </c>
      <c r="G34" s="27">
        <f>'tab6'!G54/1000</f>
        <v>1116.4958686412999</v>
      </c>
      <c r="H34" s="27">
        <f t="shared" si="5"/>
        <v>157.07424017553535</v>
      </c>
      <c r="I34" s="27">
        <f t="shared" si="2"/>
        <v>3081.2757511501686</v>
      </c>
      <c r="J34" s="27">
        <f>'tab01'!D50/1000</f>
        <v>573.80999999999995</v>
      </c>
      <c r="K34" s="24">
        <v>6.43</v>
      </c>
      <c r="L34" s="27"/>
    </row>
    <row r="35" spans="1:12">
      <c r="A35" s="10" t="s">
        <v>230</v>
      </c>
      <c r="B35" s="27">
        <f t="shared" si="4"/>
        <v>573.80999999999995</v>
      </c>
      <c r="C35" s="27">
        <f>+'tab02'!E33/1000</f>
        <v>2677.1170000000002</v>
      </c>
      <c r="D35" s="27">
        <f>'tab6'!D61/1000</f>
        <v>9.8708029129773003</v>
      </c>
      <c r="E35" s="27">
        <f t="shared" si="0"/>
        <v>3260.7978029129777</v>
      </c>
      <c r="F35" s="27">
        <f>'tab6'!F61/1000</f>
        <v>1803.4073376666665</v>
      </c>
      <c r="G35" s="27">
        <f>'tab6'!G61/1000</f>
        <v>1158.8290570290001</v>
      </c>
      <c r="H35" s="27">
        <f t="shared" si="5"/>
        <v>93.527408217310949</v>
      </c>
      <c r="I35" s="27">
        <f t="shared" si="2"/>
        <v>3055.7638029129776</v>
      </c>
      <c r="J35" s="27">
        <f>'tab01'!D56/1000</f>
        <v>205.03399999999999</v>
      </c>
      <c r="K35" s="24">
        <v>10.1</v>
      </c>
      <c r="L35" s="27"/>
    </row>
    <row r="36" spans="1:12">
      <c r="A36" s="10" t="s">
        <v>231</v>
      </c>
      <c r="B36" s="27">
        <f t="shared" ref="B36:B41" si="6">+J35</f>
        <v>205.03399999999999</v>
      </c>
      <c r="C36" s="27">
        <f>+'tab02'!E34/1000</f>
        <v>2967.0070000000001</v>
      </c>
      <c r="D36" s="27">
        <f>'tab6'!D68/1000</f>
        <v>13.2631296312942</v>
      </c>
      <c r="E36" s="27">
        <f t="shared" si="0"/>
        <v>3185.3041296312945</v>
      </c>
      <c r="F36" s="27">
        <f>'tab6'!F68/1000</f>
        <v>1661.9220666666665</v>
      </c>
      <c r="G36" s="27">
        <f>'tab6'!G68/1000</f>
        <v>1279.2935714286</v>
      </c>
      <c r="H36" s="27">
        <f t="shared" ref="H36:H49" si="7">+I36-F36-G36</f>
        <v>105.89049153602809</v>
      </c>
      <c r="I36" s="27">
        <f t="shared" si="2"/>
        <v>3047.1061296312946</v>
      </c>
      <c r="J36" s="27">
        <f>'tab01'!D62/1000</f>
        <v>138.19800000000001</v>
      </c>
      <c r="K36" s="24">
        <v>9.9700000000000006</v>
      </c>
      <c r="L36" s="27"/>
    </row>
    <row r="37" spans="1:12">
      <c r="A37" s="10" t="s">
        <v>234</v>
      </c>
      <c r="B37" s="27">
        <f t="shared" si="6"/>
        <v>138.19800000000001</v>
      </c>
      <c r="C37" s="27">
        <f>+'tab02'!E35/1000</f>
        <v>3360.931</v>
      </c>
      <c r="D37" s="27">
        <f>'tab6'!D75/1000</f>
        <v>14.5881068286513</v>
      </c>
      <c r="E37" s="27">
        <f t="shared" si="0"/>
        <v>3513.7171068286511</v>
      </c>
      <c r="F37" s="27">
        <f>'tab6'!F75/1000</f>
        <v>1751.6862683333336</v>
      </c>
      <c r="G37" s="27">
        <f>'tab6'!G75/1000</f>
        <v>1499.0481245103001</v>
      </c>
      <c r="H37" s="27">
        <f t="shared" si="7"/>
        <v>112.09771398501766</v>
      </c>
      <c r="I37" s="27">
        <f t="shared" si="2"/>
        <v>3362.8321068286514</v>
      </c>
      <c r="J37" s="27">
        <f>'tab01'!D68/1000</f>
        <v>150.88499999999999</v>
      </c>
      <c r="K37" s="24">
        <v>9.59</v>
      </c>
      <c r="L37" s="27"/>
    </row>
    <row r="38" spans="1:12">
      <c r="A38" s="10" t="s">
        <v>236</v>
      </c>
      <c r="B38" s="27">
        <f t="shared" si="6"/>
        <v>150.88499999999999</v>
      </c>
      <c r="C38" s="27">
        <f>+'tab02'!E36/1000</f>
        <v>3331.306</v>
      </c>
      <c r="D38" s="27">
        <f>'tab6'!D82/1000</f>
        <v>14.4490964828322</v>
      </c>
      <c r="E38" s="27">
        <f t="shared" si="0"/>
        <v>3496.6400964828322</v>
      </c>
      <c r="F38" s="27">
        <f>'tab6'!F82/1000</f>
        <v>1648.0425946666669</v>
      </c>
      <c r="G38" s="27">
        <f>'tab6'!G82/1000</f>
        <v>1504.9776390978</v>
      </c>
      <c r="H38" s="27">
        <f t="shared" si="7"/>
        <v>128.60686271836539</v>
      </c>
      <c r="I38" s="27">
        <f t="shared" si="2"/>
        <v>3281.6270964828323</v>
      </c>
      <c r="J38" s="27">
        <f>'tab01'!D74/1000</f>
        <v>215.01300000000001</v>
      </c>
      <c r="K38" s="24">
        <v>11.3</v>
      </c>
      <c r="L38" s="27"/>
    </row>
    <row r="39" spans="1:12">
      <c r="A39" s="10" t="s">
        <v>239</v>
      </c>
      <c r="B39" s="27">
        <f t="shared" si="6"/>
        <v>215.01300000000001</v>
      </c>
      <c r="C39" s="27">
        <f>+'tab02'!E37/1000</f>
        <v>3097.1790000000001</v>
      </c>
      <c r="D39" s="27">
        <f>'tab6'!D89/1000</f>
        <v>16.132001704578901</v>
      </c>
      <c r="E39" s="27">
        <f t="shared" si="0"/>
        <v>3328.3240017045791</v>
      </c>
      <c r="F39" s="27">
        <f>'tab6'!F89/1000</f>
        <v>1703.019</v>
      </c>
      <c r="G39" s="27">
        <f>'tab6'!G89/1000</f>
        <v>1365.2509814978098</v>
      </c>
      <c r="H39" s="27">
        <f t="shared" si="7"/>
        <v>90.684020206769446</v>
      </c>
      <c r="I39" s="27">
        <f t="shared" si="2"/>
        <v>3158.9540017045792</v>
      </c>
      <c r="J39" s="27">
        <f>'tab01'!D80/1000</f>
        <v>169.37</v>
      </c>
      <c r="K39" s="24">
        <v>12.5</v>
      </c>
      <c r="L39" s="27"/>
    </row>
    <row r="40" spans="1:12">
      <c r="A40" s="10" t="s">
        <v>241</v>
      </c>
      <c r="B40" s="27">
        <f t="shared" si="6"/>
        <v>169.37</v>
      </c>
      <c r="C40" s="27">
        <f>+'tab02'!E38/1000</f>
        <v>3042.0439999999999</v>
      </c>
      <c r="D40" s="27">
        <f>'tab6'!D96/1000</f>
        <v>40.516341825857801</v>
      </c>
      <c r="E40" s="27">
        <f t="shared" si="0"/>
        <v>3251.9303418258573</v>
      </c>
      <c r="F40" s="27">
        <f>'tab6'!F96/1000</f>
        <v>1688.903</v>
      </c>
      <c r="G40" s="27">
        <f>'tab6'!G96/1000</f>
        <v>1327.5260000000001</v>
      </c>
      <c r="H40" s="27">
        <f t="shared" si="7"/>
        <v>94.944341825857464</v>
      </c>
      <c r="I40" s="27">
        <f t="shared" si="2"/>
        <v>3111.3733418258576</v>
      </c>
      <c r="J40" s="27">
        <f>'tab01'!D86/1000</f>
        <v>140.55699999999999</v>
      </c>
      <c r="K40" s="24">
        <v>14.4</v>
      </c>
      <c r="L40" s="27"/>
    </row>
    <row r="41" spans="1:12">
      <c r="A41" s="10" t="s">
        <v>253</v>
      </c>
      <c r="B41" s="27">
        <f t="shared" si="6"/>
        <v>140.55699999999999</v>
      </c>
      <c r="C41" s="27">
        <f>+'tab02'!E39/1000</f>
        <v>3357.0039999999999</v>
      </c>
      <c r="D41" s="27">
        <f>'tab6'!D103/1000</f>
        <v>71.777046168786015</v>
      </c>
      <c r="E41" s="27">
        <f t="shared" si="0"/>
        <v>3569.3380461687857</v>
      </c>
      <c r="F41" s="27">
        <f>'tab6'!F103/1000</f>
        <v>1733.8879999999999</v>
      </c>
      <c r="G41" s="27">
        <f>'tab6'!G103/1000</f>
        <v>1638.5589397691786</v>
      </c>
      <c r="H41" s="27">
        <f t="shared" si="7"/>
        <v>104.90010639960724</v>
      </c>
      <c r="I41" s="27">
        <f t="shared" si="2"/>
        <v>3477.3470461687857</v>
      </c>
      <c r="J41" s="27">
        <f>'tab01'!D92/1000</f>
        <v>91.991</v>
      </c>
      <c r="K41" s="24">
        <v>13</v>
      </c>
      <c r="L41" s="27"/>
    </row>
    <row r="42" spans="1:12">
      <c r="A42" s="10" t="s">
        <v>258</v>
      </c>
      <c r="B42" s="27">
        <f t="shared" ref="B42:B48" si="8">+J41</f>
        <v>91.991</v>
      </c>
      <c r="C42" s="27">
        <f>+'tab02'!E40/1000</f>
        <v>3928.07</v>
      </c>
      <c r="D42" s="27">
        <f>'tab6'!D110/1000</f>
        <v>33.244861599459298</v>
      </c>
      <c r="E42" s="27">
        <f t="shared" si="0"/>
        <v>4053.3058615994596</v>
      </c>
      <c r="F42" s="27">
        <f>'tab6'!F110/1000</f>
        <v>1873.4937851587886</v>
      </c>
      <c r="G42" s="27">
        <f>'tab6'!G110/1000</f>
        <v>1842.4226925928908</v>
      </c>
      <c r="H42" s="27">
        <f t="shared" si="7"/>
        <v>146.77938384778008</v>
      </c>
      <c r="I42" s="27">
        <f t="shared" si="2"/>
        <v>3862.6958615994595</v>
      </c>
      <c r="J42" s="27">
        <f>'tab01'!D98/1000</f>
        <v>190.61</v>
      </c>
      <c r="K42" s="24">
        <v>10.1</v>
      </c>
      <c r="L42" s="27"/>
    </row>
    <row r="43" spans="1:12">
      <c r="A43" s="10" t="s">
        <v>260</v>
      </c>
      <c r="B43" s="27">
        <f t="shared" si="8"/>
        <v>190.61</v>
      </c>
      <c r="C43" s="27">
        <f>+'tab02'!E41/1000</f>
        <v>3926.779</v>
      </c>
      <c r="D43" s="27">
        <f>'tab6'!D129/1000</f>
        <v>23.540909513328902</v>
      </c>
      <c r="E43" s="27">
        <f t="shared" si="0"/>
        <v>4140.9299095133292</v>
      </c>
      <c r="F43" s="27">
        <f>'tab6'!F129/1000</f>
        <v>1886.2368000000001</v>
      </c>
      <c r="G43" s="27">
        <f>'tab6'!G129/1000</f>
        <v>1942.6386441855982</v>
      </c>
      <c r="H43" s="27">
        <f t="shared" si="7"/>
        <v>115.32546532773108</v>
      </c>
      <c r="I43" s="27">
        <f t="shared" si="2"/>
        <v>3944.2009095133294</v>
      </c>
      <c r="J43" s="27">
        <f>'tab01'!D104/1000</f>
        <v>196.72900000000001</v>
      </c>
      <c r="K43" s="24">
        <v>8.9499999999999993</v>
      </c>
      <c r="L43" s="27"/>
    </row>
    <row r="44" spans="1:12">
      <c r="A44" s="10" t="s">
        <v>262</v>
      </c>
      <c r="B44" s="27">
        <f t="shared" si="8"/>
        <v>196.72900000000001</v>
      </c>
      <c r="C44" s="27">
        <f>+'tab02'!E42/1000</f>
        <v>4296.4960000000001</v>
      </c>
      <c r="D44" s="27">
        <f>'tab6'!D148/1000</f>
        <v>22.280707270290002</v>
      </c>
      <c r="E44" s="27">
        <f t="shared" si="0"/>
        <v>4515.5057072702903</v>
      </c>
      <c r="F44" s="27">
        <f>'tab6'!F148/1000</f>
        <v>1901.1980666666666</v>
      </c>
      <c r="G44" s="27">
        <f>'tab6'!G148/1000</f>
        <v>2166.55047454125</v>
      </c>
      <c r="H44" s="27">
        <f t="shared" si="7"/>
        <v>146.16216606237322</v>
      </c>
      <c r="I44" s="27">
        <f t="shared" si="2"/>
        <v>4213.91070727029</v>
      </c>
      <c r="J44" s="27">
        <f>'tab01'!D110/1000</f>
        <v>301.59500000000003</v>
      </c>
      <c r="K44" s="24">
        <v>9.4700000000000006</v>
      </c>
      <c r="L44" s="27"/>
    </row>
    <row r="45" spans="1:12">
      <c r="A45" s="10" t="s">
        <v>270</v>
      </c>
      <c r="B45" s="27">
        <f t="shared" si="8"/>
        <v>301.59500000000003</v>
      </c>
      <c r="C45" s="27">
        <f>+'tab02'!E43/1000</f>
        <v>4411.6329999999998</v>
      </c>
      <c r="D45" s="27">
        <f>'tab6'!D167/1000</f>
        <v>21.810672542399995</v>
      </c>
      <c r="E45" s="27">
        <f t="shared" ref="E45:E50" si="9">+B45+C45+D45</f>
        <v>4735.0386725424005</v>
      </c>
      <c r="F45" s="27">
        <f>'tab6'!F167/1000</f>
        <v>2054.9319999999998</v>
      </c>
      <c r="G45" s="27">
        <f>'tab6'!G167/1000</f>
        <v>2133.7477027176001</v>
      </c>
      <c r="H45" s="27">
        <f t="shared" si="7"/>
        <v>108.25396982480015</v>
      </c>
      <c r="I45" s="27">
        <f t="shared" si="2"/>
        <v>4296.9336725424</v>
      </c>
      <c r="J45" s="27">
        <f>'tab01'!D116/1000</f>
        <v>438.10500000000002</v>
      </c>
      <c r="K45" s="24">
        <v>9.33</v>
      </c>
      <c r="L45" s="190"/>
    </row>
    <row r="46" spans="1:12">
      <c r="A46" s="10" t="s">
        <v>295</v>
      </c>
      <c r="B46" s="27">
        <f t="shared" si="8"/>
        <v>438.10500000000002</v>
      </c>
      <c r="C46" s="27">
        <f>+'tab02'!E44/1000</f>
        <v>4428.1499999999996</v>
      </c>
      <c r="D46" s="27">
        <f>'tab6'!D186/1000</f>
        <v>14.0573945904</v>
      </c>
      <c r="E46" s="27">
        <f t="shared" si="9"/>
        <v>4880.312394590399</v>
      </c>
      <c r="F46" s="27">
        <f>'tab6'!F186/1000</f>
        <v>2091.9902666666667</v>
      </c>
      <c r="G46" s="27">
        <f>'tab6'!G186/1000</f>
        <v>1753.4438010144002</v>
      </c>
      <c r="H46" s="27">
        <f t="shared" si="7"/>
        <v>125.82632690933201</v>
      </c>
      <c r="I46" s="27">
        <f t="shared" si="2"/>
        <v>3971.2603945903988</v>
      </c>
      <c r="J46" s="27">
        <f>'tab01'!D122/1000</f>
        <v>909.05200000000002</v>
      </c>
      <c r="K46" s="24">
        <v>8.48</v>
      </c>
      <c r="L46" s="190"/>
    </row>
    <row r="47" spans="1:12">
      <c r="A47" s="10" t="s">
        <v>334</v>
      </c>
      <c r="B47" s="27">
        <f t="shared" si="8"/>
        <v>909.05200000000002</v>
      </c>
      <c r="C47" s="27">
        <f>+'tab02'!E45/1000</f>
        <v>3551.9079999999999</v>
      </c>
      <c r="D47" s="27">
        <f>'tab6'!D205/1000</f>
        <v>15.3806231928</v>
      </c>
      <c r="E47" s="27">
        <f t="shared" si="9"/>
        <v>4476.3406231928002</v>
      </c>
      <c r="F47" s="27">
        <f>'tab6'!F205/1000</f>
        <v>2164.5542333333333</v>
      </c>
      <c r="G47" s="27">
        <f>'tab6'!G205/1000</f>
        <v>1682.8882992359997</v>
      </c>
      <c r="H47" s="27">
        <f t="shared" si="7"/>
        <v>104.357090623467</v>
      </c>
      <c r="I47" s="27">
        <f>+E47-J47</f>
        <v>3951.7996231928</v>
      </c>
      <c r="J47" s="27">
        <f>'tab01'!D128/1000</f>
        <v>524.54100000000005</v>
      </c>
      <c r="K47" s="24">
        <v>8.57</v>
      </c>
      <c r="L47" s="191"/>
    </row>
    <row r="48" spans="1:12">
      <c r="A48" s="10" t="s">
        <v>350</v>
      </c>
      <c r="B48" s="27">
        <f t="shared" si="8"/>
        <v>524.54100000000005</v>
      </c>
      <c r="C48" s="27">
        <f>+'tab02'!E46/1000</f>
        <v>4216.3019999999997</v>
      </c>
      <c r="D48" s="27">
        <f>'tab6'!D224/1000</f>
        <v>19.815142646399998</v>
      </c>
      <c r="E48" s="27">
        <f t="shared" si="9"/>
        <v>4760.6581426463999</v>
      </c>
      <c r="F48" s="27">
        <f>'tab6'!F224/1000</f>
        <v>2140.5846666666666</v>
      </c>
      <c r="G48" s="27">
        <f>'tab6'!G224/1000</f>
        <v>2265.8216627759998</v>
      </c>
      <c r="H48" s="27">
        <f t="shared" si="7"/>
        <v>97.272813203733222</v>
      </c>
      <c r="I48" s="27">
        <f>+E48-J48</f>
        <v>4503.6791426463997</v>
      </c>
      <c r="J48" s="27">
        <f>'tab01'!D134/1000</f>
        <v>256.97899999999998</v>
      </c>
      <c r="K48" s="24">
        <v>10.8</v>
      </c>
      <c r="L48" s="191"/>
    </row>
    <row r="49" spans="1:12">
      <c r="A49" s="10" t="s">
        <v>504</v>
      </c>
      <c r="B49" s="27">
        <f>+J48</f>
        <v>256.97899999999998</v>
      </c>
      <c r="C49" s="27">
        <f>+'tab02'!E47/1000</f>
        <v>4465.3819999999996</v>
      </c>
      <c r="D49" s="27">
        <f>'tab6'!D243/1000</f>
        <v>15.9101777208</v>
      </c>
      <c r="E49" s="27">
        <f t="shared" si="9"/>
        <v>4738.2711777207996</v>
      </c>
      <c r="F49" s="27">
        <f>'tab6'!F243/1000</f>
        <v>2203.8142666666668</v>
      </c>
      <c r="G49" s="27">
        <f>'tab6'!G243/1000</f>
        <v>2157.6466911048001</v>
      </c>
      <c r="H49" s="27">
        <f t="shared" si="7"/>
        <v>102.41621994933257</v>
      </c>
      <c r="I49" s="27">
        <f>+E49-J49</f>
        <v>4463.8771777207994</v>
      </c>
      <c r="J49" s="27">
        <f>'tab01'!D140/1000</f>
        <v>274.39400000000001</v>
      </c>
      <c r="K49" s="24">
        <v>13.3</v>
      </c>
      <c r="L49" s="191"/>
    </row>
    <row r="50" spans="1:12">
      <c r="A50" s="239" t="s">
        <v>597</v>
      </c>
      <c r="B50" s="240">
        <f>+J49</f>
        <v>274.39400000000001</v>
      </c>
      <c r="C50" s="240">
        <f>+'tab02'!E48/1000</f>
        <v>4276.1229999999996</v>
      </c>
      <c r="D50" s="240">
        <v>15</v>
      </c>
      <c r="E50" s="240">
        <f t="shared" si="9"/>
        <v>4565.5169999999998</v>
      </c>
      <c r="F50" s="240">
        <v>2220</v>
      </c>
      <c r="G50" s="240">
        <v>2015</v>
      </c>
      <c r="H50" s="240">
        <v>120.35</v>
      </c>
      <c r="I50" s="240">
        <f>SUM(F50:H50)</f>
        <v>4355.3500000000004</v>
      </c>
      <c r="J50" s="240">
        <f>E50-I50</f>
        <v>210.16699999999946</v>
      </c>
      <c r="K50" s="241">
        <v>14.3</v>
      </c>
      <c r="L50" s="191"/>
    </row>
    <row r="51" spans="1:12" ht="13.15" customHeight="1">
      <c r="A51" s="52" t="s">
        <v>515</v>
      </c>
      <c r="E51" s="27"/>
      <c r="F51" s="27"/>
      <c r="H51" s="27"/>
      <c r="I51" s="27"/>
    </row>
    <row r="52" spans="1:12">
      <c r="A52" s="61" t="s">
        <v>668</v>
      </c>
    </row>
    <row r="53" spans="1:12">
      <c r="A53" s="10" t="s">
        <v>578</v>
      </c>
    </row>
    <row r="54" spans="1:12" ht="10.15" customHeight="1">
      <c r="J54" s="78"/>
      <c r="K54" s="101" t="s">
        <v>592</v>
      </c>
    </row>
  </sheetData>
  <phoneticPr fontId="0" type="noConversion"/>
  <pageMargins left="0.7" right="0.7" top="0.75" bottom="1.25" header="0.3" footer="0.3"/>
  <pageSetup scale="87" firstPageNumber="3" fitToHeight="0" orientation="portrait" useFirstPageNumber="1" r:id="rId1"/>
  <headerFooter alignWithMargins="0">
    <oddFooter>&amp;COil Crops Yearbook/OCS-2023
March 2023
Economic Research Service
&amp;P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AN54"/>
  <sheetViews>
    <sheetView zoomScaleNormal="100" zoomScaleSheetLayoutView="100" workbookViewId="0">
      <pane ySplit="3" topLeftCell="A4" activePane="bottomLeft" state="frozen"/>
      <selection activeCell="N55" sqref="A1:N55"/>
      <selection pane="bottomLeft"/>
    </sheetView>
  </sheetViews>
  <sheetFormatPr defaultColWidth="9.33203125" defaultRowHeight="11.25"/>
  <cols>
    <col min="1" max="1" width="52.5" style="69" customWidth="1"/>
    <col min="2" max="2" width="19.5" style="69" bestFit="1" customWidth="1"/>
    <col min="3" max="3" width="8.1640625" style="69" bestFit="1" customWidth="1"/>
    <col min="4" max="14" width="9.6640625" style="69" customWidth="1"/>
    <col min="15" max="16384" width="9.33203125" style="69"/>
  </cols>
  <sheetData>
    <row r="1" spans="1:40">
      <c r="A1" s="223" t="s">
        <v>650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40">
      <c r="A2"/>
      <c r="B2"/>
      <c r="C2" s="92"/>
      <c r="D2" s="92"/>
      <c r="E2" s="92"/>
      <c r="F2" s="92"/>
      <c r="G2" s="92"/>
      <c r="H2" s="175">
        <v>2019</v>
      </c>
      <c r="I2" s="92"/>
      <c r="J2" s="92"/>
      <c r="K2" s="92"/>
      <c r="L2" s="92"/>
      <c r="M2" s="92"/>
      <c r="N2" s="4"/>
    </row>
    <row r="3" spans="1:40">
      <c r="A3" s="1" t="s">
        <v>425</v>
      </c>
      <c r="B3" s="88" t="s">
        <v>198</v>
      </c>
      <c r="C3" s="92" t="s">
        <v>105</v>
      </c>
      <c r="D3" s="92" t="s">
        <v>106</v>
      </c>
      <c r="E3" s="92" t="s">
        <v>107</v>
      </c>
      <c r="F3" s="92" t="s">
        <v>108</v>
      </c>
      <c r="G3" s="92" t="s">
        <v>100</v>
      </c>
      <c r="H3" s="92" t="s">
        <v>715</v>
      </c>
      <c r="I3" s="92" t="s">
        <v>716</v>
      </c>
      <c r="J3" s="92" t="s">
        <v>109</v>
      </c>
      <c r="K3" s="92" t="s">
        <v>110</v>
      </c>
      <c r="L3" s="92" t="s">
        <v>102</v>
      </c>
      <c r="M3" s="92" t="s">
        <v>103</v>
      </c>
      <c r="N3" s="92" t="s">
        <v>104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1:40">
      <c r="A4" s="173" t="s">
        <v>194</v>
      </c>
      <c r="B4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1:40">
      <c r="A5" s="173" t="s">
        <v>713</v>
      </c>
      <c r="B5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>
      <c r="A6" t="s">
        <v>48</v>
      </c>
      <c r="B6" t="s">
        <v>371</v>
      </c>
      <c r="C6" s="40">
        <v>16.7</v>
      </c>
      <c r="D6" s="40">
        <v>16.2</v>
      </c>
      <c r="E6" s="40">
        <v>15.8</v>
      </c>
      <c r="F6" s="40">
        <v>15.8</v>
      </c>
      <c r="G6" s="40">
        <v>15.2</v>
      </c>
      <c r="H6" s="40">
        <v>14.9</v>
      </c>
      <c r="I6" s="40">
        <v>14.9</v>
      </c>
      <c r="J6" s="40">
        <v>14.5</v>
      </c>
      <c r="K6" s="40">
        <v>14.2</v>
      </c>
      <c r="L6" s="40">
        <v>14.2</v>
      </c>
      <c r="M6" s="40">
        <v>14.3</v>
      </c>
      <c r="N6" s="40">
        <v>14.7</v>
      </c>
      <c r="P6"/>
      <c r="Q6"/>
      <c r="R6"/>
      <c r="S6"/>
      <c r="T6"/>
      <c r="U6"/>
      <c r="V6"/>
      <c r="W6"/>
      <c r="X6"/>
      <c r="Y6"/>
      <c r="Z6"/>
      <c r="AA6"/>
      <c r="AB6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</row>
    <row r="7" spans="1:40">
      <c r="A7" t="s">
        <v>47</v>
      </c>
      <c r="B7" t="s">
        <v>355</v>
      </c>
      <c r="C7" s="40">
        <v>170</v>
      </c>
      <c r="D7" s="40">
        <v>174</v>
      </c>
      <c r="E7" s="36" t="s">
        <v>229</v>
      </c>
      <c r="F7" s="36" t="s">
        <v>229</v>
      </c>
      <c r="G7" s="36" t="s">
        <v>229</v>
      </c>
      <c r="H7" s="36" t="s">
        <v>229</v>
      </c>
      <c r="I7" s="36" t="s">
        <v>229</v>
      </c>
      <c r="J7" s="40">
        <v>149</v>
      </c>
      <c r="K7" s="40">
        <v>148</v>
      </c>
      <c r="L7" s="40">
        <v>152</v>
      </c>
      <c r="M7" s="40">
        <v>162</v>
      </c>
      <c r="N7" s="40">
        <v>163</v>
      </c>
      <c r="P7"/>
      <c r="Q7"/>
      <c r="R7"/>
      <c r="S7"/>
      <c r="T7"/>
      <c r="U7"/>
      <c r="V7"/>
      <c r="W7"/>
      <c r="X7"/>
      <c r="Y7"/>
      <c r="Z7"/>
      <c r="AA7"/>
      <c r="AB7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</row>
    <row r="8" spans="1:40">
      <c r="A8" t="s">
        <v>426</v>
      </c>
      <c r="B8" t="s">
        <v>354</v>
      </c>
      <c r="C8" s="40">
        <v>9.85</v>
      </c>
      <c r="D8" s="40">
        <v>9.7899999999999991</v>
      </c>
      <c r="E8" s="40">
        <v>10.1</v>
      </c>
      <c r="F8" s="40">
        <v>9.93</v>
      </c>
      <c r="G8" s="40">
        <v>9.5399999999999991</v>
      </c>
      <c r="H8" s="40">
        <v>9.08</v>
      </c>
      <c r="I8" s="40">
        <v>9.1</v>
      </c>
      <c r="J8" s="40">
        <v>8.83</v>
      </c>
      <c r="K8" s="40">
        <v>8.84</v>
      </c>
      <c r="L8" s="40">
        <v>9.01</v>
      </c>
      <c r="M8" s="40">
        <v>8.6999999999999993</v>
      </c>
      <c r="N8" s="40">
        <v>8.91</v>
      </c>
      <c r="P8"/>
      <c r="Q8"/>
      <c r="R8"/>
      <c r="S8"/>
      <c r="T8"/>
      <c r="U8"/>
      <c r="V8"/>
      <c r="W8"/>
      <c r="X8"/>
      <c r="Y8"/>
      <c r="Z8"/>
      <c r="AA8"/>
      <c r="AB8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</row>
    <row r="9" spans="1:40">
      <c r="A9" t="s">
        <v>205</v>
      </c>
      <c r="B9" t="s">
        <v>248</v>
      </c>
      <c r="C9" s="40">
        <v>22.7</v>
      </c>
      <c r="D9" s="40">
        <v>22.3</v>
      </c>
      <c r="E9" s="40">
        <v>19.8</v>
      </c>
      <c r="F9" s="40">
        <v>20.3</v>
      </c>
      <c r="G9" s="40">
        <v>20.5</v>
      </c>
      <c r="H9" s="40">
        <v>21.5</v>
      </c>
      <c r="I9" s="40">
        <v>20.6</v>
      </c>
      <c r="J9" s="40">
        <v>20.5</v>
      </c>
      <c r="K9" s="40">
        <v>19.8</v>
      </c>
      <c r="L9" s="40">
        <v>20.399999999999999</v>
      </c>
      <c r="M9" s="40">
        <v>19.2</v>
      </c>
      <c r="N9" s="40">
        <v>19.600000000000001</v>
      </c>
      <c r="P9"/>
      <c r="Q9"/>
      <c r="R9"/>
      <c r="S9"/>
      <c r="T9"/>
      <c r="U9"/>
      <c r="V9"/>
      <c r="W9"/>
      <c r="X9"/>
      <c r="Y9"/>
      <c r="Z9"/>
      <c r="AA9"/>
      <c r="AB9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</row>
    <row r="10" spans="1:40">
      <c r="A10" t="s">
        <v>204</v>
      </c>
      <c r="B10" t="s">
        <v>354</v>
      </c>
      <c r="C10" s="40">
        <v>8.64</v>
      </c>
      <c r="D10" s="40">
        <v>8.52</v>
      </c>
      <c r="E10" s="40">
        <v>8.52</v>
      </c>
      <c r="F10" s="40">
        <v>8.2799999999999994</v>
      </c>
      <c r="G10" s="40">
        <v>8.02</v>
      </c>
      <c r="H10" s="40">
        <v>8.31</v>
      </c>
      <c r="I10" s="40">
        <v>8.3800000000000008</v>
      </c>
      <c r="J10" s="40">
        <v>8.2200000000000006</v>
      </c>
      <c r="K10" s="40">
        <v>8.35</v>
      </c>
      <c r="L10" s="40">
        <v>8.6</v>
      </c>
      <c r="M10" s="40">
        <v>8.59</v>
      </c>
      <c r="N10" s="40">
        <v>8.6999999999999993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</row>
    <row r="11" spans="1:40">
      <c r="A11" t="s">
        <v>427</v>
      </c>
      <c r="B11" t="s">
        <v>371</v>
      </c>
      <c r="C11" s="40">
        <v>17.3</v>
      </c>
      <c r="D11" s="40">
        <v>18</v>
      </c>
      <c r="E11" s="40">
        <v>17.8</v>
      </c>
      <c r="F11" s="40">
        <v>17.600000000000001</v>
      </c>
      <c r="G11" s="40">
        <v>18.3</v>
      </c>
      <c r="H11" s="40">
        <v>17.899999999999999</v>
      </c>
      <c r="I11" s="40">
        <v>18</v>
      </c>
      <c r="J11" s="40">
        <v>17.8</v>
      </c>
      <c r="K11" s="40">
        <v>18.5</v>
      </c>
      <c r="L11" s="40">
        <v>17.5</v>
      </c>
      <c r="M11" s="40">
        <v>17.7</v>
      </c>
      <c r="N11" s="40">
        <v>17.8</v>
      </c>
      <c r="AC11" s="40"/>
      <c r="AD11" s="40"/>
      <c r="AE11" s="40"/>
      <c r="AF11" s="40"/>
      <c r="AG11" s="40"/>
      <c r="AH11" s="40"/>
      <c r="AI11" s="40"/>
      <c r="AJ11" s="40"/>
      <c r="AK11" s="40"/>
      <c r="AL11" s="261"/>
      <c r="AM11" s="261"/>
      <c r="AN11" s="261"/>
    </row>
    <row r="12" spans="1:40">
      <c r="A12" t="s">
        <v>548</v>
      </c>
      <c r="B12" t="s">
        <v>371</v>
      </c>
      <c r="C12" s="40">
        <v>16.8</v>
      </c>
      <c r="D12" s="40">
        <v>17.399999999999999</v>
      </c>
      <c r="E12" s="40">
        <v>17.7</v>
      </c>
      <c r="F12" s="40">
        <v>17</v>
      </c>
      <c r="G12" s="40">
        <v>16.899999999999999</v>
      </c>
      <c r="H12" s="40">
        <v>16.899999999999999</v>
      </c>
      <c r="I12" s="40">
        <v>16.600000000000001</v>
      </c>
      <c r="J12" s="40">
        <v>16.899999999999999</v>
      </c>
      <c r="K12" s="36">
        <v>17.600000000000001</v>
      </c>
      <c r="L12" s="36">
        <v>17</v>
      </c>
      <c r="M12" s="36">
        <v>17.5</v>
      </c>
      <c r="N12" s="36">
        <v>17.7</v>
      </c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</row>
    <row r="13" spans="1:40">
      <c r="A13" t="s">
        <v>428</v>
      </c>
      <c r="B13" t="s">
        <v>371</v>
      </c>
      <c r="C13" s="40">
        <v>24.7</v>
      </c>
      <c r="D13" s="40">
        <v>23.1</v>
      </c>
      <c r="E13" s="40">
        <v>18.5</v>
      </c>
      <c r="F13" s="40">
        <v>21.3</v>
      </c>
      <c r="G13" s="40">
        <v>24.8</v>
      </c>
      <c r="H13" s="40">
        <v>22.8</v>
      </c>
      <c r="I13" s="40">
        <v>22.6</v>
      </c>
      <c r="J13" s="40">
        <v>25.3</v>
      </c>
      <c r="K13" s="36" t="s">
        <v>229</v>
      </c>
      <c r="L13" s="36">
        <v>27.2</v>
      </c>
      <c r="M13" s="36">
        <v>20.100000000000001</v>
      </c>
      <c r="N13" s="36">
        <v>20.3</v>
      </c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</row>
    <row r="14" spans="1:40">
      <c r="A14" s="173" t="s">
        <v>429</v>
      </c>
      <c r="B14"/>
      <c r="C14"/>
      <c r="D14"/>
      <c r="E14"/>
      <c r="F14"/>
      <c r="G14"/>
      <c r="H14"/>
      <c r="I14"/>
      <c r="J14"/>
      <c r="K14"/>
      <c r="L14"/>
      <c r="M14"/>
      <c r="N14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</row>
    <row r="15" spans="1:40">
      <c r="A15" t="s">
        <v>430</v>
      </c>
      <c r="B15" t="s">
        <v>371</v>
      </c>
      <c r="C15" s="40">
        <v>16.34</v>
      </c>
      <c r="D15" s="40">
        <v>16.21</v>
      </c>
      <c r="E15" s="40">
        <v>15.48</v>
      </c>
      <c r="F15" s="40">
        <v>15.53</v>
      </c>
      <c r="G15" s="40">
        <v>14.98</v>
      </c>
      <c r="H15" s="40">
        <v>15.14</v>
      </c>
      <c r="I15" s="40">
        <v>14.32</v>
      </c>
      <c r="J15" s="40">
        <v>14.16</v>
      </c>
      <c r="K15" s="40">
        <v>14.26</v>
      </c>
      <c r="L15" s="40">
        <v>14.65</v>
      </c>
      <c r="M15" s="40">
        <v>14.88</v>
      </c>
      <c r="N15" s="40">
        <v>15.3</v>
      </c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</row>
    <row r="16" spans="1:40">
      <c r="A16" t="s">
        <v>431</v>
      </c>
      <c r="B16" t="s">
        <v>355</v>
      </c>
      <c r="C16" s="40">
        <v>182.5</v>
      </c>
      <c r="D16" s="40">
        <v>180</v>
      </c>
      <c r="E16" s="40">
        <v>179</v>
      </c>
      <c r="F16" s="40">
        <v>192</v>
      </c>
      <c r="G16" s="40">
        <v>198.33</v>
      </c>
      <c r="H16" s="40">
        <v>229</v>
      </c>
      <c r="I16" s="40">
        <v>273.2</v>
      </c>
      <c r="J16" s="40">
        <v>262.5</v>
      </c>
      <c r="K16" s="40">
        <v>270</v>
      </c>
      <c r="L16" s="40">
        <v>195</v>
      </c>
      <c r="M16" s="40">
        <v>186.67</v>
      </c>
      <c r="N16" s="40">
        <v>188.33</v>
      </c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</row>
    <row r="17" spans="1:40">
      <c r="A17" t="s">
        <v>432</v>
      </c>
      <c r="B17" t="s">
        <v>354</v>
      </c>
      <c r="C17" s="40">
        <v>11.05</v>
      </c>
      <c r="D17" s="40">
        <v>11.05</v>
      </c>
      <c r="E17" s="40">
        <v>11.05</v>
      </c>
      <c r="F17" s="40">
        <v>10.69</v>
      </c>
      <c r="G17" s="40">
        <v>9.75</v>
      </c>
      <c r="H17" s="40">
        <v>9.75</v>
      </c>
      <c r="I17" s="40">
        <v>9.75</v>
      </c>
      <c r="J17" s="40">
        <v>9.56</v>
      </c>
      <c r="K17" s="40">
        <v>9.51</v>
      </c>
      <c r="L17" s="40">
        <v>9.51</v>
      </c>
      <c r="M17" s="40">
        <v>9.6300000000000008</v>
      </c>
      <c r="N17" s="40">
        <v>9.7200000000000006</v>
      </c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</row>
    <row r="18" spans="1:40">
      <c r="A18" t="s">
        <v>433</v>
      </c>
      <c r="B18" t="s">
        <v>354</v>
      </c>
      <c r="C18" s="40">
        <v>8.57</v>
      </c>
      <c r="D18" s="40">
        <v>8.57</v>
      </c>
      <c r="E18" s="40">
        <v>8.4700000000000006</v>
      </c>
      <c r="F18" s="40">
        <v>8.33</v>
      </c>
      <c r="G18" s="40">
        <v>7.85</v>
      </c>
      <c r="H18" s="40">
        <v>8.49</v>
      </c>
      <c r="I18" s="40">
        <v>8.61</v>
      </c>
      <c r="J18" s="40">
        <v>8.2899999999999991</v>
      </c>
      <c r="K18" s="40">
        <v>8.41</v>
      </c>
      <c r="L18" s="40">
        <v>8.89</v>
      </c>
      <c r="M18" s="40">
        <v>8.82</v>
      </c>
      <c r="N18" s="40">
        <v>8.98</v>
      </c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</row>
    <row r="19" spans="1:40">
      <c r="A19" t="s">
        <v>434</v>
      </c>
      <c r="B19" t="s">
        <v>354</v>
      </c>
      <c r="C19" s="40">
        <v>9.36</v>
      </c>
      <c r="D19" s="40">
        <v>9.42</v>
      </c>
      <c r="E19" s="40">
        <v>9.33</v>
      </c>
      <c r="F19" s="40">
        <v>9.1</v>
      </c>
      <c r="G19" s="40">
        <v>8.77</v>
      </c>
      <c r="H19" s="40">
        <v>9.48</v>
      </c>
      <c r="I19" s="40">
        <v>9.44</v>
      </c>
      <c r="J19" s="40">
        <v>9.07</v>
      </c>
      <c r="K19" s="40">
        <v>9.01</v>
      </c>
      <c r="L19" s="40">
        <v>9.59</v>
      </c>
      <c r="M19" s="40">
        <v>9.5500000000000007</v>
      </c>
      <c r="N19" s="40">
        <v>9.6999999999999993</v>
      </c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</row>
    <row r="20" spans="1:40">
      <c r="A20" t="s">
        <v>435</v>
      </c>
      <c r="B20" t="s">
        <v>371</v>
      </c>
      <c r="C20" s="40">
        <v>16.809999999999999</v>
      </c>
      <c r="D20" s="40">
        <v>16.91</v>
      </c>
      <c r="E20" s="40">
        <v>17.100000000000001</v>
      </c>
      <c r="F20" s="40">
        <v>17.41</v>
      </c>
      <c r="G20" s="40">
        <v>17.04</v>
      </c>
      <c r="H20" s="40">
        <v>17.29</v>
      </c>
      <c r="I20" s="40">
        <v>17.579999999999998</v>
      </c>
      <c r="J20" s="40">
        <v>18.2</v>
      </c>
      <c r="K20">
        <v>17.899999999999999</v>
      </c>
      <c r="L20">
        <v>18.309999999999999</v>
      </c>
      <c r="M20">
        <v>18.11</v>
      </c>
      <c r="N20">
        <v>18.809999999999999</v>
      </c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</row>
    <row r="21" spans="1:40">
      <c r="A21" s="173" t="s">
        <v>195</v>
      </c>
      <c r="B21"/>
      <c r="C21"/>
      <c r="D21"/>
      <c r="E21"/>
      <c r="F21"/>
      <c r="G21"/>
      <c r="H21"/>
      <c r="I21"/>
      <c r="J21"/>
      <c r="K21"/>
      <c r="L21"/>
      <c r="M21"/>
      <c r="N21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</row>
    <row r="22" spans="1:40">
      <c r="A22" s="173" t="s">
        <v>436</v>
      </c>
      <c r="B22"/>
      <c r="C22"/>
      <c r="D22"/>
      <c r="E22"/>
      <c r="F22"/>
      <c r="G22"/>
      <c r="H22"/>
      <c r="I22"/>
      <c r="J22"/>
      <c r="K22"/>
      <c r="L22"/>
      <c r="M22"/>
      <c r="N22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</row>
    <row r="23" spans="1:40">
      <c r="A23" t="s">
        <v>437</v>
      </c>
      <c r="B23" t="s">
        <v>248</v>
      </c>
      <c r="C23" s="40">
        <v>37.125</v>
      </c>
      <c r="D23" s="40">
        <v>37.75</v>
      </c>
      <c r="E23" s="40">
        <v>36.15</v>
      </c>
      <c r="F23" s="40">
        <v>35.4375</v>
      </c>
      <c r="G23" s="40">
        <v>34.1</v>
      </c>
      <c r="H23" s="40">
        <v>34.625</v>
      </c>
      <c r="I23" s="40">
        <v>34.5625</v>
      </c>
      <c r="J23" s="40">
        <v>35.25</v>
      </c>
      <c r="K23" s="40">
        <v>35</v>
      </c>
      <c r="L23" s="40">
        <v>36.3125</v>
      </c>
      <c r="M23" s="40">
        <v>36.15</v>
      </c>
      <c r="N23" s="40">
        <v>38.0625</v>
      </c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</row>
    <row r="24" spans="1:40">
      <c r="A24" t="s">
        <v>488</v>
      </c>
      <c r="B24" t="s">
        <v>248</v>
      </c>
      <c r="C24" s="40">
        <v>39</v>
      </c>
      <c r="D24" s="40">
        <v>37.25</v>
      </c>
      <c r="E24" s="40">
        <v>35.299999999999997</v>
      </c>
      <c r="F24" s="40">
        <v>33.5</v>
      </c>
      <c r="G24" s="40">
        <v>33</v>
      </c>
      <c r="H24" s="40">
        <v>32</v>
      </c>
      <c r="I24" s="40">
        <v>32</v>
      </c>
      <c r="J24" s="40">
        <v>33.200000000000003</v>
      </c>
      <c r="K24" s="40">
        <v>34.5</v>
      </c>
      <c r="L24" s="40">
        <v>34</v>
      </c>
      <c r="M24" s="40">
        <v>35.6</v>
      </c>
      <c r="N24" s="40">
        <v>44.5</v>
      </c>
      <c r="P24" s="357"/>
    </row>
    <row r="25" spans="1:40">
      <c r="A25" t="s">
        <v>438</v>
      </c>
      <c r="B25" t="s">
        <v>248</v>
      </c>
      <c r="C25" s="40">
        <v>26.21</v>
      </c>
      <c r="D25" s="40">
        <v>25.65</v>
      </c>
      <c r="E25" s="40">
        <v>26.72</v>
      </c>
      <c r="F25" s="40">
        <v>27.935000000000002</v>
      </c>
      <c r="G25" s="40">
        <v>27.754999999999999</v>
      </c>
      <c r="H25" s="40">
        <v>27.38</v>
      </c>
      <c r="I25" s="40">
        <v>26.75</v>
      </c>
      <c r="J25" s="40">
        <v>27.310000000000002</v>
      </c>
      <c r="K25" s="40">
        <v>27.48</v>
      </c>
      <c r="L25">
        <v>28.3</v>
      </c>
      <c r="M25">
        <v>30.685000000000002</v>
      </c>
      <c r="N25">
        <v>31.25</v>
      </c>
      <c r="P25" s="358"/>
    </row>
    <row r="26" spans="1:40">
      <c r="A26" t="s">
        <v>489</v>
      </c>
      <c r="B26" t="s">
        <v>248</v>
      </c>
      <c r="C26" s="40">
        <v>25.47</v>
      </c>
      <c r="D26" s="40">
        <v>25.09</v>
      </c>
      <c r="E26" s="40">
        <v>24.76</v>
      </c>
      <c r="F26" s="40">
        <v>25.06</v>
      </c>
      <c r="G26" s="40">
        <v>24.94</v>
      </c>
      <c r="H26" s="40">
        <v>24.96</v>
      </c>
      <c r="I26" s="40">
        <v>25.22</v>
      </c>
      <c r="J26" s="40">
        <v>24.64</v>
      </c>
      <c r="K26" s="40">
        <v>24.56</v>
      </c>
      <c r="L26" s="40">
        <v>23.99</v>
      </c>
      <c r="M26" s="40">
        <v>23.55</v>
      </c>
      <c r="N26" s="40">
        <v>23.76</v>
      </c>
    </row>
    <row r="27" spans="1:40">
      <c r="A27" t="s">
        <v>439</v>
      </c>
      <c r="B27" t="s">
        <v>248</v>
      </c>
      <c r="C27" s="40">
        <v>33.9375</v>
      </c>
      <c r="D27" s="40">
        <v>36.44</v>
      </c>
      <c r="E27" s="40">
        <v>35.700000000000003</v>
      </c>
      <c r="F27" s="40">
        <v>37.125</v>
      </c>
      <c r="G27" s="40">
        <v>35.65</v>
      </c>
      <c r="H27" s="40">
        <v>36.6875</v>
      </c>
      <c r="I27" s="40">
        <v>37.5</v>
      </c>
      <c r="J27" s="40">
        <v>36.450000000000003</v>
      </c>
      <c r="K27" s="40">
        <v>38.07</v>
      </c>
      <c r="L27" s="40">
        <v>37.9375</v>
      </c>
      <c r="M27" s="40">
        <v>38.4</v>
      </c>
      <c r="N27" s="40">
        <v>40.25</v>
      </c>
    </row>
    <row r="28" spans="1:40">
      <c r="A28" t="s">
        <v>440</v>
      </c>
      <c r="B28" t="s">
        <v>248</v>
      </c>
      <c r="C28" s="147" t="s">
        <v>229</v>
      </c>
      <c r="D28" s="147" t="s">
        <v>229</v>
      </c>
      <c r="E28" s="147" t="s">
        <v>229</v>
      </c>
      <c r="F28" s="147" t="s">
        <v>229</v>
      </c>
      <c r="G28" s="147" t="s">
        <v>229</v>
      </c>
      <c r="H28" s="147" t="s">
        <v>229</v>
      </c>
      <c r="I28" s="147" t="s">
        <v>229</v>
      </c>
      <c r="J28" s="147" t="s">
        <v>229</v>
      </c>
      <c r="K28" s="147" t="s">
        <v>229</v>
      </c>
      <c r="L28" s="147" t="s">
        <v>229</v>
      </c>
      <c r="M28" s="147" t="s">
        <v>229</v>
      </c>
      <c r="N28" s="147" t="s">
        <v>229</v>
      </c>
    </row>
    <row r="29" spans="1:40">
      <c r="A29" t="s">
        <v>490</v>
      </c>
      <c r="B29" t="s">
        <v>248</v>
      </c>
      <c r="C29" s="40">
        <v>28.9375</v>
      </c>
      <c r="D29" s="40">
        <v>30</v>
      </c>
      <c r="E29" s="40">
        <v>28.4</v>
      </c>
      <c r="F29" s="40">
        <v>28.625</v>
      </c>
      <c r="G29" s="40">
        <v>28</v>
      </c>
      <c r="H29" s="40">
        <v>27.75</v>
      </c>
      <c r="I29" s="40">
        <v>27.1875</v>
      </c>
      <c r="J29" s="40">
        <v>28.9</v>
      </c>
      <c r="K29" s="40">
        <v>28.625</v>
      </c>
      <c r="L29" s="40">
        <v>28.9375</v>
      </c>
      <c r="M29" s="40">
        <v>32.950000000000003</v>
      </c>
      <c r="N29" s="40">
        <v>37.25</v>
      </c>
    </row>
    <row r="30" spans="1:40">
      <c r="A30" t="s">
        <v>491</v>
      </c>
      <c r="B30" t="s">
        <v>248</v>
      </c>
      <c r="C30" s="40">
        <v>57.625</v>
      </c>
      <c r="D30" s="40">
        <v>59.0625</v>
      </c>
      <c r="E30" s="40">
        <v>57.1</v>
      </c>
      <c r="F30" s="40">
        <v>58</v>
      </c>
      <c r="G30" s="40">
        <v>57.1</v>
      </c>
      <c r="H30" s="40">
        <v>57</v>
      </c>
      <c r="I30" s="40">
        <v>56.5</v>
      </c>
      <c r="J30" s="40">
        <v>58.1</v>
      </c>
      <c r="K30" s="40">
        <v>58.5</v>
      </c>
      <c r="L30" s="40">
        <v>58.5</v>
      </c>
      <c r="M30" s="40">
        <v>61.4</v>
      </c>
      <c r="N30" s="40">
        <v>66</v>
      </c>
    </row>
    <row r="31" spans="1:40">
      <c r="A31" t="s">
        <v>492</v>
      </c>
      <c r="B31" t="s">
        <v>248</v>
      </c>
      <c r="C31" s="40">
        <v>61.875</v>
      </c>
      <c r="D31" s="40">
        <v>61.125</v>
      </c>
      <c r="E31" s="40">
        <v>61</v>
      </c>
      <c r="F31" s="40">
        <v>65.25</v>
      </c>
      <c r="G31" s="40">
        <v>66</v>
      </c>
      <c r="H31" s="40">
        <v>66</v>
      </c>
      <c r="I31" s="40">
        <v>66.125</v>
      </c>
      <c r="J31" s="40">
        <v>66</v>
      </c>
      <c r="K31" s="40">
        <v>67</v>
      </c>
      <c r="L31" s="40">
        <v>61.5</v>
      </c>
      <c r="M31" s="40">
        <v>63.1</v>
      </c>
      <c r="N31" s="40">
        <v>60.125</v>
      </c>
    </row>
    <row r="32" spans="1:40">
      <c r="A32" t="s">
        <v>493</v>
      </c>
      <c r="B32" t="s">
        <v>248</v>
      </c>
      <c r="C32">
        <v>28.44</v>
      </c>
      <c r="D32">
        <v>29.58</v>
      </c>
      <c r="E32">
        <v>28.62</v>
      </c>
      <c r="F32">
        <v>27.86</v>
      </c>
      <c r="G32">
        <v>26.93</v>
      </c>
      <c r="H32">
        <v>28.24</v>
      </c>
      <c r="I32">
        <v>27.68</v>
      </c>
      <c r="J32">
        <v>28.41</v>
      </c>
      <c r="K32">
        <v>28.81</v>
      </c>
      <c r="L32">
        <v>30.14</v>
      </c>
      <c r="M32">
        <v>30.62</v>
      </c>
      <c r="N32">
        <v>32.270000000000003</v>
      </c>
    </row>
    <row r="33" spans="1:15">
      <c r="A33" t="s">
        <v>441</v>
      </c>
      <c r="B33" t="s">
        <v>248</v>
      </c>
      <c r="C33" s="40">
        <v>53.5</v>
      </c>
      <c r="D33" s="40">
        <v>53</v>
      </c>
      <c r="E33" s="40">
        <v>53.2</v>
      </c>
      <c r="F33" s="40">
        <v>54</v>
      </c>
      <c r="G33" s="40">
        <v>53.4</v>
      </c>
      <c r="H33" s="40">
        <v>51</v>
      </c>
      <c r="I33" s="40">
        <v>52.5</v>
      </c>
      <c r="J33" s="40">
        <v>53.4</v>
      </c>
      <c r="K33" s="40">
        <v>55</v>
      </c>
      <c r="L33" s="40">
        <v>56</v>
      </c>
      <c r="M33" s="40">
        <v>56</v>
      </c>
      <c r="N33" s="40">
        <v>76</v>
      </c>
    </row>
    <row r="34" spans="1:15">
      <c r="A34" t="s">
        <v>442</v>
      </c>
      <c r="B34" t="s">
        <v>248</v>
      </c>
      <c r="C34" s="40">
        <v>33.130000000000003</v>
      </c>
      <c r="D34" s="40">
        <v>33</v>
      </c>
      <c r="E34" s="40">
        <v>32.15</v>
      </c>
      <c r="F34" s="40">
        <v>31.86</v>
      </c>
      <c r="G34" s="40">
        <v>33.700000000000003</v>
      </c>
      <c r="H34" s="147" t="s">
        <v>229</v>
      </c>
      <c r="I34" s="40">
        <v>35</v>
      </c>
      <c r="J34" s="147" t="s">
        <v>229</v>
      </c>
      <c r="K34" s="40">
        <v>34</v>
      </c>
      <c r="L34" s="147" t="s">
        <v>229</v>
      </c>
      <c r="M34" s="40">
        <v>35</v>
      </c>
      <c r="N34" s="147" t="s">
        <v>229</v>
      </c>
      <c r="O34" s="70"/>
    </row>
    <row r="35" spans="1:15">
      <c r="A35" s="52" t="s">
        <v>443</v>
      </c>
      <c r="B35" t="s">
        <v>248</v>
      </c>
      <c r="C35" s="40">
        <v>19.88</v>
      </c>
      <c r="D35" s="40">
        <v>20.38</v>
      </c>
      <c r="E35" s="40">
        <v>19.63</v>
      </c>
      <c r="F35" s="40">
        <v>19.88</v>
      </c>
      <c r="G35" s="40">
        <v>21.41</v>
      </c>
      <c r="H35" s="40">
        <v>23.13</v>
      </c>
      <c r="I35" s="40">
        <v>24.78</v>
      </c>
      <c r="J35" s="40">
        <v>25.72</v>
      </c>
      <c r="K35" s="40">
        <v>22.97</v>
      </c>
      <c r="L35" s="40">
        <v>21.63</v>
      </c>
      <c r="M35" s="40">
        <v>20.75</v>
      </c>
      <c r="N35" s="40">
        <v>21.69</v>
      </c>
    </row>
    <row r="36" spans="1:15">
      <c r="A36" s="52" t="s">
        <v>235</v>
      </c>
      <c r="B36" s="52" t="s">
        <v>372</v>
      </c>
      <c r="C36" s="40">
        <v>2.88</v>
      </c>
      <c r="D36" s="40">
        <v>3</v>
      </c>
      <c r="E36" s="40">
        <v>2.8720000000000003</v>
      </c>
      <c r="F36" s="40">
        <v>2.7699999999999996</v>
      </c>
      <c r="G36" s="40">
        <v>2.798</v>
      </c>
      <c r="H36" s="40">
        <v>2.7174999999999998</v>
      </c>
      <c r="I36" s="40">
        <v>2.8075000000000001</v>
      </c>
      <c r="J36" s="40">
        <v>2.79</v>
      </c>
      <c r="K36" s="40">
        <v>2.7250000000000001</v>
      </c>
      <c r="L36" s="40">
        <v>2.7024999999999997</v>
      </c>
      <c r="M36" s="40">
        <v>2.742</v>
      </c>
      <c r="N36" s="40">
        <v>3.0150000000000001</v>
      </c>
    </row>
    <row r="37" spans="1:15">
      <c r="A37" s="173" t="s">
        <v>196</v>
      </c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5">
      <c r="A38" t="s">
        <v>494</v>
      </c>
      <c r="B38" t="s">
        <v>355</v>
      </c>
      <c r="C38" s="147" t="s">
        <v>229</v>
      </c>
      <c r="D38" s="147" t="s">
        <v>229</v>
      </c>
      <c r="E38" s="147" t="s">
        <v>229</v>
      </c>
      <c r="F38" s="147" t="s">
        <v>229</v>
      </c>
      <c r="G38">
        <v>259.55</v>
      </c>
      <c r="H38">
        <v>278.76</v>
      </c>
      <c r="I38">
        <v>265.45</v>
      </c>
      <c r="J38" s="36" t="s">
        <v>229</v>
      </c>
      <c r="K38">
        <v>253.03</v>
      </c>
      <c r="L38">
        <v>267.89999999999998</v>
      </c>
      <c r="M38" s="147" t="s">
        <v>229</v>
      </c>
      <c r="N38" s="147" t="s">
        <v>229</v>
      </c>
    </row>
    <row r="39" spans="1:15">
      <c r="A39" t="s">
        <v>495</v>
      </c>
      <c r="B39" t="s">
        <v>355</v>
      </c>
      <c r="C39" s="40">
        <v>247.5</v>
      </c>
      <c r="D39" s="40">
        <v>235</v>
      </c>
      <c r="E39" s="40">
        <v>226.25</v>
      </c>
      <c r="F39" s="40">
        <v>216.5</v>
      </c>
      <c r="G39" s="40">
        <v>215</v>
      </c>
      <c r="H39" s="40">
        <v>215.63</v>
      </c>
      <c r="I39" s="40">
        <v>218</v>
      </c>
      <c r="J39" s="40">
        <v>221.25</v>
      </c>
      <c r="K39" s="40">
        <v>215.83</v>
      </c>
      <c r="L39" s="40">
        <v>213.13</v>
      </c>
      <c r="M39" s="40">
        <v>233.75</v>
      </c>
      <c r="N39" s="40">
        <v>250.83</v>
      </c>
    </row>
    <row r="40" spans="1:15">
      <c r="A40" t="s">
        <v>496</v>
      </c>
      <c r="B40" t="s">
        <v>355</v>
      </c>
      <c r="C40" s="40">
        <v>219</v>
      </c>
      <c r="D40" s="40">
        <v>225</v>
      </c>
      <c r="E40" s="40">
        <v>235.63</v>
      </c>
      <c r="F40" s="40">
        <v>241.5</v>
      </c>
      <c r="G40" s="40">
        <v>233.75</v>
      </c>
      <c r="H40" s="40">
        <v>228.88</v>
      </c>
      <c r="I40" s="40">
        <v>232.5</v>
      </c>
      <c r="J40" s="40">
        <v>235</v>
      </c>
      <c r="K40" s="40">
        <v>226.25</v>
      </c>
      <c r="L40" s="40">
        <v>226.5</v>
      </c>
      <c r="M40" s="40">
        <v>226.88</v>
      </c>
      <c r="N40" s="40">
        <v>231.67</v>
      </c>
    </row>
    <row r="41" spans="1:15">
      <c r="A41" t="s">
        <v>444</v>
      </c>
      <c r="B41" t="s">
        <v>355</v>
      </c>
      <c r="C41">
        <v>314.92</v>
      </c>
      <c r="D41">
        <v>306.83</v>
      </c>
      <c r="E41">
        <v>306.38</v>
      </c>
      <c r="F41">
        <v>304.26</v>
      </c>
      <c r="G41">
        <v>297.52</v>
      </c>
      <c r="H41">
        <v>324.75</v>
      </c>
      <c r="I41">
        <v>310.77</v>
      </c>
      <c r="J41">
        <v>296.92</v>
      </c>
      <c r="K41">
        <v>295.57</v>
      </c>
      <c r="L41">
        <v>309.48</v>
      </c>
      <c r="M41">
        <v>303.13</v>
      </c>
      <c r="N41">
        <v>299.58999999999997</v>
      </c>
    </row>
    <row r="42" spans="1:15">
      <c r="A42" t="s">
        <v>497</v>
      </c>
      <c r="B42" t="s">
        <v>355</v>
      </c>
      <c r="C42" s="40">
        <v>190.5</v>
      </c>
      <c r="D42" s="40">
        <v>187.5</v>
      </c>
      <c r="E42" s="40">
        <v>189.38</v>
      </c>
      <c r="F42" s="40">
        <v>166.5</v>
      </c>
      <c r="G42" s="40">
        <v>141.25</v>
      </c>
      <c r="H42" s="40">
        <v>143.13</v>
      </c>
      <c r="I42" s="40">
        <v>142</v>
      </c>
      <c r="J42" s="40">
        <v>144.38</v>
      </c>
      <c r="K42" s="40">
        <v>142.5</v>
      </c>
      <c r="L42" s="40">
        <v>169</v>
      </c>
      <c r="M42" s="40">
        <v>166.88</v>
      </c>
      <c r="N42" s="40">
        <v>180</v>
      </c>
    </row>
    <row r="43" spans="1:15">
      <c r="A43" s="173" t="s">
        <v>233</v>
      </c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5">
      <c r="A44" s="173" t="s">
        <v>445</v>
      </c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5">
      <c r="A45" t="s">
        <v>446</v>
      </c>
      <c r="B45" t="s">
        <v>197</v>
      </c>
      <c r="C45" s="147" t="s">
        <v>229</v>
      </c>
      <c r="D45" s="147" t="s">
        <v>229</v>
      </c>
      <c r="E45" s="147" t="s">
        <v>229</v>
      </c>
      <c r="F45" s="147" t="s">
        <v>229</v>
      </c>
      <c r="G45" s="147" t="s">
        <v>229</v>
      </c>
      <c r="H45" s="147" t="s">
        <v>229</v>
      </c>
      <c r="I45" s="147" t="s">
        <v>229</v>
      </c>
      <c r="J45" s="147" t="s">
        <v>229</v>
      </c>
      <c r="K45" s="147" t="s">
        <v>229</v>
      </c>
      <c r="L45" s="147" t="s">
        <v>229</v>
      </c>
      <c r="M45" s="147" t="s">
        <v>229</v>
      </c>
      <c r="N45" s="147" t="s">
        <v>229</v>
      </c>
    </row>
    <row r="46" spans="1:15">
      <c r="A46" s="173" t="s">
        <v>447</v>
      </c>
      <c r="B46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</row>
    <row r="47" spans="1:15">
      <c r="A47" t="s">
        <v>448</v>
      </c>
      <c r="B47" t="s">
        <v>197</v>
      </c>
      <c r="C47" s="38">
        <v>317.5</v>
      </c>
      <c r="D47" s="38">
        <v>317.2</v>
      </c>
      <c r="E47" s="38">
        <v>320.60000000000002</v>
      </c>
      <c r="F47" s="38">
        <v>320.8</v>
      </c>
      <c r="G47" s="38">
        <v>321</v>
      </c>
      <c r="H47" s="38">
        <v>320.7</v>
      </c>
      <c r="I47" s="38">
        <v>320.39999999999998</v>
      </c>
      <c r="J47" s="38">
        <v>320.3</v>
      </c>
      <c r="K47" s="38">
        <v>320.10000000000002</v>
      </c>
      <c r="L47" s="38">
        <v>321.39999999999998</v>
      </c>
      <c r="M47" s="38">
        <v>321.39999999999998</v>
      </c>
      <c r="N47" s="38">
        <v>321.2</v>
      </c>
      <c r="O47" s="71"/>
    </row>
    <row r="48" spans="1:15">
      <c r="A48" t="s">
        <v>449</v>
      </c>
      <c r="B48" t="s">
        <v>197</v>
      </c>
      <c r="C48" s="38">
        <v>245.9</v>
      </c>
      <c r="D48" s="38">
        <v>240.9</v>
      </c>
      <c r="E48" s="38">
        <v>241.2</v>
      </c>
      <c r="F48" s="38">
        <v>239.4</v>
      </c>
      <c r="G48" s="38">
        <v>237.5</v>
      </c>
      <c r="H48" s="38">
        <v>237.1</v>
      </c>
      <c r="I48" s="38">
        <v>239.4</v>
      </c>
      <c r="J48" s="38">
        <v>237.7</v>
      </c>
      <c r="K48" s="38">
        <v>237.4</v>
      </c>
      <c r="L48" s="38">
        <v>235.8</v>
      </c>
      <c r="M48" s="38">
        <v>237.2</v>
      </c>
      <c r="N48" s="38">
        <v>238</v>
      </c>
      <c r="O48" s="71"/>
    </row>
    <row r="49" spans="1:14" customFormat="1">
      <c r="A49" t="s">
        <v>450</v>
      </c>
      <c r="B49" t="s">
        <v>197</v>
      </c>
      <c r="C49" s="38">
        <v>190.3</v>
      </c>
      <c r="D49" s="38">
        <v>193.7</v>
      </c>
      <c r="E49" s="38">
        <v>193</v>
      </c>
      <c r="F49" s="38">
        <v>192.6</v>
      </c>
      <c r="G49" s="38">
        <v>190.2</v>
      </c>
      <c r="H49" s="38">
        <v>192.5</v>
      </c>
      <c r="I49" s="38">
        <v>194.3</v>
      </c>
      <c r="J49" s="38">
        <v>193.8</v>
      </c>
      <c r="K49" s="38">
        <v>193.2</v>
      </c>
      <c r="L49" s="38">
        <v>193.3</v>
      </c>
      <c r="M49" s="38">
        <v>196.2</v>
      </c>
      <c r="N49" s="38">
        <v>197.5</v>
      </c>
    </row>
    <row r="50" spans="1:14">
      <c r="A50" s="1" t="s">
        <v>451</v>
      </c>
      <c r="B50" s="1" t="s">
        <v>240</v>
      </c>
      <c r="C50" s="62">
        <v>143</v>
      </c>
      <c r="D50" s="62">
        <v>144.5</v>
      </c>
      <c r="E50" s="62">
        <v>135.80000000000001</v>
      </c>
      <c r="F50" s="62">
        <v>136.19999999999999</v>
      </c>
      <c r="G50" s="62">
        <v>135.4</v>
      </c>
      <c r="H50" s="62">
        <v>134.4</v>
      </c>
      <c r="I50" s="62">
        <v>135.5</v>
      </c>
      <c r="J50" s="62">
        <v>137</v>
      </c>
      <c r="K50" s="62">
        <v>138.80000000000001</v>
      </c>
      <c r="L50" s="62">
        <v>137</v>
      </c>
      <c r="M50" s="62">
        <v>137.19999999999999</v>
      </c>
      <c r="N50" s="62">
        <v>136.9</v>
      </c>
    </row>
    <row r="51" spans="1:14">
      <c r="A51" s="52" t="s">
        <v>549</v>
      </c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ht="10.15" customHeight="1">
      <c r="A52" s="52" t="s">
        <v>689</v>
      </c>
      <c r="B52"/>
      <c r="C52"/>
      <c r="D52"/>
      <c r="E52"/>
      <c r="F52"/>
      <c r="G52"/>
      <c r="H52"/>
      <c r="I52"/>
      <c r="J52"/>
      <c r="L52"/>
      <c r="M52" s="55"/>
      <c r="N52" s="55"/>
    </row>
    <row r="53" spans="1:14">
      <c r="A53" s="52" t="s">
        <v>586</v>
      </c>
      <c r="B53"/>
      <c r="C53"/>
      <c r="D53"/>
      <c r="E53"/>
      <c r="F53"/>
      <c r="G53"/>
      <c r="H53"/>
      <c r="I53"/>
      <c r="J53"/>
      <c r="K53"/>
      <c r="M53"/>
    </row>
    <row r="54" spans="1:14">
      <c r="N54" s="225" t="s">
        <v>592</v>
      </c>
    </row>
  </sheetData>
  <pageMargins left="0.75" right="0.75" top="1" bottom="1" header="0.5" footer="0.5"/>
  <pageSetup scale="83" firstPageNumber="35" fitToWidth="0" orientation="landscape" useFirstPageNumber="1" r:id="rId1"/>
  <headerFooter alignWithMargins="0">
    <oddHeader xml:space="preserve">&amp;C
</oddHeader>
    <oddFooter>&amp;COil Crops Yearbook/OCS-2023
March 2023
Economic Research Service
&amp;P</oddFooter>
  </headerFooter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26F7-7603-48AB-A5F8-B262B4EE3A76}">
  <sheetPr>
    <pageSetUpPr fitToPage="1"/>
  </sheetPr>
  <dimension ref="A1:AO54"/>
  <sheetViews>
    <sheetView zoomScaleNormal="100" zoomScaleSheetLayoutView="100" workbookViewId="0">
      <pane ySplit="3" topLeftCell="A4" activePane="bottomLeft" state="frozen"/>
      <selection activeCell="N55" sqref="A1:N55"/>
      <selection pane="bottomLeft"/>
    </sheetView>
  </sheetViews>
  <sheetFormatPr defaultColWidth="9.33203125" defaultRowHeight="11.25"/>
  <cols>
    <col min="1" max="1" width="52.5" style="69" customWidth="1"/>
    <col min="2" max="2" width="19.5" style="69" bestFit="1" customWidth="1"/>
    <col min="3" max="14" width="9.6640625" style="69" customWidth="1"/>
    <col min="15" max="40" width="9.33203125" style="69"/>
    <col min="41" max="41" width="9.33203125" style="384"/>
    <col min="42" max="16384" width="9.33203125" style="69"/>
  </cols>
  <sheetData>
    <row r="1" spans="1:41">
      <c r="A1" s="223" t="s">
        <v>650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41">
      <c r="A2"/>
      <c r="B2"/>
      <c r="C2" s="92"/>
      <c r="D2" s="92"/>
      <c r="E2" s="92"/>
      <c r="F2" s="92"/>
      <c r="G2" s="92"/>
      <c r="H2" s="175">
        <v>2020</v>
      </c>
      <c r="I2" s="92"/>
      <c r="J2" s="92"/>
      <c r="K2" s="92"/>
      <c r="L2" s="92"/>
      <c r="M2" s="92"/>
      <c r="N2" s="4"/>
      <c r="P2" s="92"/>
      <c r="Q2" s="92"/>
      <c r="R2" s="92"/>
      <c r="S2" s="92"/>
      <c r="T2" s="92"/>
      <c r="U2" s="175"/>
      <c r="V2" s="92"/>
      <c r="W2" s="92"/>
      <c r="X2" s="92"/>
      <c r="Y2" s="92"/>
      <c r="Z2" s="92"/>
      <c r="AA2" s="4"/>
      <c r="AC2" s="92"/>
      <c r="AD2" s="92"/>
      <c r="AE2" s="92"/>
      <c r="AF2" s="92"/>
      <c r="AG2" s="92"/>
      <c r="AH2" s="175"/>
      <c r="AI2" s="92"/>
      <c r="AJ2" s="92"/>
      <c r="AK2" s="92"/>
      <c r="AL2" s="92"/>
      <c r="AM2" s="92"/>
      <c r="AN2" s="4"/>
    </row>
    <row r="3" spans="1:41">
      <c r="A3" s="1" t="s">
        <v>425</v>
      </c>
      <c r="B3" s="88" t="s">
        <v>198</v>
      </c>
      <c r="C3" s="92" t="s">
        <v>105</v>
      </c>
      <c r="D3" s="92" t="s">
        <v>106</v>
      </c>
      <c r="E3" s="92" t="s">
        <v>107</v>
      </c>
      <c r="F3" s="92" t="s">
        <v>108</v>
      </c>
      <c r="G3" s="92" t="s">
        <v>100</v>
      </c>
      <c r="H3" s="92" t="s">
        <v>715</v>
      </c>
      <c r="I3" s="92" t="s">
        <v>716</v>
      </c>
      <c r="J3" s="92" t="s">
        <v>109</v>
      </c>
      <c r="K3" s="92" t="s">
        <v>110</v>
      </c>
      <c r="L3" s="92" t="s">
        <v>102</v>
      </c>
      <c r="M3" s="92" t="s">
        <v>103</v>
      </c>
      <c r="N3" s="92" t="s">
        <v>104</v>
      </c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</row>
    <row r="4" spans="1:41">
      <c r="A4" s="173" t="s">
        <v>194</v>
      </c>
      <c r="B4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1:41">
      <c r="A5" s="173" t="s">
        <v>713</v>
      </c>
      <c r="B5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1">
      <c r="A6" t="s">
        <v>48</v>
      </c>
      <c r="B6" t="s">
        <v>371</v>
      </c>
      <c r="C6" s="195">
        <v>16.100000000000001</v>
      </c>
      <c r="D6" s="195">
        <v>16.100000000000001</v>
      </c>
      <c r="E6" s="195">
        <v>15.7</v>
      </c>
      <c r="F6" s="195">
        <v>15.2</v>
      </c>
      <c r="G6" s="195">
        <v>14.4</v>
      </c>
      <c r="H6" s="195">
        <v>15.2</v>
      </c>
      <c r="I6" s="195">
        <v>15.6</v>
      </c>
      <c r="J6" s="195">
        <v>15.1</v>
      </c>
      <c r="K6" s="195">
        <v>16.399999999999999</v>
      </c>
      <c r="L6" s="195">
        <v>16.3</v>
      </c>
      <c r="M6" s="195">
        <v>18.100000000000001</v>
      </c>
      <c r="N6" s="195">
        <v>17.2</v>
      </c>
      <c r="P6"/>
      <c r="Q6"/>
      <c r="R6"/>
      <c r="S6"/>
      <c r="T6"/>
      <c r="U6"/>
      <c r="V6"/>
      <c r="W6"/>
      <c r="X6"/>
      <c r="Y6"/>
      <c r="Z6"/>
      <c r="AA6"/>
      <c r="AB6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385"/>
    </row>
    <row r="7" spans="1:41">
      <c r="A7" t="s">
        <v>47</v>
      </c>
      <c r="B7" t="s">
        <v>355</v>
      </c>
      <c r="C7" s="195">
        <v>161</v>
      </c>
      <c r="D7" s="195">
        <v>190</v>
      </c>
      <c r="E7" s="147" t="s">
        <v>229</v>
      </c>
      <c r="F7" s="147" t="s">
        <v>229</v>
      </c>
      <c r="G7" s="147" t="s">
        <v>229</v>
      </c>
      <c r="H7" s="147" t="s">
        <v>229</v>
      </c>
      <c r="I7" s="147" t="s">
        <v>229</v>
      </c>
      <c r="J7" s="195">
        <v>155</v>
      </c>
      <c r="K7" s="195">
        <v>164</v>
      </c>
      <c r="L7" s="195">
        <v>189</v>
      </c>
      <c r="M7" s="195">
        <v>199</v>
      </c>
      <c r="N7" s="195">
        <v>195</v>
      </c>
      <c r="P7"/>
      <c r="Q7"/>
      <c r="R7"/>
      <c r="S7"/>
      <c r="T7"/>
      <c r="U7"/>
      <c r="V7"/>
      <c r="W7"/>
      <c r="X7"/>
      <c r="Y7"/>
      <c r="Z7"/>
      <c r="AA7"/>
      <c r="AB7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386"/>
    </row>
    <row r="8" spans="1:41">
      <c r="A8" t="s">
        <v>426</v>
      </c>
      <c r="B8" t="s">
        <v>354</v>
      </c>
      <c r="C8" s="195">
        <v>8.9700000000000006</v>
      </c>
      <c r="D8" s="195">
        <v>10.4</v>
      </c>
      <c r="E8" s="195">
        <v>10.7</v>
      </c>
      <c r="F8" s="195">
        <v>9.31</v>
      </c>
      <c r="G8" s="195">
        <v>9.57</v>
      </c>
      <c r="H8" s="195">
        <v>10</v>
      </c>
      <c r="I8" s="195">
        <v>9.64</v>
      </c>
      <c r="J8" s="195">
        <v>8.56</v>
      </c>
      <c r="K8" s="195">
        <v>9.64</v>
      </c>
      <c r="L8" s="195">
        <v>9.76</v>
      </c>
      <c r="M8" s="195">
        <v>10.7</v>
      </c>
      <c r="N8" s="195">
        <v>10.9</v>
      </c>
      <c r="P8"/>
      <c r="Q8"/>
      <c r="R8"/>
      <c r="S8"/>
      <c r="T8"/>
      <c r="U8"/>
      <c r="V8"/>
      <c r="W8"/>
      <c r="X8"/>
      <c r="Y8"/>
      <c r="Z8"/>
      <c r="AA8"/>
      <c r="AB8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386"/>
    </row>
    <row r="9" spans="1:41">
      <c r="A9" t="s">
        <v>205</v>
      </c>
      <c r="B9" t="s">
        <v>248</v>
      </c>
      <c r="C9" s="195">
        <v>20.9</v>
      </c>
      <c r="D9" s="195">
        <v>20.5</v>
      </c>
      <c r="E9" s="195">
        <v>20.6</v>
      </c>
      <c r="F9" s="195">
        <v>20.6</v>
      </c>
      <c r="G9" s="296">
        <v>21.1</v>
      </c>
      <c r="H9" s="195">
        <v>20.7</v>
      </c>
      <c r="I9" s="195">
        <v>20.7</v>
      </c>
      <c r="J9" s="195">
        <v>20.6</v>
      </c>
      <c r="K9" s="195">
        <v>20.5</v>
      </c>
      <c r="L9" s="195">
        <v>20.9</v>
      </c>
      <c r="M9" s="195">
        <v>21.2</v>
      </c>
      <c r="N9" s="195">
        <v>20.399999999999999</v>
      </c>
      <c r="P9"/>
      <c r="Q9"/>
      <c r="R9"/>
      <c r="S9"/>
      <c r="T9"/>
      <c r="U9"/>
      <c r="V9"/>
      <c r="W9"/>
      <c r="X9"/>
      <c r="Y9"/>
      <c r="Z9"/>
      <c r="AA9"/>
      <c r="AB9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386"/>
    </row>
    <row r="10" spans="1:41">
      <c r="A10" t="s">
        <v>204</v>
      </c>
      <c r="B10" t="s">
        <v>354</v>
      </c>
      <c r="C10" s="195">
        <v>8.84</v>
      </c>
      <c r="D10" s="195">
        <v>8.6</v>
      </c>
      <c r="E10" s="195">
        <v>8.4700000000000006</v>
      </c>
      <c r="F10" s="195">
        <v>8.35</v>
      </c>
      <c r="G10" s="195">
        <v>8.2799999999999994</v>
      </c>
      <c r="H10" s="195">
        <v>8.34</v>
      </c>
      <c r="I10" s="195">
        <v>8.5</v>
      </c>
      <c r="J10" s="195">
        <v>8.66</v>
      </c>
      <c r="K10" s="195">
        <v>9.24</v>
      </c>
      <c r="L10" s="195">
        <v>9.6300000000000008</v>
      </c>
      <c r="M10" s="195">
        <v>10.3</v>
      </c>
      <c r="N10" s="195">
        <v>10.6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386"/>
    </row>
    <row r="11" spans="1:41">
      <c r="A11" t="s">
        <v>427</v>
      </c>
      <c r="B11" t="s">
        <v>371</v>
      </c>
      <c r="C11" s="195">
        <v>19.5</v>
      </c>
      <c r="D11" s="195">
        <v>20.399999999999999</v>
      </c>
      <c r="E11" s="195">
        <v>20.9</v>
      </c>
      <c r="F11" s="195">
        <v>20.3</v>
      </c>
      <c r="G11" s="195">
        <v>20.5</v>
      </c>
      <c r="H11" s="195">
        <v>21.7</v>
      </c>
      <c r="I11" s="195">
        <v>23.7</v>
      </c>
      <c r="J11" s="195">
        <v>25.8</v>
      </c>
      <c r="K11" s="195">
        <v>23.7</v>
      </c>
      <c r="L11" s="195">
        <v>19.100000000000001</v>
      </c>
      <c r="M11" s="195">
        <v>18.899999999999999</v>
      </c>
      <c r="N11" s="195">
        <v>19.2</v>
      </c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386"/>
    </row>
    <row r="12" spans="1:41">
      <c r="A12" t="s">
        <v>548</v>
      </c>
      <c r="B12" t="s">
        <v>371</v>
      </c>
      <c r="C12" s="366">
        <v>19.5</v>
      </c>
      <c r="D12" s="366">
        <v>20.100000000000001</v>
      </c>
      <c r="E12" s="366">
        <v>20.399999999999999</v>
      </c>
      <c r="F12" s="366">
        <v>19.899999999999999</v>
      </c>
      <c r="G12" s="366">
        <v>19.8</v>
      </c>
      <c r="H12" s="366">
        <v>21.4</v>
      </c>
      <c r="I12" s="366">
        <v>23.6</v>
      </c>
      <c r="J12" s="366">
        <v>25.8</v>
      </c>
      <c r="K12" s="366">
        <v>23.8</v>
      </c>
      <c r="L12" s="366">
        <v>18.100000000000001</v>
      </c>
      <c r="M12" s="366">
        <v>17.8</v>
      </c>
      <c r="N12" s="366">
        <v>18.2</v>
      </c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386"/>
    </row>
    <row r="13" spans="1:41">
      <c r="A13" t="s">
        <v>428</v>
      </c>
      <c r="B13" t="s">
        <v>371</v>
      </c>
      <c r="C13" s="366">
        <v>19.7</v>
      </c>
      <c r="D13" s="366">
        <v>21.8</v>
      </c>
      <c r="E13" s="366">
        <v>24.8</v>
      </c>
      <c r="F13" s="366">
        <v>22.4</v>
      </c>
      <c r="G13" s="366">
        <v>23</v>
      </c>
      <c r="H13" s="366">
        <v>24.6</v>
      </c>
      <c r="I13" s="366">
        <v>24</v>
      </c>
      <c r="J13" s="366">
        <v>25.6</v>
      </c>
      <c r="K13" s="366">
        <v>23.2</v>
      </c>
      <c r="L13" s="366">
        <v>25.3</v>
      </c>
      <c r="M13" s="366">
        <v>26.3</v>
      </c>
      <c r="N13" s="366">
        <v>26.2</v>
      </c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386"/>
    </row>
    <row r="14" spans="1:41">
      <c r="A14" s="173" t="s">
        <v>429</v>
      </c>
      <c r="B14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</row>
    <row r="15" spans="1:41">
      <c r="A15" t="s">
        <v>430</v>
      </c>
      <c r="B15" t="s">
        <v>371</v>
      </c>
      <c r="C15" s="366">
        <v>15.57</v>
      </c>
      <c r="D15" s="195">
        <v>14.66</v>
      </c>
      <c r="E15" s="195">
        <v>14.18</v>
      </c>
      <c r="F15" s="195">
        <v>14.32</v>
      </c>
      <c r="G15" s="195">
        <v>14.72</v>
      </c>
      <c r="H15" s="195">
        <v>15.04</v>
      </c>
      <c r="I15" s="106">
        <v>15.22</v>
      </c>
      <c r="J15" s="195">
        <v>15.23</v>
      </c>
      <c r="K15" s="195">
        <v>16.170000000000002</v>
      </c>
      <c r="L15" s="195">
        <v>17.5</v>
      </c>
      <c r="M15" s="195">
        <v>18.690000000000001</v>
      </c>
      <c r="N15" s="195">
        <v>19.7</v>
      </c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386"/>
    </row>
    <row r="16" spans="1:41">
      <c r="A16" t="s">
        <v>431</v>
      </c>
      <c r="B16" t="s">
        <v>355</v>
      </c>
      <c r="C16" s="195">
        <v>210</v>
      </c>
      <c r="D16" s="195">
        <v>215</v>
      </c>
      <c r="E16" s="195">
        <v>215</v>
      </c>
      <c r="F16" s="195">
        <v>215</v>
      </c>
      <c r="G16" s="106">
        <v>197.5</v>
      </c>
      <c r="H16" s="195">
        <v>208.75</v>
      </c>
      <c r="I16" s="195">
        <v>214.75</v>
      </c>
      <c r="J16" s="195">
        <v>208.33</v>
      </c>
      <c r="K16" s="195">
        <v>210</v>
      </c>
      <c r="L16" s="195">
        <v>225</v>
      </c>
      <c r="M16" s="147">
        <v>256.25</v>
      </c>
      <c r="N16" s="195">
        <v>260</v>
      </c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386"/>
    </row>
    <row r="17" spans="1:41">
      <c r="A17" t="s">
        <v>432</v>
      </c>
      <c r="B17" t="s">
        <v>354</v>
      </c>
      <c r="C17" s="195">
        <v>9.65</v>
      </c>
      <c r="D17" s="195">
        <v>9.73</v>
      </c>
      <c r="E17" s="195">
        <v>10.4</v>
      </c>
      <c r="F17" s="195">
        <v>10.56</v>
      </c>
      <c r="G17" s="195">
        <v>11.22</v>
      </c>
      <c r="H17" s="195">
        <v>11.4</v>
      </c>
      <c r="I17" s="195">
        <v>11.25</v>
      </c>
      <c r="J17" s="195">
        <v>11.25</v>
      </c>
      <c r="K17" s="195">
        <v>11.29</v>
      </c>
      <c r="L17" s="195">
        <v>11.83</v>
      </c>
      <c r="M17" s="195">
        <v>12.63</v>
      </c>
      <c r="N17" s="195">
        <v>14.9</v>
      </c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386"/>
    </row>
    <row r="18" spans="1:41">
      <c r="A18" t="s">
        <v>433</v>
      </c>
      <c r="B18" t="s">
        <v>354</v>
      </c>
      <c r="C18" s="195">
        <v>9.0299999999999994</v>
      </c>
      <c r="D18" s="195">
        <v>8.73</v>
      </c>
      <c r="E18" s="195">
        <v>8.59</v>
      </c>
      <c r="F18" s="106">
        <v>8.35</v>
      </c>
      <c r="G18" s="195">
        <v>8.2899999999999991</v>
      </c>
      <c r="H18" s="195">
        <v>8.5299999999999994</v>
      </c>
      <c r="I18" s="296">
        <v>8.76</v>
      </c>
      <c r="J18" s="296">
        <v>8.8800000000000008</v>
      </c>
      <c r="K18" s="296">
        <v>9.7100000000000009</v>
      </c>
      <c r="L18" s="296">
        <v>10.36</v>
      </c>
      <c r="M18" s="296">
        <v>11.24</v>
      </c>
      <c r="N18" s="296">
        <v>11.95</v>
      </c>
      <c r="AC18" s="40"/>
      <c r="AD18" s="40"/>
      <c r="AE18" s="40"/>
      <c r="AF18" s="40"/>
      <c r="AG18" s="40"/>
      <c r="AH18" s="40"/>
      <c r="AI18" s="375"/>
      <c r="AJ18" s="375"/>
      <c r="AK18" s="375"/>
      <c r="AL18" s="375"/>
      <c r="AM18" s="375"/>
      <c r="AN18" s="375"/>
      <c r="AO18" s="386"/>
    </row>
    <row r="19" spans="1:41">
      <c r="A19" t="s">
        <v>434</v>
      </c>
      <c r="B19" t="s">
        <v>354</v>
      </c>
      <c r="C19" s="195">
        <v>9.74</v>
      </c>
      <c r="D19" s="195">
        <v>9.4</v>
      </c>
      <c r="E19" s="106">
        <v>9.24</v>
      </c>
      <c r="F19" s="195">
        <v>8.98</v>
      </c>
      <c r="G19" s="195">
        <v>8.9600000000000009</v>
      </c>
      <c r="H19" s="195">
        <v>9.26</v>
      </c>
      <c r="I19" s="195">
        <v>9.6</v>
      </c>
      <c r="J19" s="195">
        <v>10.02</v>
      </c>
      <c r="K19" s="195">
        <v>10.68</v>
      </c>
      <c r="L19" s="195">
        <v>11.36</v>
      </c>
      <c r="M19" s="195">
        <v>12.12</v>
      </c>
      <c r="N19" s="195">
        <v>12.76</v>
      </c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386"/>
    </row>
    <row r="20" spans="1:41">
      <c r="A20" t="s">
        <v>435</v>
      </c>
      <c r="B20" t="s">
        <v>371</v>
      </c>
      <c r="C20" s="195">
        <v>19.739999999999998</v>
      </c>
      <c r="D20" s="195">
        <v>19.760000000000002</v>
      </c>
      <c r="E20" s="106">
        <v>20.29</v>
      </c>
      <c r="F20" s="195">
        <v>19.97</v>
      </c>
      <c r="G20" s="195">
        <v>19.28</v>
      </c>
      <c r="H20" s="195">
        <v>19.37</v>
      </c>
      <c r="I20" s="195">
        <v>19.600000000000001</v>
      </c>
      <c r="J20" s="195">
        <v>16.760000000000002</v>
      </c>
      <c r="K20" s="195">
        <v>16.7</v>
      </c>
      <c r="L20" s="195">
        <v>17.34</v>
      </c>
      <c r="M20" s="195">
        <v>18.28</v>
      </c>
      <c r="N20" s="195">
        <v>18.809999999999999</v>
      </c>
      <c r="W20" s="195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386"/>
    </row>
    <row r="21" spans="1:41">
      <c r="A21" s="173" t="s">
        <v>195</v>
      </c>
      <c r="B21"/>
      <c r="C21" s="226"/>
      <c r="D21" s="226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</row>
    <row r="22" spans="1:41">
      <c r="A22" s="173" t="s">
        <v>436</v>
      </c>
      <c r="B22"/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</row>
    <row r="23" spans="1:41">
      <c r="A23" t="s">
        <v>437</v>
      </c>
      <c r="B23" t="s">
        <v>248</v>
      </c>
      <c r="C23" s="195">
        <v>37.9</v>
      </c>
      <c r="D23" s="195">
        <v>35.5</v>
      </c>
      <c r="E23" s="195">
        <v>32.875</v>
      </c>
      <c r="F23" s="195">
        <v>32.375</v>
      </c>
      <c r="G23" s="195">
        <v>32.4</v>
      </c>
      <c r="H23" s="195">
        <v>36.625</v>
      </c>
      <c r="I23" s="195">
        <v>40.5</v>
      </c>
      <c r="J23" s="195">
        <v>47.8125</v>
      </c>
      <c r="K23" s="195">
        <v>47.9375</v>
      </c>
      <c r="L23" s="195">
        <v>44.35</v>
      </c>
      <c r="M23" s="195">
        <v>49.5</v>
      </c>
      <c r="N23" s="195">
        <v>51.65</v>
      </c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386"/>
    </row>
    <row r="24" spans="1:41">
      <c r="A24" t="s">
        <v>488</v>
      </c>
      <c r="B24" t="s">
        <v>248</v>
      </c>
      <c r="C24" s="195">
        <v>48</v>
      </c>
      <c r="D24" s="195">
        <v>45.5</v>
      </c>
      <c r="E24" s="195">
        <v>40.5</v>
      </c>
      <c r="F24" s="195">
        <v>41</v>
      </c>
      <c r="G24" s="195">
        <v>40.200000000000003</v>
      </c>
      <c r="H24" s="195">
        <v>40</v>
      </c>
      <c r="I24" s="195">
        <v>43</v>
      </c>
      <c r="J24" s="195">
        <v>45.25</v>
      </c>
      <c r="K24" s="195">
        <v>49</v>
      </c>
      <c r="L24" s="195">
        <v>51.2</v>
      </c>
      <c r="M24" s="195">
        <v>56</v>
      </c>
      <c r="N24" s="366">
        <v>71.2</v>
      </c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386"/>
    </row>
    <row r="25" spans="1:41">
      <c r="A25" t="s">
        <v>438</v>
      </c>
      <c r="B25" t="s">
        <v>248</v>
      </c>
      <c r="C25" s="296">
        <v>33.299999999999997</v>
      </c>
      <c r="D25" s="296">
        <v>36</v>
      </c>
      <c r="E25" s="296">
        <v>36.94</v>
      </c>
      <c r="F25" s="296">
        <v>44.875</v>
      </c>
      <c r="G25" s="296">
        <v>47.64</v>
      </c>
      <c r="H25" s="296">
        <v>51.335000000000001</v>
      </c>
      <c r="I25" s="296">
        <v>45.45</v>
      </c>
      <c r="J25" s="296">
        <v>45.314999999999998</v>
      </c>
      <c r="K25" s="296">
        <v>43.37</v>
      </c>
      <c r="L25" s="253">
        <v>43.150000000000006</v>
      </c>
      <c r="M25" s="253">
        <v>42.655000000000001</v>
      </c>
      <c r="N25" s="253">
        <v>41.95</v>
      </c>
      <c r="P25" s="358"/>
    </row>
    <row r="26" spans="1:41">
      <c r="A26" t="s">
        <v>489</v>
      </c>
      <c r="B26" t="s">
        <v>248</v>
      </c>
      <c r="C26" s="195">
        <v>25.54</v>
      </c>
      <c r="D26" s="195">
        <v>27.7</v>
      </c>
      <c r="E26" s="195">
        <v>28.28</v>
      </c>
      <c r="F26" s="195">
        <v>30.66</v>
      </c>
      <c r="G26" s="195">
        <v>28.3</v>
      </c>
      <c r="H26" s="195">
        <v>24.98</v>
      </c>
      <c r="I26" s="195">
        <v>23.41</v>
      </c>
      <c r="J26" s="195">
        <v>24.92</v>
      </c>
      <c r="K26" s="195">
        <v>28.38</v>
      </c>
      <c r="L26" s="195">
        <v>30.35</v>
      </c>
      <c r="M26" s="195">
        <v>32.89</v>
      </c>
      <c r="N26" s="195">
        <v>36.01</v>
      </c>
    </row>
    <row r="27" spans="1:41">
      <c r="A27" t="s">
        <v>439</v>
      </c>
      <c r="B27" t="s">
        <v>248</v>
      </c>
      <c r="C27" s="195">
        <v>40.1</v>
      </c>
      <c r="D27" s="195">
        <v>38.5</v>
      </c>
      <c r="E27" s="195">
        <v>36.1875</v>
      </c>
      <c r="F27" s="195">
        <v>37.3125</v>
      </c>
      <c r="G27" s="195">
        <v>37.200000000000003</v>
      </c>
      <c r="H27" s="195">
        <v>36.75</v>
      </c>
      <c r="I27" s="195">
        <v>43</v>
      </c>
      <c r="J27" s="195">
        <v>46.8125</v>
      </c>
      <c r="K27" s="195">
        <v>49.6875</v>
      </c>
      <c r="L27" s="195">
        <v>48.35</v>
      </c>
      <c r="M27" s="195">
        <v>54.4375</v>
      </c>
      <c r="N27" s="195">
        <v>59.2</v>
      </c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386"/>
    </row>
    <row r="28" spans="1:41">
      <c r="A28" t="s">
        <v>440</v>
      </c>
      <c r="B28" t="s">
        <v>248</v>
      </c>
      <c r="C28" s="147" t="s">
        <v>229</v>
      </c>
      <c r="D28" s="147" t="s">
        <v>229</v>
      </c>
      <c r="E28" s="147" t="s">
        <v>229</v>
      </c>
      <c r="F28" s="195">
        <v>32</v>
      </c>
      <c r="G28" s="195">
        <v>35.5</v>
      </c>
      <c r="H28" s="195">
        <v>37</v>
      </c>
      <c r="I28" s="147" t="s">
        <v>229</v>
      </c>
      <c r="J28" s="147">
        <v>39</v>
      </c>
      <c r="K28" s="147" t="s">
        <v>229</v>
      </c>
      <c r="L28" s="147" t="s">
        <v>229</v>
      </c>
      <c r="M28" s="195">
        <v>41</v>
      </c>
      <c r="N28" s="195" t="s">
        <v>229</v>
      </c>
      <c r="AC28" s="387"/>
      <c r="AD28" s="387"/>
      <c r="AE28" s="387"/>
      <c r="AF28" s="40"/>
      <c r="AG28" s="40"/>
      <c r="AH28" s="40"/>
      <c r="AI28" s="387"/>
      <c r="AJ28" s="40"/>
      <c r="AK28" s="387"/>
      <c r="AL28" s="387"/>
      <c r="AM28" s="40"/>
      <c r="AN28" s="387"/>
      <c r="AO28" s="386"/>
    </row>
    <row r="29" spans="1:41">
      <c r="A29" t="s">
        <v>490</v>
      </c>
      <c r="B29" t="s">
        <v>248</v>
      </c>
      <c r="C29" s="195">
        <v>39.4</v>
      </c>
      <c r="D29" s="195">
        <v>35.31</v>
      </c>
      <c r="E29" s="195">
        <v>31.38</v>
      </c>
      <c r="F29" s="195">
        <v>30.81</v>
      </c>
      <c r="G29" s="195">
        <v>29.2</v>
      </c>
      <c r="H29" s="195">
        <v>32.380000000000003</v>
      </c>
      <c r="I29" s="195">
        <v>34</v>
      </c>
      <c r="J29" s="195">
        <v>37</v>
      </c>
      <c r="K29" s="195">
        <v>38.56</v>
      </c>
      <c r="L29" s="195">
        <v>39.35</v>
      </c>
      <c r="M29" s="195">
        <v>44.44</v>
      </c>
      <c r="N29" s="195">
        <v>47.45</v>
      </c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386"/>
    </row>
    <row r="30" spans="1:41">
      <c r="A30" t="s">
        <v>491</v>
      </c>
      <c r="B30" t="s">
        <v>248</v>
      </c>
      <c r="C30" s="195">
        <v>67.900000000000006</v>
      </c>
      <c r="D30" s="195">
        <v>64.88</v>
      </c>
      <c r="E30" s="195">
        <v>60.38</v>
      </c>
      <c r="F30" s="195">
        <v>60.75</v>
      </c>
      <c r="G30" s="195">
        <v>59</v>
      </c>
      <c r="H30" s="195">
        <v>61.88</v>
      </c>
      <c r="I30" s="195">
        <v>64.099999999999994</v>
      </c>
      <c r="J30" s="195">
        <v>67</v>
      </c>
      <c r="K30" s="195">
        <v>68.5</v>
      </c>
      <c r="L30" s="195">
        <v>69.3</v>
      </c>
      <c r="M30" s="195">
        <v>74.81</v>
      </c>
      <c r="N30" s="195">
        <v>77.400000000000006</v>
      </c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386"/>
    </row>
    <row r="31" spans="1:41">
      <c r="A31" t="s">
        <v>492</v>
      </c>
      <c r="B31" t="s">
        <v>248</v>
      </c>
      <c r="C31" s="195">
        <v>59</v>
      </c>
      <c r="D31" s="195">
        <v>59</v>
      </c>
      <c r="E31" s="195">
        <v>59.75</v>
      </c>
      <c r="F31" s="195">
        <v>59.5</v>
      </c>
      <c r="G31" s="195">
        <v>62.1</v>
      </c>
      <c r="H31" s="195">
        <v>84.75</v>
      </c>
      <c r="I31" s="195">
        <v>85</v>
      </c>
      <c r="J31" s="195">
        <v>90</v>
      </c>
      <c r="K31" s="195">
        <v>90</v>
      </c>
      <c r="L31" s="195">
        <v>93</v>
      </c>
      <c r="M31" s="195">
        <v>98.75</v>
      </c>
      <c r="N31" s="195">
        <v>100</v>
      </c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386"/>
    </row>
    <row r="32" spans="1:41">
      <c r="A32" t="s">
        <v>493</v>
      </c>
      <c r="B32" t="s">
        <v>248</v>
      </c>
      <c r="C32" s="195">
        <v>33.04</v>
      </c>
      <c r="D32" s="195">
        <v>30.26</v>
      </c>
      <c r="E32" s="195">
        <v>27.04</v>
      </c>
      <c r="F32" s="195">
        <v>25.69</v>
      </c>
      <c r="G32" s="195">
        <v>25.27</v>
      </c>
      <c r="H32" s="195">
        <v>26.61</v>
      </c>
      <c r="I32" s="195">
        <v>28.71</v>
      </c>
      <c r="J32" s="195">
        <v>32.130000000000003</v>
      </c>
      <c r="K32" s="195">
        <v>34.200000000000003</v>
      </c>
      <c r="L32" s="195">
        <v>33.909999999999997</v>
      </c>
      <c r="M32" s="195">
        <v>37.79</v>
      </c>
      <c r="N32" s="195">
        <v>40.85</v>
      </c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386"/>
    </row>
    <row r="33" spans="1:41">
      <c r="A33" t="s">
        <v>441</v>
      </c>
      <c r="B33" t="s">
        <v>248</v>
      </c>
      <c r="C33" s="195">
        <v>70</v>
      </c>
      <c r="D33" s="195">
        <v>70</v>
      </c>
      <c r="E33" s="195">
        <v>76</v>
      </c>
      <c r="F33" s="195">
        <v>76</v>
      </c>
      <c r="G33" s="195">
        <v>74</v>
      </c>
      <c r="H33" s="195">
        <v>56</v>
      </c>
      <c r="I33" s="195">
        <v>56.4</v>
      </c>
      <c r="J33" s="195">
        <v>57</v>
      </c>
      <c r="K33" s="195">
        <v>57</v>
      </c>
      <c r="L33" s="195">
        <v>57</v>
      </c>
      <c r="M33" s="195" t="s">
        <v>229</v>
      </c>
      <c r="N33" s="195" t="s">
        <v>229</v>
      </c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386"/>
    </row>
    <row r="34" spans="1:41">
      <c r="A34" t="s">
        <v>442</v>
      </c>
      <c r="B34" t="s">
        <v>248</v>
      </c>
      <c r="C34" s="195">
        <v>36.392499999999998</v>
      </c>
      <c r="D34" s="195">
        <v>38.53</v>
      </c>
      <c r="E34" s="195">
        <v>35.5</v>
      </c>
      <c r="F34" s="195">
        <v>37.596666666666664</v>
      </c>
      <c r="G34" s="195">
        <v>43.980000000000004</v>
      </c>
      <c r="H34" s="195">
        <v>43.057500000000005</v>
      </c>
      <c r="I34" s="195">
        <v>39.333333333333336</v>
      </c>
      <c r="J34" s="195">
        <v>38.75</v>
      </c>
      <c r="K34" s="195">
        <v>37</v>
      </c>
      <c r="L34" s="195">
        <v>34.5</v>
      </c>
      <c r="M34" s="195">
        <v>34</v>
      </c>
      <c r="N34" s="195">
        <v>36.25</v>
      </c>
      <c r="O34" s="7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386"/>
    </row>
    <row r="35" spans="1:41">
      <c r="A35" s="52" t="s">
        <v>443</v>
      </c>
      <c r="B35" t="s">
        <v>248</v>
      </c>
      <c r="C35" s="195">
        <v>20.5</v>
      </c>
      <c r="D35" s="195">
        <v>22.5</v>
      </c>
      <c r="E35" s="195">
        <v>21.25</v>
      </c>
      <c r="F35" s="195">
        <v>20.25</v>
      </c>
      <c r="G35" s="195">
        <v>19.25</v>
      </c>
      <c r="H35" s="195">
        <v>16.899999999999999</v>
      </c>
      <c r="I35" s="195">
        <v>15.5</v>
      </c>
      <c r="J35" s="195">
        <v>16.5</v>
      </c>
      <c r="K35" s="195">
        <v>20.100000000000001</v>
      </c>
      <c r="L35" s="195">
        <v>22.75</v>
      </c>
      <c r="M35" s="195">
        <v>22.5</v>
      </c>
      <c r="N35" s="195">
        <v>24.5</v>
      </c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386"/>
    </row>
    <row r="36" spans="1:41">
      <c r="A36" s="52" t="s">
        <v>235</v>
      </c>
      <c r="B36" s="52" t="s">
        <v>372</v>
      </c>
      <c r="C36" s="195">
        <v>3.16</v>
      </c>
      <c r="D36" s="195">
        <v>3.1</v>
      </c>
      <c r="E36" s="195">
        <v>3.01</v>
      </c>
      <c r="F36" s="195">
        <v>2.74</v>
      </c>
      <c r="G36" s="195">
        <v>2.57</v>
      </c>
      <c r="H36" s="195">
        <v>2.71</v>
      </c>
      <c r="I36" s="195">
        <v>2.83</v>
      </c>
      <c r="J36" s="382">
        <v>3.0550000000000002</v>
      </c>
      <c r="K36" s="296">
        <v>3.13</v>
      </c>
      <c r="L36" s="296">
        <v>2.98</v>
      </c>
      <c r="M36" s="296">
        <v>3.25</v>
      </c>
      <c r="N36" s="296">
        <v>3.3920000000000003</v>
      </c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386"/>
    </row>
    <row r="37" spans="1:41">
      <c r="A37" s="173" t="s">
        <v>196</v>
      </c>
      <c r="B37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</row>
    <row r="38" spans="1:41">
      <c r="A38" t="s">
        <v>494</v>
      </c>
      <c r="B38" t="s">
        <v>355</v>
      </c>
      <c r="C38" s="147" t="s">
        <v>229</v>
      </c>
      <c r="D38" s="195">
        <v>253.67</v>
      </c>
      <c r="E38" s="195">
        <v>274.75</v>
      </c>
      <c r="F38" s="195">
        <v>274.52999999999997</v>
      </c>
      <c r="G38" s="195">
        <v>276.25</v>
      </c>
      <c r="H38" s="195">
        <v>270.02999999999997</v>
      </c>
      <c r="I38" s="195">
        <v>271.11</v>
      </c>
      <c r="J38" s="195">
        <v>281.08999999999997</v>
      </c>
      <c r="K38" s="195">
        <v>296.60000000000002</v>
      </c>
      <c r="L38" s="195">
        <v>327.24</v>
      </c>
      <c r="M38" s="296">
        <v>333.89</v>
      </c>
      <c r="N38" s="296">
        <v>338.55</v>
      </c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386"/>
    </row>
    <row r="39" spans="1:41">
      <c r="A39" t="s">
        <v>495</v>
      </c>
      <c r="B39" t="s">
        <v>355</v>
      </c>
      <c r="C39" s="195">
        <v>239.38</v>
      </c>
      <c r="D39" s="195">
        <v>250.63</v>
      </c>
      <c r="E39" s="195">
        <v>259</v>
      </c>
      <c r="F39" s="195">
        <v>281.88</v>
      </c>
      <c r="G39" s="195">
        <v>251.88</v>
      </c>
      <c r="H39" s="195">
        <v>245.5</v>
      </c>
      <c r="I39" s="195">
        <v>245</v>
      </c>
      <c r="J39" s="195">
        <v>245</v>
      </c>
      <c r="K39" s="195">
        <v>248.5</v>
      </c>
      <c r="L39" s="195">
        <v>301.88</v>
      </c>
      <c r="M39" s="195">
        <v>365.63</v>
      </c>
      <c r="N39" s="195">
        <v>435.83</v>
      </c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386"/>
    </row>
    <row r="40" spans="1:41">
      <c r="A40" t="s">
        <v>496</v>
      </c>
      <c r="B40" t="s">
        <v>355</v>
      </c>
      <c r="C40" s="195">
        <v>248.13</v>
      </c>
      <c r="D40" s="195">
        <v>262.5</v>
      </c>
      <c r="E40" s="195">
        <v>263</v>
      </c>
      <c r="F40" s="195">
        <v>260</v>
      </c>
      <c r="G40" s="195">
        <v>257.5</v>
      </c>
      <c r="H40" s="195">
        <v>245.63</v>
      </c>
      <c r="I40" s="195">
        <v>250</v>
      </c>
      <c r="J40" s="195">
        <v>251.75</v>
      </c>
      <c r="K40" s="195">
        <v>227</v>
      </c>
      <c r="L40" s="195">
        <v>239.38</v>
      </c>
      <c r="M40" s="195">
        <v>253.75</v>
      </c>
      <c r="N40" s="195">
        <v>275</v>
      </c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386"/>
    </row>
    <row r="41" spans="1:41">
      <c r="A41" t="s">
        <v>444</v>
      </c>
      <c r="B41" t="s">
        <v>355</v>
      </c>
      <c r="C41" s="106">
        <v>300.11</v>
      </c>
      <c r="D41" s="106">
        <v>295.27999999999997</v>
      </c>
      <c r="E41" s="106">
        <v>312.38</v>
      </c>
      <c r="F41" s="106">
        <v>295.39999999999998</v>
      </c>
      <c r="G41" s="106">
        <v>288.56</v>
      </c>
      <c r="H41" s="106">
        <v>288.66000000000003</v>
      </c>
      <c r="I41" s="106">
        <v>291.25</v>
      </c>
      <c r="J41" s="106">
        <v>290.18</v>
      </c>
      <c r="K41" s="106">
        <v>319.99</v>
      </c>
      <c r="L41" s="106">
        <v>367.11</v>
      </c>
      <c r="M41" s="106">
        <v>387.83</v>
      </c>
      <c r="N41" s="106">
        <v>396.68</v>
      </c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386"/>
    </row>
    <row r="42" spans="1:41">
      <c r="A42" t="s">
        <v>497</v>
      </c>
      <c r="B42" t="s">
        <v>355</v>
      </c>
      <c r="C42" s="195">
        <v>185</v>
      </c>
      <c r="D42" s="195">
        <v>188.13</v>
      </c>
      <c r="E42" s="195">
        <v>180</v>
      </c>
      <c r="F42" s="195">
        <v>183.75</v>
      </c>
      <c r="G42" s="195">
        <v>180.63</v>
      </c>
      <c r="H42" s="195">
        <v>187.5</v>
      </c>
      <c r="I42" s="195">
        <v>202.5</v>
      </c>
      <c r="J42" s="195">
        <v>217.5</v>
      </c>
      <c r="K42" s="195">
        <v>211.5</v>
      </c>
      <c r="L42" s="195">
        <v>211.25</v>
      </c>
      <c r="M42" s="195">
        <v>216.25</v>
      </c>
      <c r="N42" s="195">
        <v>252.5</v>
      </c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386"/>
    </row>
    <row r="43" spans="1:41">
      <c r="A43" s="173" t="s">
        <v>233</v>
      </c>
      <c r="B43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</row>
    <row r="44" spans="1:41">
      <c r="A44" s="173" t="s">
        <v>445</v>
      </c>
      <c r="B44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</row>
    <row r="45" spans="1:41">
      <c r="A45" t="s">
        <v>446</v>
      </c>
      <c r="B45" t="s">
        <v>197</v>
      </c>
      <c r="C45" s="147" t="s">
        <v>229</v>
      </c>
      <c r="D45" s="147" t="s">
        <v>229</v>
      </c>
      <c r="E45" s="147" t="s">
        <v>229</v>
      </c>
      <c r="F45" s="147" t="s">
        <v>229</v>
      </c>
      <c r="G45" s="147" t="s">
        <v>229</v>
      </c>
      <c r="H45" s="147" t="s">
        <v>229</v>
      </c>
      <c r="I45" s="147" t="s">
        <v>229</v>
      </c>
      <c r="J45" s="147" t="s">
        <v>229</v>
      </c>
      <c r="K45" s="147" t="s">
        <v>229</v>
      </c>
      <c r="L45" s="147" t="s">
        <v>229</v>
      </c>
      <c r="M45" s="147" t="s">
        <v>229</v>
      </c>
      <c r="N45" s="147" t="s">
        <v>229</v>
      </c>
      <c r="O45"/>
      <c r="P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41">
      <c r="A46" s="173" t="s">
        <v>447</v>
      </c>
      <c r="B4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41">
      <c r="A47" t="s">
        <v>448</v>
      </c>
      <c r="B47" t="s">
        <v>197</v>
      </c>
      <c r="C47" s="333">
        <v>320.2</v>
      </c>
      <c r="D47" s="333">
        <v>319.7</v>
      </c>
      <c r="E47" s="333">
        <v>320.39999999999998</v>
      </c>
      <c r="F47" s="333">
        <v>320.5</v>
      </c>
      <c r="G47" s="333">
        <v>321.39999999999998</v>
      </c>
      <c r="H47" s="333">
        <v>320.7</v>
      </c>
      <c r="I47" s="333">
        <v>319.60000000000002</v>
      </c>
      <c r="J47" s="333">
        <v>317.60000000000002</v>
      </c>
      <c r="K47" s="333">
        <v>319.7</v>
      </c>
      <c r="L47" s="333">
        <v>319</v>
      </c>
      <c r="M47" s="333">
        <v>319.39999999999998</v>
      </c>
      <c r="N47" s="333">
        <v>319.2</v>
      </c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/>
      <c r="AB47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386"/>
    </row>
    <row r="48" spans="1:41">
      <c r="A48" t="s">
        <v>449</v>
      </c>
      <c r="B48" t="s">
        <v>197</v>
      </c>
      <c r="C48" s="333">
        <v>238.2</v>
      </c>
      <c r="D48" s="333">
        <v>239.2</v>
      </c>
      <c r="E48" s="333">
        <v>237.3</v>
      </c>
      <c r="F48" s="333">
        <v>237.2</v>
      </c>
      <c r="G48" s="333">
        <v>235.2</v>
      </c>
      <c r="H48" s="333">
        <v>240.9</v>
      </c>
      <c r="I48" s="333">
        <v>240.6</v>
      </c>
      <c r="J48" s="333">
        <v>242.5</v>
      </c>
      <c r="K48" s="333">
        <v>245.8</v>
      </c>
      <c r="L48" s="333">
        <v>248</v>
      </c>
      <c r="M48" s="333">
        <v>252.9</v>
      </c>
      <c r="N48" s="333">
        <v>258.7</v>
      </c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/>
      <c r="AB48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386"/>
    </row>
    <row r="49" spans="1:41" customFormat="1">
      <c r="A49" t="s">
        <v>450</v>
      </c>
      <c r="B49" t="s">
        <v>197</v>
      </c>
      <c r="C49" s="333">
        <v>207.2</v>
      </c>
      <c r="D49" s="333">
        <v>201.8</v>
      </c>
      <c r="E49" s="333">
        <v>198.2</v>
      </c>
      <c r="F49" s="333">
        <v>190.6</v>
      </c>
      <c r="G49" s="333">
        <v>185.6</v>
      </c>
      <c r="H49" s="333">
        <v>190</v>
      </c>
      <c r="I49" s="333">
        <v>191.1</v>
      </c>
      <c r="J49" s="333">
        <v>198.6</v>
      </c>
      <c r="K49" s="333">
        <v>207.5</v>
      </c>
      <c r="L49" s="333">
        <v>208.4</v>
      </c>
      <c r="M49" s="333">
        <v>214.3</v>
      </c>
      <c r="N49" s="333">
        <v>228.1</v>
      </c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386"/>
    </row>
    <row r="50" spans="1:41">
      <c r="A50" s="1" t="s">
        <v>451</v>
      </c>
      <c r="B50" s="1" t="s">
        <v>240</v>
      </c>
      <c r="C50" s="367">
        <v>138.69999999999999</v>
      </c>
      <c r="D50" s="367">
        <v>137.69999999999999</v>
      </c>
      <c r="E50" s="367">
        <v>138.69999999999999</v>
      </c>
      <c r="F50" s="367">
        <v>138.69999999999999</v>
      </c>
      <c r="G50" s="367">
        <v>138.80000000000001</v>
      </c>
      <c r="H50" s="367">
        <v>139.69999999999999</v>
      </c>
      <c r="I50" s="367">
        <v>139.6</v>
      </c>
      <c r="J50" s="367">
        <v>137.9</v>
      </c>
      <c r="K50" s="367">
        <v>143.4</v>
      </c>
      <c r="L50" s="367">
        <v>143.30000000000001</v>
      </c>
      <c r="M50" s="367">
        <v>143.4</v>
      </c>
      <c r="N50" s="367">
        <v>144.6</v>
      </c>
      <c r="Z5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386"/>
    </row>
    <row r="51" spans="1:41" ht="12.75">
      <c r="A51" s="52" t="s">
        <v>549</v>
      </c>
      <c r="B51"/>
      <c r="C51"/>
      <c r="D51"/>
      <c r="E51"/>
      <c r="F51"/>
      <c r="G51"/>
      <c r="H51"/>
      <c r="I51"/>
      <c r="J51"/>
      <c r="K51"/>
      <c r="L51"/>
      <c r="M51"/>
      <c r="N51"/>
      <c r="Z51" s="388"/>
    </row>
    <row r="52" spans="1:41" ht="10.15" customHeight="1">
      <c r="A52" s="52" t="s">
        <v>695</v>
      </c>
      <c r="B52"/>
      <c r="C52"/>
      <c r="D52"/>
      <c r="E52"/>
      <c r="F52"/>
      <c r="G52"/>
      <c r="H52"/>
      <c r="I52"/>
      <c r="J52"/>
      <c r="L52"/>
      <c r="M52" s="55"/>
      <c r="N52" s="55"/>
      <c r="Z52"/>
    </row>
    <row r="53" spans="1:41">
      <c r="A53" s="52" t="s">
        <v>694</v>
      </c>
      <c r="B53"/>
      <c r="C53"/>
      <c r="D53"/>
      <c r="E53"/>
      <c r="F53"/>
      <c r="G53"/>
      <c r="H53"/>
      <c r="I53"/>
      <c r="J53"/>
      <c r="K53"/>
      <c r="M53"/>
      <c r="Z53"/>
    </row>
    <row r="54" spans="1:41">
      <c r="M54" s="383"/>
      <c r="N54" s="225" t="s">
        <v>592</v>
      </c>
    </row>
  </sheetData>
  <pageMargins left="0.75" right="0.75" top="1" bottom="1" header="0.5" footer="0.5"/>
  <pageSetup scale="83" firstPageNumber="35" fitToWidth="0" orientation="landscape" useFirstPageNumber="1" r:id="rId1"/>
  <headerFooter alignWithMargins="0">
    <oddHeader xml:space="preserve">&amp;C
</oddHeader>
    <oddFooter>&amp;COil Crops Yearbook/OCS-2023
March 2023
Economic Research Service
&amp;P</oddFooter>
  </headerFooter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F556-FA90-4338-84AA-EFED4BE9AF23}">
  <sheetPr>
    <pageSetUpPr fitToPage="1"/>
  </sheetPr>
  <dimension ref="A1:O54"/>
  <sheetViews>
    <sheetView zoomScaleNormal="100" zoomScaleSheetLayoutView="100" workbookViewId="0">
      <pane ySplit="3" topLeftCell="A4" activePane="bottomLeft" state="frozen"/>
      <selection activeCell="N55" sqref="A1:N55"/>
      <selection pane="bottomLeft"/>
    </sheetView>
  </sheetViews>
  <sheetFormatPr defaultColWidth="9.33203125" defaultRowHeight="11.25"/>
  <cols>
    <col min="1" max="1" width="52.5" style="69" customWidth="1"/>
    <col min="2" max="2" width="19.5" style="69" bestFit="1" customWidth="1"/>
    <col min="3" max="14" width="9.6640625" style="69" customWidth="1"/>
    <col min="15" max="16384" width="9.33203125" style="69"/>
  </cols>
  <sheetData>
    <row r="1" spans="1:14">
      <c r="A1" s="223" t="s">
        <v>650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>
      <c r="A2"/>
      <c r="B2"/>
      <c r="C2" s="92"/>
      <c r="D2" s="92"/>
      <c r="E2" s="92"/>
      <c r="F2" s="92"/>
      <c r="G2" s="92"/>
      <c r="H2" s="175">
        <v>2021</v>
      </c>
      <c r="I2" s="92"/>
      <c r="J2" s="92"/>
      <c r="K2" s="92"/>
      <c r="L2" s="92"/>
      <c r="M2" s="92"/>
      <c r="N2" s="4"/>
    </row>
    <row r="3" spans="1:14">
      <c r="A3" s="1" t="s">
        <v>425</v>
      </c>
      <c r="B3" s="88" t="s">
        <v>198</v>
      </c>
      <c r="C3" s="92" t="s">
        <v>105</v>
      </c>
      <c r="D3" s="92" t="s">
        <v>106</v>
      </c>
      <c r="E3" s="92" t="s">
        <v>107</v>
      </c>
      <c r="F3" s="92" t="s">
        <v>108</v>
      </c>
      <c r="G3" s="92" t="s">
        <v>100</v>
      </c>
      <c r="H3" s="92" t="s">
        <v>715</v>
      </c>
      <c r="I3" s="92" t="s">
        <v>716</v>
      </c>
      <c r="J3" s="92" t="s">
        <v>109</v>
      </c>
      <c r="K3" s="92" t="s">
        <v>110</v>
      </c>
      <c r="L3" s="92" t="s">
        <v>102</v>
      </c>
      <c r="M3" s="92" t="s">
        <v>103</v>
      </c>
      <c r="N3" s="92" t="s">
        <v>104</v>
      </c>
    </row>
    <row r="4" spans="1:14">
      <c r="A4" s="173" t="s">
        <v>194</v>
      </c>
      <c r="B4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</row>
    <row r="5" spans="1:14">
      <c r="A5" s="173" t="s">
        <v>713</v>
      </c>
      <c r="B5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</row>
    <row r="6" spans="1:14">
      <c r="A6" t="s">
        <v>48</v>
      </c>
      <c r="B6" t="s">
        <v>371</v>
      </c>
      <c r="C6" s="195">
        <v>18.8</v>
      </c>
      <c r="D6" s="195">
        <v>20.399999999999999</v>
      </c>
      <c r="E6" s="195">
        <v>22</v>
      </c>
      <c r="F6" s="195">
        <v>23.8</v>
      </c>
      <c r="G6" s="195">
        <v>26.1</v>
      </c>
      <c r="H6" s="195">
        <v>26</v>
      </c>
      <c r="I6" s="195">
        <v>27.7</v>
      </c>
      <c r="J6" s="195">
        <v>30.9</v>
      </c>
      <c r="K6" s="195">
        <v>28.7</v>
      </c>
      <c r="L6" s="296">
        <v>29.6</v>
      </c>
      <c r="M6" s="195">
        <v>31.7</v>
      </c>
      <c r="N6" s="195">
        <v>32.5</v>
      </c>
    </row>
    <row r="7" spans="1:14">
      <c r="A7" t="s">
        <v>47</v>
      </c>
      <c r="B7" t="s">
        <v>355</v>
      </c>
      <c r="C7" s="195">
        <v>209</v>
      </c>
      <c r="D7" s="195">
        <v>185</v>
      </c>
      <c r="E7" s="147" t="s">
        <v>229</v>
      </c>
      <c r="F7" s="147" t="s">
        <v>229</v>
      </c>
      <c r="G7" s="147" t="s">
        <v>229</v>
      </c>
      <c r="H7" s="147" t="s">
        <v>229</v>
      </c>
      <c r="I7" s="147" t="s">
        <v>229</v>
      </c>
      <c r="J7" s="195">
        <v>255</v>
      </c>
      <c r="K7" s="195">
        <v>235</v>
      </c>
      <c r="L7" s="195">
        <v>244</v>
      </c>
      <c r="M7" s="195">
        <v>244</v>
      </c>
      <c r="N7" s="195">
        <v>239</v>
      </c>
    </row>
    <row r="8" spans="1:14">
      <c r="A8" t="s">
        <v>426</v>
      </c>
      <c r="B8" t="s">
        <v>354</v>
      </c>
      <c r="C8" s="195">
        <v>12</v>
      </c>
      <c r="D8" s="195">
        <v>13.2</v>
      </c>
      <c r="E8" s="195">
        <v>15.7</v>
      </c>
      <c r="F8" s="195">
        <v>18.100000000000001</v>
      </c>
      <c r="G8" s="195">
        <v>18.3</v>
      </c>
      <c r="H8" s="195">
        <v>19.899999999999999</v>
      </c>
      <c r="I8" s="195">
        <v>20.100000000000001</v>
      </c>
      <c r="J8" s="195">
        <v>20.2</v>
      </c>
      <c r="K8" s="195">
        <v>19.8</v>
      </c>
      <c r="L8" s="195">
        <v>26.2</v>
      </c>
      <c r="M8" s="195">
        <v>26.1</v>
      </c>
      <c r="N8" s="195">
        <v>31.3</v>
      </c>
    </row>
    <row r="9" spans="1:14">
      <c r="A9" t="s">
        <v>205</v>
      </c>
      <c r="B9" t="s">
        <v>248</v>
      </c>
      <c r="C9" s="195">
        <v>20.5</v>
      </c>
      <c r="D9" s="195">
        <v>20.5</v>
      </c>
      <c r="E9" s="195">
        <v>21.2</v>
      </c>
      <c r="F9" s="195">
        <v>21.4</v>
      </c>
      <c r="G9" s="195">
        <v>21.3</v>
      </c>
      <c r="H9" s="195">
        <v>21.3</v>
      </c>
      <c r="I9" s="195">
        <v>21.6</v>
      </c>
      <c r="J9" s="195">
        <v>21.3</v>
      </c>
      <c r="K9" s="195">
        <v>22.2</v>
      </c>
      <c r="L9" s="195">
        <v>23.9</v>
      </c>
      <c r="M9" s="195">
        <v>25.4</v>
      </c>
      <c r="N9" s="195">
        <v>24.099999999999998</v>
      </c>
    </row>
    <row r="10" spans="1:14">
      <c r="A10" t="s">
        <v>204</v>
      </c>
      <c r="B10" t="s">
        <v>354</v>
      </c>
      <c r="C10" s="195">
        <v>10.9</v>
      </c>
      <c r="D10" s="195">
        <v>12.7</v>
      </c>
      <c r="E10" s="195">
        <v>13.2</v>
      </c>
      <c r="F10" s="195">
        <v>13.9</v>
      </c>
      <c r="G10" s="195">
        <v>14.8</v>
      </c>
      <c r="H10" s="195">
        <v>14.5</v>
      </c>
      <c r="I10" s="195">
        <v>14.1</v>
      </c>
      <c r="J10" s="195">
        <v>13.7</v>
      </c>
      <c r="K10" s="195">
        <v>12.2</v>
      </c>
      <c r="L10" s="195">
        <v>11.9</v>
      </c>
      <c r="M10" s="296">
        <v>12.1</v>
      </c>
      <c r="N10" s="195">
        <v>12.5</v>
      </c>
    </row>
    <row r="11" spans="1:14">
      <c r="A11" t="s">
        <v>427</v>
      </c>
      <c r="B11" t="s">
        <v>371</v>
      </c>
      <c r="C11" s="195">
        <v>19.5</v>
      </c>
      <c r="D11" s="195">
        <v>21.4</v>
      </c>
      <c r="E11" s="195">
        <v>21.5</v>
      </c>
      <c r="F11" s="195">
        <v>23.7</v>
      </c>
      <c r="G11" s="195">
        <v>26.4</v>
      </c>
      <c r="H11" s="195">
        <v>28.4</v>
      </c>
      <c r="I11" s="195">
        <v>28</v>
      </c>
      <c r="J11" s="195">
        <v>29.4</v>
      </c>
      <c r="K11" s="195">
        <v>30.7</v>
      </c>
      <c r="L11" s="195">
        <v>30.5</v>
      </c>
      <c r="M11" s="195">
        <v>30.3</v>
      </c>
      <c r="N11" s="195">
        <v>31.6</v>
      </c>
    </row>
    <row r="12" spans="1:14">
      <c r="A12" s="194" t="s">
        <v>548</v>
      </c>
      <c r="B12" s="194" t="s">
        <v>371</v>
      </c>
      <c r="C12" s="365">
        <v>19.100000000000001</v>
      </c>
      <c r="D12" s="365">
        <v>20.7</v>
      </c>
      <c r="E12" s="365">
        <v>20.7</v>
      </c>
      <c r="F12" s="365">
        <v>23.3</v>
      </c>
      <c r="G12" s="365">
        <v>26.6</v>
      </c>
      <c r="H12" s="365">
        <v>28.8</v>
      </c>
      <c r="I12" s="365">
        <v>28.1</v>
      </c>
      <c r="J12" s="365">
        <v>30.1</v>
      </c>
      <c r="K12" s="365">
        <v>30.9</v>
      </c>
      <c r="L12" s="365">
        <v>30.6</v>
      </c>
      <c r="M12" s="365">
        <v>30.5</v>
      </c>
      <c r="N12" s="365">
        <v>31.7</v>
      </c>
    </row>
    <row r="13" spans="1:14">
      <c r="A13" s="194" t="s">
        <v>428</v>
      </c>
      <c r="B13" s="194" t="s">
        <v>371</v>
      </c>
      <c r="C13" s="365">
        <v>25.9</v>
      </c>
      <c r="D13" s="365">
        <v>25.8</v>
      </c>
      <c r="E13" s="365">
        <v>25.6</v>
      </c>
      <c r="F13" s="365">
        <v>25.6</v>
      </c>
      <c r="G13" s="365">
        <v>26</v>
      </c>
      <c r="H13" s="365">
        <v>27.4</v>
      </c>
      <c r="I13" s="365">
        <v>27.7</v>
      </c>
      <c r="J13" s="365">
        <v>27.7</v>
      </c>
      <c r="K13" s="365">
        <v>29.9</v>
      </c>
      <c r="L13" s="365">
        <v>28.9</v>
      </c>
      <c r="M13" s="365">
        <v>28</v>
      </c>
      <c r="N13" s="365">
        <v>30.7</v>
      </c>
    </row>
    <row r="14" spans="1:14">
      <c r="A14" s="173" t="s">
        <v>429</v>
      </c>
      <c r="B14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</row>
    <row r="15" spans="1:14">
      <c r="A15" t="s">
        <v>430</v>
      </c>
      <c r="B15" t="s">
        <v>371</v>
      </c>
      <c r="C15" s="366">
        <v>22.192</v>
      </c>
      <c r="D15" s="195">
        <v>24.163</v>
      </c>
      <c r="E15" s="195">
        <v>27.375</v>
      </c>
      <c r="F15" s="195">
        <v>30.946999999999999</v>
      </c>
      <c r="G15" s="195">
        <v>32.097000000000001</v>
      </c>
      <c r="H15" s="195">
        <v>27.568000000000001</v>
      </c>
      <c r="I15" s="106">
        <v>32.326999999999998</v>
      </c>
      <c r="J15" s="195">
        <v>32.874000000000002</v>
      </c>
      <c r="K15" s="195">
        <v>30.952999999999999</v>
      </c>
      <c r="L15" s="195">
        <v>33.466000000000001</v>
      </c>
      <c r="M15" s="195">
        <v>35.884</v>
      </c>
      <c r="N15" s="195">
        <v>35.636000000000003</v>
      </c>
    </row>
    <row r="16" spans="1:14">
      <c r="A16" t="s">
        <v>431</v>
      </c>
      <c r="B16" t="s">
        <v>355</v>
      </c>
      <c r="C16" s="195">
        <v>308.75</v>
      </c>
      <c r="D16" s="195">
        <v>326.25</v>
      </c>
      <c r="E16" s="195">
        <v>324</v>
      </c>
      <c r="F16" s="195">
        <v>347.5</v>
      </c>
      <c r="G16" s="106">
        <v>380</v>
      </c>
      <c r="H16" s="195">
        <v>385</v>
      </c>
      <c r="I16" s="195">
        <v>365</v>
      </c>
      <c r="J16" s="195">
        <v>360</v>
      </c>
      <c r="K16" s="195">
        <v>358.33</v>
      </c>
      <c r="L16" s="195">
        <v>307.5</v>
      </c>
      <c r="M16" s="147">
        <v>263</v>
      </c>
      <c r="N16" s="195">
        <v>260</v>
      </c>
    </row>
    <row r="17" spans="1:14">
      <c r="A17" t="s">
        <v>432</v>
      </c>
      <c r="B17" t="s">
        <v>354</v>
      </c>
      <c r="C17" s="195">
        <v>15.24</v>
      </c>
      <c r="D17" s="195">
        <v>16.54</v>
      </c>
      <c r="E17" s="195">
        <v>18.04</v>
      </c>
      <c r="F17" s="195">
        <v>19.64</v>
      </c>
      <c r="G17" s="195">
        <v>20.94736842105263</v>
      </c>
      <c r="H17" s="195">
        <v>20.523809523809526</v>
      </c>
      <c r="I17" s="195">
        <v>20.5</v>
      </c>
      <c r="J17" s="195">
        <v>19.795454545454547</v>
      </c>
      <c r="K17" s="195">
        <v>24.523809523809526</v>
      </c>
      <c r="L17" s="195">
        <v>27.7</v>
      </c>
      <c r="M17" s="195">
        <v>30</v>
      </c>
      <c r="N17" s="195">
        <v>30</v>
      </c>
    </row>
    <row r="18" spans="1:14" s="198" customFormat="1">
      <c r="A18" s="194" t="s">
        <v>433</v>
      </c>
      <c r="B18" s="194" t="s">
        <v>354</v>
      </c>
      <c r="C18" s="195">
        <v>13.61</v>
      </c>
      <c r="D18" s="195">
        <v>13.72</v>
      </c>
      <c r="E18" s="195">
        <v>14.09</v>
      </c>
      <c r="F18" s="195">
        <v>14.7</v>
      </c>
      <c r="G18" s="195">
        <v>15.76</v>
      </c>
      <c r="H18" s="195">
        <v>14.55</v>
      </c>
      <c r="I18" s="195">
        <v>14.21</v>
      </c>
      <c r="J18" s="195">
        <v>13.58</v>
      </c>
      <c r="K18" s="195">
        <v>12.49</v>
      </c>
      <c r="L18" s="195">
        <v>11.99</v>
      </c>
      <c r="M18" s="195">
        <v>12.19</v>
      </c>
      <c r="N18" s="195">
        <v>12.73</v>
      </c>
    </row>
    <row r="19" spans="1:14">
      <c r="A19" s="194" t="s">
        <v>434</v>
      </c>
      <c r="B19" s="194" t="s">
        <v>354</v>
      </c>
      <c r="C19" s="195">
        <v>14.56</v>
      </c>
      <c r="D19" s="195">
        <v>14.58</v>
      </c>
      <c r="E19" s="106">
        <v>14.93</v>
      </c>
      <c r="F19" s="195">
        <v>15.3</v>
      </c>
      <c r="G19" s="195">
        <v>16.440000000000001</v>
      </c>
      <c r="H19" s="195">
        <v>14.89</v>
      </c>
      <c r="I19" s="195" t="s">
        <v>229</v>
      </c>
      <c r="J19" s="195">
        <v>14.49</v>
      </c>
      <c r="K19" s="195">
        <v>13.52</v>
      </c>
      <c r="L19" s="195">
        <v>13.12</v>
      </c>
      <c r="M19" s="195">
        <v>13.32</v>
      </c>
      <c r="N19" s="195" t="s">
        <v>229</v>
      </c>
    </row>
    <row r="20" spans="1:14">
      <c r="A20" t="s">
        <v>435</v>
      </c>
      <c r="B20" t="s">
        <v>371</v>
      </c>
      <c r="C20" s="195">
        <v>19.23</v>
      </c>
      <c r="D20" s="195">
        <v>19.8</v>
      </c>
      <c r="E20" s="106">
        <v>21.98</v>
      </c>
      <c r="F20" s="195">
        <v>24.79</v>
      </c>
      <c r="G20" s="195">
        <v>27.41</v>
      </c>
      <c r="H20" s="195">
        <v>27.28</v>
      </c>
      <c r="I20" s="195">
        <v>28.81</v>
      </c>
      <c r="J20" s="195">
        <v>29.84</v>
      </c>
      <c r="K20" s="195">
        <v>31.56</v>
      </c>
      <c r="L20" s="195">
        <v>31.83</v>
      </c>
      <c r="M20" s="195">
        <v>32.25</v>
      </c>
      <c r="N20" s="195">
        <v>32.06</v>
      </c>
    </row>
    <row r="21" spans="1:14">
      <c r="A21" s="173" t="s">
        <v>195</v>
      </c>
      <c r="B21"/>
      <c r="C21" s="195"/>
      <c r="D21" s="106"/>
      <c r="E21" s="106"/>
      <c r="F21" s="106"/>
      <c r="G21" s="106"/>
      <c r="H21" s="106"/>
      <c r="I21" s="106"/>
      <c r="J21" s="106"/>
      <c r="K21" s="195"/>
      <c r="L21" s="195"/>
      <c r="M21" s="106"/>
      <c r="N21" s="106"/>
    </row>
    <row r="22" spans="1:14">
      <c r="A22" s="173" t="s">
        <v>436</v>
      </c>
      <c r="B22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</row>
    <row r="23" spans="1:14">
      <c r="A23" t="s">
        <v>437</v>
      </c>
      <c r="B23" t="s">
        <v>248</v>
      </c>
      <c r="C23" s="195">
        <v>53.3125</v>
      </c>
      <c r="D23" s="195">
        <v>58.9375</v>
      </c>
      <c r="E23" s="195">
        <v>71.3125</v>
      </c>
      <c r="F23" s="195">
        <v>79.55</v>
      </c>
      <c r="G23" s="195">
        <v>94.0625</v>
      </c>
      <c r="H23" s="195">
        <v>93.5</v>
      </c>
      <c r="I23" s="195">
        <v>92.3</v>
      </c>
      <c r="J23" s="195">
        <v>81</v>
      </c>
      <c r="K23" s="195">
        <v>76</v>
      </c>
      <c r="L23" s="195">
        <v>82.3</v>
      </c>
      <c r="M23" s="195">
        <v>84.375</v>
      </c>
      <c r="N23" s="195">
        <v>82.95</v>
      </c>
    </row>
    <row r="24" spans="1:14">
      <c r="A24" t="s">
        <v>488</v>
      </c>
      <c r="B24" t="s">
        <v>248</v>
      </c>
      <c r="C24" s="195">
        <v>68.75</v>
      </c>
      <c r="D24" s="195">
        <v>66</v>
      </c>
      <c r="E24" s="296">
        <v>71.5</v>
      </c>
      <c r="F24" s="195">
        <v>72.599999999999994</v>
      </c>
      <c r="G24">
        <v>78</v>
      </c>
      <c r="H24" s="195">
        <v>80</v>
      </c>
      <c r="I24" s="195">
        <v>80</v>
      </c>
      <c r="J24" s="195">
        <v>80</v>
      </c>
      <c r="K24" s="195">
        <v>80</v>
      </c>
      <c r="L24" s="195">
        <v>85</v>
      </c>
      <c r="M24" s="195">
        <v>92.5</v>
      </c>
      <c r="N24" s="366">
        <v>87</v>
      </c>
    </row>
    <row r="25" spans="1:14">
      <c r="A25" t="s">
        <v>438</v>
      </c>
      <c r="B25" t="s">
        <v>248</v>
      </c>
      <c r="C25" s="195">
        <v>44.230000000000004</v>
      </c>
      <c r="D25" s="195">
        <v>45.195</v>
      </c>
      <c r="E25" s="195">
        <v>54</v>
      </c>
      <c r="F25" s="195">
        <v>60.5</v>
      </c>
      <c r="G25" s="195">
        <v>70</v>
      </c>
      <c r="H25" s="195">
        <v>67.75</v>
      </c>
      <c r="I25" s="195">
        <v>66.375</v>
      </c>
      <c r="J25" s="195">
        <v>63.3</v>
      </c>
      <c r="K25" s="195">
        <v>53.734999999999999</v>
      </c>
      <c r="L25" s="106">
        <v>56.53</v>
      </c>
      <c r="M25" s="195">
        <v>58.120000000000005</v>
      </c>
      <c r="N25" s="195">
        <v>54.725000000000001</v>
      </c>
    </row>
    <row r="26" spans="1:14">
      <c r="A26" t="s">
        <v>489</v>
      </c>
      <c r="B26" t="s">
        <v>248</v>
      </c>
      <c r="C26" s="296">
        <v>39.299999999999997</v>
      </c>
      <c r="D26" s="296">
        <v>42.592105263157897</v>
      </c>
      <c r="E26" s="296">
        <v>50.68</v>
      </c>
      <c r="F26" s="296">
        <v>51.01</v>
      </c>
      <c r="G26" s="296">
        <v>52.424999999999997</v>
      </c>
      <c r="H26" s="296">
        <v>57</v>
      </c>
      <c r="I26" s="296">
        <v>58.31</v>
      </c>
      <c r="J26" s="296">
        <v>64.680000000000007</v>
      </c>
      <c r="K26" s="296">
        <v>58.24</v>
      </c>
      <c r="L26" s="296">
        <v>61.76</v>
      </c>
      <c r="M26" s="296">
        <v>62.55</v>
      </c>
      <c r="N26" s="296">
        <v>56.35</v>
      </c>
    </row>
    <row r="27" spans="1:14">
      <c r="A27" t="s">
        <v>439</v>
      </c>
      <c r="B27" t="s">
        <v>248</v>
      </c>
      <c r="C27" s="195">
        <v>63.1875</v>
      </c>
      <c r="D27" s="195">
        <v>73.625</v>
      </c>
      <c r="E27" s="195">
        <v>86.9375</v>
      </c>
      <c r="F27" s="195">
        <v>92.65</v>
      </c>
      <c r="G27" s="195">
        <v>102.1875</v>
      </c>
      <c r="H27" s="195">
        <v>100.6875</v>
      </c>
      <c r="I27" s="195">
        <v>99.9</v>
      </c>
      <c r="J27" s="195">
        <v>96.5</v>
      </c>
      <c r="K27" s="195">
        <v>93.625</v>
      </c>
      <c r="L27" s="195">
        <v>98.5</v>
      </c>
      <c r="M27" s="195">
        <v>96.75</v>
      </c>
      <c r="N27" s="195">
        <v>93.3</v>
      </c>
    </row>
    <row r="28" spans="1:14">
      <c r="A28" s="194" t="s">
        <v>440</v>
      </c>
      <c r="B28" t="s">
        <v>248</v>
      </c>
      <c r="C28" s="147" t="s">
        <v>229</v>
      </c>
      <c r="D28" s="147" t="s">
        <v>229</v>
      </c>
      <c r="E28" s="147">
        <v>55</v>
      </c>
      <c r="F28" s="195" t="s">
        <v>229</v>
      </c>
      <c r="G28" s="195">
        <v>58</v>
      </c>
      <c r="H28" s="195">
        <v>68</v>
      </c>
      <c r="I28" s="147" t="s">
        <v>229</v>
      </c>
      <c r="J28" s="147">
        <v>72.333333333333329</v>
      </c>
      <c r="K28" s="147" t="s">
        <v>229</v>
      </c>
      <c r="L28" s="147" t="s">
        <v>229</v>
      </c>
      <c r="M28" s="195" t="s">
        <v>229</v>
      </c>
      <c r="N28" s="195" t="s">
        <v>229</v>
      </c>
    </row>
    <row r="29" spans="1:14">
      <c r="A29" t="s">
        <v>490</v>
      </c>
      <c r="B29" t="s">
        <v>248</v>
      </c>
      <c r="C29" s="195">
        <v>49.8125</v>
      </c>
      <c r="D29" s="195">
        <v>52.125</v>
      </c>
      <c r="E29" s="195">
        <v>52.125</v>
      </c>
      <c r="F29" s="195">
        <v>54.25</v>
      </c>
      <c r="G29" s="195">
        <v>57.75</v>
      </c>
      <c r="H29" s="195">
        <v>50.625</v>
      </c>
      <c r="I29" s="195">
        <v>53.3</v>
      </c>
      <c r="J29" s="195">
        <v>56.6875</v>
      </c>
      <c r="K29" s="195">
        <v>58.3125</v>
      </c>
      <c r="L29" s="195">
        <v>64.349999999999994</v>
      </c>
      <c r="M29" s="195">
        <v>66.3125</v>
      </c>
      <c r="N29" s="195">
        <v>62.55</v>
      </c>
    </row>
    <row r="30" spans="1:14">
      <c r="A30" t="s">
        <v>491</v>
      </c>
      <c r="B30" t="s">
        <v>248</v>
      </c>
      <c r="C30" s="195">
        <v>79.6875</v>
      </c>
      <c r="D30" s="296">
        <v>80.75</v>
      </c>
      <c r="E30" s="195">
        <v>81.25</v>
      </c>
      <c r="F30" s="195">
        <v>82.9</v>
      </c>
      <c r="G30" s="195">
        <v>87</v>
      </c>
      <c r="H30" s="195">
        <v>80.75</v>
      </c>
      <c r="I30" s="195">
        <v>83.4</v>
      </c>
      <c r="J30" s="195">
        <v>87</v>
      </c>
      <c r="K30" s="195">
        <v>88.375</v>
      </c>
      <c r="L30" s="195">
        <v>93.7</v>
      </c>
      <c r="M30" s="195">
        <v>96.125</v>
      </c>
      <c r="N30" s="195">
        <v>91.45</v>
      </c>
    </row>
    <row r="31" spans="1:14">
      <c r="A31" t="s">
        <v>492</v>
      </c>
      <c r="B31" t="s">
        <v>248</v>
      </c>
      <c r="C31" s="195">
        <v>90</v>
      </c>
      <c r="D31" s="195">
        <v>93</v>
      </c>
      <c r="E31" s="195">
        <v>105.25</v>
      </c>
      <c r="F31" s="195">
        <v>109.2</v>
      </c>
      <c r="G31" s="195">
        <v>110</v>
      </c>
      <c r="H31" s="195">
        <v>108.1875</v>
      </c>
      <c r="I31" s="195">
        <v>106</v>
      </c>
      <c r="J31" s="195">
        <v>108.75</v>
      </c>
      <c r="K31" s="195">
        <v>105</v>
      </c>
      <c r="L31" s="195">
        <v>101.5</v>
      </c>
      <c r="M31" s="195">
        <v>100</v>
      </c>
      <c r="N31" s="195">
        <v>100</v>
      </c>
    </row>
    <row r="32" spans="1:14">
      <c r="A32" t="s">
        <v>493</v>
      </c>
      <c r="B32" t="s">
        <v>248</v>
      </c>
      <c r="C32" s="195">
        <v>44.31</v>
      </c>
      <c r="D32" s="195">
        <v>48.37</v>
      </c>
      <c r="E32" s="296">
        <v>54</v>
      </c>
      <c r="F32" s="195">
        <v>62.88</v>
      </c>
      <c r="G32" s="195">
        <v>74.75</v>
      </c>
      <c r="H32" s="195">
        <v>74.75</v>
      </c>
      <c r="I32" s="195">
        <v>72.930000000000007</v>
      </c>
      <c r="J32" s="195">
        <v>70.010000000000005</v>
      </c>
      <c r="K32" s="195">
        <v>65.930000000000007</v>
      </c>
      <c r="L32" s="195">
        <v>70.42</v>
      </c>
      <c r="M32" s="195">
        <v>66.459999999999994</v>
      </c>
      <c r="N32" s="195">
        <v>63.69</v>
      </c>
    </row>
    <row r="33" spans="1:15">
      <c r="A33" t="s">
        <v>441</v>
      </c>
      <c r="B33" t="s">
        <v>248</v>
      </c>
      <c r="C33" s="195" t="s">
        <v>229</v>
      </c>
      <c r="D33" s="195" t="s">
        <v>229</v>
      </c>
      <c r="E33" s="195" t="s">
        <v>229</v>
      </c>
      <c r="F33" s="195">
        <v>83</v>
      </c>
      <c r="G33" s="195">
        <v>83</v>
      </c>
      <c r="H33" s="195" t="s">
        <v>229</v>
      </c>
      <c r="I33" s="195" t="s">
        <v>229</v>
      </c>
      <c r="J33" s="195" t="s">
        <v>229</v>
      </c>
      <c r="K33" s="195" t="s">
        <v>229</v>
      </c>
      <c r="L33" s="195">
        <v>129</v>
      </c>
      <c r="M33" s="195">
        <v>125</v>
      </c>
      <c r="N33" s="195">
        <v>125</v>
      </c>
    </row>
    <row r="34" spans="1:15" s="198" customFormat="1">
      <c r="A34" s="194" t="s">
        <v>442</v>
      </c>
      <c r="B34" t="s">
        <v>248</v>
      </c>
      <c r="C34" s="195">
        <v>48.13</v>
      </c>
      <c r="D34" s="195">
        <v>53.13</v>
      </c>
      <c r="E34" s="195">
        <v>55.94</v>
      </c>
      <c r="F34" s="195">
        <v>59.38</v>
      </c>
      <c r="G34" s="195">
        <v>64.73</v>
      </c>
      <c r="H34" s="195">
        <v>61.5</v>
      </c>
      <c r="I34" s="195">
        <v>66.33</v>
      </c>
      <c r="J34" s="195">
        <v>72</v>
      </c>
      <c r="K34" s="195">
        <v>71.75</v>
      </c>
      <c r="L34" s="195" t="s">
        <v>229</v>
      </c>
      <c r="M34" s="195">
        <v>80.06</v>
      </c>
      <c r="N34" s="195">
        <v>73</v>
      </c>
      <c r="O34" s="204"/>
    </row>
    <row r="35" spans="1:15">
      <c r="A35" t="s">
        <v>443</v>
      </c>
      <c r="B35" t="s">
        <v>248</v>
      </c>
      <c r="C35" s="195">
        <v>28</v>
      </c>
      <c r="D35" s="195">
        <v>30.75</v>
      </c>
      <c r="E35" s="195">
        <v>36.200000000000003</v>
      </c>
      <c r="F35" s="195">
        <v>38</v>
      </c>
      <c r="G35" s="195">
        <v>40.75</v>
      </c>
      <c r="H35" s="195">
        <v>42.6</v>
      </c>
      <c r="I35" s="195">
        <v>43.25</v>
      </c>
      <c r="J35" s="195">
        <v>45.4</v>
      </c>
      <c r="K35" s="195">
        <v>41.25</v>
      </c>
      <c r="L35" s="195">
        <v>45.12</v>
      </c>
      <c r="M35" s="195">
        <v>45.2</v>
      </c>
      <c r="N35" s="195">
        <v>43.75</v>
      </c>
    </row>
    <row r="36" spans="1:15">
      <c r="A36" t="s">
        <v>235</v>
      </c>
      <c r="B36" t="s">
        <v>372</v>
      </c>
      <c r="C36" s="261">
        <v>3.7475000000000001</v>
      </c>
      <c r="D36" s="40">
        <v>4.1224999999999996</v>
      </c>
      <c r="E36" s="40">
        <v>4.8574999999999999</v>
      </c>
      <c r="F36" s="40">
        <v>5.2959999999999994</v>
      </c>
      <c r="G36" s="40">
        <v>6.085</v>
      </c>
      <c r="H36" s="40">
        <v>6.02</v>
      </c>
      <c r="I36" s="40">
        <v>5.7700000000000005</v>
      </c>
      <c r="J36" s="40">
        <v>5.38</v>
      </c>
      <c r="K36" s="40">
        <v>4.9675000000000002</v>
      </c>
      <c r="L36" s="40">
        <v>5.31</v>
      </c>
      <c r="M36" s="40">
        <v>5.4650000000000007</v>
      </c>
      <c r="N36" s="296">
        <v>4.8779999999999992</v>
      </c>
    </row>
    <row r="37" spans="1:15">
      <c r="A37" s="173" t="s">
        <v>196</v>
      </c>
      <c r="B37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</row>
    <row r="38" spans="1:15">
      <c r="A38" t="s">
        <v>494</v>
      </c>
      <c r="B38" t="s">
        <v>355</v>
      </c>
      <c r="C38" s="147">
        <v>387.53</v>
      </c>
      <c r="D38" s="195">
        <v>376.07499999999999</v>
      </c>
      <c r="E38" s="195">
        <v>365.14</v>
      </c>
      <c r="F38" s="195">
        <v>377.57499999999999</v>
      </c>
      <c r="G38" s="195">
        <v>391.45</v>
      </c>
      <c r="H38" s="195">
        <v>345.9</v>
      </c>
      <c r="I38" s="195">
        <v>326.67499999999995</v>
      </c>
      <c r="J38" s="195">
        <v>329.45</v>
      </c>
      <c r="K38" s="195">
        <v>322.96249999999998</v>
      </c>
      <c r="L38" s="195">
        <v>322.82499999999999</v>
      </c>
      <c r="M38" s="195">
        <v>350.21999999999997</v>
      </c>
      <c r="N38" s="195">
        <v>382.9666666666667</v>
      </c>
    </row>
    <row r="39" spans="1:15">
      <c r="A39" t="s">
        <v>495</v>
      </c>
      <c r="B39" t="s">
        <v>355</v>
      </c>
      <c r="C39" s="195">
        <v>443.75</v>
      </c>
      <c r="D39" s="195">
        <v>460</v>
      </c>
      <c r="E39" s="195">
        <v>456</v>
      </c>
      <c r="F39" s="195">
        <v>415</v>
      </c>
      <c r="G39" s="195">
        <v>360.625</v>
      </c>
      <c r="H39" s="195">
        <v>337.5</v>
      </c>
      <c r="I39" s="195">
        <v>321.875</v>
      </c>
      <c r="J39" s="195">
        <v>303</v>
      </c>
      <c r="K39" s="195">
        <v>305</v>
      </c>
      <c r="L39" s="195">
        <v>298.75</v>
      </c>
      <c r="M39" s="195">
        <v>304.5</v>
      </c>
      <c r="N39" s="195">
        <v>311.25</v>
      </c>
    </row>
    <row r="40" spans="1:15">
      <c r="A40" t="s">
        <v>496</v>
      </c>
      <c r="B40" t="s">
        <v>355</v>
      </c>
      <c r="C40" s="195">
        <v>313.125</v>
      </c>
      <c r="D40" s="195">
        <v>296.25</v>
      </c>
      <c r="E40" s="195">
        <v>322</v>
      </c>
      <c r="F40" s="195">
        <v>318.75</v>
      </c>
      <c r="G40" s="195">
        <v>335.63</v>
      </c>
      <c r="H40" s="195">
        <v>293.5</v>
      </c>
      <c r="I40" s="195">
        <v>262.5</v>
      </c>
      <c r="J40" s="195">
        <v>287.5</v>
      </c>
      <c r="K40" s="195">
        <v>260</v>
      </c>
      <c r="L40" s="195">
        <v>265.625</v>
      </c>
      <c r="M40" s="195">
        <v>252</v>
      </c>
      <c r="N40" s="195">
        <v>309.16666666666669</v>
      </c>
    </row>
    <row r="41" spans="1:15" s="196" customFormat="1">
      <c r="A41" s="194" t="s">
        <v>444</v>
      </c>
      <c r="B41" t="s">
        <v>355</v>
      </c>
      <c r="C41" s="106">
        <v>439.24</v>
      </c>
      <c r="D41" s="106">
        <v>427.28</v>
      </c>
      <c r="E41" s="106">
        <v>410.02</v>
      </c>
      <c r="F41" s="106">
        <v>413.36</v>
      </c>
      <c r="G41" s="106">
        <v>421.03</v>
      </c>
      <c r="H41" s="106">
        <v>378.18</v>
      </c>
      <c r="I41" s="106">
        <v>365.23</v>
      </c>
      <c r="J41" s="106">
        <v>358.21</v>
      </c>
      <c r="K41" s="106">
        <v>343.55</v>
      </c>
      <c r="L41" s="106">
        <v>325.43</v>
      </c>
      <c r="M41" s="106">
        <v>358.73</v>
      </c>
      <c r="N41" s="106">
        <v>399.53</v>
      </c>
    </row>
    <row r="42" spans="1:15">
      <c r="A42" s="194" t="s">
        <v>497</v>
      </c>
      <c r="B42" t="s">
        <v>355</v>
      </c>
      <c r="C42" s="195">
        <v>280.63</v>
      </c>
      <c r="D42" s="195">
        <v>291.88</v>
      </c>
      <c r="E42" s="195">
        <v>279.5</v>
      </c>
      <c r="F42" s="195">
        <v>258.125</v>
      </c>
      <c r="G42" s="195">
        <v>265</v>
      </c>
      <c r="H42" s="195">
        <v>252.5</v>
      </c>
      <c r="I42" s="195">
        <v>206.25</v>
      </c>
      <c r="J42" s="195">
        <v>219.5</v>
      </c>
      <c r="K42" s="195">
        <v>221.25</v>
      </c>
      <c r="L42" s="195">
        <v>222.5</v>
      </c>
      <c r="M42" s="195">
        <v>256.5</v>
      </c>
      <c r="N42" s="195">
        <v>289.16666666666669</v>
      </c>
    </row>
    <row r="43" spans="1:15">
      <c r="A43" s="173" t="s">
        <v>233</v>
      </c>
      <c r="B43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</row>
    <row r="44" spans="1:15">
      <c r="A44" s="173" t="s">
        <v>445</v>
      </c>
      <c r="B44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</row>
    <row r="45" spans="1:15">
      <c r="A45" t="s">
        <v>446</v>
      </c>
      <c r="B45" t="s">
        <v>197</v>
      </c>
      <c r="C45" s="147" t="s">
        <v>229</v>
      </c>
      <c r="D45" s="147" t="s">
        <v>229</v>
      </c>
      <c r="E45" s="147" t="s">
        <v>229</v>
      </c>
      <c r="F45" s="147" t="s">
        <v>229</v>
      </c>
      <c r="G45" s="147" t="s">
        <v>229</v>
      </c>
      <c r="H45" s="147" t="s">
        <v>229</v>
      </c>
      <c r="I45" s="147" t="s">
        <v>229</v>
      </c>
      <c r="J45" s="147" t="s">
        <v>229</v>
      </c>
      <c r="K45" s="147" t="s">
        <v>229</v>
      </c>
      <c r="L45" s="147" t="s">
        <v>229</v>
      </c>
      <c r="M45" s="147" t="s">
        <v>229</v>
      </c>
      <c r="N45" s="147" t="s">
        <v>229</v>
      </c>
      <c r="O45"/>
    </row>
    <row r="46" spans="1:15">
      <c r="A46" s="173" t="s">
        <v>447</v>
      </c>
      <c r="B4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38"/>
    </row>
    <row r="47" spans="1:15">
      <c r="A47" t="s">
        <v>448</v>
      </c>
      <c r="B47" t="s">
        <v>197</v>
      </c>
      <c r="C47" s="335">
        <v>320.60000000000002</v>
      </c>
      <c r="D47" s="335">
        <v>321.7</v>
      </c>
      <c r="E47" s="335">
        <v>321.5</v>
      </c>
      <c r="F47" s="335">
        <v>322.39999999999998</v>
      </c>
      <c r="G47" s="335">
        <v>323.2</v>
      </c>
      <c r="H47" s="335">
        <v>325</v>
      </c>
      <c r="I47" s="335">
        <v>323.226</v>
      </c>
      <c r="J47" s="335">
        <v>326.721</v>
      </c>
      <c r="K47" s="335">
        <v>327.25200000000001</v>
      </c>
      <c r="L47" s="335">
        <v>332.06900000000002</v>
      </c>
      <c r="M47" s="335">
        <v>335.96300000000002</v>
      </c>
      <c r="N47" s="335">
        <v>333.22399999999999</v>
      </c>
      <c r="O47" s="38"/>
    </row>
    <row r="48" spans="1:15">
      <c r="A48" t="s">
        <v>449</v>
      </c>
      <c r="B48" t="s">
        <v>197</v>
      </c>
      <c r="C48" s="335">
        <v>266.7</v>
      </c>
      <c r="D48" s="335">
        <v>272.3</v>
      </c>
      <c r="E48" s="335">
        <v>287.89999999999998</v>
      </c>
      <c r="F48" s="335">
        <v>301.39999999999998</v>
      </c>
      <c r="G48" s="335">
        <v>333.1</v>
      </c>
      <c r="H48" s="335">
        <v>338.1</v>
      </c>
      <c r="I48" s="335">
        <v>345.49900000000002</v>
      </c>
      <c r="J48" s="335">
        <v>347.57400000000001</v>
      </c>
      <c r="K48" s="335">
        <v>345.17899999999997</v>
      </c>
      <c r="L48" s="335">
        <v>359.67</v>
      </c>
      <c r="M48" s="335">
        <v>362.97399999999999</v>
      </c>
      <c r="N48" s="335">
        <v>350.92700000000002</v>
      </c>
      <c r="O48" s="38"/>
    </row>
    <row r="49" spans="1:15" customFormat="1">
      <c r="A49" t="s">
        <v>450</v>
      </c>
      <c r="B49" t="s">
        <v>197</v>
      </c>
      <c r="C49" s="335">
        <v>248.2</v>
      </c>
      <c r="D49" s="335">
        <v>259.89999999999998</v>
      </c>
      <c r="E49" s="335">
        <v>287</v>
      </c>
      <c r="F49" s="335">
        <v>315.3</v>
      </c>
      <c r="G49" s="335">
        <v>362.1</v>
      </c>
      <c r="H49" s="335">
        <v>383.9</v>
      </c>
      <c r="I49" s="335">
        <v>388.07799999999997</v>
      </c>
      <c r="J49" s="335">
        <v>389.68200000000002</v>
      </c>
      <c r="K49" s="335">
        <v>365.78699999999998</v>
      </c>
      <c r="L49" s="335">
        <v>364.11900000000003</v>
      </c>
      <c r="M49" s="335">
        <v>365.26400000000001</v>
      </c>
      <c r="N49" s="335">
        <v>341.15</v>
      </c>
      <c r="O49" s="38"/>
    </row>
    <row r="50" spans="1:15">
      <c r="A50" s="1" t="s">
        <v>451</v>
      </c>
      <c r="B50" s="1" t="s">
        <v>240</v>
      </c>
      <c r="C50" s="368">
        <v>143.30000000000001</v>
      </c>
      <c r="D50" s="368">
        <v>142.6</v>
      </c>
      <c r="E50" s="368">
        <v>145.1</v>
      </c>
      <c r="F50" s="368">
        <v>145.80000000000001</v>
      </c>
      <c r="G50" s="368">
        <v>145</v>
      </c>
      <c r="H50" s="368">
        <v>143.4</v>
      </c>
      <c r="I50" s="368">
        <v>147.91499999999999</v>
      </c>
      <c r="J50" s="368">
        <v>147.49700000000001</v>
      </c>
      <c r="K50" s="368">
        <v>141.346</v>
      </c>
      <c r="L50" s="368">
        <v>142.893</v>
      </c>
      <c r="M50" s="368">
        <v>148.518</v>
      </c>
      <c r="N50" s="368">
        <v>149.63399999999999</v>
      </c>
    </row>
    <row r="51" spans="1:15">
      <c r="A51" s="52" t="s">
        <v>549</v>
      </c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5" ht="10.15" customHeight="1">
      <c r="A52" s="52" t="s">
        <v>695</v>
      </c>
      <c r="B52"/>
      <c r="C52"/>
      <c r="D52"/>
      <c r="E52"/>
      <c r="F52"/>
      <c r="G52"/>
      <c r="H52"/>
      <c r="I52"/>
      <c r="J52"/>
      <c r="L52"/>
      <c r="M52" s="55"/>
      <c r="N52" s="55"/>
    </row>
    <row r="53" spans="1:15">
      <c r="A53" s="52" t="s">
        <v>694</v>
      </c>
      <c r="B53"/>
      <c r="C53"/>
      <c r="D53"/>
      <c r="E53"/>
      <c r="F53"/>
      <c r="G53"/>
      <c r="H53"/>
      <c r="I53"/>
      <c r="J53"/>
      <c r="K53"/>
      <c r="M53"/>
    </row>
    <row r="54" spans="1:15">
      <c r="N54" s="225" t="s">
        <v>592</v>
      </c>
    </row>
  </sheetData>
  <pageMargins left="0.75" right="0.75" top="1" bottom="1" header="0.5" footer="0.5"/>
  <pageSetup scale="83" firstPageNumber="35" fitToWidth="0" orientation="landscape" useFirstPageNumber="1" r:id="rId1"/>
  <headerFooter alignWithMargins="0">
    <oddHeader xml:space="preserve">&amp;C
</oddHeader>
    <oddFooter>&amp;COil Crops Yearbook/OCS-2023
March 2023
Economic Research Service
&amp;P</oddFooter>
  </headerFooter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D75C-B225-4766-9428-F290FE79D8FD}">
  <sheetPr>
    <pageSetUpPr fitToPage="1"/>
  </sheetPr>
  <dimension ref="A1:O55"/>
  <sheetViews>
    <sheetView zoomScaleNormal="100" zoomScaleSheetLayoutView="100" workbookViewId="0"/>
  </sheetViews>
  <sheetFormatPr defaultColWidth="9.33203125" defaultRowHeight="11.25"/>
  <cols>
    <col min="1" max="1" width="52.5" style="69" customWidth="1"/>
    <col min="2" max="2" width="19.5" style="69" bestFit="1" customWidth="1"/>
    <col min="3" max="14" width="9.6640625" style="69" customWidth="1"/>
    <col min="15" max="16384" width="9.33203125" style="69"/>
  </cols>
  <sheetData>
    <row r="1" spans="1:14">
      <c r="A1" s="223" t="s">
        <v>650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>
      <c r="A2"/>
      <c r="B2"/>
      <c r="C2" s="92"/>
      <c r="D2" s="92"/>
      <c r="E2" s="92"/>
      <c r="F2" s="92"/>
      <c r="G2" s="92"/>
      <c r="H2" s="175">
        <v>2022</v>
      </c>
      <c r="I2" s="92"/>
      <c r="J2" s="92"/>
      <c r="K2" s="92"/>
      <c r="L2" s="92"/>
      <c r="M2" s="92"/>
      <c r="N2" s="4"/>
    </row>
    <row r="3" spans="1:14">
      <c r="A3" s="1" t="s">
        <v>425</v>
      </c>
      <c r="B3" s="88" t="s">
        <v>198</v>
      </c>
      <c r="C3" s="92" t="s">
        <v>105</v>
      </c>
      <c r="D3" s="92" t="s">
        <v>106</v>
      </c>
      <c r="E3" s="92" t="s">
        <v>107</v>
      </c>
      <c r="F3" s="92" t="s">
        <v>108</v>
      </c>
      <c r="G3" s="92" t="s">
        <v>100</v>
      </c>
      <c r="H3" s="92" t="s">
        <v>715</v>
      </c>
      <c r="I3" s="92" t="s">
        <v>716</v>
      </c>
      <c r="J3" s="92" t="s">
        <v>109</v>
      </c>
      <c r="K3" s="92" t="s">
        <v>110</v>
      </c>
      <c r="L3" s="92" t="s">
        <v>102</v>
      </c>
      <c r="M3" s="92" t="s">
        <v>103</v>
      </c>
      <c r="N3" s="92" t="s">
        <v>104</v>
      </c>
    </row>
    <row r="4" spans="1:14">
      <c r="A4" s="173" t="s">
        <v>194</v>
      </c>
      <c r="B4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</row>
    <row r="5" spans="1:14">
      <c r="A5" s="173" t="s">
        <v>713</v>
      </c>
      <c r="B5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</row>
    <row r="6" spans="1:14">
      <c r="A6" t="s">
        <v>48</v>
      </c>
      <c r="B6" t="s">
        <v>371</v>
      </c>
      <c r="C6" s="195">
        <v>33.700000000000003</v>
      </c>
      <c r="D6" s="195">
        <v>37.5</v>
      </c>
      <c r="E6" s="195">
        <v>39.200000000000003</v>
      </c>
      <c r="F6" s="195">
        <v>41.3</v>
      </c>
      <c r="G6" s="195">
        <v>42.9</v>
      </c>
      <c r="H6" s="195">
        <v>45.6</v>
      </c>
      <c r="I6" s="195">
        <v>42.7</v>
      </c>
      <c r="J6" s="195">
        <v>40</v>
      </c>
      <c r="K6" s="195">
        <v>28.1</v>
      </c>
      <c r="L6" s="195">
        <v>28.1</v>
      </c>
      <c r="M6" s="195">
        <v>29.2</v>
      </c>
      <c r="N6" s="195">
        <v>29.2</v>
      </c>
    </row>
    <row r="7" spans="1:14">
      <c r="A7" t="s">
        <v>47</v>
      </c>
      <c r="B7" t="s">
        <v>355</v>
      </c>
      <c r="C7" s="195">
        <v>241</v>
      </c>
      <c r="D7" s="195">
        <v>256</v>
      </c>
      <c r="E7" s="195" t="s">
        <v>229</v>
      </c>
      <c r="F7" s="195" t="s">
        <v>229</v>
      </c>
      <c r="G7" s="195" t="s">
        <v>229</v>
      </c>
      <c r="H7" s="195" t="s">
        <v>229</v>
      </c>
      <c r="I7" s="147">
        <v>360</v>
      </c>
      <c r="J7" s="195">
        <v>343</v>
      </c>
      <c r="K7" s="195">
        <v>361</v>
      </c>
      <c r="L7" s="195">
        <v>338</v>
      </c>
      <c r="M7" s="195">
        <v>323</v>
      </c>
      <c r="N7" s="195">
        <v>329</v>
      </c>
    </row>
    <row r="8" spans="1:14">
      <c r="A8" t="s">
        <v>426</v>
      </c>
      <c r="B8" t="s">
        <v>354</v>
      </c>
      <c r="C8" s="195">
        <v>31</v>
      </c>
      <c r="D8" s="195">
        <v>27.5</v>
      </c>
      <c r="E8" s="195">
        <v>28.9</v>
      </c>
      <c r="F8" s="195">
        <v>30.2</v>
      </c>
      <c r="G8" s="195">
        <v>29.7</v>
      </c>
      <c r="H8" s="195">
        <v>23.9</v>
      </c>
      <c r="I8" s="195">
        <v>24.2</v>
      </c>
      <c r="J8" s="195">
        <v>20.8</v>
      </c>
      <c r="K8" s="195">
        <v>18.899999999999999</v>
      </c>
      <c r="L8" s="195">
        <v>18.600000000000001</v>
      </c>
      <c r="M8" s="195">
        <v>19.5</v>
      </c>
      <c r="N8" s="195">
        <v>18.399999999999999</v>
      </c>
    </row>
    <row r="9" spans="1:14">
      <c r="A9" t="s">
        <v>205</v>
      </c>
      <c r="B9" t="s">
        <v>248</v>
      </c>
      <c r="C9" s="195">
        <v>25.900000000000002</v>
      </c>
      <c r="D9" s="195">
        <v>24.8</v>
      </c>
      <c r="E9" s="195">
        <v>25</v>
      </c>
      <c r="F9" s="195">
        <v>24.8</v>
      </c>
      <c r="G9" s="195">
        <v>25.3</v>
      </c>
      <c r="H9" s="195">
        <v>25.2</v>
      </c>
      <c r="I9" s="195">
        <v>25.3</v>
      </c>
      <c r="J9" s="195">
        <v>25</v>
      </c>
      <c r="K9" s="195">
        <v>25.7</v>
      </c>
      <c r="L9" s="195">
        <v>26.6</v>
      </c>
      <c r="M9" s="195">
        <v>29.9</v>
      </c>
      <c r="N9" s="195">
        <v>24.099999999999998</v>
      </c>
    </row>
    <row r="10" spans="1:14">
      <c r="A10" t="s">
        <v>204</v>
      </c>
      <c r="B10" t="s">
        <v>354</v>
      </c>
      <c r="C10" s="195">
        <v>12.9</v>
      </c>
      <c r="D10" s="195">
        <v>14.7</v>
      </c>
      <c r="E10" s="195">
        <v>15.4</v>
      </c>
      <c r="F10" s="195">
        <v>15.8</v>
      </c>
      <c r="G10" s="195">
        <v>16.100000000000001</v>
      </c>
      <c r="H10" s="195">
        <v>16.399999999999999</v>
      </c>
      <c r="I10" s="195">
        <v>15.5</v>
      </c>
      <c r="J10" s="195">
        <v>15.3</v>
      </c>
      <c r="K10" s="195">
        <v>14.1</v>
      </c>
      <c r="L10" s="195">
        <v>13.5</v>
      </c>
      <c r="M10" s="195">
        <v>14</v>
      </c>
      <c r="N10" s="195">
        <v>14.4</v>
      </c>
    </row>
    <row r="11" spans="1:14">
      <c r="A11" t="s">
        <v>427</v>
      </c>
      <c r="B11" t="s">
        <v>371</v>
      </c>
      <c r="C11" s="195">
        <v>31</v>
      </c>
      <c r="D11" s="195">
        <v>32.200000000000003</v>
      </c>
      <c r="E11" s="195">
        <v>33.9</v>
      </c>
      <c r="F11" s="195">
        <v>37.1</v>
      </c>
      <c r="G11" s="195">
        <v>40.1</v>
      </c>
      <c r="H11" s="195">
        <v>40.200000000000003</v>
      </c>
      <c r="I11" s="195">
        <v>36.200000000000003</v>
      </c>
      <c r="J11" s="195">
        <v>37.799999999999997</v>
      </c>
      <c r="K11" s="195">
        <v>32.9</v>
      </c>
      <c r="L11" s="195">
        <v>29.3</v>
      </c>
      <c r="M11" s="195">
        <v>28.4</v>
      </c>
      <c r="N11" s="195">
        <v>29.5</v>
      </c>
    </row>
    <row r="12" spans="1:14">
      <c r="A12" s="194" t="s">
        <v>548</v>
      </c>
      <c r="B12" s="194" t="s">
        <v>371</v>
      </c>
      <c r="C12" s="365">
        <v>31.2</v>
      </c>
      <c r="D12" s="365">
        <v>32.4</v>
      </c>
      <c r="E12" s="365">
        <v>34.299999999999997</v>
      </c>
      <c r="F12" s="365">
        <v>37.200000000000003</v>
      </c>
      <c r="G12" s="365">
        <v>40.200000000000003</v>
      </c>
      <c r="H12" s="365">
        <v>40.700000000000003</v>
      </c>
      <c r="I12" s="365">
        <v>35.5</v>
      </c>
      <c r="J12" s="365">
        <v>38.1</v>
      </c>
      <c r="K12" s="365" t="s">
        <v>229</v>
      </c>
      <c r="L12" s="365" t="s">
        <v>229</v>
      </c>
      <c r="M12" s="365" t="s">
        <v>229</v>
      </c>
      <c r="N12" s="365" t="s">
        <v>229</v>
      </c>
    </row>
    <row r="13" spans="1:14">
      <c r="A13" s="194" t="s">
        <v>428</v>
      </c>
      <c r="B13" s="194" t="s">
        <v>371</v>
      </c>
      <c r="C13" s="365">
        <v>29.1</v>
      </c>
      <c r="D13" s="365">
        <v>31</v>
      </c>
      <c r="E13" s="365">
        <v>32.299999999999997</v>
      </c>
      <c r="F13" s="365">
        <v>37.1</v>
      </c>
      <c r="G13" s="365">
        <v>39.9</v>
      </c>
      <c r="H13" s="365">
        <v>38.700000000000003</v>
      </c>
      <c r="I13" s="365">
        <v>39</v>
      </c>
      <c r="J13" s="365">
        <v>37</v>
      </c>
      <c r="K13" s="365" t="s">
        <v>229</v>
      </c>
      <c r="L13" s="365" t="s">
        <v>229</v>
      </c>
      <c r="M13" s="365" t="s">
        <v>229</v>
      </c>
      <c r="N13" s="365" t="s">
        <v>229</v>
      </c>
    </row>
    <row r="14" spans="1:14">
      <c r="A14" s="173" t="s">
        <v>429</v>
      </c>
      <c r="B14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</row>
    <row r="15" spans="1:14">
      <c r="A15" t="s">
        <v>430</v>
      </c>
      <c r="B15" t="s">
        <v>371</v>
      </c>
      <c r="C15" s="373">
        <v>36.347999999999999</v>
      </c>
      <c r="D15" s="374">
        <v>36.689</v>
      </c>
      <c r="E15" s="374">
        <v>40.484000000000002</v>
      </c>
      <c r="F15" s="374">
        <v>42.290999999999997</v>
      </c>
      <c r="G15" s="374">
        <v>42.241</v>
      </c>
      <c r="H15" s="374">
        <v>39.85</v>
      </c>
      <c r="I15" s="374">
        <v>29.396000000000001</v>
      </c>
      <c r="J15" s="374">
        <v>28.315999999999999</v>
      </c>
      <c r="K15" s="374">
        <v>26.523</v>
      </c>
      <c r="L15" s="374">
        <v>27.852</v>
      </c>
      <c r="M15" s="374">
        <v>28.581</v>
      </c>
      <c r="N15" s="374">
        <v>28.675000000000001</v>
      </c>
    </row>
    <row r="16" spans="1:14">
      <c r="A16" t="s">
        <v>431</v>
      </c>
      <c r="B16" t="s">
        <v>355</v>
      </c>
      <c r="C16" s="195">
        <v>303.75</v>
      </c>
      <c r="D16" s="195">
        <v>308.33</v>
      </c>
      <c r="E16" s="195">
        <v>338.75</v>
      </c>
      <c r="F16" s="195">
        <v>378</v>
      </c>
      <c r="G16" s="106">
        <v>431.25</v>
      </c>
      <c r="H16" s="195">
        <v>450</v>
      </c>
      <c r="I16" s="195">
        <v>432</v>
      </c>
      <c r="J16" s="216">
        <v>408.75</v>
      </c>
      <c r="K16" s="216">
        <v>438.75</v>
      </c>
      <c r="L16" s="216">
        <v>423.75</v>
      </c>
      <c r="M16" s="216">
        <v>383.75</v>
      </c>
      <c r="N16" s="216">
        <v>340</v>
      </c>
    </row>
    <row r="17" spans="1:14">
      <c r="A17" t="s">
        <v>432</v>
      </c>
      <c r="B17" t="s">
        <v>354</v>
      </c>
      <c r="C17" s="195">
        <v>30</v>
      </c>
      <c r="D17" s="195">
        <v>28.11</v>
      </c>
      <c r="E17" s="195">
        <v>27.61</v>
      </c>
      <c r="F17" s="195">
        <v>29.6</v>
      </c>
      <c r="G17" s="195">
        <v>30</v>
      </c>
      <c r="H17" s="195">
        <v>27</v>
      </c>
      <c r="I17" s="195">
        <v>21.6</v>
      </c>
      <c r="J17" s="195">
        <v>18.978260869565219</v>
      </c>
      <c r="K17" s="195">
        <v>17.666666666666668</v>
      </c>
      <c r="L17" s="195">
        <v>17.285714285714285</v>
      </c>
      <c r="M17" s="195">
        <v>17</v>
      </c>
      <c r="N17" s="195" t="s">
        <v>229</v>
      </c>
    </row>
    <row r="18" spans="1:14" s="198" customFormat="1">
      <c r="A18" s="194" t="s">
        <v>433</v>
      </c>
      <c r="B18" s="194" t="s">
        <v>354</v>
      </c>
      <c r="C18" s="195">
        <v>13.81</v>
      </c>
      <c r="D18" s="195">
        <v>15.68</v>
      </c>
      <c r="E18" s="195">
        <v>16.53</v>
      </c>
      <c r="F18" s="195">
        <v>16.73</v>
      </c>
      <c r="G18" s="195">
        <v>16.79</v>
      </c>
      <c r="H18" s="195">
        <v>17.13</v>
      </c>
      <c r="I18" s="195">
        <v>15.43</v>
      </c>
      <c r="J18" s="195">
        <v>15.56</v>
      </c>
      <c r="K18" s="195">
        <v>14.74</v>
      </c>
      <c r="L18" s="195">
        <v>13.45</v>
      </c>
      <c r="M18" s="195">
        <v>14.14</v>
      </c>
      <c r="N18" s="195">
        <v>14.57</v>
      </c>
    </row>
    <row r="19" spans="1:14">
      <c r="A19" s="194" t="s">
        <v>434</v>
      </c>
      <c r="B19" t="s">
        <v>354</v>
      </c>
      <c r="C19" s="195">
        <v>15.47</v>
      </c>
      <c r="D19" s="195" t="s">
        <v>229</v>
      </c>
      <c r="E19" s="106">
        <v>17.82</v>
      </c>
      <c r="F19" s="195">
        <v>18.3</v>
      </c>
      <c r="G19" s="195">
        <v>18.28</v>
      </c>
      <c r="H19" s="195">
        <v>17.54</v>
      </c>
      <c r="I19" s="195">
        <v>16.47</v>
      </c>
      <c r="J19" s="195">
        <v>17.07</v>
      </c>
      <c r="K19" s="195">
        <v>16.260000000000002</v>
      </c>
      <c r="L19" s="195">
        <v>16.100000000000001</v>
      </c>
      <c r="M19" s="195">
        <v>15.98</v>
      </c>
      <c r="N19" s="195">
        <v>16.239999999999998</v>
      </c>
    </row>
    <row r="20" spans="1:14">
      <c r="A20" t="s">
        <v>435</v>
      </c>
      <c r="B20" t="s">
        <v>371</v>
      </c>
      <c r="C20" s="296">
        <v>31.77</v>
      </c>
      <c r="D20" s="296">
        <v>32.1</v>
      </c>
      <c r="E20" s="253">
        <v>35.6</v>
      </c>
      <c r="F20" s="296">
        <v>38.18</v>
      </c>
      <c r="G20" s="296">
        <v>40.229999999999997</v>
      </c>
      <c r="H20" s="296">
        <v>40.96</v>
      </c>
      <c r="I20" s="296">
        <v>30.87</v>
      </c>
      <c r="J20" s="296">
        <v>27.27</v>
      </c>
      <c r="K20" s="296">
        <v>26.35</v>
      </c>
      <c r="L20" s="296">
        <v>26.28</v>
      </c>
      <c r="M20" s="296">
        <v>25.86</v>
      </c>
      <c r="N20" s="296">
        <v>24.47</v>
      </c>
    </row>
    <row r="21" spans="1:14">
      <c r="A21" s="173" t="s">
        <v>195</v>
      </c>
      <c r="B21"/>
      <c r="C21" s="195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</row>
    <row r="22" spans="1:14">
      <c r="A22" s="173" t="s">
        <v>436</v>
      </c>
      <c r="B22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</row>
    <row r="23" spans="1:14">
      <c r="A23" t="s">
        <v>437</v>
      </c>
      <c r="B23" t="s">
        <v>248</v>
      </c>
      <c r="C23" s="195">
        <v>88.5625</v>
      </c>
      <c r="D23" s="195">
        <v>85.875</v>
      </c>
      <c r="E23" s="195">
        <v>92</v>
      </c>
      <c r="F23" s="195">
        <v>103.15</v>
      </c>
      <c r="G23" s="195">
        <v>108.6875</v>
      </c>
      <c r="H23" s="195">
        <v>102.25</v>
      </c>
      <c r="I23" s="195">
        <v>87.9</v>
      </c>
      <c r="J23" s="195">
        <v>91.3125</v>
      </c>
      <c r="K23" s="195">
        <v>76.849999999999994</v>
      </c>
      <c r="L23" s="195">
        <v>80.125</v>
      </c>
      <c r="M23" s="195">
        <v>84.375</v>
      </c>
      <c r="N23" s="195">
        <v>74.05</v>
      </c>
    </row>
    <row r="24" spans="1:14">
      <c r="A24" t="s">
        <v>488</v>
      </c>
      <c r="B24" t="s">
        <v>248</v>
      </c>
      <c r="C24" s="195">
        <v>89.5</v>
      </c>
      <c r="D24" s="195">
        <v>98.5</v>
      </c>
      <c r="E24" s="195">
        <v>112.5</v>
      </c>
      <c r="F24" s="296">
        <v>112.8</v>
      </c>
      <c r="G24">
        <v>102.5</v>
      </c>
      <c r="H24" s="195">
        <v>88</v>
      </c>
      <c r="I24" s="195">
        <v>88</v>
      </c>
      <c r="J24" s="195">
        <v>88</v>
      </c>
      <c r="K24" s="296">
        <v>73.599999999999994</v>
      </c>
      <c r="L24" s="296">
        <v>66.25</v>
      </c>
      <c r="M24" s="195">
        <v>65</v>
      </c>
      <c r="N24" s="366">
        <v>65</v>
      </c>
    </row>
    <row r="25" spans="1:14">
      <c r="A25" t="s">
        <v>438</v>
      </c>
      <c r="B25" t="s">
        <v>248</v>
      </c>
      <c r="C25" s="296">
        <v>55.674999999999997</v>
      </c>
      <c r="D25" s="296">
        <v>59.29</v>
      </c>
      <c r="E25" s="296">
        <v>67.1875</v>
      </c>
      <c r="F25" s="296">
        <v>71.55</v>
      </c>
      <c r="G25" s="296">
        <v>77.802499999999995</v>
      </c>
      <c r="H25" s="296">
        <v>76.375</v>
      </c>
      <c r="I25" s="296">
        <v>62.25</v>
      </c>
      <c r="J25" s="296">
        <v>65.4375</v>
      </c>
      <c r="K25" s="296">
        <v>66.263999999999996</v>
      </c>
      <c r="L25" s="253">
        <v>65.412499999999994</v>
      </c>
      <c r="M25" s="296">
        <v>69.67</v>
      </c>
      <c r="N25" s="296">
        <v>60</v>
      </c>
    </row>
    <row r="26" spans="1:14">
      <c r="A26" t="s">
        <v>489</v>
      </c>
      <c r="B26" t="s">
        <v>248</v>
      </c>
      <c r="C26" s="296">
        <v>61</v>
      </c>
      <c r="D26" s="296">
        <v>72.28947368421052</v>
      </c>
      <c r="E26" s="296">
        <v>80.543478260869563</v>
      </c>
      <c r="F26" s="296">
        <v>79.666666666666671</v>
      </c>
      <c r="G26" s="296">
        <v>82.36904761904762</v>
      </c>
      <c r="H26" s="296">
        <v>77.452380952380949</v>
      </c>
      <c r="I26" s="296">
        <v>68.845625000000013</v>
      </c>
      <c r="J26" s="296">
        <v>70.692708333333329</v>
      </c>
      <c r="K26" s="296">
        <v>73.816499999999991</v>
      </c>
      <c r="L26" s="296">
        <v>73.81</v>
      </c>
      <c r="M26" s="296">
        <v>78.315624999999997</v>
      </c>
      <c r="N26" s="296">
        <v>69.519833333333338</v>
      </c>
    </row>
    <row r="27" spans="1:14">
      <c r="A27" t="s">
        <v>439</v>
      </c>
      <c r="B27" t="s">
        <v>248</v>
      </c>
      <c r="C27" s="195">
        <v>97.9375</v>
      </c>
      <c r="D27" s="195">
        <v>101.375</v>
      </c>
      <c r="E27" s="195">
        <v>114.875</v>
      </c>
      <c r="F27" s="195">
        <v>120.05</v>
      </c>
      <c r="G27" s="195">
        <v>119.5625</v>
      </c>
      <c r="H27" s="195">
        <v>115.75</v>
      </c>
      <c r="I27" s="195">
        <v>100.8</v>
      </c>
      <c r="J27" s="195">
        <v>113.75</v>
      </c>
      <c r="K27" s="195">
        <v>113.2</v>
      </c>
      <c r="L27" s="195">
        <v>110.1875</v>
      </c>
      <c r="M27" s="195">
        <v>116.6875</v>
      </c>
      <c r="N27" s="195">
        <v>105.1</v>
      </c>
    </row>
    <row r="28" spans="1:14">
      <c r="A28" s="194" t="s">
        <v>440</v>
      </c>
      <c r="B28" t="s">
        <v>248</v>
      </c>
      <c r="C28" s="147" t="s">
        <v>229</v>
      </c>
      <c r="D28" s="147">
        <v>82</v>
      </c>
      <c r="E28" s="147" t="s">
        <v>229</v>
      </c>
      <c r="F28" s="195" t="s">
        <v>229</v>
      </c>
      <c r="G28" s="195" t="s">
        <v>229</v>
      </c>
      <c r="H28" s="195" t="s">
        <v>229</v>
      </c>
      <c r="I28" s="147" t="s">
        <v>229</v>
      </c>
      <c r="J28" s="147" t="s">
        <v>229</v>
      </c>
      <c r="K28" s="147" t="s">
        <v>229</v>
      </c>
      <c r="L28" s="147">
        <v>88</v>
      </c>
      <c r="M28" s="195" t="s">
        <v>229</v>
      </c>
      <c r="N28" s="195" t="s">
        <v>229</v>
      </c>
    </row>
    <row r="29" spans="1:14">
      <c r="A29" t="s">
        <v>490</v>
      </c>
      <c r="B29" t="s">
        <v>248</v>
      </c>
      <c r="C29" s="195">
        <v>65.75</v>
      </c>
      <c r="D29" s="195">
        <v>73.4375</v>
      </c>
      <c r="E29" s="296">
        <v>85.0625</v>
      </c>
      <c r="F29" s="195">
        <v>82.8</v>
      </c>
      <c r="G29" s="195">
        <v>82.3125</v>
      </c>
      <c r="H29" s="195">
        <v>74.587500000000006</v>
      </c>
      <c r="I29" s="296">
        <v>55.1</v>
      </c>
      <c r="J29" s="296">
        <v>51.4375</v>
      </c>
      <c r="K29" s="296">
        <v>46.33</v>
      </c>
      <c r="L29" s="296">
        <v>45.75</v>
      </c>
      <c r="M29" s="195">
        <v>47.5</v>
      </c>
      <c r="N29" s="296">
        <v>47.6</v>
      </c>
    </row>
    <row r="30" spans="1:14">
      <c r="A30" t="s">
        <v>491</v>
      </c>
      <c r="B30" t="s">
        <v>248</v>
      </c>
      <c r="C30" s="195">
        <v>94.375</v>
      </c>
      <c r="D30" s="195">
        <v>101.25</v>
      </c>
      <c r="E30" s="195">
        <v>117.5625</v>
      </c>
      <c r="F30" s="195">
        <v>114.4</v>
      </c>
      <c r="G30" s="296">
        <v>112.375</v>
      </c>
      <c r="H30" s="195">
        <v>104.625</v>
      </c>
      <c r="I30" s="195">
        <v>84.7</v>
      </c>
      <c r="J30" s="195">
        <v>80.625</v>
      </c>
      <c r="K30" s="195">
        <v>75.650000000000006</v>
      </c>
      <c r="L30" s="195">
        <v>75.5</v>
      </c>
      <c r="M30" s="195">
        <v>77</v>
      </c>
      <c r="N30" s="195">
        <v>77.099999999999994</v>
      </c>
    </row>
    <row r="31" spans="1:14">
      <c r="A31" t="s">
        <v>492</v>
      </c>
      <c r="B31" t="s">
        <v>248</v>
      </c>
      <c r="C31" s="195">
        <v>103.125</v>
      </c>
      <c r="D31" s="195">
        <v>105</v>
      </c>
      <c r="E31" s="195">
        <v>107.5</v>
      </c>
      <c r="F31" s="195">
        <v>115</v>
      </c>
      <c r="G31" s="195">
        <v>116.25</v>
      </c>
      <c r="H31" s="195">
        <v>116.25</v>
      </c>
      <c r="I31" s="195">
        <v>103.2</v>
      </c>
      <c r="J31" s="195">
        <v>107.25</v>
      </c>
      <c r="K31" s="195">
        <v>111.6</v>
      </c>
      <c r="L31" s="195">
        <v>107.75</v>
      </c>
      <c r="M31" s="195">
        <v>111</v>
      </c>
      <c r="N31" s="195">
        <v>101</v>
      </c>
    </row>
    <row r="32" spans="1:14">
      <c r="A32" t="s">
        <v>493</v>
      </c>
      <c r="B32" t="s">
        <v>248</v>
      </c>
      <c r="C32" s="195">
        <v>65.7</v>
      </c>
      <c r="D32" s="195">
        <v>70.91</v>
      </c>
      <c r="E32" s="195">
        <v>76.405000000000001</v>
      </c>
      <c r="F32" s="195">
        <v>83.846000000000004</v>
      </c>
      <c r="G32" s="195">
        <v>87.385000000000005</v>
      </c>
      <c r="H32" s="195">
        <v>80.297499999999999</v>
      </c>
      <c r="I32" s="195">
        <v>67.74799999999999</v>
      </c>
      <c r="J32" s="195">
        <v>72.334999999999994</v>
      </c>
      <c r="K32" s="195">
        <v>70.626000000000005</v>
      </c>
      <c r="L32" s="195">
        <v>72.67</v>
      </c>
      <c r="M32" s="195">
        <v>79.180000000000007</v>
      </c>
      <c r="N32" s="195">
        <v>68.14</v>
      </c>
    </row>
    <row r="33" spans="1:15">
      <c r="A33" t="s">
        <v>441</v>
      </c>
      <c r="B33" t="s">
        <v>248</v>
      </c>
      <c r="C33" s="195">
        <v>123.125</v>
      </c>
      <c r="D33" s="195">
        <v>115.33333333333333</v>
      </c>
      <c r="E33" s="195">
        <v>129</v>
      </c>
      <c r="F33" s="195">
        <v>120.4</v>
      </c>
      <c r="G33" s="195">
        <v>113.5</v>
      </c>
      <c r="H33" s="195">
        <v>97.75</v>
      </c>
      <c r="I33" s="195">
        <v>78.2</v>
      </c>
      <c r="J33" s="195">
        <v>92</v>
      </c>
      <c r="K33" s="195">
        <v>88.4</v>
      </c>
      <c r="L33" s="195">
        <v>93.75</v>
      </c>
      <c r="M33" s="195">
        <v>106</v>
      </c>
      <c r="N33" s="195">
        <v>92.3</v>
      </c>
    </row>
    <row r="34" spans="1:15" s="198" customFormat="1">
      <c r="A34" s="194" t="s">
        <v>442</v>
      </c>
      <c r="B34" t="s">
        <v>248</v>
      </c>
      <c r="C34" s="195">
        <v>76.5</v>
      </c>
      <c r="D34" s="195">
        <v>80</v>
      </c>
      <c r="E34" s="195">
        <v>81.5</v>
      </c>
      <c r="F34" s="195">
        <v>83.125</v>
      </c>
      <c r="G34" s="195">
        <v>84.25</v>
      </c>
      <c r="H34" s="195">
        <v>86.5</v>
      </c>
      <c r="I34" s="195">
        <v>81.5</v>
      </c>
      <c r="J34" s="195" t="s">
        <v>229</v>
      </c>
      <c r="K34" s="195">
        <v>92</v>
      </c>
      <c r="L34" s="195">
        <v>88.5</v>
      </c>
      <c r="M34" s="195">
        <v>88.5</v>
      </c>
      <c r="N34" s="195">
        <v>84</v>
      </c>
      <c r="O34" s="204"/>
    </row>
    <row r="35" spans="1:15">
      <c r="A35" t="s">
        <v>708</v>
      </c>
      <c r="B35" t="s">
        <v>248</v>
      </c>
      <c r="C35" s="296">
        <v>43.5</v>
      </c>
      <c r="D35" s="296">
        <v>54.25</v>
      </c>
      <c r="E35" s="296">
        <v>59.039999999999992</v>
      </c>
      <c r="F35" s="195">
        <v>58.025999999999996</v>
      </c>
      <c r="G35" s="195">
        <v>60.585000000000008</v>
      </c>
      <c r="H35" s="195">
        <v>61.769999999999996</v>
      </c>
      <c r="I35" s="195">
        <v>59.265999999999998</v>
      </c>
      <c r="J35" s="195">
        <v>59.5</v>
      </c>
      <c r="K35" s="195">
        <v>62.3</v>
      </c>
      <c r="L35" s="195">
        <v>61.502499999999998</v>
      </c>
      <c r="M35" s="195">
        <v>62.207499999999996</v>
      </c>
      <c r="N35" s="195">
        <v>60.8125</v>
      </c>
      <c r="O35" s="379"/>
    </row>
    <row r="36" spans="1:15">
      <c r="A36" t="s">
        <v>235</v>
      </c>
      <c r="B36" t="s">
        <v>372</v>
      </c>
      <c r="C36" s="40">
        <v>5.2275</v>
      </c>
      <c r="D36" s="40">
        <v>5.6812500000000004</v>
      </c>
      <c r="E36" s="40">
        <v>6.4950000000000001</v>
      </c>
      <c r="F36" s="40">
        <v>6.99</v>
      </c>
      <c r="G36" s="40">
        <v>7.53</v>
      </c>
      <c r="H36" s="40">
        <v>7.4333333333333336</v>
      </c>
      <c r="I36" s="40">
        <v>6.5625</v>
      </c>
      <c r="J36" s="40">
        <v>6.5733333333333333</v>
      </c>
      <c r="K36" s="40">
        <v>6.7</v>
      </c>
      <c r="L36" s="40">
        <v>6.7049999999999992</v>
      </c>
      <c r="M36" s="40">
        <v>6.91</v>
      </c>
      <c r="N36" s="195">
        <v>6.1050000000000004</v>
      </c>
    </row>
    <row r="37" spans="1:15">
      <c r="A37" s="173" t="s">
        <v>196</v>
      </c>
      <c r="B37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</row>
    <row r="38" spans="1:15">
      <c r="A38" t="s">
        <v>494</v>
      </c>
      <c r="B38" t="s">
        <v>355</v>
      </c>
      <c r="C38" s="147">
        <v>410.875</v>
      </c>
      <c r="D38" s="147">
        <v>454.625</v>
      </c>
      <c r="E38" s="147">
        <v>487.03750000000002</v>
      </c>
      <c r="F38" s="147">
        <v>470.77999999999992</v>
      </c>
      <c r="G38" s="147">
        <v>454.5</v>
      </c>
      <c r="H38" s="147">
        <v>478.17499999999995</v>
      </c>
      <c r="I38" s="147">
        <v>501.17999999999995</v>
      </c>
      <c r="J38" s="147">
        <v>521.52500000000009</v>
      </c>
      <c r="K38" s="147">
        <v>434.53999999999996</v>
      </c>
      <c r="L38" s="147">
        <v>409.17499999999995</v>
      </c>
      <c r="M38" s="147">
        <v>402.99999999999994</v>
      </c>
      <c r="N38" s="147">
        <v>437.09999999999997</v>
      </c>
    </row>
    <row r="39" spans="1:15">
      <c r="A39" t="s">
        <v>495</v>
      </c>
      <c r="B39" t="s">
        <v>355</v>
      </c>
      <c r="C39" s="147">
        <v>318.125</v>
      </c>
      <c r="D39" s="147">
        <v>333.75</v>
      </c>
      <c r="E39" s="147">
        <v>345.625</v>
      </c>
      <c r="F39" s="147">
        <v>355</v>
      </c>
      <c r="G39" s="147">
        <v>388.75</v>
      </c>
      <c r="H39" s="147">
        <v>383.75</v>
      </c>
      <c r="I39" s="147">
        <v>369.5</v>
      </c>
      <c r="J39" s="147">
        <v>405</v>
      </c>
      <c r="K39" s="147">
        <v>450</v>
      </c>
      <c r="L39" s="147">
        <v>451.875</v>
      </c>
      <c r="M39" s="147">
        <v>405</v>
      </c>
      <c r="N39" s="147">
        <v>390.625</v>
      </c>
    </row>
    <row r="40" spans="1:15">
      <c r="A40" t="s">
        <v>496</v>
      </c>
      <c r="B40" t="s">
        <v>355</v>
      </c>
      <c r="C40" s="147">
        <v>326.25</v>
      </c>
      <c r="D40" s="147">
        <v>350</v>
      </c>
      <c r="E40" s="147">
        <v>392.5</v>
      </c>
      <c r="F40" s="147">
        <v>386</v>
      </c>
      <c r="G40" s="147">
        <v>351.25</v>
      </c>
      <c r="H40" s="147">
        <v>322.5</v>
      </c>
      <c r="I40" s="147">
        <v>351.5</v>
      </c>
      <c r="J40" s="147">
        <v>347.5</v>
      </c>
      <c r="K40" s="147" t="s">
        <v>229</v>
      </c>
      <c r="L40" s="147" t="s">
        <v>229</v>
      </c>
      <c r="M40" s="147">
        <v>357.5</v>
      </c>
      <c r="N40" s="147">
        <v>368.5</v>
      </c>
    </row>
    <row r="41" spans="1:15" s="196" customFormat="1">
      <c r="A41" s="194" t="s">
        <v>444</v>
      </c>
      <c r="B41" t="s">
        <v>355</v>
      </c>
      <c r="C41" s="147">
        <v>421.21</v>
      </c>
      <c r="D41" s="147">
        <v>460.45</v>
      </c>
      <c r="E41" s="147">
        <v>493.97500000000002</v>
      </c>
      <c r="F41" s="147">
        <v>475.35999999999996</v>
      </c>
      <c r="G41" s="147">
        <v>441.27499999999998</v>
      </c>
      <c r="H41" s="147">
        <v>445.92499999999995</v>
      </c>
      <c r="I41" s="147">
        <v>467.87</v>
      </c>
      <c r="J41" s="147">
        <v>510.90000000000009</v>
      </c>
      <c r="K41" s="147">
        <v>473.93999999999994</v>
      </c>
      <c r="L41" s="147">
        <v>468.67499999999995</v>
      </c>
      <c r="M41" s="147">
        <v>436.74999999999994</v>
      </c>
      <c r="N41" s="147">
        <v>462.85</v>
      </c>
    </row>
    <row r="42" spans="1:15">
      <c r="A42" s="194" t="s">
        <v>497</v>
      </c>
      <c r="B42" t="s">
        <v>355</v>
      </c>
      <c r="C42" s="147">
        <v>301.25</v>
      </c>
      <c r="D42" s="147">
        <v>320</v>
      </c>
      <c r="E42" s="147">
        <v>333.33300000000003</v>
      </c>
      <c r="F42" s="147">
        <v>321</v>
      </c>
      <c r="G42" s="147">
        <v>285.625</v>
      </c>
      <c r="H42" s="147">
        <v>281.875</v>
      </c>
      <c r="I42" s="147">
        <v>268.5</v>
      </c>
      <c r="J42" s="147">
        <v>255</v>
      </c>
      <c r="K42" s="376" t="s">
        <v>229</v>
      </c>
      <c r="L42" s="147" t="s">
        <v>229</v>
      </c>
      <c r="M42" s="147" t="s">
        <v>229</v>
      </c>
      <c r="N42" s="147">
        <v>200</v>
      </c>
    </row>
    <row r="43" spans="1:15">
      <c r="A43" s="173" t="s">
        <v>233</v>
      </c>
      <c r="B43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</row>
    <row r="44" spans="1:15">
      <c r="A44" s="173" t="s">
        <v>445</v>
      </c>
      <c r="B44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</row>
    <row r="45" spans="1:15">
      <c r="A45" t="s">
        <v>446</v>
      </c>
      <c r="B45" t="s">
        <v>197</v>
      </c>
      <c r="C45" s="147" t="s">
        <v>229</v>
      </c>
      <c r="D45" s="147" t="s">
        <v>229</v>
      </c>
      <c r="E45" s="147" t="s">
        <v>229</v>
      </c>
      <c r="F45" s="147" t="s">
        <v>229</v>
      </c>
      <c r="G45" s="147" t="s">
        <v>229</v>
      </c>
      <c r="H45" s="147" t="s">
        <v>229</v>
      </c>
      <c r="I45" s="147" t="s">
        <v>229</v>
      </c>
      <c r="J45" s="147" t="s">
        <v>229</v>
      </c>
      <c r="K45" s="147" t="s">
        <v>229</v>
      </c>
      <c r="L45" s="147" t="s">
        <v>229</v>
      </c>
      <c r="M45" s="147" t="s">
        <v>229</v>
      </c>
      <c r="N45" s="147" t="s">
        <v>229</v>
      </c>
      <c r="O45"/>
    </row>
    <row r="46" spans="1:15">
      <c r="A46" s="173" t="s">
        <v>447</v>
      </c>
      <c r="B4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38"/>
    </row>
    <row r="47" spans="1:15">
      <c r="A47" t="s">
        <v>448</v>
      </c>
      <c r="B47" t="s">
        <v>197</v>
      </c>
      <c r="C47" s="335">
        <v>327.61099999999999</v>
      </c>
      <c r="D47" s="335">
        <v>328.82499999999999</v>
      </c>
      <c r="E47" s="335">
        <v>332.214</v>
      </c>
      <c r="F47" s="335">
        <v>360.01100000000002</v>
      </c>
      <c r="G47" s="335">
        <v>377.10700000000003</v>
      </c>
      <c r="H47" s="335">
        <v>365.39699999999999</v>
      </c>
      <c r="I47" s="335">
        <v>364.43400000000003</v>
      </c>
      <c r="J47" s="335">
        <v>378.779</v>
      </c>
      <c r="K47" s="335">
        <v>422.21100000000001</v>
      </c>
      <c r="L47" s="335">
        <v>421.36700000000002</v>
      </c>
      <c r="M47" s="335" t="s">
        <v>653</v>
      </c>
      <c r="N47" s="335" t="s">
        <v>654</v>
      </c>
      <c r="O47" s="38"/>
    </row>
    <row r="48" spans="1:15">
      <c r="A48" t="s">
        <v>449</v>
      </c>
      <c r="B48" t="s">
        <v>197</v>
      </c>
      <c r="C48" s="335">
        <v>362.29199999999997</v>
      </c>
      <c r="D48" s="335">
        <v>388.68900000000002</v>
      </c>
      <c r="E48" s="335">
        <v>418.10700000000003</v>
      </c>
      <c r="F48" s="335">
        <v>425.017</v>
      </c>
      <c r="G48" s="335">
        <v>444.50299999999999</v>
      </c>
      <c r="H48" s="335">
        <v>443.423</v>
      </c>
      <c r="I48" s="335">
        <v>421.12099999999998</v>
      </c>
      <c r="J48" s="335">
        <v>417.60700000000003</v>
      </c>
      <c r="K48" s="335">
        <v>417.63600000000002</v>
      </c>
      <c r="L48" s="335">
        <v>403.12299999999999</v>
      </c>
      <c r="M48" s="335" t="s">
        <v>651</v>
      </c>
      <c r="N48" s="335" t="s">
        <v>652</v>
      </c>
      <c r="O48" s="38"/>
    </row>
    <row r="49" spans="1:15" customFormat="1">
      <c r="A49" t="s">
        <v>450</v>
      </c>
      <c r="B49" t="s">
        <v>197</v>
      </c>
      <c r="C49" s="335">
        <v>343.74200000000002</v>
      </c>
      <c r="D49" s="335">
        <v>369.78</v>
      </c>
      <c r="E49" s="335">
        <v>404.41699999999997</v>
      </c>
      <c r="F49" s="335">
        <v>405.86700000000002</v>
      </c>
      <c r="G49" s="335">
        <v>419.34199999999998</v>
      </c>
      <c r="H49" s="335">
        <v>428.70299999999997</v>
      </c>
      <c r="I49" s="335">
        <v>395.613</v>
      </c>
      <c r="J49" s="335">
        <v>399.10199999999998</v>
      </c>
      <c r="K49" s="335">
        <v>394.75799999999998</v>
      </c>
      <c r="L49" s="335">
        <v>390.54599999999999</v>
      </c>
      <c r="M49" s="335" t="s">
        <v>656</v>
      </c>
      <c r="N49" s="335" t="s">
        <v>657</v>
      </c>
      <c r="O49" s="38"/>
    </row>
    <row r="50" spans="1:15">
      <c r="A50" s="1" t="s">
        <v>451</v>
      </c>
      <c r="B50" s="1" t="s">
        <v>240</v>
      </c>
      <c r="C50" s="368">
        <v>149.69200000000001</v>
      </c>
      <c r="D50" s="368">
        <v>150.31</v>
      </c>
      <c r="E50" s="368">
        <v>148.80600000000001</v>
      </c>
      <c r="F50" s="368">
        <v>147.89099999999999</v>
      </c>
      <c r="G50" s="368">
        <v>156.66200000000001</v>
      </c>
      <c r="H50" s="368">
        <v>160.46799999999999</v>
      </c>
      <c r="I50" s="368">
        <v>158.417</v>
      </c>
      <c r="J50" s="368">
        <v>161.56100000000001</v>
      </c>
      <c r="K50" s="368">
        <v>160.54499999999999</v>
      </c>
      <c r="L50" s="368">
        <v>158.44999999999999</v>
      </c>
      <c r="M50" s="368">
        <v>158.73699999999999</v>
      </c>
      <c r="N50" s="368">
        <v>156.64699999999999</v>
      </c>
    </row>
    <row r="51" spans="1:15">
      <c r="A51" s="52" t="s">
        <v>655</v>
      </c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5" ht="11.25" customHeight="1">
      <c r="A52" t="s">
        <v>709</v>
      </c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5" ht="10.15" customHeight="1">
      <c r="A53" s="52" t="s">
        <v>692</v>
      </c>
      <c r="B53"/>
      <c r="C53"/>
      <c r="D53"/>
      <c r="E53"/>
      <c r="F53"/>
      <c r="G53"/>
      <c r="H53"/>
      <c r="I53"/>
      <c r="J53"/>
      <c r="L53"/>
      <c r="M53" s="55"/>
      <c r="N53" s="55"/>
    </row>
    <row r="54" spans="1:15" ht="11.25" customHeight="1">
      <c r="A54" s="52" t="s">
        <v>693</v>
      </c>
      <c r="B54"/>
      <c r="C54"/>
      <c r="D54"/>
      <c r="E54"/>
      <c r="F54"/>
      <c r="G54"/>
      <c r="H54"/>
      <c r="I54"/>
      <c r="J54"/>
      <c r="K54"/>
      <c r="M54"/>
    </row>
    <row r="55" spans="1:15">
      <c r="N55" s="225" t="s">
        <v>592</v>
      </c>
    </row>
  </sheetData>
  <pageMargins left="0.7" right="0.7" top="0.75" bottom="1.25" header="0.3" footer="0.3"/>
  <pageSetup scale="81" firstPageNumber="35" fitToHeight="0" orientation="landscape" useFirstPageNumber="1" r:id="rId1"/>
  <headerFooter alignWithMargins="0">
    <oddHeader xml:space="preserve">&amp;C
</oddHeader>
    <oddFooter>&amp;COil Crops Yearbook/OCS-2023
March 2023
Economic Research Service</oddFooter>
  </headerFooter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O69"/>
  <sheetViews>
    <sheetView zoomScaleNormal="100" zoomScaleSheetLayoutView="100" workbookViewId="0">
      <pane ySplit="5" topLeftCell="A17" activePane="bottomLeft" state="frozen"/>
      <selection pane="bottomLeft"/>
    </sheetView>
  </sheetViews>
  <sheetFormatPr defaultRowHeight="11.25"/>
  <cols>
    <col min="1" max="9" width="11.83203125" customWidth="1"/>
    <col min="10" max="10" width="14.33203125" customWidth="1"/>
    <col min="11" max="11" width="11.83203125" customWidth="1"/>
    <col min="12" max="12" width="11.33203125" customWidth="1"/>
    <col min="13" max="13" width="11.83203125" customWidth="1"/>
    <col min="15" max="15" width="11" bestFit="1" customWidth="1"/>
  </cols>
  <sheetData>
    <row r="1" spans="1:15">
      <c r="A1" s="1" t="s">
        <v>629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>
      <c r="A2" s="7"/>
      <c r="B2" s="121"/>
      <c r="C2" s="9"/>
      <c r="D2" s="9" t="s">
        <v>75</v>
      </c>
      <c r="E2" s="118"/>
      <c r="F2" s="9"/>
      <c r="G2" s="9" t="s">
        <v>73</v>
      </c>
      <c r="H2" s="9"/>
      <c r="I2" s="9"/>
      <c r="J2" s="108" t="s">
        <v>201</v>
      </c>
      <c r="K2" s="109" t="s">
        <v>147</v>
      </c>
    </row>
    <row r="3" spans="1:15">
      <c r="A3" s="7" t="s">
        <v>202</v>
      </c>
      <c r="B3" s="109" t="s">
        <v>199</v>
      </c>
      <c r="C3" s="7" t="s">
        <v>40</v>
      </c>
      <c r="D3" s="7" t="s">
        <v>49</v>
      </c>
      <c r="E3" s="118" t="s">
        <v>2</v>
      </c>
      <c r="F3" s="7" t="s">
        <v>97</v>
      </c>
      <c r="G3" s="7" t="s">
        <v>50</v>
      </c>
      <c r="H3" s="7" t="s">
        <v>2</v>
      </c>
      <c r="I3" s="7" t="s">
        <v>206</v>
      </c>
      <c r="J3" s="109" t="s">
        <v>207</v>
      </c>
      <c r="K3" s="109"/>
    </row>
    <row r="4" spans="1:15">
      <c r="A4" s="9" t="s">
        <v>452</v>
      </c>
      <c r="B4" s="116" t="s">
        <v>200</v>
      </c>
      <c r="C4" s="9" t="s">
        <v>161</v>
      </c>
      <c r="D4" s="9"/>
      <c r="E4" s="114"/>
      <c r="F4" s="9"/>
      <c r="G4" s="9"/>
      <c r="H4" s="9"/>
      <c r="I4" s="9" t="s">
        <v>214</v>
      </c>
      <c r="J4" s="176" t="s">
        <v>373</v>
      </c>
      <c r="K4" s="116"/>
    </row>
    <row r="5" spans="1:15">
      <c r="A5" s="73"/>
      <c r="B5" s="73"/>
      <c r="C5" s="157"/>
      <c r="D5" s="157"/>
      <c r="E5" s="157"/>
      <c r="F5" s="157" t="s">
        <v>294</v>
      </c>
      <c r="G5" s="157"/>
      <c r="H5" s="157"/>
      <c r="I5" s="157"/>
      <c r="J5" s="150" t="s">
        <v>55</v>
      </c>
      <c r="K5" s="150" t="s">
        <v>248</v>
      </c>
    </row>
    <row r="6" spans="1:15">
      <c r="B6" s="57"/>
      <c r="C6" s="74"/>
      <c r="D6" s="74"/>
      <c r="E6" s="74"/>
      <c r="F6" s="74"/>
      <c r="G6" s="74"/>
      <c r="H6" s="74"/>
      <c r="I6" s="74"/>
      <c r="J6" s="7"/>
      <c r="K6" s="7"/>
      <c r="L6" s="57"/>
    </row>
    <row r="7" spans="1:15">
      <c r="A7" s="10">
        <v>1980</v>
      </c>
      <c r="B7" s="12">
        <v>49.906999999999996</v>
      </c>
      <c r="C7" s="27">
        <v>1207</v>
      </c>
      <c r="D7" s="27">
        <v>0</v>
      </c>
      <c r="E7" s="27">
        <f>SUM(B7:D7)</f>
        <v>1256.9069999999999</v>
      </c>
      <c r="F7" s="12">
        <f>H7-G7</f>
        <v>1115.0629999999999</v>
      </c>
      <c r="G7" s="12">
        <v>92.402000000000001</v>
      </c>
      <c r="H7" s="27">
        <f>E7-B8</f>
        <v>1207.4649999999999</v>
      </c>
      <c r="I7" s="27">
        <v>588.08199999999999</v>
      </c>
      <c r="J7" s="45">
        <f>+I7/227.726</f>
        <v>2.5824104406172328</v>
      </c>
      <c r="K7" s="26">
        <v>20.72</v>
      </c>
      <c r="L7" s="27"/>
      <c r="M7" s="27"/>
      <c r="N7" s="27"/>
      <c r="O7" s="27"/>
    </row>
    <row r="8" spans="1:15">
      <c r="A8" s="10">
        <v>1981</v>
      </c>
      <c r="B8" s="12">
        <v>49.442</v>
      </c>
      <c r="C8" s="27">
        <v>1159</v>
      </c>
      <c r="D8" s="27">
        <v>0</v>
      </c>
      <c r="E8" s="27">
        <f t="shared" ref="E8:E43" si="0">SUM(B8:D8)</f>
        <v>1208.442</v>
      </c>
      <c r="F8" s="12">
        <f t="shared" ref="F8:F42" si="1">H8-G8</f>
        <v>1021.7070000000001</v>
      </c>
      <c r="G8" s="12">
        <v>149.69299999999998</v>
      </c>
      <c r="H8" s="27">
        <f t="shared" ref="H8:H41" si="2">E8-B9</f>
        <v>1171.4000000000001</v>
      </c>
      <c r="I8" s="27">
        <v>573.43599999999992</v>
      </c>
      <c r="J8" s="45">
        <f>+I8/229.966</f>
        <v>2.4935686144908376</v>
      </c>
      <c r="K8" s="26">
        <v>20.329999999999998</v>
      </c>
      <c r="L8" s="27"/>
      <c r="M8" s="27"/>
      <c r="N8" s="27"/>
      <c r="O8" s="27"/>
    </row>
    <row r="9" spans="1:15">
      <c r="A9" s="10">
        <v>1982</v>
      </c>
      <c r="B9" s="12">
        <v>37.042000000000002</v>
      </c>
      <c r="C9" s="27">
        <v>1011</v>
      </c>
      <c r="D9" s="27">
        <v>0</v>
      </c>
      <c r="E9" s="27">
        <f t="shared" si="0"/>
        <v>1048.0419999999999</v>
      </c>
      <c r="F9" s="12">
        <f t="shared" si="1"/>
        <v>907.59199999999998</v>
      </c>
      <c r="G9" s="12">
        <v>102.97299999999998</v>
      </c>
      <c r="H9" s="27">
        <f t="shared" si="2"/>
        <v>1010.5649999999999</v>
      </c>
      <c r="I9" s="27">
        <v>585.48</v>
      </c>
      <c r="J9" s="45">
        <f>+I9/232.188</f>
        <v>2.5215773424983206</v>
      </c>
      <c r="K9" s="26">
        <v>21.4</v>
      </c>
      <c r="L9" s="27"/>
      <c r="M9" s="27"/>
      <c r="N9" s="27"/>
      <c r="O9" s="27"/>
    </row>
    <row r="10" spans="1:15">
      <c r="A10" s="10">
        <v>1983</v>
      </c>
      <c r="B10" s="12">
        <v>37.476999999999997</v>
      </c>
      <c r="C10" s="27">
        <v>973</v>
      </c>
      <c r="D10" s="27">
        <v>0</v>
      </c>
      <c r="E10" s="27">
        <f t="shared" si="0"/>
        <v>1010.477</v>
      </c>
      <c r="F10" s="12">
        <f t="shared" si="1"/>
        <v>887.66700000000003</v>
      </c>
      <c r="G10" s="12">
        <v>88.616</v>
      </c>
      <c r="H10" s="27">
        <f t="shared" si="2"/>
        <v>976.28300000000002</v>
      </c>
      <c r="I10" s="27">
        <v>487.38100000000003</v>
      </c>
      <c r="J10" s="45">
        <f>+I10/234.307</f>
        <v>2.080095771786588</v>
      </c>
      <c r="K10" s="26">
        <v>17.600000000000001</v>
      </c>
      <c r="L10" s="27"/>
      <c r="M10" s="27"/>
      <c r="N10" s="27"/>
      <c r="O10" s="27"/>
    </row>
    <row r="11" spans="1:15">
      <c r="A11" s="10">
        <v>1984</v>
      </c>
      <c r="B11" s="12">
        <v>34.194000000000003</v>
      </c>
      <c r="C11" s="27">
        <v>939</v>
      </c>
      <c r="D11" s="27">
        <v>2.181</v>
      </c>
      <c r="E11" s="27">
        <f t="shared" si="0"/>
        <v>975.375</v>
      </c>
      <c r="F11" s="12">
        <f t="shared" si="1"/>
        <v>847.68700000000001</v>
      </c>
      <c r="G11" s="12">
        <v>88.972999999999999</v>
      </c>
      <c r="H11" s="27">
        <f t="shared" si="2"/>
        <v>936.66</v>
      </c>
      <c r="I11" s="27">
        <v>492.91200000000015</v>
      </c>
      <c r="J11" s="45">
        <f>+I11/236.348</f>
        <v>2.0855348892311341</v>
      </c>
      <c r="K11" s="26">
        <v>28.23</v>
      </c>
      <c r="L11" s="27"/>
      <c r="M11" s="27"/>
      <c r="N11" s="27"/>
      <c r="O11" s="27"/>
    </row>
    <row r="12" spans="1:15">
      <c r="A12" s="10">
        <v>1985</v>
      </c>
      <c r="B12" s="12">
        <v>38.715000000000003</v>
      </c>
      <c r="C12" s="27">
        <v>927</v>
      </c>
      <c r="D12" s="27">
        <v>2.1910000000000003</v>
      </c>
      <c r="E12" s="27">
        <f t="shared" si="0"/>
        <v>967.90600000000006</v>
      </c>
      <c r="F12" s="12">
        <f t="shared" si="1"/>
        <v>827.94100000000003</v>
      </c>
      <c r="G12" s="12">
        <v>104.52800000000002</v>
      </c>
      <c r="H12" s="27">
        <f t="shared" si="2"/>
        <v>932.46900000000005</v>
      </c>
      <c r="I12" s="27">
        <v>427.42499999999995</v>
      </c>
      <c r="J12" s="45">
        <f>+I12/238.466</f>
        <v>1.7923938842434559</v>
      </c>
      <c r="K12" s="26">
        <v>19.55</v>
      </c>
      <c r="L12" s="27"/>
      <c r="M12" s="27"/>
      <c r="N12" s="27"/>
      <c r="O12" s="27"/>
    </row>
    <row r="13" spans="1:15">
      <c r="A13" s="10">
        <v>1986</v>
      </c>
      <c r="B13" s="12">
        <v>35.436999999999998</v>
      </c>
      <c r="C13" s="27">
        <v>875</v>
      </c>
      <c r="D13" s="27">
        <v>1.4790000000000001</v>
      </c>
      <c r="E13" s="27">
        <f t="shared" si="0"/>
        <v>911.91600000000005</v>
      </c>
      <c r="F13" s="12">
        <f t="shared" si="1"/>
        <v>785.50000000000011</v>
      </c>
      <c r="G13" s="12">
        <v>104.468</v>
      </c>
      <c r="H13" s="27">
        <f t="shared" si="2"/>
        <v>889.96800000000007</v>
      </c>
      <c r="I13" s="27">
        <v>417.65100000000007</v>
      </c>
      <c r="J13" s="45">
        <f>+I13/240.651</f>
        <v>1.7355049428425398</v>
      </c>
      <c r="K13" s="26">
        <v>13.69</v>
      </c>
      <c r="L13" s="27"/>
      <c r="M13" s="27"/>
      <c r="N13" s="27"/>
      <c r="O13" s="27"/>
    </row>
    <row r="14" spans="1:15">
      <c r="A14" s="10">
        <v>1987</v>
      </c>
      <c r="B14" s="12">
        <v>21.948</v>
      </c>
      <c r="C14" s="27">
        <v>863</v>
      </c>
      <c r="D14" s="27">
        <v>1.0990000000000002</v>
      </c>
      <c r="E14" s="27">
        <f t="shared" si="0"/>
        <v>886.04700000000003</v>
      </c>
      <c r="F14" s="12">
        <f t="shared" si="1"/>
        <v>745.79399999999998</v>
      </c>
      <c r="G14" s="12">
        <v>107.206</v>
      </c>
      <c r="H14" s="27">
        <f t="shared" si="2"/>
        <v>853</v>
      </c>
      <c r="I14" s="27">
        <v>441.58699999999999</v>
      </c>
      <c r="J14" s="45">
        <f>+I14/242.804</f>
        <v>1.8186973855455428</v>
      </c>
      <c r="K14" s="26">
        <v>14.79</v>
      </c>
      <c r="L14" s="27"/>
      <c r="M14" s="27"/>
      <c r="N14" s="27"/>
      <c r="O14" s="27"/>
    </row>
    <row r="15" spans="1:15">
      <c r="A15" s="10">
        <v>1988</v>
      </c>
      <c r="B15" s="12">
        <v>33.046999999999997</v>
      </c>
      <c r="C15" s="27">
        <v>932</v>
      </c>
      <c r="D15" s="27">
        <v>1.0489999999999999</v>
      </c>
      <c r="E15" s="27">
        <f t="shared" si="0"/>
        <v>966.096</v>
      </c>
      <c r="F15" s="12">
        <f t="shared" si="1"/>
        <v>801.71199999999999</v>
      </c>
      <c r="G15" s="12">
        <v>127.03399999999999</v>
      </c>
      <c r="H15" s="27">
        <f t="shared" si="2"/>
        <v>928.74599999999998</v>
      </c>
      <c r="I15" s="27">
        <v>434.29899999999992</v>
      </c>
      <c r="J15" s="45">
        <f>+I15/245.021</f>
        <v>1.7724970512731559</v>
      </c>
      <c r="K15" s="26">
        <v>16.309999999999999</v>
      </c>
      <c r="L15" s="27"/>
      <c r="M15" s="27"/>
      <c r="N15" s="27"/>
      <c r="O15" s="27"/>
    </row>
    <row r="16" spans="1:15">
      <c r="A16" s="10">
        <v>1989</v>
      </c>
      <c r="B16" s="12">
        <v>37.35</v>
      </c>
      <c r="C16" s="27">
        <v>850.07228500000008</v>
      </c>
      <c r="D16" s="27">
        <v>1.4067626843339998</v>
      </c>
      <c r="E16" s="27">
        <f t="shared" si="0"/>
        <v>888.82904768433411</v>
      </c>
      <c r="F16" s="12">
        <f t="shared" si="1"/>
        <v>746.43538547192009</v>
      </c>
      <c r="G16" s="12">
        <v>110.393662212414</v>
      </c>
      <c r="H16" s="27">
        <f t="shared" si="2"/>
        <v>856.82904768433411</v>
      </c>
      <c r="I16" s="27">
        <v>422.67238547192005</v>
      </c>
      <c r="J16" s="45">
        <f>+I16/247.342</f>
        <v>1.7088581214347747</v>
      </c>
      <c r="K16" s="26">
        <v>14.09</v>
      </c>
      <c r="L16" s="27"/>
      <c r="M16" s="27"/>
      <c r="N16" s="27"/>
      <c r="O16" s="27"/>
    </row>
    <row r="17" spans="1:15">
      <c r="A17" s="10">
        <v>1990</v>
      </c>
      <c r="B17" s="12">
        <v>32</v>
      </c>
      <c r="C17" s="27">
        <v>743.05269500000009</v>
      </c>
      <c r="D17" s="27">
        <v>2.9229799999999999</v>
      </c>
      <c r="E17" s="27">
        <f t="shared" si="0"/>
        <v>777.97567500000014</v>
      </c>
      <c r="F17" s="12">
        <f t="shared" si="1"/>
        <v>655.46050500000013</v>
      </c>
      <c r="G17" s="12">
        <v>97.255170000000007</v>
      </c>
      <c r="H17" s="27">
        <f t="shared" si="2"/>
        <v>752.71567500000015</v>
      </c>
      <c r="I17" s="27">
        <v>291.11750500000011</v>
      </c>
      <c r="J17" s="45">
        <f>+I17/250.132</f>
        <v>1.1638555042937333</v>
      </c>
      <c r="K17" s="26">
        <v>13.3</v>
      </c>
      <c r="L17" s="27"/>
      <c r="M17" s="27"/>
      <c r="N17" s="27"/>
      <c r="O17" s="27"/>
    </row>
    <row r="18" spans="1:15">
      <c r="A18" s="10">
        <v>1991</v>
      </c>
      <c r="B18" s="12">
        <v>25.26</v>
      </c>
      <c r="C18" s="27">
        <v>776.995135</v>
      </c>
      <c r="D18" s="27">
        <v>2.7531999999999996</v>
      </c>
      <c r="E18" s="27">
        <f t="shared" si="0"/>
        <v>805.00833499999999</v>
      </c>
      <c r="F18" s="12">
        <f t="shared" si="1"/>
        <v>646.984195</v>
      </c>
      <c r="G18" s="12">
        <v>120.60314</v>
      </c>
      <c r="H18" s="27">
        <f t="shared" si="2"/>
        <v>767.58733499999994</v>
      </c>
      <c r="I18" s="27">
        <v>253.93119500000009</v>
      </c>
      <c r="J18" s="45">
        <f>+I18/253.493</f>
        <v>1.0017286276149642</v>
      </c>
      <c r="K18" s="26">
        <v>13.47</v>
      </c>
      <c r="L18" s="27"/>
      <c r="M18" s="27"/>
      <c r="N18" s="27"/>
      <c r="O18" s="27"/>
    </row>
    <row r="19" spans="1:15">
      <c r="A19" s="10">
        <v>1992</v>
      </c>
      <c r="B19" s="12">
        <v>37.420999999999999</v>
      </c>
      <c r="C19" s="27">
        <v>838.30971</v>
      </c>
      <c r="D19" s="27">
        <v>2.4576739999999999</v>
      </c>
      <c r="E19" s="27">
        <f t="shared" si="0"/>
        <v>878.18838400000004</v>
      </c>
      <c r="F19" s="12">
        <f t="shared" si="1"/>
        <v>719.19815900000003</v>
      </c>
      <c r="G19" s="12">
        <v>136.27022499999998</v>
      </c>
      <c r="H19" s="27">
        <f t="shared" si="2"/>
        <v>855.46838400000001</v>
      </c>
      <c r="I19" s="27">
        <v>239.48515900000015</v>
      </c>
      <c r="J19" s="45">
        <f>+I19/256.894</f>
        <v>0.93223336862674933</v>
      </c>
      <c r="K19" s="26">
        <v>13.3</v>
      </c>
      <c r="L19" s="27"/>
      <c r="M19" s="27"/>
      <c r="N19" s="27"/>
      <c r="O19" s="27"/>
    </row>
    <row r="20" spans="1:15">
      <c r="A20" s="10">
        <v>1993</v>
      </c>
      <c r="B20" s="12">
        <v>22.72</v>
      </c>
      <c r="C20" s="27">
        <v>801.26045299999998</v>
      </c>
      <c r="D20" s="27">
        <v>3.098055</v>
      </c>
      <c r="E20" s="27">
        <f t="shared" si="0"/>
        <v>827.07850800000006</v>
      </c>
      <c r="F20" s="12">
        <f t="shared" si="1"/>
        <v>674.93820100000016</v>
      </c>
      <c r="G20" s="12">
        <v>114.42630699999999</v>
      </c>
      <c r="H20" s="27">
        <f t="shared" si="2"/>
        <v>789.36450800000011</v>
      </c>
      <c r="I20" s="27">
        <v>200.63820100000007</v>
      </c>
      <c r="J20" s="45">
        <f>+I20/260.255</f>
        <v>0.7709292847399668</v>
      </c>
      <c r="K20" s="26">
        <v>15.42</v>
      </c>
      <c r="L20" s="27"/>
      <c r="M20" s="27"/>
      <c r="N20" s="27"/>
      <c r="O20" s="27"/>
    </row>
    <row r="21" spans="1:15">
      <c r="A21" s="10">
        <v>1994</v>
      </c>
      <c r="B21" s="12">
        <v>37.713999999999999</v>
      </c>
      <c r="C21" s="27">
        <v>743.75176700000009</v>
      </c>
      <c r="D21" s="27">
        <v>2.745319190274</v>
      </c>
      <c r="E21" s="27">
        <f t="shared" si="0"/>
        <v>784.21108619027416</v>
      </c>
      <c r="F21" s="12">
        <f t="shared" si="1"/>
        <v>606.60077201482227</v>
      </c>
      <c r="G21" s="12">
        <v>136.99831417545198</v>
      </c>
      <c r="H21" s="27">
        <f t="shared" si="2"/>
        <v>743.59908619027419</v>
      </c>
      <c r="I21" s="27">
        <v>154.60077201482204</v>
      </c>
      <c r="J21" s="45">
        <f>+I21/263.436</f>
        <v>0.58686273711573989</v>
      </c>
      <c r="K21" s="26">
        <v>17.53</v>
      </c>
      <c r="L21" s="27"/>
      <c r="M21" s="27"/>
      <c r="N21" s="27"/>
      <c r="O21" s="27"/>
    </row>
    <row r="22" spans="1:15">
      <c r="A22" s="10">
        <v>1995</v>
      </c>
      <c r="B22" s="12">
        <v>40.612000000000002</v>
      </c>
      <c r="C22" s="27">
        <v>714.64624600000002</v>
      </c>
      <c r="D22" s="27">
        <v>1.4571890033399999</v>
      </c>
      <c r="E22" s="27">
        <f t="shared" si="0"/>
        <v>756.71543500333996</v>
      </c>
      <c r="F22" s="12">
        <f t="shared" si="1"/>
        <v>594.31062084715199</v>
      </c>
      <c r="G22" s="12">
        <v>124.03281415618804</v>
      </c>
      <c r="H22" s="27">
        <f t="shared" si="2"/>
        <v>718.34343500334001</v>
      </c>
      <c r="I22" s="27">
        <v>106.17222921558604</v>
      </c>
      <c r="J22" s="45">
        <f>+I22/266.557</f>
        <v>0.39830966440793542</v>
      </c>
      <c r="K22" s="26">
        <v>20.260000000000002</v>
      </c>
      <c r="L22" s="27"/>
      <c r="M22" s="27"/>
      <c r="N22" s="27"/>
      <c r="O22" s="27"/>
    </row>
    <row r="23" spans="1:15">
      <c r="A23" s="10">
        <v>1996</v>
      </c>
      <c r="B23" s="12">
        <v>38.372</v>
      </c>
      <c r="C23" s="27">
        <v>679.5079320000001</v>
      </c>
      <c r="D23" s="27">
        <v>1.4931948898439997</v>
      </c>
      <c r="E23" s="27">
        <f t="shared" si="0"/>
        <v>719.373126889844</v>
      </c>
      <c r="F23" s="12">
        <f t="shared" si="1"/>
        <v>599.69656941324797</v>
      </c>
      <c r="G23" s="12">
        <v>100.72855747659602</v>
      </c>
      <c r="H23" s="27">
        <f t="shared" si="2"/>
        <v>700.42512688984402</v>
      </c>
      <c r="I23" s="27">
        <v>151.80156941324805</v>
      </c>
      <c r="J23" s="45">
        <f>+I23/269.667</f>
        <v>0.56292230570758772</v>
      </c>
      <c r="K23" s="26">
        <v>21.9</v>
      </c>
      <c r="L23" s="27"/>
      <c r="M23" s="27"/>
      <c r="N23" s="27"/>
      <c r="O23" s="27"/>
    </row>
    <row r="24" spans="1:15">
      <c r="A24" s="10">
        <v>1997</v>
      </c>
      <c r="B24" s="12">
        <v>18.948</v>
      </c>
      <c r="C24" s="27">
        <v>682.48304200000007</v>
      </c>
      <c r="D24" s="27">
        <v>1.22359827933</v>
      </c>
      <c r="E24" s="27">
        <f t="shared" si="0"/>
        <v>702.65464027933001</v>
      </c>
      <c r="F24" s="12">
        <f t="shared" si="1"/>
        <v>590.08195259490594</v>
      </c>
      <c r="G24" s="12">
        <v>90.419687684424019</v>
      </c>
      <c r="H24" s="27">
        <f t="shared" si="2"/>
        <v>680.50164027932999</v>
      </c>
      <c r="I24" s="27">
        <v>209.04795259490606</v>
      </c>
      <c r="J24" s="45">
        <f>+I24/272.912</f>
        <v>0.76599032873199446</v>
      </c>
      <c r="K24" s="26">
        <v>23.42</v>
      </c>
      <c r="L24" s="27"/>
      <c r="M24" s="27"/>
      <c r="N24" s="27"/>
      <c r="O24" s="27"/>
    </row>
    <row r="25" spans="1:15">
      <c r="A25" s="10">
        <v>1998</v>
      </c>
      <c r="B25" s="12">
        <v>22.152999999999999</v>
      </c>
      <c r="C25" s="27">
        <v>743.88144199999999</v>
      </c>
      <c r="D25" s="27">
        <v>2.2460931444420003</v>
      </c>
      <c r="E25" s="27">
        <f t="shared" si="0"/>
        <v>768.28053514444207</v>
      </c>
      <c r="F25" s="12">
        <f t="shared" si="1"/>
        <v>608.48239822002608</v>
      </c>
      <c r="G25" s="12">
        <v>131.445136924416</v>
      </c>
      <c r="H25" s="27">
        <f t="shared" si="2"/>
        <v>739.92753514444212</v>
      </c>
      <c r="I25" s="27">
        <v>195.58539822002606</v>
      </c>
      <c r="J25" s="45">
        <f>+I25/276.115</f>
        <v>0.70834760233969929</v>
      </c>
      <c r="K25" s="26">
        <v>17.86</v>
      </c>
      <c r="L25" s="27"/>
      <c r="M25" s="27"/>
      <c r="N25" s="27"/>
      <c r="O25" s="27"/>
    </row>
    <row r="26" spans="1:15">
      <c r="A26" s="10">
        <v>1999</v>
      </c>
      <c r="B26" s="12">
        <v>28.353000000000002</v>
      </c>
      <c r="C26" s="27">
        <v>735.1751680000001</v>
      </c>
      <c r="D26" s="27">
        <v>1.824009444054</v>
      </c>
      <c r="E26" s="27">
        <f t="shared" si="0"/>
        <v>765.35217744405406</v>
      </c>
      <c r="F26" s="12">
        <f t="shared" si="1"/>
        <v>591.24050537986614</v>
      </c>
      <c r="G26" s="12">
        <v>147.43267206418798</v>
      </c>
      <c r="H26" s="27">
        <f t="shared" si="2"/>
        <v>738.67317744405409</v>
      </c>
      <c r="I26" s="27">
        <v>202.47850537986605</v>
      </c>
      <c r="J26" s="45">
        <f>+I26/279.295</f>
        <v>0.72496287215978106</v>
      </c>
      <c r="K26" s="26">
        <v>14.909999999999998</v>
      </c>
      <c r="L26" s="27"/>
      <c r="M26" s="27"/>
      <c r="N26" s="27"/>
      <c r="O26" s="27"/>
    </row>
    <row r="27" spans="1:15">
      <c r="A27" s="10">
        <v>2000</v>
      </c>
      <c r="B27" s="12">
        <v>26.678999999999998</v>
      </c>
      <c r="C27" s="27">
        <v>718.48378000000002</v>
      </c>
      <c r="D27" s="27">
        <v>2.4835265245980001</v>
      </c>
      <c r="E27" s="27">
        <f t="shared" si="0"/>
        <v>747.646306524598</v>
      </c>
      <c r="F27" s="12">
        <f t="shared" si="1"/>
        <v>557.50655144090194</v>
      </c>
      <c r="G27" s="12">
        <v>173.93975508369599</v>
      </c>
      <c r="H27" s="27">
        <f t="shared" si="2"/>
        <v>731.44630652459796</v>
      </c>
      <c r="I27" s="27">
        <v>221.02555144090203</v>
      </c>
      <c r="J27" s="45">
        <f>+I27/282.385</f>
        <v>0.78270995782673314</v>
      </c>
      <c r="K27" s="26">
        <v>12.25</v>
      </c>
      <c r="L27" s="27"/>
      <c r="M27" s="27"/>
      <c r="N27" s="27"/>
      <c r="O27" s="27"/>
    </row>
    <row r="28" spans="1:15">
      <c r="A28" s="10">
        <v>2001</v>
      </c>
      <c r="B28" s="12">
        <v>16.2</v>
      </c>
      <c r="C28" s="27">
        <v>724.190292</v>
      </c>
      <c r="D28" s="27">
        <v>3.2403181416480002</v>
      </c>
      <c r="E28" s="27">
        <f t="shared" si="0"/>
        <v>743.63061014164805</v>
      </c>
      <c r="F28" s="12">
        <f t="shared" si="1"/>
        <v>626.68004273246208</v>
      </c>
      <c r="G28" s="12">
        <v>103.32856740918599</v>
      </c>
      <c r="H28" s="27">
        <f t="shared" si="2"/>
        <v>730.00861014164809</v>
      </c>
      <c r="I28" s="27">
        <v>325.47404273246201</v>
      </c>
      <c r="J28" s="45">
        <f>+I28/285.309</f>
        <v>1.140777342223561</v>
      </c>
      <c r="K28" s="26">
        <v>14.93</v>
      </c>
      <c r="L28" s="27"/>
      <c r="M28" s="27"/>
      <c r="N28" s="27"/>
      <c r="O28" s="27"/>
    </row>
    <row r="29" spans="1:15">
      <c r="A29" s="10">
        <v>2002</v>
      </c>
      <c r="B29" s="12">
        <v>13.622</v>
      </c>
      <c r="C29" s="27">
        <v>743.72054400000013</v>
      </c>
      <c r="D29" s="27">
        <v>8.3558480732999989</v>
      </c>
      <c r="E29" s="27">
        <f t="shared" si="0"/>
        <v>765.69839207330006</v>
      </c>
      <c r="F29" s="12">
        <f t="shared" si="1"/>
        <v>670.94937082460604</v>
      </c>
      <c r="G29" s="12">
        <v>84.22202124869402</v>
      </c>
      <c r="H29" s="27">
        <f t="shared" si="2"/>
        <v>755.17139207330001</v>
      </c>
      <c r="I29" s="27">
        <v>370.31737082460597</v>
      </c>
      <c r="J29" s="45">
        <f>+I29/288.105</f>
        <v>1.2853555850283958</v>
      </c>
      <c r="K29" s="26">
        <v>14.22</v>
      </c>
      <c r="L29" s="27"/>
      <c r="M29" s="27"/>
      <c r="N29" s="27"/>
      <c r="O29" s="27"/>
    </row>
    <row r="30" spans="1:15">
      <c r="A30" s="10">
        <v>2003</v>
      </c>
      <c r="B30" s="12">
        <v>10.526999999999999</v>
      </c>
      <c r="C30" s="27">
        <v>752.52086000000008</v>
      </c>
      <c r="D30" s="27">
        <v>7.1872947960660012</v>
      </c>
      <c r="E30" s="27">
        <f t="shared" si="0"/>
        <v>770.23515479606613</v>
      </c>
      <c r="F30" s="12">
        <f t="shared" si="1"/>
        <v>639.61561525048023</v>
      </c>
      <c r="G30" s="12">
        <v>117.319539545586</v>
      </c>
      <c r="H30" s="27">
        <f t="shared" si="2"/>
        <v>756.93515479606617</v>
      </c>
      <c r="I30" s="27">
        <v>368.51761525047999</v>
      </c>
      <c r="J30" s="45">
        <f>+I30/290.82</f>
        <v>1.2671673724313322</v>
      </c>
      <c r="K30" s="26">
        <v>20.63</v>
      </c>
      <c r="L30" s="27"/>
      <c r="M30" s="27"/>
      <c r="N30" s="27"/>
      <c r="O30" s="27"/>
    </row>
    <row r="31" spans="1:15">
      <c r="A31" s="10">
        <v>2004</v>
      </c>
      <c r="B31" s="12">
        <v>13.3</v>
      </c>
      <c r="C31" s="27">
        <v>772.47290400000009</v>
      </c>
      <c r="D31" s="27">
        <v>4.9995425636100004</v>
      </c>
      <c r="E31" s="27">
        <f t="shared" si="0"/>
        <v>790.77244656361006</v>
      </c>
      <c r="F31" s="12">
        <f t="shared" si="1"/>
        <v>487.79641512037597</v>
      </c>
      <c r="G31" s="12">
        <v>289.20903144323404</v>
      </c>
      <c r="H31" s="27">
        <f t="shared" si="2"/>
        <v>777.00544656361001</v>
      </c>
      <c r="I31" s="27">
        <v>220.18941512037597</v>
      </c>
      <c r="J31" s="45">
        <f>+I31/293.463</f>
        <v>0.75031406044501681</v>
      </c>
      <c r="K31" s="26">
        <v>26.35</v>
      </c>
      <c r="L31" s="27"/>
      <c r="M31" s="27"/>
      <c r="N31" s="27"/>
      <c r="O31" s="27"/>
    </row>
    <row r="32" spans="1:15">
      <c r="A32" s="10">
        <v>2005</v>
      </c>
      <c r="B32" s="12">
        <v>13.766999999999999</v>
      </c>
      <c r="C32" s="27">
        <v>779.18800399999998</v>
      </c>
      <c r="D32" s="27">
        <v>4.9972762121940004</v>
      </c>
      <c r="E32" s="27">
        <f t="shared" si="0"/>
        <v>797.95228021219407</v>
      </c>
      <c r="F32" s="12">
        <f t="shared" si="1"/>
        <v>694.75367150942805</v>
      </c>
      <c r="G32" s="12">
        <v>93.828608702766005</v>
      </c>
      <c r="H32" s="27">
        <f t="shared" si="2"/>
        <v>788.58228021219406</v>
      </c>
      <c r="I32" s="27">
        <v>459.74267150942802</v>
      </c>
      <c r="J32" s="45">
        <f>+I32/296.186</f>
        <v>1.5522093262660221</v>
      </c>
      <c r="K32" s="26">
        <v>21.14</v>
      </c>
      <c r="L32" s="27"/>
      <c r="M32" s="27"/>
      <c r="N32" s="27"/>
      <c r="O32" s="27"/>
    </row>
    <row r="33" spans="1:15">
      <c r="A33" s="10">
        <v>2006</v>
      </c>
      <c r="B33" s="12">
        <v>9.3699999999999992</v>
      </c>
      <c r="C33" s="27">
        <v>787.99352799999997</v>
      </c>
      <c r="D33" s="27">
        <v>7.2840843157320005</v>
      </c>
      <c r="E33" s="27">
        <f t="shared" si="0"/>
        <v>804.64761231573198</v>
      </c>
      <c r="F33" s="12">
        <f t="shared" si="1"/>
        <v>718.50725803742193</v>
      </c>
      <c r="G33" s="12">
        <v>71.940354278309997</v>
      </c>
      <c r="H33" s="27">
        <f t="shared" si="2"/>
        <v>790.44761231573193</v>
      </c>
      <c r="I33" s="27">
        <v>498.62325803742209</v>
      </c>
      <c r="J33" s="45">
        <f>+I33/298.996</f>
        <v>1.6676586243208007</v>
      </c>
      <c r="K33" s="26">
        <v>21.17</v>
      </c>
      <c r="L33" s="27"/>
      <c r="M33" s="27"/>
      <c r="N33" s="27"/>
      <c r="O33" s="27"/>
    </row>
    <row r="34" spans="1:15">
      <c r="A34" s="10">
        <v>2007</v>
      </c>
      <c r="B34" s="12">
        <v>14.2</v>
      </c>
      <c r="C34" s="27">
        <v>820.78726799999993</v>
      </c>
      <c r="D34" s="27">
        <v>8.633134405349999</v>
      </c>
      <c r="E34" s="27">
        <f t="shared" si="0"/>
        <v>843.62040240534998</v>
      </c>
      <c r="F34" s="12">
        <f t="shared" si="1"/>
        <v>756.84678672630798</v>
      </c>
      <c r="G34" s="12">
        <v>72.869615679042013</v>
      </c>
      <c r="H34" s="27">
        <f t="shared" si="2"/>
        <v>829.71640240534998</v>
      </c>
      <c r="I34" s="27">
        <v>486.71278672630802</v>
      </c>
      <c r="J34" s="45">
        <f>+I34/302.004</f>
        <v>1.6116103982937577</v>
      </c>
      <c r="K34" s="26">
        <v>31.32</v>
      </c>
      <c r="L34" s="27"/>
      <c r="M34" s="27"/>
      <c r="N34" s="27"/>
      <c r="O34" s="27"/>
    </row>
    <row r="35" spans="1:15">
      <c r="A35" s="10">
        <v>2008</v>
      </c>
      <c r="B35" s="12">
        <v>13.904</v>
      </c>
      <c r="C35" s="27">
        <v>873.56340399999999</v>
      </c>
      <c r="D35" s="27">
        <v>6.9303196465020012</v>
      </c>
      <c r="E35" s="27">
        <f t="shared" si="0"/>
        <v>894.39772364650196</v>
      </c>
      <c r="F35" s="12">
        <f t="shared" si="1"/>
        <v>801.13594857445196</v>
      </c>
      <c r="G35" s="12">
        <v>81.120775072050023</v>
      </c>
      <c r="H35" s="27">
        <f t="shared" si="2"/>
        <v>882.256723646502</v>
      </c>
      <c r="I35" s="27">
        <v>317.43394857445196</v>
      </c>
      <c r="J35" s="45">
        <f>+I35/304.798</f>
        <v>1.041456796220618</v>
      </c>
      <c r="K35" s="26">
        <v>39.340000000000003</v>
      </c>
      <c r="L35" s="27"/>
      <c r="M35" s="27"/>
      <c r="N35" s="27"/>
      <c r="O35" s="27"/>
    </row>
    <row r="36" spans="1:15">
      <c r="A36" s="10">
        <v>2009</v>
      </c>
      <c r="B36" s="12">
        <v>12.141</v>
      </c>
      <c r="C36" s="27">
        <v>860.24881600000003</v>
      </c>
      <c r="D36" s="27">
        <v>16.553208075642001</v>
      </c>
      <c r="E36" s="27">
        <f t="shared" si="0"/>
        <v>888.94302407564203</v>
      </c>
      <c r="F36" s="12">
        <f t="shared" si="1"/>
        <v>787.97323087645805</v>
      </c>
      <c r="G36" s="12">
        <v>83.469793199183997</v>
      </c>
      <c r="H36" s="27">
        <f t="shared" si="2"/>
        <v>871.44302407564203</v>
      </c>
      <c r="I36" s="27">
        <v>447.67323087645798</v>
      </c>
      <c r="J36" s="45">
        <f>+I36/307.439</f>
        <v>1.4561367649402253</v>
      </c>
      <c r="K36" s="26">
        <v>26.81</v>
      </c>
      <c r="L36" s="27"/>
      <c r="M36" s="27"/>
      <c r="N36" s="27"/>
      <c r="O36" s="27"/>
    </row>
    <row r="37" spans="1:15">
      <c r="A37" s="10">
        <v>2010</v>
      </c>
      <c r="B37" s="12">
        <v>17.5</v>
      </c>
      <c r="C37" s="27">
        <v>840.12989199999993</v>
      </c>
      <c r="D37" s="27">
        <v>15.375547504925999</v>
      </c>
      <c r="E37" s="27">
        <f t="shared" si="0"/>
        <v>873.0054395049259</v>
      </c>
      <c r="F37" s="12">
        <f t="shared" si="1"/>
        <v>775.81970316725585</v>
      </c>
      <c r="G37" s="12">
        <v>71.580736337670004</v>
      </c>
      <c r="H37" s="27">
        <f t="shared" si="2"/>
        <v>847.40043950492588</v>
      </c>
      <c r="I37" s="27">
        <v>479.76326316725607</v>
      </c>
      <c r="J37" s="45">
        <f>+I37/310.062</f>
        <v>1.5473139667784381</v>
      </c>
      <c r="K37" s="26">
        <v>35.130000000000003</v>
      </c>
      <c r="L37" s="27"/>
      <c r="M37" s="27"/>
      <c r="N37" s="27"/>
      <c r="O37" s="27"/>
    </row>
    <row r="38" spans="1:15">
      <c r="A38" s="10">
        <v>2011</v>
      </c>
      <c r="B38" s="12">
        <v>25.605</v>
      </c>
      <c r="C38" s="27">
        <v>851.819164</v>
      </c>
      <c r="D38" s="27">
        <v>13.405772863475999</v>
      </c>
      <c r="E38" s="27">
        <f t="shared" si="0"/>
        <v>890.82993686347606</v>
      </c>
      <c r="F38" s="12">
        <f t="shared" si="1"/>
        <v>794.16272089824804</v>
      </c>
      <c r="G38" s="12">
        <v>76.66721596522801</v>
      </c>
      <c r="H38" s="27">
        <f t="shared" si="2"/>
        <v>870.82993686347606</v>
      </c>
      <c r="I38" s="45" t="s">
        <v>229</v>
      </c>
      <c r="J38" s="45" t="s">
        <v>229</v>
      </c>
      <c r="K38" s="26">
        <v>54.55</v>
      </c>
      <c r="L38" s="27"/>
      <c r="M38" s="27"/>
      <c r="N38" s="27"/>
      <c r="O38" s="27"/>
    </row>
    <row r="39" spans="1:15">
      <c r="A39" s="10">
        <v>2012</v>
      </c>
      <c r="B39" s="12">
        <v>20</v>
      </c>
      <c r="C39" s="27">
        <v>870.57829600000002</v>
      </c>
      <c r="D39" s="27">
        <v>14.309564266242001</v>
      </c>
      <c r="E39" s="27">
        <f t="shared" si="0"/>
        <v>904.887860266242</v>
      </c>
      <c r="F39" s="12">
        <f t="shared" si="1"/>
        <v>830.15700578213205</v>
      </c>
      <c r="G39" s="12">
        <v>54.730854484109997</v>
      </c>
      <c r="H39" s="27">
        <f t="shared" si="2"/>
        <v>884.887860266242</v>
      </c>
      <c r="I39" s="45" t="s">
        <v>229</v>
      </c>
      <c r="J39" s="45" t="s">
        <v>229</v>
      </c>
      <c r="K39" s="26">
        <v>53.87</v>
      </c>
      <c r="L39" s="27"/>
      <c r="M39" s="27"/>
      <c r="N39" s="27"/>
      <c r="O39" s="27"/>
    </row>
    <row r="40" spans="1:15">
      <c r="A40" s="10">
        <v>2013</v>
      </c>
      <c r="B40" s="12">
        <v>20</v>
      </c>
      <c r="C40" s="27">
        <v>867.08425999999997</v>
      </c>
      <c r="D40" s="27">
        <v>14.153479233264001</v>
      </c>
      <c r="E40" s="27">
        <f t="shared" si="0"/>
        <v>901.23773923326394</v>
      </c>
      <c r="F40" s="12">
        <f t="shared" si="1"/>
        <v>816.42700683949988</v>
      </c>
      <c r="G40" s="12">
        <v>64.810732393763999</v>
      </c>
      <c r="H40" s="27">
        <f t="shared" si="2"/>
        <v>881.23773923326394</v>
      </c>
      <c r="I40" s="45" t="s">
        <v>229</v>
      </c>
      <c r="J40" s="45" t="s">
        <v>229</v>
      </c>
      <c r="K40" s="26">
        <v>49.27</v>
      </c>
      <c r="L40" s="27"/>
      <c r="M40" s="27"/>
      <c r="N40" s="27"/>
      <c r="O40" s="27"/>
    </row>
    <row r="41" spans="1:15">
      <c r="A41" s="10">
        <v>2014</v>
      </c>
      <c r="B41" s="12">
        <v>20</v>
      </c>
      <c r="C41" s="27">
        <v>852.07024000000001</v>
      </c>
      <c r="D41" s="27">
        <v>16.192507665600001</v>
      </c>
      <c r="E41" s="27">
        <f t="shared" si="0"/>
        <v>888.26274766560005</v>
      </c>
      <c r="F41" s="12">
        <f t="shared" si="1"/>
        <v>821.10542011498001</v>
      </c>
      <c r="G41" s="12">
        <v>47.157327550619996</v>
      </c>
      <c r="H41" s="27">
        <f t="shared" si="2"/>
        <v>868.26274766560005</v>
      </c>
      <c r="I41" s="45" t="s">
        <v>229</v>
      </c>
      <c r="J41" s="45" t="s">
        <v>229</v>
      </c>
      <c r="K41" s="26">
        <v>43.36</v>
      </c>
      <c r="L41" s="27"/>
      <c r="M41" s="27"/>
      <c r="N41" s="27"/>
      <c r="O41" s="27"/>
    </row>
    <row r="42" spans="1:15">
      <c r="A42" s="10">
        <v>2015</v>
      </c>
      <c r="B42" s="199">
        <v>20</v>
      </c>
      <c r="C42" s="27">
        <v>914.89451199999996</v>
      </c>
      <c r="D42" s="27">
        <v>14.241337829208002</v>
      </c>
      <c r="E42" s="27">
        <f>SUM(B42:D42)</f>
        <v>949.13584982920793</v>
      </c>
      <c r="F42" s="12">
        <f t="shared" si="1"/>
        <v>896.93644210719594</v>
      </c>
      <c r="G42" s="12">
        <v>43.580407722011998</v>
      </c>
      <c r="H42" s="27">
        <f t="shared" ref="H42:H45" si="3">E42-B43</f>
        <v>940.5168498292079</v>
      </c>
      <c r="I42" s="45" t="s">
        <v>229</v>
      </c>
      <c r="J42" s="45" t="s">
        <v>229</v>
      </c>
      <c r="K42" s="26">
        <v>30.17</v>
      </c>
      <c r="L42" s="27"/>
      <c r="M42" s="27"/>
      <c r="N42" s="27"/>
      <c r="O42" s="27"/>
    </row>
    <row r="43" spans="1:15">
      <c r="A43" s="10">
        <v>2016</v>
      </c>
      <c r="B43" s="12">
        <v>8.6189999999999998</v>
      </c>
      <c r="C43" s="27">
        <v>932.46078799999998</v>
      </c>
      <c r="D43" s="27">
        <v>10.378692375534001</v>
      </c>
      <c r="E43" s="27">
        <f t="shared" si="0"/>
        <v>951.45848037553401</v>
      </c>
      <c r="F43" s="12">
        <f t="shared" ref="F43:F49" si="4">H43-G43</f>
        <v>901.39535744796001</v>
      </c>
      <c r="G43" s="12">
        <v>42.063122927574</v>
      </c>
      <c r="H43" s="27">
        <f t="shared" si="3"/>
        <v>943.45848037553401</v>
      </c>
      <c r="I43" s="45" t="s">
        <v>229</v>
      </c>
      <c r="J43" s="45" t="s">
        <v>229</v>
      </c>
      <c r="K43" s="26">
        <v>32.04</v>
      </c>
      <c r="L43" s="27"/>
      <c r="M43" s="27"/>
      <c r="N43" s="27"/>
      <c r="O43" s="27"/>
    </row>
    <row r="44" spans="1:15">
      <c r="A44" s="10">
        <v>2017</v>
      </c>
      <c r="B44" s="12">
        <v>8</v>
      </c>
      <c r="C44" s="255">
        <v>958.73691200000007</v>
      </c>
      <c r="D44" s="27">
        <v>12.802460416200001</v>
      </c>
      <c r="E44" s="27">
        <f>SUM(B44:D44)</f>
        <v>979.53937241620008</v>
      </c>
      <c r="F44" s="199">
        <f t="shared" si="4"/>
        <v>934.90324685104008</v>
      </c>
      <c r="G44" s="12">
        <v>37.877125565159993</v>
      </c>
      <c r="H44" s="27">
        <f t="shared" si="3"/>
        <v>972.78037241620007</v>
      </c>
      <c r="I44" s="63" t="s">
        <v>229</v>
      </c>
      <c r="J44" s="63" t="s">
        <v>229</v>
      </c>
      <c r="K44" s="26">
        <v>35.25333333333333</v>
      </c>
      <c r="L44" s="27"/>
      <c r="M44" s="27"/>
      <c r="N44" s="27"/>
      <c r="O44" s="323"/>
    </row>
    <row r="45" spans="1:15">
      <c r="A45" s="10">
        <v>2018</v>
      </c>
      <c r="B45" s="12">
        <v>6.7590000000000003</v>
      </c>
      <c r="C45" s="255">
        <v>986.50003200000015</v>
      </c>
      <c r="D45" s="27">
        <v>15.111361036799998</v>
      </c>
      <c r="E45" s="27">
        <f t="shared" ref="E45:E49" si="5">SUM(B45:D45)</f>
        <v>1008.3703930368001</v>
      </c>
      <c r="F45" s="199">
        <f t="shared" si="4"/>
        <v>960.47184834900008</v>
      </c>
      <c r="G45" s="12">
        <v>37.092544687800007</v>
      </c>
      <c r="H45" s="27">
        <f t="shared" si="3"/>
        <v>997.56439303680008</v>
      </c>
      <c r="I45" s="63" t="s">
        <v>229</v>
      </c>
      <c r="J45" s="63" t="s">
        <v>229</v>
      </c>
      <c r="K45" s="26">
        <v>32.552500000000002</v>
      </c>
      <c r="L45" s="28"/>
      <c r="M45" s="27"/>
      <c r="N45" s="27"/>
      <c r="O45" s="323"/>
    </row>
    <row r="46" spans="1:15">
      <c r="A46" s="10">
        <v>2019</v>
      </c>
      <c r="B46" s="12">
        <v>10.805999999999999</v>
      </c>
      <c r="C46" s="255">
        <v>1036.6697879999999</v>
      </c>
      <c r="D46" s="27">
        <v>13.725976572000002</v>
      </c>
      <c r="E46" s="27">
        <f t="shared" si="5"/>
        <v>1061.201764572</v>
      </c>
      <c r="F46" s="199">
        <f t="shared" si="4"/>
        <v>1005.6868864225999</v>
      </c>
      <c r="G46" s="12">
        <v>49.576878149400009</v>
      </c>
      <c r="H46" s="27">
        <f>E46-B47</f>
        <v>1055.2637645719999</v>
      </c>
      <c r="I46" s="63" t="s">
        <v>229</v>
      </c>
      <c r="J46" s="63" t="s">
        <v>229</v>
      </c>
      <c r="K46" s="63" t="s">
        <v>229</v>
      </c>
      <c r="L46" s="24"/>
      <c r="M46" s="27"/>
      <c r="N46" s="27"/>
      <c r="O46" s="323"/>
    </row>
    <row r="47" spans="1:15">
      <c r="A47" s="10">
        <v>2020</v>
      </c>
      <c r="B47" s="12">
        <v>5.9379999999999997</v>
      </c>
      <c r="C47" s="255">
        <v>1062.947844</v>
      </c>
      <c r="D47" s="27">
        <v>11.526204740400001</v>
      </c>
      <c r="E47" s="27">
        <f t="shared" si="5"/>
        <v>1080.4120487404002</v>
      </c>
      <c r="F47" s="199">
        <f t="shared" si="4"/>
        <v>1031.9164453308003</v>
      </c>
      <c r="G47" s="12">
        <v>39.896603409599997</v>
      </c>
      <c r="H47" s="27">
        <f>E47-B48</f>
        <v>1071.8130487404003</v>
      </c>
      <c r="I47" s="63" t="s">
        <v>229</v>
      </c>
      <c r="J47" s="63" t="s">
        <v>229</v>
      </c>
      <c r="K47" s="257">
        <v>36.9</v>
      </c>
      <c r="L47" s="28"/>
      <c r="M47" s="27"/>
      <c r="N47" s="27"/>
      <c r="O47" s="323"/>
    </row>
    <row r="48" spans="1:15">
      <c r="A48" s="10" t="s">
        <v>631</v>
      </c>
      <c r="B48" s="12">
        <v>8.5990000000000002</v>
      </c>
      <c r="C48" s="255">
        <v>1039.2892160000001</v>
      </c>
      <c r="D48" s="27">
        <v>16.860949056000003</v>
      </c>
      <c r="E48" s="27">
        <f t="shared" si="5"/>
        <v>1064.749165056</v>
      </c>
      <c r="F48" s="199">
        <f t="shared" si="4"/>
        <v>880.49637594720002</v>
      </c>
      <c r="G48" s="12">
        <v>179.3027891088</v>
      </c>
      <c r="H48" s="27">
        <f>E48-B49</f>
        <v>1059.799165056</v>
      </c>
      <c r="I48" s="63" t="s">
        <v>229</v>
      </c>
      <c r="J48" s="63" t="s">
        <v>229</v>
      </c>
      <c r="K48" s="257">
        <v>63.33</v>
      </c>
      <c r="L48" s="334"/>
      <c r="M48" s="24"/>
      <c r="N48" s="27"/>
      <c r="O48" s="323"/>
    </row>
    <row r="49" spans="1:15">
      <c r="A49" s="11" t="s">
        <v>630</v>
      </c>
      <c r="B49" s="230">
        <v>4.95</v>
      </c>
      <c r="C49" s="240">
        <v>1015.076608</v>
      </c>
      <c r="D49" s="237">
        <v>31.7055508308</v>
      </c>
      <c r="E49" s="237">
        <f t="shared" si="5"/>
        <v>1051.7321588308</v>
      </c>
      <c r="F49" s="271">
        <f t="shared" si="4"/>
        <v>987.255730922</v>
      </c>
      <c r="G49" s="230">
        <v>58.930427908800006</v>
      </c>
      <c r="H49" s="240">
        <f>E49-5.546</f>
        <v>1046.1861588308</v>
      </c>
      <c r="I49" s="332" t="s">
        <v>229</v>
      </c>
      <c r="J49" s="332" t="s">
        <v>229</v>
      </c>
      <c r="K49" s="362">
        <v>85</v>
      </c>
      <c r="L49" s="28"/>
      <c r="M49" s="24"/>
      <c r="N49" s="27"/>
      <c r="O49" s="323"/>
    </row>
    <row r="50" spans="1:15">
      <c r="A50" s="52" t="s">
        <v>550</v>
      </c>
      <c r="C50" s="27"/>
      <c r="D50" s="27"/>
      <c r="J50" s="44"/>
    </row>
    <row r="51" spans="1:15" ht="13.15" customHeight="1">
      <c r="A51" s="52" t="s">
        <v>525</v>
      </c>
      <c r="C51" s="27"/>
      <c r="D51" s="27"/>
      <c r="J51" s="44"/>
    </row>
    <row r="52" spans="1:15" ht="13.15" customHeight="1">
      <c r="A52" s="52" t="s">
        <v>524</v>
      </c>
      <c r="C52" s="27"/>
      <c r="D52" s="27"/>
      <c r="J52" s="44"/>
    </row>
    <row r="53" spans="1:15">
      <c r="A53" s="52" t="s">
        <v>690</v>
      </c>
      <c r="J53" s="44"/>
    </row>
    <row r="54" spans="1:15">
      <c r="A54" t="s">
        <v>740</v>
      </c>
      <c r="J54" s="44"/>
    </row>
    <row r="55" spans="1:15">
      <c r="A55" t="s">
        <v>701</v>
      </c>
      <c r="J55" s="44"/>
    </row>
    <row r="56" spans="1:15" ht="10.15" customHeight="1">
      <c r="K56" s="101" t="s">
        <v>592</v>
      </c>
      <c r="L56" s="55"/>
    </row>
    <row r="57" spans="1:15">
      <c r="H57" s="27"/>
    </row>
    <row r="58" spans="1:15">
      <c r="J58" s="44"/>
    </row>
    <row r="59" spans="1:15">
      <c r="J59" s="44"/>
    </row>
    <row r="60" spans="1:15">
      <c r="J60" s="44"/>
    </row>
    <row r="61" spans="1:15">
      <c r="J61" s="44"/>
    </row>
    <row r="62" spans="1:15">
      <c r="J62" s="44"/>
    </row>
    <row r="63" spans="1:15">
      <c r="J63" s="44"/>
    </row>
    <row r="64" spans="1:15">
      <c r="J64" s="44"/>
    </row>
    <row r="65" spans="10:10">
      <c r="J65" s="44"/>
    </row>
    <row r="66" spans="10:10">
      <c r="J66" s="44"/>
    </row>
    <row r="67" spans="10:10">
      <c r="J67" s="44"/>
    </row>
    <row r="68" spans="10:10">
      <c r="J68" s="44"/>
    </row>
    <row r="69" spans="10:10">
      <c r="J69" s="44"/>
    </row>
  </sheetData>
  <phoneticPr fontId="0" type="noConversion"/>
  <pageMargins left="0.75" right="0.75" top="1" bottom="1" header="0.5" footer="0.5"/>
  <pageSetup scale="71" firstPageNumber="41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ignoredErrors>
    <ignoredError sqref="E7:E41 E43:E44" formulaRange="1"/>
  </ignoredErrors>
  <drawing r:id="rId2"/>
  <legacy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N55"/>
  <sheetViews>
    <sheetView zoomScaleNormal="100" zoomScaleSheetLayoutView="100" workbookViewId="0">
      <pane ySplit="5" topLeftCell="A15" activePane="bottomLeft" state="frozen"/>
      <selection pane="bottomLeft"/>
    </sheetView>
  </sheetViews>
  <sheetFormatPr defaultRowHeight="11.25"/>
  <cols>
    <col min="1" max="1" width="11.6640625" customWidth="1"/>
    <col min="2" max="9" width="11.83203125" customWidth="1"/>
    <col min="10" max="10" width="13.33203125" customWidth="1"/>
    <col min="11" max="11" width="11.83203125" customWidth="1"/>
    <col min="13" max="13" width="11.83203125" bestFit="1" customWidth="1"/>
    <col min="14" max="14" width="10" bestFit="1" customWidth="1"/>
  </cols>
  <sheetData>
    <row r="1" spans="1:11">
      <c r="A1" s="1" t="s">
        <v>632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7"/>
      <c r="B2" s="116"/>
      <c r="C2" s="9"/>
      <c r="D2" s="9" t="s">
        <v>75</v>
      </c>
      <c r="E2" s="114"/>
      <c r="F2" s="9"/>
      <c r="G2" s="9" t="s">
        <v>73</v>
      </c>
      <c r="H2" s="9"/>
      <c r="I2" s="9"/>
      <c r="J2" s="108" t="s">
        <v>201</v>
      </c>
      <c r="K2" s="109" t="s">
        <v>147</v>
      </c>
    </row>
    <row r="3" spans="1:11">
      <c r="A3" s="7" t="s">
        <v>202</v>
      </c>
      <c r="B3" s="109" t="s">
        <v>199</v>
      </c>
      <c r="C3" s="7" t="s">
        <v>250</v>
      </c>
      <c r="D3" s="7" t="s">
        <v>49</v>
      </c>
      <c r="E3" s="112" t="s">
        <v>2</v>
      </c>
      <c r="F3" s="7" t="s">
        <v>97</v>
      </c>
      <c r="G3" s="7" t="s">
        <v>50</v>
      </c>
      <c r="H3" s="7" t="s">
        <v>2</v>
      </c>
      <c r="I3" s="7" t="s">
        <v>206</v>
      </c>
      <c r="J3" s="109" t="s">
        <v>207</v>
      </c>
      <c r="K3" s="109"/>
    </row>
    <row r="4" spans="1:11">
      <c r="A4" s="9" t="s">
        <v>452</v>
      </c>
      <c r="B4" s="188" t="s">
        <v>200</v>
      </c>
      <c r="C4" s="9"/>
      <c r="D4" s="9"/>
      <c r="E4" s="114"/>
      <c r="F4" s="9"/>
      <c r="G4" s="9"/>
      <c r="H4" s="9"/>
      <c r="I4" s="9" t="s">
        <v>214</v>
      </c>
      <c r="J4" s="176" t="s">
        <v>373</v>
      </c>
      <c r="K4" s="116"/>
    </row>
    <row r="5" spans="1:11" ht="12" customHeight="1">
      <c r="A5" s="73"/>
      <c r="B5" s="73"/>
      <c r="C5" s="157"/>
      <c r="D5" s="157"/>
      <c r="E5" s="157"/>
      <c r="F5" s="157" t="s">
        <v>293</v>
      </c>
      <c r="G5" s="157"/>
      <c r="H5" s="157"/>
      <c r="I5" s="157"/>
      <c r="J5" s="150" t="s">
        <v>55</v>
      </c>
      <c r="K5" s="150" t="s">
        <v>248</v>
      </c>
    </row>
    <row r="6" spans="1:11" ht="12" customHeight="1">
      <c r="B6" s="74"/>
      <c r="C6" s="74"/>
      <c r="D6" s="74"/>
      <c r="E6" s="74"/>
      <c r="F6" s="74"/>
      <c r="G6" s="74"/>
      <c r="H6" s="74"/>
      <c r="I6" s="74"/>
      <c r="J6" s="7"/>
      <c r="K6" s="7"/>
    </row>
    <row r="7" spans="1:11">
      <c r="A7" s="10">
        <v>1980</v>
      </c>
      <c r="B7" s="18">
        <v>56.6</v>
      </c>
      <c r="C7" s="18">
        <v>1042.6400000000001</v>
      </c>
      <c r="D7" s="18">
        <v>0</v>
      </c>
      <c r="E7" s="18">
        <f>SUM(B7:D7)</f>
        <v>1099.24</v>
      </c>
      <c r="F7" s="18">
        <f>+H7-G7</f>
        <v>955.33999999999992</v>
      </c>
      <c r="G7" s="18">
        <v>88</v>
      </c>
      <c r="H7" s="18">
        <f t="shared" ref="H7:H45" si="0">E7-B8</f>
        <v>1043.3399999999999</v>
      </c>
      <c r="I7" s="18">
        <v>241</v>
      </c>
      <c r="J7" s="45">
        <f>+I7/227.726</f>
        <v>1.0582893477248976</v>
      </c>
      <c r="K7" s="26">
        <v>21.55</v>
      </c>
    </row>
    <row r="8" spans="1:11">
      <c r="A8" s="10">
        <v>1981</v>
      </c>
      <c r="B8" s="18">
        <v>55.9</v>
      </c>
      <c r="C8" s="18">
        <v>1130.0739999999998</v>
      </c>
      <c r="D8" s="18">
        <v>0</v>
      </c>
      <c r="E8" s="18">
        <f t="shared" ref="E8:E43" si="1">SUM(B8:D8)</f>
        <v>1185.9739999999999</v>
      </c>
      <c r="F8" s="18">
        <f t="shared" ref="F8:F27" si="2">+H8-G8</f>
        <v>990.07399999999984</v>
      </c>
      <c r="G8" s="18">
        <v>142</v>
      </c>
      <c r="H8" s="18">
        <f t="shared" si="0"/>
        <v>1132.0739999999998</v>
      </c>
      <c r="I8" s="18">
        <v>223</v>
      </c>
      <c r="J8" s="45">
        <f>+I8/229.966</f>
        <v>0.96970856561404728</v>
      </c>
      <c r="K8" s="26">
        <v>30.25</v>
      </c>
    </row>
    <row r="9" spans="1:11">
      <c r="A9" s="10">
        <v>1982</v>
      </c>
      <c r="B9" s="18">
        <v>53.9</v>
      </c>
      <c r="C9" s="18">
        <v>1109.9669999999999</v>
      </c>
      <c r="D9" s="18">
        <v>0</v>
      </c>
      <c r="E9" s="18">
        <f t="shared" si="1"/>
        <v>1163.867</v>
      </c>
      <c r="F9" s="18">
        <f t="shared" si="2"/>
        <v>1030.1779999999999</v>
      </c>
      <c r="G9" s="18">
        <v>74.88900000000001</v>
      </c>
      <c r="H9" s="18">
        <f t="shared" si="0"/>
        <v>1105.067</v>
      </c>
      <c r="I9" s="18">
        <v>303.892</v>
      </c>
      <c r="J9" s="45">
        <f>+I9/232.188</f>
        <v>1.3088187158681759</v>
      </c>
      <c r="K9" s="26">
        <v>20.719916666666666</v>
      </c>
    </row>
    <row r="10" spans="1:11">
      <c r="A10" s="10">
        <v>1983</v>
      </c>
      <c r="B10" s="18">
        <v>58.8</v>
      </c>
      <c r="C10" s="18">
        <v>1260.163</v>
      </c>
      <c r="D10" s="18">
        <v>0</v>
      </c>
      <c r="E10" s="18">
        <f t="shared" si="1"/>
        <v>1318.963</v>
      </c>
      <c r="F10" s="18">
        <f>+H10-G10</f>
        <v>1172.6679999999999</v>
      </c>
      <c r="G10" s="18">
        <v>103.79500000000002</v>
      </c>
      <c r="H10" s="18">
        <f t="shared" si="0"/>
        <v>1276.463</v>
      </c>
      <c r="I10" s="18">
        <v>495.51679999999999</v>
      </c>
      <c r="J10" s="45">
        <f>+I10/234.307</f>
        <v>2.1148185927010292</v>
      </c>
      <c r="K10" s="26">
        <v>18.820805555555555</v>
      </c>
    </row>
    <row r="11" spans="1:11">
      <c r="A11" s="10">
        <v>1984</v>
      </c>
      <c r="B11" s="18">
        <v>42.5</v>
      </c>
      <c r="C11" s="18">
        <v>1337.81</v>
      </c>
      <c r="D11" s="18">
        <v>7.9129999999999994</v>
      </c>
      <c r="E11" s="18">
        <f t="shared" si="1"/>
        <v>1388.223</v>
      </c>
      <c r="F11" s="18">
        <f t="shared" si="2"/>
        <v>1298.836</v>
      </c>
      <c r="G11" s="18">
        <v>53.186999999999998</v>
      </c>
      <c r="H11" s="18">
        <f t="shared" si="0"/>
        <v>1352.0229999999999</v>
      </c>
      <c r="I11" s="18">
        <v>410.29100000000011</v>
      </c>
      <c r="J11" s="45">
        <f>+I11/236.348</f>
        <v>1.7359613789835331</v>
      </c>
      <c r="K11" s="26">
        <v>28.503125000000001</v>
      </c>
    </row>
    <row r="12" spans="1:11">
      <c r="A12" s="10">
        <v>1985</v>
      </c>
      <c r="B12" s="18">
        <v>36.200000000000003</v>
      </c>
      <c r="C12" s="18">
        <v>1610.713</v>
      </c>
      <c r="D12" s="18">
        <v>7.8890000000000002</v>
      </c>
      <c r="E12" s="18">
        <f t="shared" si="1"/>
        <v>1654.8019999999999</v>
      </c>
      <c r="F12" s="18">
        <f>+H12-G12</f>
        <v>1539.7449999999999</v>
      </c>
      <c r="G12" s="18">
        <v>74.557000000000002</v>
      </c>
      <c r="H12" s="18">
        <f t="shared" si="0"/>
        <v>1614.3019999999999</v>
      </c>
      <c r="I12" s="18">
        <v>471.11299999999994</v>
      </c>
      <c r="J12" s="45">
        <f>+I12/238.466</f>
        <v>1.9755981984853184</v>
      </c>
      <c r="K12" s="26">
        <v>20.136458333333334</v>
      </c>
    </row>
    <row r="13" spans="1:11">
      <c r="A13" s="10">
        <v>1986</v>
      </c>
      <c r="B13" s="18">
        <v>40.5</v>
      </c>
      <c r="C13" s="18">
        <v>1523.066</v>
      </c>
      <c r="D13" s="18">
        <v>4.8279999999999994</v>
      </c>
      <c r="E13" s="18">
        <f t="shared" si="1"/>
        <v>1568.394</v>
      </c>
      <c r="F13" s="18">
        <f t="shared" si="2"/>
        <v>1478.057</v>
      </c>
      <c r="G13" s="18">
        <v>57.537000000000013</v>
      </c>
      <c r="H13" s="18">
        <f t="shared" si="0"/>
        <v>1535.5940000000001</v>
      </c>
      <c r="I13" s="18">
        <v>437.50499999999994</v>
      </c>
      <c r="J13" s="45">
        <f>+I13/240.651</f>
        <v>1.8180061582956228</v>
      </c>
      <c r="K13" s="26">
        <v>13.48958333333333</v>
      </c>
    </row>
    <row r="14" spans="1:11">
      <c r="A14" s="10">
        <v>1987</v>
      </c>
      <c r="B14" s="18">
        <v>32.799999999999997</v>
      </c>
      <c r="C14" s="18">
        <v>1257.9789999999998</v>
      </c>
      <c r="D14" s="18">
        <v>4.9450000000000003</v>
      </c>
      <c r="E14" s="18">
        <f t="shared" si="1"/>
        <v>1295.7239999999997</v>
      </c>
      <c r="F14" s="18">
        <f t="shared" si="2"/>
        <v>1192.0439999999999</v>
      </c>
      <c r="G14" s="18">
        <v>64.080000000000013</v>
      </c>
      <c r="H14" s="18">
        <f t="shared" si="0"/>
        <v>1256.1239999999998</v>
      </c>
      <c r="I14" s="18">
        <v>226.04100000000005</v>
      </c>
      <c r="J14" s="45">
        <f>+I14/242.804</f>
        <v>0.93096077494604723</v>
      </c>
      <c r="K14" s="26">
        <v>15.606472222222223</v>
      </c>
    </row>
    <row r="15" spans="1:11">
      <c r="A15" s="10">
        <v>1988</v>
      </c>
      <c r="B15" s="18">
        <v>39.6</v>
      </c>
      <c r="C15" s="18">
        <v>1296.213</v>
      </c>
      <c r="D15" s="18">
        <v>2.3449999999999998</v>
      </c>
      <c r="E15" s="18">
        <f t="shared" si="1"/>
        <v>1338.1579999999999</v>
      </c>
      <c r="F15" s="18">
        <f t="shared" si="2"/>
        <v>1156.7670000000001</v>
      </c>
      <c r="G15" s="18">
        <v>133.09099999999998</v>
      </c>
      <c r="H15" s="18">
        <f t="shared" si="0"/>
        <v>1289.8579999999999</v>
      </c>
      <c r="I15" s="18">
        <v>205.30899999999997</v>
      </c>
      <c r="J15" s="45">
        <f>+I15/245.021</f>
        <v>0.83792409630194953</v>
      </c>
      <c r="K15" s="26">
        <v>17.762541666666667</v>
      </c>
    </row>
    <row r="16" spans="1:11">
      <c r="A16" s="10">
        <v>1989</v>
      </c>
      <c r="B16" s="18">
        <v>48.3</v>
      </c>
      <c r="C16" s="18">
        <v>1156.913</v>
      </c>
      <c r="D16" s="18">
        <v>0.26470896354000001</v>
      </c>
      <c r="E16" s="18">
        <f t="shared" si="1"/>
        <v>1205.47770896354</v>
      </c>
      <c r="F16" s="18">
        <f t="shared" si="2"/>
        <v>965.28289001238784</v>
      </c>
      <c r="G16" s="18">
        <v>201.794818951152</v>
      </c>
      <c r="H16" s="18">
        <f t="shared" si="0"/>
        <v>1167.0777089635399</v>
      </c>
      <c r="I16" s="18">
        <v>63.101890012387862</v>
      </c>
      <c r="J16" s="45">
        <f>+I16/247.342</f>
        <v>0.25511999584537953</v>
      </c>
      <c r="K16" s="26">
        <v>16.088888888888892</v>
      </c>
    </row>
    <row r="17" spans="1:11">
      <c r="A17" s="10">
        <v>1990</v>
      </c>
      <c r="B17" s="18">
        <v>38.4</v>
      </c>
      <c r="C17" s="18">
        <v>1206.7470000000001</v>
      </c>
      <c r="D17" s="18">
        <v>6.234327094968001</v>
      </c>
      <c r="E17" s="18">
        <f t="shared" si="1"/>
        <v>1251.3813270949681</v>
      </c>
      <c r="F17" s="18">
        <f t="shared" si="2"/>
        <v>962.54561133128414</v>
      </c>
      <c r="G17" s="18">
        <v>251.59371576368403</v>
      </c>
      <c r="H17" s="18">
        <f t="shared" si="0"/>
        <v>1214.1393270949682</v>
      </c>
      <c r="I17" s="18">
        <v>154.24861133128394</v>
      </c>
      <c r="J17" s="45">
        <f>+I17/250.132</f>
        <v>0.61666884417541112</v>
      </c>
      <c r="K17" s="26">
        <v>21.263333333333332</v>
      </c>
    </row>
    <row r="18" spans="1:11">
      <c r="A18" s="10">
        <v>1991</v>
      </c>
      <c r="B18" s="18">
        <v>37.241999999999997</v>
      </c>
      <c r="C18" s="18">
        <v>1251.3</v>
      </c>
      <c r="D18" s="18">
        <v>10.794252128438</v>
      </c>
      <c r="E18" s="18">
        <f t="shared" si="1"/>
        <v>1299.336252128438</v>
      </c>
      <c r="F18" s="18">
        <f t="shared" si="2"/>
        <v>975.46847739085194</v>
      </c>
      <c r="G18" s="18">
        <v>285.167774737586</v>
      </c>
      <c r="H18" s="18">
        <f t="shared" si="0"/>
        <v>1260.6362521284379</v>
      </c>
      <c r="I18" s="18">
        <v>363.86847739085215</v>
      </c>
      <c r="J18" s="45">
        <f>+I18/253.493</f>
        <v>1.435418245832635</v>
      </c>
      <c r="K18" s="26">
        <v>14.265875000000001</v>
      </c>
    </row>
    <row r="19" spans="1:11">
      <c r="A19" s="10">
        <v>1992</v>
      </c>
      <c r="B19" s="18">
        <v>38.700000000000003</v>
      </c>
      <c r="C19" s="18">
        <v>1526.7</v>
      </c>
      <c r="D19" s="18">
        <v>5.5068920000000006</v>
      </c>
      <c r="E19" s="18">
        <f t="shared" si="1"/>
        <v>1570.9068920000002</v>
      </c>
      <c r="F19" s="18">
        <f t="shared" si="2"/>
        <v>1205.0472930000003</v>
      </c>
      <c r="G19" s="18">
        <v>332.58659899999998</v>
      </c>
      <c r="H19" s="18">
        <f t="shared" si="0"/>
        <v>1537.6338920000003</v>
      </c>
      <c r="I19" s="18">
        <v>609.84729300000004</v>
      </c>
      <c r="J19" s="45">
        <f>+I19/256.894</f>
        <v>2.3739257942964804</v>
      </c>
      <c r="K19" s="26">
        <v>15.539791666666668</v>
      </c>
    </row>
    <row r="20" spans="1:11">
      <c r="A20" s="10">
        <v>1993</v>
      </c>
      <c r="B20" s="18">
        <v>33.273000000000003</v>
      </c>
      <c r="C20" s="18">
        <v>1425.2</v>
      </c>
      <c r="D20" s="18">
        <v>11.819735999999999</v>
      </c>
      <c r="E20" s="18">
        <f t="shared" si="1"/>
        <v>1470.2927359999999</v>
      </c>
      <c r="F20" s="18">
        <f t="shared" si="2"/>
        <v>1127.0699839999997</v>
      </c>
      <c r="G20" s="18">
        <v>310.02275199999997</v>
      </c>
      <c r="H20" s="18">
        <f t="shared" si="0"/>
        <v>1437.0927359999998</v>
      </c>
      <c r="I20" s="18">
        <v>564.96998399999995</v>
      </c>
      <c r="J20" s="45">
        <f>+I20/260.255</f>
        <v>2.1708323913085241</v>
      </c>
      <c r="K20" s="26">
        <v>16.201666666666668</v>
      </c>
    </row>
    <row r="21" spans="1:11">
      <c r="A21" s="10">
        <v>1994</v>
      </c>
      <c r="B21" s="18">
        <v>33.200000000000003</v>
      </c>
      <c r="C21" s="18">
        <v>1557.2</v>
      </c>
      <c r="D21" s="18">
        <v>16.05078</v>
      </c>
      <c r="E21" s="18">
        <f t="shared" si="1"/>
        <v>1606.4507800000001</v>
      </c>
      <c r="F21" s="18">
        <f t="shared" si="2"/>
        <v>1275.4760690000003</v>
      </c>
      <c r="G21" s="18">
        <v>294.703711</v>
      </c>
      <c r="H21" s="18">
        <f t="shared" si="0"/>
        <v>1570.1797800000002</v>
      </c>
      <c r="I21" s="18">
        <v>639.17606899999976</v>
      </c>
      <c r="J21" s="45">
        <f>+I21/263.436</f>
        <v>2.4263049431360932</v>
      </c>
      <c r="K21" s="26">
        <v>18.420499999999997</v>
      </c>
    </row>
    <row r="22" spans="1:11">
      <c r="A22" s="10">
        <v>1995</v>
      </c>
      <c r="B22" s="18">
        <v>36.271000000000001</v>
      </c>
      <c r="C22" s="18">
        <v>1536.2570000000001</v>
      </c>
      <c r="D22" s="18">
        <v>18.049033000000001</v>
      </c>
      <c r="E22" s="18">
        <f t="shared" si="1"/>
        <v>1590.577033</v>
      </c>
      <c r="F22" s="18">
        <f t="shared" si="2"/>
        <v>1268.2285649999999</v>
      </c>
      <c r="G22" s="18">
        <v>279.29146800000001</v>
      </c>
      <c r="H22" s="18">
        <f t="shared" si="0"/>
        <v>1547.520033</v>
      </c>
      <c r="I22" s="18">
        <v>710.52456499999994</v>
      </c>
      <c r="J22" s="45">
        <f>+I22/266.557</f>
        <v>2.6655633316701488</v>
      </c>
      <c r="K22" s="26">
        <v>21.347291666666663</v>
      </c>
    </row>
    <row r="23" spans="1:11">
      <c r="A23" s="10">
        <v>1996</v>
      </c>
      <c r="B23" s="18">
        <v>43.057000000000002</v>
      </c>
      <c r="C23" s="18">
        <v>1519.6</v>
      </c>
      <c r="D23" s="18">
        <v>5.3267690000000005</v>
      </c>
      <c r="E23" s="18">
        <f t="shared" si="1"/>
        <v>1567.9837689999999</v>
      </c>
      <c r="F23" s="18">
        <f t="shared" si="2"/>
        <v>1305.424485</v>
      </c>
      <c r="G23" s="18">
        <v>229.24128400000001</v>
      </c>
      <c r="H23" s="18">
        <f t="shared" si="0"/>
        <v>1534.665769</v>
      </c>
      <c r="I23" s="18">
        <v>784.40548499999989</v>
      </c>
      <c r="J23" s="45">
        <f>+I23/269.667</f>
        <v>2.9087930113807028</v>
      </c>
      <c r="K23" s="26">
        <v>22.033333333333335</v>
      </c>
    </row>
    <row r="24" spans="1:11">
      <c r="A24" s="10">
        <v>1997</v>
      </c>
      <c r="B24" s="18">
        <v>33.317999999999998</v>
      </c>
      <c r="C24" s="18">
        <v>1416.2230000000004</v>
      </c>
      <c r="D24" s="18">
        <v>5.7592214426000004</v>
      </c>
      <c r="E24" s="18">
        <f t="shared" si="1"/>
        <v>1455.3002214426003</v>
      </c>
      <c r="F24" s="18">
        <f t="shared" si="2"/>
        <v>1223.0754429308204</v>
      </c>
      <c r="G24" s="18">
        <v>184.86077851178001</v>
      </c>
      <c r="H24" s="18">
        <f t="shared" si="0"/>
        <v>1407.9362214426003</v>
      </c>
      <c r="I24" s="18">
        <v>580.32344293081997</v>
      </c>
      <c r="J24" s="45">
        <f>+I24/272.912</f>
        <v>2.1264123341253591</v>
      </c>
      <c r="K24" s="26">
        <v>23.454166666666666</v>
      </c>
    </row>
    <row r="25" spans="1:11">
      <c r="A25" s="10">
        <v>1998</v>
      </c>
      <c r="B25" s="18">
        <v>47.363999999999997</v>
      </c>
      <c r="C25" s="18">
        <v>1536.7909999999999</v>
      </c>
      <c r="D25" s="18">
        <v>2.2793873458859997</v>
      </c>
      <c r="E25" s="18">
        <f t="shared" si="1"/>
        <v>1586.4343873458861</v>
      </c>
      <c r="F25" s="18">
        <f t="shared" si="2"/>
        <v>1300.838662770394</v>
      </c>
      <c r="G25" s="18">
        <v>246.47472457549202</v>
      </c>
      <c r="H25" s="18">
        <f t="shared" si="0"/>
        <v>1547.313387345886</v>
      </c>
      <c r="I25" s="18">
        <v>868.33866277039419</v>
      </c>
      <c r="J25" s="45">
        <f>+I25/276.115</f>
        <v>3.1448442234952618</v>
      </c>
      <c r="K25" s="26">
        <v>19.051666666666669</v>
      </c>
    </row>
    <row r="26" spans="1:11">
      <c r="A26" s="10">
        <v>1999</v>
      </c>
      <c r="B26" s="18">
        <v>39.121000000000002</v>
      </c>
      <c r="C26" s="18">
        <v>1729.2600000000002</v>
      </c>
      <c r="D26" s="18">
        <v>6.7996076081220007</v>
      </c>
      <c r="E26" s="18">
        <f t="shared" si="1"/>
        <v>1775.1806076081223</v>
      </c>
      <c r="F26" s="18">
        <f t="shared" si="2"/>
        <v>1424.8409544453702</v>
      </c>
      <c r="G26" s="18">
        <v>317.06965316275205</v>
      </c>
      <c r="H26" s="18">
        <f t="shared" si="0"/>
        <v>1741.9106076081223</v>
      </c>
      <c r="I26" s="18">
        <v>996.31295444537</v>
      </c>
      <c r="J26" s="45">
        <f>+I26/279.295</f>
        <v>3.5672423582426105</v>
      </c>
      <c r="K26" s="26">
        <v>15.112499999999999</v>
      </c>
    </row>
    <row r="27" spans="1:11">
      <c r="A27" s="10">
        <v>2000</v>
      </c>
      <c r="B27" s="18">
        <v>33.270000000000003</v>
      </c>
      <c r="C27" s="18">
        <v>1824.9999999999998</v>
      </c>
      <c r="D27" s="18">
        <v>7.42643455365</v>
      </c>
      <c r="E27" s="18">
        <f t="shared" si="1"/>
        <v>1865.6964345536499</v>
      </c>
      <c r="F27" s="18">
        <f t="shared" si="2"/>
        <v>1581.3553811645218</v>
      </c>
      <c r="G27" s="18">
        <v>247.64105338912799</v>
      </c>
      <c r="H27" s="18">
        <f t="shared" si="0"/>
        <v>1828.9964345536498</v>
      </c>
      <c r="I27" s="18">
        <v>1125.094381164522</v>
      </c>
      <c r="J27" s="45">
        <f>+I27/282.385</f>
        <v>3.9842568874569189</v>
      </c>
      <c r="K27" s="26">
        <v>11.657499999999999</v>
      </c>
    </row>
    <row r="28" spans="1:11">
      <c r="A28" s="10">
        <v>2001</v>
      </c>
      <c r="B28" s="18">
        <v>36.700000000000003</v>
      </c>
      <c r="C28" s="18">
        <v>1791.6869999999999</v>
      </c>
      <c r="D28" s="18">
        <v>31.133017111266003</v>
      </c>
      <c r="E28" s="18">
        <f t="shared" si="1"/>
        <v>1859.520017111266</v>
      </c>
      <c r="F28" s="18">
        <f t="shared" ref="F28:F33" si="3">+H28-G28</f>
        <v>1454.808993891766</v>
      </c>
      <c r="G28" s="18">
        <v>364.45102321950003</v>
      </c>
      <c r="H28" s="18">
        <f t="shared" si="0"/>
        <v>1819.2600171112661</v>
      </c>
      <c r="I28" s="18">
        <v>868.68999389176588</v>
      </c>
      <c r="J28" s="45">
        <f>+I28/285.309</f>
        <v>3.0447339337061425</v>
      </c>
      <c r="K28" s="26">
        <v>13.713333333333333</v>
      </c>
    </row>
    <row r="29" spans="1:11">
      <c r="A29" s="10">
        <v>2002</v>
      </c>
      <c r="B29" s="18">
        <v>40.26</v>
      </c>
      <c r="C29" s="18">
        <v>1974.1110000000001</v>
      </c>
      <c r="D29" s="18">
        <v>8.7088014416340016</v>
      </c>
      <c r="E29" s="18">
        <f t="shared" si="1"/>
        <v>2023.0798014416341</v>
      </c>
      <c r="F29" s="18">
        <f t="shared" si="3"/>
        <v>1486.3612354224001</v>
      </c>
      <c r="G29" s="18">
        <v>511.45256601923398</v>
      </c>
      <c r="H29" s="18">
        <f t="shared" si="0"/>
        <v>1997.813801441634</v>
      </c>
      <c r="I29" s="18">
        <v>973.59023542239993</v>
      </c>
      <c r="J29" s="45">
        <f>+I29/288.105</f>
        <v>3.3792896180989564</v>
      </c>
      <c r="K29" s="26">
        <v>14.799999999999999</v>
      </c>
    </row>
    <row r="30" spans="1:11">
      <c r="A30" s="10">
        <v>2003</v>
      </c>
      <c r="B30" s="18">
        <v>25.265999999999998</v>
      </c>
      <c r="C30" s="18">
        <v>1965.7079999999999</v>
      </c>
      <c r="D30" s="18">
        <v>4.6857895790579995</v>
      </c>
      <c r="E30" s="18">
        <f t="shared" si="1"/>
        <v>1995.659789579058</v>
      </c>
      <c r="F30" s="18">
        <f t="shared" si="3"/>
        <v>1552.3566775052323</v>
      </c>
      <c r="G30" s="18">
        <v>419.70311207382599</v>
      </c>
      <c r="H30" s="18">
        <f t="shared" si="0"/>
        <v>1972.0597895790581</v>
      </c>
      <c r="I30" s="18">
        <v>1107.6326775052321</v>
      </c>
      <c r="J30" s="45">
        <f>+I30/290.82</f>
        <v>3.808653729128781</v>
      </c>
      <c r="K30" s="26">
        <v>20.341666666666665</v>
      </c>
    </row>
    <row r="31" spans="1:11">
      <c r="A31" s="10">
        <v>2004</v>
      </c>
      <c r="B31" s="18">
        <v>23.6</v>
      </c>
      <c r="C31" s="18">
        <v>1817.691</v>
      </c>
      <c r="D31" s="18">
        <v>0.96644455538399998</v>
      </c>
      <c r="E31" s="18">
        <f t="shared" si="1"/>
        <v>1842.2574445553839</v>
      </c>
      <c r="F31" s="18">
        <f t="shared" si="3"/>
        <v>1564.5349549963098</v>
      </c>
      <c r="G31" s="18">
        <v>255.37848955907401</v>
      </c>
      <c r="H31" s="18">
        <f t="shared" si="0"/>
        <v>1819.9134445553839</v>
      </c>
      <c r="I31" s="18">
        <v>1163.2779549963097</v>
      </c>
      <c r="J31" s="45">
        <f>+I31/293.463</f>
        <v>3.9639680470666137</v>
      </c>
      <c r="K31" s="26">
        <v>19.741666666666667</v>
      </c>
    </row>
    <row r="32" spans="1:11">
      <c r="A32" s="10">
        <v>2005</v>
      </c>
      <c r="B32" s="18">
        <v>22.344000000000001</v>
      </c>
      <c r="C32" s="18">
        <v>1812.5000000000002</v>
      </c>
      <c r="D32" s="18">
        <v>1.0410136899120002</v>
      </c>
      <c r="E32" s="18">
        <f t="shared" si="1"/>
        <v>1835.8850136899123</v>
      </c>
      <c r="F32" s="18">
        <f t="shared" si="3"/>
        <v>1517.7210791812004</v>
      </c>
      <c r="G32" s="18">
        <v>293.45193450871199</v>
      </c>
      <c r="H32" s="18">
        <f t="shared" si="0"/>
        <v>1811.1730136899123</v>
      </c>
      <c r="I32" s="18">
        <v>1115.7740791812</v>
      </c>
      <c r="J32" s="45">
        <f>+I32/296.186</f>
        <v>3.7671398350401439</v>
      </c>
      <c r="K32" s="26">
        <v>19.139999999999997</v>
      </c>
    </row>
    <row r="33" spans="1:14">
      <c r="A33" s="10">
        <v>2006</v>
      </c>
      <c r="B33" s="18">
        <v>24.712</v>
      </c>
      <c r="C33" s="18">
        <v>1861.2999999999997</v>
      </c>
      <c r="D33" s="18">
        <v>6.519677934294001</v>
      </c>
      <c r="E33" s="18">
        <f t="shared" si="1"/>
        <v>1892.5316779342936</v>
      </c>
      <c r="F33" s="18">
        <f t="shared" si="3"/>
        <v>1583.0290713755737</v>
      </c>
      <c r="G33" s="18">
        <v>274.90260655871998</v>
      </c>
      <c r="H33" s="18">
        <f t="shared" si="0"/>
        <v>1857.9316779342937</v>
      </c>
      <c r="I33" s="18">
        <v>1160.452071375574</v>
      </c>
      <c r="J33" s="45">
        <f>+I33/298.996</f>
        <v>3.881162528514007</v>
      </c>
      <c r="K33" s="26">
        <v>18.740833333333331</v>
      </c>
    </row>
    <row r="34" spans="1:14">
      <c r="A34" s="10">
        <v>2007</v>
      </c>
      <c r="B34" s="18">
        <v>34.6</v>
      </c>
      <c r="C34" s="18">
        <v>1788.9390000000001</v>
      </c>
      <c r="D34" s="18">
        <v>7.4656415512979999</v>
      </c>
      <c r="E34" s="18">
        <f t="shared" si="1"/>
        <v>1831.0046415512979</v>
      </c>
      <c r="F34" s="18">
        <f t="shared" ref="F34:F40" si="4">+H34-G34</f>
        <v>1403.931995104268</v>
      </c>
      <c r="G34" s="18">
        <v>388.19064644702996</v>
      </c>
      <c r="H34" s="18">
        <f t="shared" si="0"/>
        <v>1792.1226415512979</v>
      </c>
      <c r="I34" s="18">
        <v>889.44699510426767</v>
      </c>
      <c r="J34" s="45">
        <f>+I34/302.004</f>
        <v>2.945149716905298</v>
      </c>
      <c r="K34" s="26">
        <v>30.757500000000004</v>
      </c>
    </row>
    <row r="35" spans="1:14">
      <c r="A35" s="10">
        <v>2008</v>
      </c>
      <c r="B35" s="18">
        <v>38.881999999999998</v>
      </c>
      <c r="C35" s="18">
        <v>1793.7999999999997</v>
      </c>
      <c r="D35" s="18">
        <v>30.284713839618</v>
      </c>
      <c r="E35" s="18">
        <f t="shared" si="1"/>
        <v>1862.9667138396178</v>
      </c>
      <c r="F35" s="18">
        <f t="shared" si="4"/>
        <v>1648.1578205958319</v>
      </c>
      <c r="G35" s="18">
        <v>185.30589324378602</v>
      </c>
      <c r="H35" s="18">
        <f t="shared" si="0"/>
        <v>1833.4637138396179</v>
      </c>
      <c r="I35" s="18">
        <v>896.26082059583189</v>
      </c>
      <c r="J35" s="45">
        <f>+I35/304.798</f>
        <v>2.9405075512169763</v>
      </c>
      <c r="K35" s="26">
        <v>38.055833333333339</v>
      </c>
    </row>
    <row r="36" spans="1:14">
      <c r="A36" s="10">
        <v>2009</v>
      </c>
      <c r="B36" s="18">
        <v>29.503</v>
      </c>
      <c r="C36" s="18">
        <v>1837.3</v>
      </c>
      <c r="D36" s="18">
        <v>35.888933511521998</v>
      </c>
      <c r="E36" s="18">
        <f t="shared" si="1"/>
        <v>1902.6919335115219</v>
      </c>
      <c r="F36" s="18">
        <f t="shared" si="4"/>
        <v>1710.1766933281838</v>
      </c>
      <c r="G36" s="18">
        <v>161.81524018333801</v>
      </c>
      <c r="H36" s="18">
        <f t="shared" si="0"/>
        <v>1871.9919335115219</v>
      </c>
      <c r="I36" s="18">
        <v>211.57369332818405</v>
      </c>
      <c r="J36" s="45">
        <f>+I36/307.439</f>
        <v>0.68818104836466432</v>
      </c>
      <c r="K36" s="26">
        <v>27.522499999999997</v>
      </c>
    </row>
    <row r="37" spans="1:14">
      <c r="A37" s="10">
        <v>2010</v>
      </c>
      <c r="B37" s="18">
        <v>30.7</v>
      </c>
      <c r="C37" s="18">
        <v>1859.34608</v>
      </c>
      <c r="D37" s="18">
        <v>23.258830443281997</v>
      </c>
      <c r="E37" s="18">
        <f t="shared" si="1"/>
        <v>1913.3049104432821</v>
      </c>
      <c r="F37" s="18">
        <f t="shared" si="4"/>
        <v>1692.9546697296</v>
      </c>
      <c r="G37" s="18">
        <v>182.74824071368201</v>
      </c>
      <c r="H37" s="18">
        <f t="shared" si="0"/>
        <v>1875.702910443282</v>
      </c>
      <c r="I37" s="18">
        <v>1050.0342197296</v>
      </c>
      <c r="J37" s="45">
        <f>+I37/309.348193</f>
        <v>3.3943441193128288</v>
      </c>
      <c r="K37" s="26">
        <v>35.302500000000002</v>
      </c>
    </row>
    <row r="38" spans="1:14">
      <c r="A38" s="10">
        <v>2011</v>
      </c>
      <c r="B38" s="18">
        <v>37.601999999999997</v>
      </c>
      <c r="C38" s="18">
        <v>2050.1001679999999</v>
      </c>
      <c r="D38" s="18">
        <v>28.790562143825998</v>
      </c>
      <c r="E38" s="18">
        <f t="shared" si="1"/>
        <v>2116.4927301438256</v>
      </c>
      <c r="F38" s="18">
        <f t="shared" si="4"/>
        <v>1954.1203600709175</v>
      </c>
      <c r="G38" s="18">
        <v>132.37237007290801</v>
      </c>
      <c r="H38" s="18">
        <f t="shared" si="0"/>
        <v>2086.4927301438256</v>
      </c>
      <c r="I38" s="45" t="s">
        <v>229</v>
      </c>
      <c r="J38" s="45" t="s">
        <v>229</v>
      </c>
      <c r="K38" s="26">
        <v>53.396666666666668</v>
      </c>
    </row>
    <row r="39" spans="1:14">
      <c r="A39" s="10">
        <v>2012</v>
      </c>
      <c r="B39" s="18">
        <v>30</v>
      </c>
      <c r="C39" s="18">
        <v>2055.283488</v>
      </c>
      <c r="D39" s="18">
        <v>51.365293971264002</v>
      </c>
      <c r="E39" s="18">
        <f t="shared" si="1"/>
        <v>2136.6487819712638</v>
      </c>
      <c r="F39" s="18">
        <f t="shared" si="4"/>
        <v>1940.4232197277679</v>
      </c>
      <c r="G39" s="18">
        <v>166.225562243496</v>
      </c>
      <c r="H39" s="18">
        <f t="shared" si="0"/>
        <v>2106.6487819712638</v>
      </c>
      <c r="I39" s="45" t="s">
        <v>229</v>
      </c>
      <c r="J39" s="45" t="s">
        <v>229</v>
      </c>
      <c r="K39" s="26">
        <v>47.990833333333335</v>
      </c>
    </row>
    <row r="40" spans="1:14">
      <c r="A40" s="10">
        <v>2013</v>
      </c>
      <c r="B40" s="18">
        <v>30</v>
      </c>
      <c r="C40" s="18">
        <v>2042.8225439999999</v>
      </c>
      <c r="D40" s="18">
        <v>49.489934471586004</v>
      </c>
      <c r="E40" s="18">
        <f t="shared" si="1"/>
        <v>2122.3124784715856</v>
      </c>
      <c r="F40" s="18">
        <f t="shared" si="4"/>
        <v>1935.4579839139014</v>
      </c>
      <c r="G40" s="18">
        <v>156.85449455768401</v>
      </c>
      <c r="H40" s="18">
        <f t="shared" si="0"/>
        <v>2092.3124784715856</v>
      </c>
      <c r="I40" s="45" t="s">
        <v>229</v>
      </c>
      <c r="J40" s="45" t="s">
        <v>229</v>
      </c>
      <c r="K40" s="26">
        <v>42.519166666666671</v>
      </c>
    </row>
    <row r="41" spans="1:14">
      <c r="A41" s="10">
        <v>2014</v>
      </c>
      <c r="B41" s="18">
        <v>30</v>
      </c>
      <c r="C41" s="18">
        <v>1922.1753600000004</v>
      </c>
      <c r="D41" s="18">
        <v>51.677933621706003</v>
      </c>
      <c r="E41" s="18">
        <f t="shared" si="1"/>
        <v>2003.8532936217064</v>
      </c>
      <c r="F41" s="18">
        <f t="shared" ref="F41:F46" si="5">+H41-G41</f>
        <v>1883.9429573949183</v>
      </c>
      <c r="G41" s="18">
        <v>89.910336226788004</v>
      </c>
      <c r="H41" s="18">
        <f t="shared" si="0"/>
        <v>1973.8532936217064</v>
      </c>
      <c r="I41" s="45" t="s">
        <v>229</v>
      </c>
      <c r="J41" s="45" t="s">
        <v>229</v>
      </c>
      <c r="K41" s="26">
        <v>38.910833333333336</v>
      </c>
    </row>
    <row r="42" spans="1:14">
      <c r="A42" s="10">
        <v>2015</v>
      </c>
      <c r="B42" s="18">
        <v>30</v>
      </c>
      <c r="C42" s="18">
        <v>1927.5174400000001</v>
      </c>
      <c r="D42" s="18">
        <v>45.307188926621997</v>
      </c>
      <c r="E42" s="18">
        <f t="shared" si="1"/>
        <v>2002.8246289266222</v>
      </c>
      <c r="F42" s="18">
        <f t="shared" si="5"/>
        <v>1830.281096480214</v>
      </c>
      <c r="G42" s="18">
        <v>142.77653244640803</v>
      </c>
      <c r="H42" s="18">
        <f t="shared" si="0"/>
        <v>1973.0576289266221</v>
      </c>
      <c r="I42" s="45" t="s">
        <v>229</v>
      </c>
      <c r="J42" s="45" t="s">
        <v>229</v>
      </c>
      <c r="K42" s="26">
        <v>28.418333333333337</v>
      </c>
    </row>
    <row r="43" spans="1:14">
      <c r="A43" s="10">
        <v>2016</v>
      </c>
      <c r="B43" s="18">
        <v>29.767000000000003</v>
      </c>
      <c r="C43" s="18">
        <v>2143.2270000000003</v>
      </c>
      <c r="D43" s="18">
        <v>62.274325805874</v>
      </c>
      <c r="E43" s="18">
        <f t="shared" si="1"/>
        <v>2235.2683258058742</v>
      </c>
      <c r="F43" s="18">
        <f t="shared" si="5"/>
        <v>1929.456829937084</v>
      </c>
      <c r="G43" s="18">
        <v>264.87749586878999</v>
      </c>
      <c r="H43" s="18">
        <f t="shared" si="0"/>
        <v>2194.334325805874</v>
      </c>
      <c r="I43" s="45" t="s">
        <v>229</v>
      </c>
      <c r="J43" s="45" t="s">
        <v>229</v>
      </c>
      <c r="K43" s="26">
        <v>32.962499999999999</v>
      </c>
    </row>
    <row r="44" spans="1:14">
      <c r="A44" s="10">
        <v>2017</v>
      </c>
      <c r="B44" s="18">
        <v>40.933999999999997</v>
      </c>
      <c r="C44" s="18">
        <v>2052.788</v>
      </c>
      <c r="D44" s="18">
        <v>64.637</v>
      </c>
      <c r="E44" s="18">
        <f t="shared" ref="E44:E49" si="6">SUM(B44:D44)</f>
        <v>2158.3590000000004</v>
      </c>
      <c r="F44" s="18">
        <f t="shared" si="5"/>
        <v>1954.0710000000004</v>
      </c>
      <c r="G44" s="18">
        <v>171.25</v>
      </c>
      <c r="H44" s="18">
        <f t="shared" si="0"/>
        <v>2125.3210000000004</v>
      </c>
      <c r="I44" s="45" t="s">
        <v>229</v>
      </c>
      <c r="J44" s="45" t="s">
        <v>229</v>
      </c>
      <c r="K44" s="331">
        <v>34.432499999999997</v>
      </c>
      <c r="M44" s="18"/>
      <c r="N44" s="324"/>
    </row>
    <row r="45" spans="1:14">
      <c r="A45" s="10">
        <v>2018</v>
      </c>
      <c r="B45" s="18">
        <v>33.037999999999997</v>
      </c>
      <c r="C45" s="18">
        <v>2233.3879999999999</v>
      </c>
      <c r="D45" s="18">
        <v>35.267000000000003</v>
      </c>
      <c r="E45" s="18">
        <f t="shared" si="6"/>
        <v>2301.6929999999998</v>
      </c>
      <c r="F45" s="18">
        <f t="shared" si="5"/>
        <v>2009.6469999999997</v>
      </c>
      <c r="G45" s="18">
        <v>259.93200000000002</v>
      </c>
      <c r="H45" s="18">
        <f t="shared" si="0"/>
        <v>2269.5789999999997</v>
      </c>
      <c r="I45" s="45" t="s">
        <v>229</v>
      </c>
      <c r="J45" s="45" t="s">
        <v>229</v>
      </c>
      <c r="K45" s="331">
        <v>31.23</v>
      </c>
      <c r="M45" s="18"/>
      <c r="N45" s="324"/>
    </row>
    <row r="46" spans="1:14">
      <c r="A46" s="10">
        <v>2019</v>
      </c>
      <c r="B46" s="18">
        <v>32.113999999999997</v>
      </c>
      <c r="C46" s="18">
        <v>2252.0439999999999</v>
      </c>
      <c r="D46" s="18">
        <v>14.128</v>
      </c>
      <c r="E46" s="18">
        <f t="shared" si="6"/>
        <v>2298.2860000000001</v>
      </c>
      <c r="F46" s="18">
        <f t="shared" si="5"/>
        <v>2012.3469999999998</v>
      </c>
      <c r="G46" s="18">
        <v>268.09199999999998</v>
      </c>
      <c r="H46" s="18">
        <f>E46-B47</f>
        <v>2280.4389999999999</v>
      </c>
      <c r="I46" s="45" t="s">
        <v>229</v>
      </c>
      <c r="J46" s="45" t="s">
        <v>229</v>
      </c>
      <c r="K46" s="331">
        <v>33.479999999999997</v>
      </c>
      <c r="M46" s="18"/>
      <c r="N46" s="324"/>
    </row>
    <row r="47" spans="1:14">
      <c r="A47" s="10">
        <v>2020</v>
      </c>
      <c r="B47" s="325">
        <v>17.847000000000001</v>
      </c>
      <c r="C47" s="325">
        <v>2202.4030000000002</v>
      </c>
      <c r="D47" s="325">
        <v>24.094999999999999</v>
      </c>
      <c r="E47" s="325">
        <f t="shared" si="6"/>
        <v>2244.3450000000003</v>
      </c>
      <c r="F47" s="325">
        <f>+H47-G47</f>
        <v>2007.3500000000004</v>
      </c>
      <c r="G47" s="18">
        <v>226.995</v>
      </c>
      <c r="H47" s="18">
        <f>E47-B48</f>
        <v>2234.3450000000003</v>
      </c>
      <c r="I47" s="328" t="s">
        <v>229</v>
      </c>
      <c r="J47" s="328" t="s">
        <v>229</v>
      </c>
      <c r="K47" s="337">
        <v>37.909999999999997</v>
      </c>
      <c r="L47" s="26"/>
      <c r="M47" s="18"/>
      <c r="N47" s="324"/>
    </row>
    <row r="48" spans="1:14">
      <c r="A48" s="10" t="s">
        <v>631</v>
      </c>
      <c r="B48" s="325">
        <v>10</v>
      </c>
      <c r="C48" s="325">
        <v>2365.402</v>
      </c>
      <c r="D48" s="325">
        <v>30.372</v>
      </c>
      <c r="E48" s="325">
        <f t="shared" si="6"/>
        <v>2405.7739999999999</v>
      </c>
      <c r="F48" s="325">
        <f>+H48-G48</f>
        <v>2134.9639999999999</v>
      </c>
      <c r="G48" s="18">
        <v>250.274</v>
      </c>
      <c r="H48" s="18">
        <f>E48-B49</f>
        <v>2385.2379999999998</v>
      </c>
      <c r="I48" s="328" t="s">
        <v>229</v>
      </c>
      <c r="J48" s="328" t="s">
        <v>229</v>
      </c>
      <c r="K48" s="337">
        <v>64.180000000000007</v>
      </c>
      <c r="L48" s="26"/>
      <c r="M48" s="18"/>
      <c r="N48" s="324"/>
    </row>
    <row r="49" spans="1:14">
      <c r="A49" s="11" t="s">
        <v>630</v>
      </c>
      <c r="B49" s="327">
        <v>20.536000000000001</v>
      </c>
      <c r="C49" s="327">
        <v>2292.0820000000003</v>
      </c>
      <c r="D49" s="326">
        <v>72.641000000000005</v>
      </c>
      <c r="E49" s="327">
        <f t="shared" si="6"/>
        <v>2385.2590000000005</v>
      </c>
      <c r="F49" s="327">
        <f>+H49-G49</f>
        <v>2209.1210000000005</v>
      </c>
      <c r="G49" s="246">
        <v>153.13800000000001</v>
      </c>
      <c r="H49" s="246">
        <f>E49-23</f>
        <v>2362.2590000000005</v>
      </c>
      <c r="I49" s="329" t="s">
        <v>229</v>
      </c>
      <c r="J49" s="329" t="s">
        <v>229</v>
      </c>
      <c r="K49" s="330">
        <v>84.22</v>
      </c>
      <c r="L49" s="26"/>
      <c r="M49" s="18"/>
      <c r="N49" s="324"/>
    </row>
    <row r="50" spans="1:14">
      <c r="A50" s="52" t="s">
        <v>526</v>
      </c>
    </row>
    <row r="51" spans="1:14">
      <c r="A51" s="52" t="s">
        <v>730</v>
      </c>
    </row>
    <row r="52" spans="1:14">
      <c r="A52" s="52" t="s">
        <v>731</v>
      </c>
    </row>
    <row r="53" spans="1:14" ht="10.15" customHeight="1">
      <c r="A53" s="52" t="s">
        <v>732</v>
      </c>
      <c r="K53" s="55"/>
      <c r="L53" s="55"/>
    </row>
    <row r="54" spans="1:14" ht="10.15" customHeight="1">
      <c r="A54" s="52"/>
      <c r="K54" s="55"/>
      <c r="L54" s="55"/>
    </row>
    <row r="55" spans="1:14">
      <c r="J55" s="101"/>
      <c r="K55" s="101" t="s">
        <v>592</v>
      </c>
    </row>
  </sheetData>
  <phoneticPr fontId="0" type="noConversion"/>
  <pageMargins left="0.75" right="0.75" top="1" bottom="1" header="0.5" footer="0.5"/>
  <pageSetup scale="84" firstPageNumber="42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ignoredErrors>
    <ignoredError sqref="E7:E44 E45" formulaRange="1"/>
  </ignoredErrors>
  <drawing r:id="rId2"/>
  <legacy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N78"/>
  <sheetViews>
    <sheetView zoomScaleNormal="100" zoomScaleSheetLayoutView="100" workbookViewId="0">
      <pane ySplit="6" topLeftCell="A7" activePane="bottomLeft" state="frozen"/>
      <selection pane="bottomLeft"/>
    </sheetView>
  </sheetViews>
  <sheetFormatPr defaultRowHeight="11.25"/>
  <cols>
    <col min="1" max="1" width="20" customWidth="1"/>
    <col min="2" max="6" width="9.6640625" customWidth="1"/>
    <col min="7" max="7" width="8.6640625" customWidth="1"/>
    <col min="8" max="8" width="17.5" customWidth="1"/>
    <col min="9" max="13" width="9.6640625" customWidth="1"/>
    <col min="14" max="14" width="8.5" customWidth="1"/>
  </cols>
  <sheetData>
    <row r="1" spans="1:14">
      <c r="A1" s="259" t="s">
        <v>635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C2" s="3" t="s">
        <v>453</v>
      </c>
      <c r="D2" s="3"/>
      <c r="E2" s="17"/>
      <c r="J2" s="3" t="s">
        <v>453</v>
      </c>
      <c r="K2" s="3"/>
      <c r="L2" s="17"/>
    </row>
    <row r="3" spans="1:14">
      <c r="B3" s="7" t="s">
        <v>92</v>
      </c>
      <c r="C3" s="7" t="s">
        <v>160</v>
      </c>
      <c r="D3" s="7" t="s">
        <v>160</v>
      </c>
      <c r="E3" s="7" t="s">
        <v>2</v>
      </c>
      <c r="F3" s="86" t="s">
        <v>163</v>
      </c>
      <c r="I3" s="7" t="s">
        <v>92</v>
      </c>
      <c r="J3" s="7" t="s">
        <v>160</v>
      </c>
      <c r="K3" s="7" t="s">
        <v>160</v>
      </c>
      <c r="L3" s="7" t="s">
        <v>2</v>
      </c>
      <c r="M3" s="86" t="s">
        <v>163</v>
      </c>
    </row>
    <row r="4" spans="1:14">
      <c r="B4" s="7" t="s">
        <v>93</v>
      </c>
      <c r="C4" s="7" t="s">
        <v>151</v>
      </c>
      <c r="D4" s="7" t="s">
        <v>162</v>
      </c>
      <c r="E4" s="7" t="s">
        <v>192</v>
      </c>
      <c r="F4" s="7" t="s">
        <v>164</v>
      </c>
      <c r="I4" s="7" t="s">
        <v>93</v>
      </c>
      <c r="J4" s="7" t="s">
        <v>151</v>
      </c>
      <c r="K4" s="7" t="s">
        <v>162</v>
      </c>
      <c r="L4" s="7" t="s">
        <v>192</v>
      </c>
      <c r="M4" s="7" t="s">
        <v>164</v>
      </c>
    </row>
    <row r="5" spans="1:14">
      <c r="A5" s="1"/>
      <c r="B5" s="9"/>
      <c r="C5" s="9" t="s">
        <v>161</v>
      </c>
      <c r="D5" s="9" t="s">
        <v>99</v>
      </c>
      <c r="E5" s="9"/>
      <c r="F5" s="9"/>
      <c r="G5" s="1"/>
      <c r="H5" s="1"/>
      <c r="I5" s="9"/>
      <c r="J5" s="9" t="s">
        <v>161</v>
      </c>
      <c r="K5" s="9" t="s">
        <v>99</v>
      </c>
      <c r="L5" s="9"/>
      <c r="M5" s="9"/>
    </row>
    <row r="6" spans="1:14">
      <c r="C6" s="100"/>
      <c r="D6" s="100"/>
      <c r="E6" s="100"/>
      <c r="F6" s="100"/>
      <c r="G6" s="100"/>
      <c r="H6" s="177" t="s">
        <v>159</v>
      </c>
      <c r="I6" s="100"/>
      <c r="J6" s="100"/>
      <c r="K6" s="100"/>
      <c r="L6" s="100"/>
      <c r="M6" s="100"/>
    </row>
    <row r="7" spans="1:14" ht="15.75" customHeight="1">
      <c r="A7" s="173" t="s">
        <v>334</v>
      </c>
      <c r="B7" s="29"/>
      <c r="C7" s="29"/>
      <c r="D7" s="29"/>
      <c r="E7" s="29"/>
      <c r="F7" s="29"/>
      <c r="H7" s="353" t="s">
        <v>634</v>
      </c>
      <c r="I7" s="29"/>
      <c r="J7" s="29"/>
      <c r="K7" s="29"/>
      <c r="L7" s="29"/>
      <c r="M7" s="29"/>
    </row>
    <row r="8" spans="1:14" ht="10.15" customHeight="1">
      <c r="A8" s="173" t="s">
        <v>152</v>
      </c>
      <c r="B8" s="29"/>
      <c r="C8" s="29"/>
      <c r="D8" s="29"/>
      <c r="E8" s="29"/>
      <c r="F8" s="29"/>
      <c r="H8" s="173" t="s">
        <v>152</v>
      </c>
      <c r="I8" s="29"/>
      <c r="J8" s="143"/>
      <c r="K8" s="29"/>
      <c r="L8" s="29"/>
      <c r="M8" s="29"/>
    </row>
    <row r="9" spans="1:14" ht="10.15" customHeight="1">
      <c r="A9" s="86" t="s">
        <v>153</v>
      </c>
      <c r="B9" s="29"/>
      <c r="C9" s="29"/>
      <c r="D9" s="29"/>
      <c r="E9" s="29"/>
      <c r="F9" s="29"/>
      <c r="H9" s="86" t="s">
        <v>153</v>
      </c>
      <c r="I9" s="29"/>
      <c r="J9" s="29"/>
      <c r="K9" s="29"/>
      <c r="L9" s="29"/>
      <c r="M9" s="29"/>
    </row>
    <row r="10" spans="1:14" ht="10.15" customHeight="1">
      <c r="A10" s="86" t="s">
        <v>498</v>
      </c>
      <c r="B10" s="352">
        <v>24.74</v>
      </c>
      <c r="C10" s="352">
        <v>62.698</v>
      </c>
      <c r="D10" s="352">
        <v>21.341000000000001</v>
      </c>
      <c r="E10" s="352">
        <f>F10-B10</f>
        <v>89.418000000000006</v>
      </c>
      <c r="F10" s="352">
        <v>114.158</v>
      </c>
      <c r="H10" s="86" t="s">
        <v>498</v>
      </c>
      <c r="I10" s="352">
        <f>B46</f>
        <v>6.9939999999999998</v>
      </c>
      <c r="J10" s="352">
        <f>C46</f>
        <v>55.213999999999999</v>
      </c>
      <c r="K10" s="352">
        <f>D46</f>
        <v>34.555</v>
      </c>
      <c r="L10" s="352">
        <f>E46</f>
        <v>93.037999999999997</v>
      </c>
      <c r="M10" s="352">
        <f>F46</f>
        <v>100.032</v>
      </c>
    </row>
    <row r="11" spans="1:14" ht="10.15" customHeight="1">
      <c r="A11" s="86" t="s">
        <v>172</v>
      </c>
      <c r="B11" s="352">
        <v>96.667000000000002</v>
      </c>
      <c r="C11" s="352">
        <v>190.18299999999999</v>
      </c>
      <c r="D11" s="352">
        <v>21.849</v>
      </c>
      <c r="E11" s="352">
        <f>F11-B11</f>
        <v>244.12800000000001</v>
      </c>
      <c r="F11" s="352">
        <v>340.79500000000002</v>
      </c>
      <c r="H11" s="86" t="s">
        <v>172</v>
      </c>
      <c r="I11" s="352">
        <v>121.52800000000001</v>
      </c>
      <c r="J11" s="352">
        <v>180.816</v>
      </c>
      <c r="K11" s="352">
        <v>20.157</v>
      </c>
      <c r="L11" s="352">
        <f>M11-I11</f>
        <v>236.61399999999998</v>
      </c>
      <c r="M11" s="352">
        <v>358.142</v>
      </c>
      <c r="N11" s="351"/>
    </row>
    <row r="12" spans="1:14" ht="10.15" customHeight="1">
      <c r="A12" s="86" t="s">
        <v>454</v>
      </c>
      <c r="B12" s="352">
        <v>0.41899999999999998</v>
      </c>
      <c r="C12" s="352">
        <v>5.4569999999999999</v>
      </c>
      <c r="D12" s="352">
        <v>131.911</v>
      </c>
      <c r="E12" s="352">
        <f>F12-B12</f>
        <v>164.70499999999998</v>
      </c>
      <c r="F12" s="352">
        <v>165.124</v>
      </c>
      <c r="H12" s="86" t="s">
        <v>454</v>
      </c>
      <c r="I12" s="352">
        <v>0.433</v>
      </c>
      <c r="J12" s="352">
        <v>4.4260000000000002</v>
      </c>
      <c r="K12" s="352">
        <v>123.783</v>
      </c>
      <c r="L12" s="352">
        <f>M12-I12</f>
        <v>156.643</v>
      </c>
      <c r="M12" s="352">
        <v>157.07599999999999</v>
      </c>
      <c r="N12" s="351"/>
    </row>
    <row r="13" spans="1:14" ht="10.15" customHeight="1">
      <c r="A13" s="86" t="s">
        <v>154</v>
      </c>
      <c r="B13" s="352"/>
      <c r="C13" s="352"/>
      <c r="D13" s="352"/>
      <c r="E13" s="352"/>
      <c r="F13" s="352"/>
      <c r="H13" s="86" t="s">
        <v>154</v>
      </c>
      <c r="I13" s="352"/>
      <c r="J13" s="352"/>
      <c r="K13" s="29"/>
      <c r="L13" s="29"/>
      <c r="M13" s="29"/>
    </row>
    <row r="14" spans="1:14" ht="10.15" customHeight="1">
      <c r="A14" s="86" t="s">
        <v>455</v>
      </c>
      <c r="B14" s="352">
        <v>58.91</v>
      </c>
      <c r="C14" s="352">
        <v>89.102000000000004</v>
      </c>
      <c r="D14" s="352">
        <v>119.98</v>
      </c>
      <c r="E14" s="352">
        <f>F14-B14</f>
        <v>253.20599999999999</v>
      </c>
      <c r="F14" s="352">
        <v>312.11599999999999</v>
      </c>
      <c r="H14" s="86" t="s">
        <v>455</v>
      </c>
      <c r="I14" s="352">
        <v>59.98</v>
      </c>
      <c r="J14" s="352">
        <v>91.364999999999995</v>
      </c>
      <c r="K14" s="352">
        <v>116.28100000000001</v>
      </c>
      <c r="L14" s="352">
        <f>M14-I14</f>
        <v>252.96700000000001</v>
      </c>
      <c r="M14" s="352">
        <v>312.947</v>
      </c>
      <c r="N14" s="352"/>
    </row>
    <row r="15" spans="1:14" ht="10.15" customHeight="1">
      <c r="A15" s="86" t="s">
        <v>456</v>
      </c>
      <c r="B15" s="352">
        <v>61.75</v>
      </c>
      <c r="C15" s="352">
        <v>99.59</v>
      </c>
      <c r="D15" s="352">
        <v>146.78200000000001</v>
      </c>
      <c r="E15" s="352">
        <f>F15-B15</f>
        <v>297.8</v>
      </c>
      <c r="F15" s="352">
        <v>359.55</v>
      </c>
      <c r="H15" s="86" t="s">
        <v>456</v>
      </c>
      <c r="I15" s="352">
        <v>62.765999999999998</v>
      </c>
      <c r="J15" s="352">
        <v>102.005</v>
      </c>
      <c r="K15" s="352">
        <v>143.88</v>
      </c>
      <c r="L15" s="352">
        <f>M15-I15</f>
        <v>299.505</v>
      </c>
      <c r="M15" s="352">
        <v>362.27100000000002</v>
      </c>
      <c r="N15" s="352"/>
    </row>
    <row r="16" spans="1:14" ht="10.15" customHeight="1">
      <c r="A16" s="86" t="s">
        <v>112</v>
      </c>
      <c r="B16" s="352">
        <v>45.8</v>
      </c>
      <c r="C16" s="352">
        <v>110.90600000000001</v>
      </c>
      <c r="D16" s="352">
        <v>0.33900000000000002</v>
      </c>
      <c r="E16" s="352">
        <f>F16-B16</f>
        <v>119.75600000000001</v>
      </c>
      <c r="F16" s="352">
        <v>165.55600000000001</v>
      </c>
      <c r="H16" s="86" t="s">
        <v>112</v>
      </c>
      <c r="I16" s="352">
        <v>58.720999999999997</v>
      </c>
      <c r="J16" s="352">
        <v>87.257000000000005</v>
      </c>
      <c r="K16" s="352">
        <v>0.41499999999999998</v>
      </c>
      <c r="L16" s="352">
        <f>M16-I16</f>
        <v>95.256</v>
      </c>
      <c r="M16" s="352">
        <v>153.977</v>
      </c>
      <c r="N16" s="352"/>
    </row>
    <row r="17" spans="1:14" ht="10.15" customHeight="1">
      <c r="A17" s="86" t="s">
        <v>156</v>
      </c>
      <c r="B17" s="352">
        <v>14.276</v>
      </c>
      <c r="C17" s="352">
        <v>47.841999999999999</v>
      </c>
      <c r="D17" s="352">
        <v>27.98</v>
      </c>
      <c r="E17" s="352">
        <f>F17-B17</f>
        <v>80.694000000000003</v>
      </c>
      <c r="F17" s="352">
        <v>94.97</v>
      </c>
      <c r="H17" s="86" t="s">
        <v>156</v>
      </c>
      <c r="I17" s="352">
        <v>7.468</v>
      </c>
      <c r="J17" s="352">
        <v>51.194000000000003</v>
      </c>
      <c r="K17" s="352">
        <v>34.200000000000003</v>
      </c>
      <c r="L17" s="352">
        <f>M17-I17</f>
        <v>91.533999999999992</v>
      </c>
      <c r="M17" s="352">
        <v>99.001999999999995</v>
      </c>
      <c r="N17" s="194"/>
    </row>
    <row r="18" spans="1:14" ht="10.15" customHeight="1">
      <c r="A18" s="173" t="s">
        <v>157</v>
      </c>
      <c r="B18" s="29"/>
      <c r="C18" s="29"/>
      <c r="D18" s="29"/>
      <c r="E18" s="29"/>
      <c r="F18" s="29"/>
      <c r="H18" s="173" t="s">
        <v>157</v>
      </c>
      <c r="I18" s="29"/>
      <c r="J18" s="29"/>
      <c r="K18" s="29"/>
      <c r="L18" s="29"/>
      <c r="M18" s="29"/>
    </row>
    <row r="19" spans="1:14" ht="10.15" customHeight="1">
      <c r="A19" s="86" t="s">
        <v>153</v>
      </c>
      <c r="B19" s="29"/>
      <c r="C19" s="29"/>
      <c r="D19" s="29"/>
      <c r="E19" s="29"/>
      <c r="F19" s="29"/>
      <c r="H19" s="86" t="s">
        <v>153</v>
      </c>
      <c r="I19" s="29"/>
      <c r="J19" s="29"/>
      <c r="K19" s="29"/>
      <c r="L19" s="29"/>
      <c r="M19" s="29"/>
    </row>
    <row r="20" spans="1:14" ht="10.15" customHeight="1">
      <c r="A20" s="86" t="s">
        <v>498</v>
      </c>
      <c r="B20" s="352">
        <v>0.36499999999999999</v>
      </c>
      <c r="C20" s="352">
        <v>6.7539999999999996</v>
      </c>
      <c r="D20" s="352">
        <v>3.0190000000000001</v>
      </c>
      <c r="E20" s="352">
        <f>F20-B20</f>
        <v>15.358000000000001</v>
      </c>
      <c r="F20" s="352">
        <v>15.723000000000001</v>
      </c>
      <c r="H20" s="86" t="s">
        <v>498</v>
      </c>
      <c r="I20" s="352">
        <f>B55</f>
        <v>0.309</v>
      </c>
      <c r="J20" s="352">
        <f>C55</f>
        <v>6.673</v>
      </c>
      <c r="K20" s="363">
        <f>D55</f>
        <v>2.0019999999999998</v>
      </c>
      <c r="L20" s="352">
        <f>E55</f>
        <v>14.288</v>
      </c>
      <c r="M20" s="352">
        <f>F55</f>
        <v>14.597</v>
      </c>
    </row>
    <row r="21" spans="1:14" ht="10.15" customHeight="1">
      <c r="A21" s="86" t="s">
        <v>172</v>
      </c>
      <c r="B21" s="352">
        <v>46.357999999999997</v>
      </c>
      <c r="C21" s="352">
        <v>73.355000000000004</v>
      </c>
      <c r="D21" s="352">
        <v>22.372</v>
      </c>
      <c r="E21" s="352">
        <f>F21-B21</f>
        <v>198.81799999999998</v>
      </c>
      <c r="F21" s="352">
        <v>245.17599999999999</v>
      </c>
      <c r="H21" s="86" t="s">
        <v>172</v>
      </c>
      <c r="I21" s="352">
        <v>47.005000000000003</v>
      </c>
      <c r="J21" s="352">
        <v>76.036000000000001</v>
      </c>
      <c r="K21" s="352">
        <v>22.602</v>
      </c>
      <c r="L21" s="352">
        <f>M21-I21</f>
        <v>198.56300000000002</v>
      </c>
      <c r="M21" s="352">
        <v>245.56800000000001</v>
      </c>
    </row>
    <row r="22" spans="1:14" ht="10.15" customHeight="1">
      <c r="A22" s="86" t="s">
        <v>454</v>
      </c>
      <c r="B22" s="352">
        <v>0.57999999999999996</v>
      </c>
      <c r="C22" s="352">
        <v>3.4000000000000002E-2</v>
      </c>
      <c r="D22" s="352">
        <v>37.363999999999997</v>
      </c>
      <c r="E22" s="352">
        <f>F22-B22</f>
        <v>62.201999999999998</v>
      </c>
      <c r="F22" s="352">
        <v>62.781999999999996</v>
      </c>
      <c r="H22" s="86" t="s">
        <v>454</v>
      </c>
      <c r="I22" s="352">
        <v>0.58899999999999997</v>
      </c>
      <c r="J22" s="352">
        <v>0.79300000000000004</v>
      </c>
      <c r="K22" s="352">
        <v>38.133000000000003</v>
      </c>
      <c r="L22" s="352">
        <f>M22-I22</f>
        <v>65.442999999999998</v>
      </c>
      <c r="M22" s="352">
        <v>66.031999999999996</v>
      </c>
    </row>
    <row r="23" spans="1:14" ht="10.15" customHeight="1">
      <c r="A23" s="86" t="s">
        <v>154</v>
      </c>
      <c r="B23" s="352"/>
      <c r="C23" s="352"/>
      <c r="D23" s="352"/>
      <c r="E23" s="352"/>
      <c r="F23" s="352"/>
      <c r="H23" s="86" t="s">
        <v>154</v>
      </c>
      <c r="I23" s="194"/>
      <c r="J23" s="352"/>
      <c r="K23" s="194"/>
      <c r="L23" s="352"/>
      <c r="M23" s="194"/>
    </row>
    <row r="24" spans="1:14" ht="10.15" customHeight="1">
      <c r="A24" s="86" t="s">
        <v>457</v>
      </c>
      <c r="B24" s="352">
        <v>34.444000000000003</v>
      </c>
      <c r="C24" s="352">
        <v>27.48</v>
      </c>
      <c r="D24" s="352">
        <v>59.127000000000002</v>
      </c>
      <c r="E24" s="352">
        <f>F24-B24</f>
        <v>206.19799999999998</v>
      </c>
      <c r="F24" s="352">
        <v>240.642</v>
      </c>
      <c r="H24" s="86" t="s">
        <v>457</v>
      </c>
      <c r="I24" s="352">
        <v>35.351999999999997</v>
      </c>
      <c r="J24" s="352">
        <v>29.163</v>
      </c>
      <c r="K24" s="352">
        <v>59.847000000000001</v>
      </c>
      <c r="L24" s="352">
        <f>M24-I24</f>
        <v>208.155</v>
      </c>
      <c r="M24" s="352">
        <v>243.50700000000001</v>
      </c>
    </row>
    <row r="25" spans="1:14" ht="10.15" customHeight="1">
      <c r="A25" s="86" t="s">
        <v>112</v>
      </c>
      <c r="B25" s="352">
        <v>12.548999999999999</v>
      </c>
      <c r="C25" s="352">
        <v>46.125999999999998</v>
      </c>
      <c r="D25" s="352">
        <v>0.99399999999999999</v>
      </c>
      <c r="E25" s="352">
        <f>F25-B25</f>
        <v>55.323</v>
      </c>
      <c r="F25" s="352">
        <v>67.872</v>
      </c>
      <c r="H25" s="86" t="s">
        <v>112</v>
      </c>
      <c r="I25" s="352">
        <v>12.269</v>
      </c>
      <c r="J25" s="352">
        <v>47.735999999999997</v>
      </c>
      <c r="K25" s="352">
        <v>1.125</v>
      </c>
      <c r="L25" s="352">
        <f t="shared" ref="L25:L26" si="0">M25-I25</f>
        <v>56.166000000000004</v>
      </c>
      <c r="M25" s="352">
        <v>68.435000000000002</v>
      </c>
    </row>
    <row r="26" spans="1:14" ht="10.15" customHeight="1">
      <c r="A26" s="86" t="s">
        <v>156</v>
      </c>
      <c r="B26" s="352">
        <v>0.31</v>
      </c>
      <c r="C26" s="352">
        <v>6.5369999999999999</v>
      </c>
      <c r="D26" s="352">
        <v>2.6339999999999999</v>
      </c>
      <c r="E26" s="352">
        <f>F26-B26</f>
        <v>14.856999999999999</v>
      </c>
      <c r="F26" s="352">
        <v>15.167</v>
      </c>
      <c r="H26" s="86" t="s">
        <v>156</v>
      </c>
      <c r="I26" s="352">
        <v>0.28199999999999997</v>
      </c>
      <c r="J26" s="352">
        <v>6.6029999999999998</v>
      </c>
      <c r="K26" s="352">
        <v>1.7649999999999999</v>
      </c>
      <c r="L26" s="352">
        <f t="shared" si="0"/>
        <v>13.973000000000001</v>
      </c>
      <c r="M26" s="352">
        <v>14.255000000000001</v>
      </c>
    </row>
    <row r="27" spans="1:14" ht="10.15" customHeight="1">
      <c r="A27" s="173" t="s">
        <v>158</v>
      </c>
      <c r="B27" s="352"/>
      <c r="C27" s="29"/>
      <c r="D27" s="29"/>
      <c r="E27" s="29"/>
      <c r="F27" s="29"/>
      <c r="H27" s="173" t="s">
        <v>158</v>
      </c>
      <c r="I27" s="29"/>
      <c r="J27" s="29"/>
      <c r="K27" s="29"/>
      <c r="L27" s="29"/>
      <c r="M27" s="29"/>
    </row>
    <row r="28" spans="1:14" ht="10.15" customHeight="1">
      <c r="A28" s="86" t="s">
        <v>153</v>
      </c>
      <c r="B28" s="352"/>
      <c r="C28" s="29"/>
      <c r="D28" s="29"/>
      <c r="E28" s="29"/>
      <c r="F28" s="29"/>
      <c r="H28" s="86" t="s">
        <v>153</v>
      </c>
      <c r="I28" s="29"/>
      <c r="J28" s="29"/>
      <c r="K28" s="29"/>
      <c r="L28" s="29"/>
      <c r="M28" s="29"/>
    </row>
    <row r="29" spans="1:14" ht="10.15" customHeight="1">
      <c r="A29" s="86" t="s">
        <v>498</v>
      </c>
      <c r="B29" s="352">
        <v>0.80500000000000005</v>
      </c>
      <c r="C29" s="352">
        <v>1.0860000000000001</v>
      </c>
      <c r="D29" s="352">
        <v>1.26</v>
      </c>
      <c r="E29" s="352">
        <f>F29-B29</f>
        <v>3.8660000000000001</v>
      </c>
      <c r="F29" s="352">
        <v>4.6710000000000003</v>
      </c>
      <c r="H29" s="86" t="s">
        <v>498</v>
      </c>
      <c r="I29" s="352">
        <f>B64</f>
        <v>0.96699999999999997</v>
      </c>
      <c r="J29" s="352">
        <f t="shared" ref="J29:M29" si="1">C64</f>
        <v>1.2829999999999999</v>
      </c>
      <c r="K29" s="352">
        <f t="shared" si="1"/>
        <v>1.6679999999999999</v>
      </c>
      <c r="L29" s="352">
        <f t="shared" si="1"/>
        <v>4.2990000000000004</v>
      </c>
      <c r="M29" s="352">
        <f t="shared" si="1"/>
        <v>5.266</v>
      </c>
    </row>
    <row r="30" spans="1:14" ht="10.15" customHeight="1">
      <c r="A30" s="86" t="s">
        <v>172</v>
      </c>
      <c r="B30" s="352">
        <v>11.298999999999999</v>
      </c>
      <c r="C30" s="352">
        <v>20.327000000000002</v>
      </c>
      <c r="D30" s="352">
        <v>19.399000000000001</v>
      </c>
      <c r="E30" s="352">
        <f>F30-B30</f>
        <v>47.19</v>
      </c>
      <c r="F30" s="352">
        <v>58.488999999999997</v>
      </c>
      <c r="H30" s="86" t="s">
        <v>172</v>
      </c>
      <c r="I30" s="352">
        <v>11.864000000000001</v>
      </c>
      <c r="J30" s="352">
        <v>20.681000000000001</v>
      </c>
      <c r="K30" s="352">
        <v>18.885000000000002</v>
      </c>
      <c r="L30" s="352">
        <f>M30-I30</f>
        <v>47.174999999999997</v>
      </c>
      <c r="M30" s="352">
        <v>59.039000000000001</v>
      </c>
    </row>
    <row r="31" spans="1:14" ht="10.15" customHeight="1">
      <c r="A31" s="86" t="s">
        <v>454</v>
      </c>
      <c r="B31" s="352">
        <v>0.14499999999999999</v>
      </c>
      <c r="C31" s="352">
        <v>0.55800000000000005</v>
      </c>
      <c r="D31" s="352">
        <v>7.1</v>
      </c>
      <c r="E31" s="352">
        <f>F31-B31</f>
        <v>11.337</v>
      </c>
      <c r="F31" s="352">
        <v>11.481999999999999</v>
      </c>
      <c r="H31" s="86" t="s">
        <v>454</v>
      </c>
      <c r="I31" s="352">
        <v>0.13800000000000001</v>
      </c>
      <c r="J31" s="352">
        <v>0.58899999999999997</v>
      </c>
      <c r="K31" s="352">
        <v>6.5679999999999996</v>
      </c>
      <c r="L31" s="352">
        <f>M31-I31</f>
        <v>11.321</v>
      </c>
      <c r="M31" s="352">
        <v>11.459</v>
      </c>
    </row>
    <row r="32" spans="1:14" ht="10.15" customHeight="1">
      <c r="A32" s="86" t="s">
        <v>154</v>
      </c>
      <c r="B32" s="352"/>
      <c r="C32" s="352"/>
      <c r="D32" s="352"/>
      <c r="E32" s="352"/>
      <c r="F32" s="352"/>
      <c r="H32" s="86" t="s">
        <v>154</v>
      </c>
      <c r="I32" s="352"/>
      <c r="J32" s="352"/>
      <c r="K32" s="352"/>
      <c r="L32" s="352"/>
      <c r="M32" s="352"/>
    </row>
    <row r="33" spans="1:13" ht="10.15" customHeight="1">
      <c r="A33" s="86" t="s">
        <v>457</v>
      </c>
      <c r="B33" s="352">
        <v>10.122</v>
      </c>
      <c r="C33" s="352">
        <v>12.365</v>
      </c>
      <c r="D33" s="352">
        <v>25.783999999999999</v>
      </c>
      <c r="E33" s="352">
        <f>F33-B33</f>
        <v>46.881999999999998</v>
      </c>
      <c r="F33" s="352">
        <v>57.003999999999998</v>
      </c>
      <c r="H33" s="86" t="s">
        <v>457</v>
      </c>
      <c r="I33" s="352">
        <v>11.262</v>
      </c>
      <c r="J33" s="352">
        <v>12.586</v>
      </c>
      <c r="K33" s="352">
        <v>26.125</v>
      </c>
      <c r="L33" s="352">
        <f>M33-I33</f>
        <v>47.945</v>
      </c>
      <c r="M33" s="352">
        <v>59.207000000000001</v>
      </c>
    </row>
    <row r="34" spans="1:13" ht="10.15" customHeight="1">
      <c r="A34" s="86" t="s">
        <v>112</v>
      </c>
      <c r="B34" s="352">
        <v>1.2869999999999999</v>
      </c>
      <c r="C34" s="352">
        <v>8.1</v>
      </c>
      <c r="D34" s="352">
        <v>0.47399999999999998</v>
      </c>
      <c r="E34" s="352">
        <f>F34-B34</f>
        <v>11.085000000000001</v>
      </c>
      <c r="F34" s="352">
        <v>12.372</v>
      </c>
      <c r="H34" s="86" t="s">
        <v>112</v>
      </c>
      <c r="I34" s="352">
        <v>0.80400000000000005</v>
      </c>
      <c r="J34" s="352">
        <v>8.6219999999999999</v>
      </c>
      <c r="K34" s="352">
        <v>0.27800000000000002</v>
      </c>
      <c r="L34" s="352">
        <f>M34-I34</f>
        <v>11.327999999999999</v>
      </c>
      <c r="M34" s="352">
        <v>12.132</v>
      </c>
    </row>
    <row r="35" spans="1:13" ht="10.15" customHeight="1">
      <c r="A35" s="86" t="s">
        <v>156</v>
      </c>
      <c r="B35" s="352">
        <v>0.84</v>
      </c>
      <c r="C35" s="352">
        <v>1.506</v>
      </c>
      <c r="D35" s="352">
        <v>1.5009999999999999</v>
      </c>
      <c r="E35" s="352">
        <f>F35-B35</f>
        <v>4.4260000000000002</v>
      </c>
      <c r="F35" s="352">
        <v>5.266</v>
      </c>
      <c r="H35" s="86" t="s">
        <v>156</v>
      </c>
      <c r="I35" s="352">
        <v>0.90300000000000002</v>
      </c>
      <c r="J35" s="352">
        <v>1.345</v>
      </c>
      <c r="K35" s="352">
        <v>0.71799999999999997</v>
      </c>
      <c r="L35" s="352">
        <f>M35-I35</f>
        <v>3.5219999999999998</v>
      </c>
      <c r="M35" s="352">
        <v>4.4249999999999998</v>
      </c>
    </row>
    <row r="36" spans="1:13" ht="12" customHeight="1">
      <c r="A36" s="353" t="s">
        <v>499</v>
      </c>
      <c r="B36" s="29"/>
      <c r="C36" s="29"/>
      <c r="D36" s="29"/>
      <c r="E36" s="29"/>
      <c r="F36" s="29"/>
      <c r="H36" s="353" t="s">
        <v>633</v>
      </c>
    </row>
    <row r="37" spans="1:13">
      <c r="A37" s="173" t="s">
        <v>152</v>
      </c>
      <c r="B37" s="29"/>
      <c r="C37" s="143"/>
      <c r="D37" s="29"/>
      <c r="E37" s="29"/>
      <c r="F37" s="29"/>
      <c r="H37" s="353" t="s">
        <v>152</v>
      </c>
    </row>
    <row r="38" spans="1:13">
      <c r="A38" s="86" t="s">
        <v>153</v>
      </c>
      <c r="B38" s="29"/>
      <c r="C38" s="29"/>
      <c r="D38" s="29"/>
      <c r="E38" s="29"/>
      <c r="F38" s="29"/>
      <c r="H38" s="354" t="s">
        <v>153</v>
      </c>
    </row>
    <row r="39" spans="1:13">
      <c r="A39" s="86" t="s">
        <v>498</v>
      </c>
      <c r="B39" s="352">
        <f>B17</f>
        <v>14.276</v>
      </c>
      <c r="C39" s="352">
        <f>C17</f>
        <v>47.841999999999999</v>
      </c>
      <c r="D39" s="352">
        <f>D17</f>
        <v>27.98</v>
      </c>
      <c r="E39" s="352">
        <f>E17</f>
        <v>80.694000000000003</v>
      </c>
      <c r="F39" s="352">
        <f>F17</f>
        <v>94.97</v>
      </c>
      <c r="H39" s="86" t="s">
        <v>498</v>
      </c>
      <c r="I39" s="352">
        <f>I17</f>
        <v>7.468</v>
      </c>
      <c r="J39" s="352">
        <f>J17</f>
        <v>51.194000000000003</v>
      </c>
      <c r="K39" s="352">
        <f>K17</f>
        <v>34.200000000000003</v>
      </c>
      <c r="L39" s="352">
        <f>L17</f>
        <v>91.533999999999992</v>
      </c>
      <c r="M39" s="352">
        <f>M17</f>
        <v>99.001999999999995</v>
      </c>
    </row>
    <row r="40" spans="1:13" ht="12" customHeight="1">
      <c r="A40" s="86" t="s">
        <v>172</v>
      </c>
      <c r="B40" s="352">
        <v>114.749</v>
      </c>
      <c r="C40" s="352">
        <v>197.339</v>
      </c>
      <c r="D40" s="352">
        <v>23.253</v>
      </c>
      <c r="E40" s="352">
        <f>F40-B40</f>
        <v>253.727</v>
      </c>
      <c r="F40" s="352">
        <v>368.476</v>
      </c>
      <c r="G40" s="351"/>
      <c r="H40" s="86" t="s">
        <v>172</v>
      </c>
      <c r="I40" s="352">
        <v>116.377</v>
      </c>
      <c r="J40" s="352">
        <v>198.1</v>
      </c>
      <c r="K40" s="352">
        <v>23.663</v>
      </c>
      <c r="L40" s="352">
        <f>M40-I40</f>
        <v>258.77100000000002</v>
      </c>
      <c r="M40" s="352">
        <v>375.14800000000002</v>
      </c>
    </row>
    <row r="41" spans="1:13">
      <c r="A41" s="86" t="s">
        <v>454</v>
      </c>
      <c r="B41" s="352">
        <v>0.53900000000000003</v>
      </c>
      <c r="C41" s="352">
        <v>5.9180000000000001</v>
      </c>
      <c r="D41" s="352">
        <v>133.392</v>
      </c>
      <c r="E41" s="352">
        <f>F41-B41</f>
        <v>165.00700000000001</v>
      </c>
      <c r="F41" s="352">
        <v>165.54599999999999</v>
      </c>
      <c r="G41" s="351"/>
      <c r="H41" s="86" t="s">
        <v>454</v>
      </c>
      <c r="I41" s="352">
        <v>0.40799999999999997</v>
      </c>
      <c r="J41" s="352">
        <v>8.0180000000000007</v>
      </c>
      <c r="K41" s="352">
        <v>129.52500000000001</v>
      </c>
      <c r="L41" s="352">
        <f>M41-I41</f>
        <v>164.98500000000001</v>
      </c>
      <c r="M41" s="352">
        <v>165.393</v>
      </c>
    </row>
    <row r="42" spans="1:13">
      <c r="A42" s="86" t="s">
        <v>154</v>
      </c>
      <c r="B42" s="352"/>
      <c r="C42" s="352"/>
      <c r="D42" s="352"/>
      <c r="E42" s="352"/>
      <c r="F42" s="352"/>
      <c r="H42" s="86" t="s">
        <v>154</v>
      </c>
      <c r="I42" s="352"/>
      <c r="J42" s="352"/>
      <c r="K42" s="352"/>
      <c r="L42" s="352"/>
      <c r="M42" s="352"/>
    </row>
    <row r="43" spans="1:13">
      <c r="A43" s="86" t="s">
        <v>455</v>
      </c>
      <c r="B43" s="352">
        <v>58.256999999999998</v>
      </c>
      <c r="C43" s="352">
        <v>90.251999999999995</v>
      </c>
      <c r="D43" s="352">
        <v>122.1</v>
      </c>
      <c r="E43" s="352">
        <f>F43-B43</f>
        <v>257.726</v>
      </c>
      <c r="F43" s="352">
        <v>315.983</v>
      </c>
      <c r="G43" s="351"/>
      <c r="H43" s="86" t="s">
        <v>455</v>
      </c>
      <c r="I43" s="352">
        <v>60.418999999999997</v>
      </c>
      <c r="J43" s="352">
        <v>91.54</v>
      </c>
      <c r="K43" s="352">
        <v>120.5</v>
      </c>
      <c r="L43" s="352">
        <f>M43-I43</f>
        <v>259.62100000000004</v>
      </c>
      <c r="M43" s="352">
        <v>320.04000000000002</v>
      </c>
    </row>
    <row r="44" spans="1:13">
      <c r="A44" s="86" t="s">
        <v>456</v>
      </c>
      <c r="B44" s="352">
        <v>60.905000000000001</v>
      </c>
      <c r="C44" s="352">
        <v>100.93600000000001</v>
      </c>
      <c r="D44" s="352">
        <v>149.80199999999999</v>
      </c>
      <c r="E44" s="352">
        <f>F44-B44</f>
        <v>303.06100000000004</v>
      </c>
      <c r="F44" s="352">
        <v>363.96600000000001</v>
      </c>
      <c r="G44" s="351"/>
      <c r="H44" s="86" t="s">
        <v>456</v>
      </c>
      <c r="I44" s="352">
        <v>63.692</v>
      </c>
      <c r="J44" s="352">
        <v>101.15</v>
      </c>
      <c r="K44" s="352">
        <v>149.84200000000001</v>
      </c>
      <c r="L44" s="352">
        <f>M44-I44</f>
        <v>307.43899999999996</v>
      </c>
      <c r="M44" s="352">
        <v>371.13099999999997</v>
      </c>
    </row>
    <row r="45" spans="1:13">
      <c r="A45" s="86" t="s">
        <v>112</v>
      </c>
      <c r="B45" s="352">
        <v>61.664999999999999</v>
      </c>
      <c r="C45" s="352">
        <v>94.948999999999998</v>
      </c>
      <c r="D45" s="352">
        <v>0.26800000000000002</v>
      </c>
      <c r="E45" s="352">
        <f>F45-B45</f>
        <v>103.32900000000001</v>
      </c>
      <c r="F45" s="352">
        <v>164.994</v>
      </c>
      <c r="G45" s="351"/>
      <c r="H45" s="86" t="s">
        <v>112</v>
      </c>
      <c r="I45" s="352">
        <v>54.838999999999999</v>
      </c>
      <c r="J45" s="352">
        <v>104.5</v>
      </c>
      <c r="K45" s="352">
        <v>0.36499999999999999</v>
      </c>
      <c r="L45" s="352">
        <f>M45-I45</f>
        <v>113.56299999999999</v>
      </c>
      <c r="M45" s="352">
        <v>168.40199999999999</v>
      </c>
    </row>
    <row r="46" spans="1:13">
      <c r="A46" s="86" t="s">
        <v>156</v>
      </c>
      <c r="B46" s="352">
        <v>6.9939999999999998</v>
      </c>
      <c r="C46" s="352">
        <v>55.213999999999999</v>
      </c>
      <c r="D46" s="352">
        <v>34.555</v>
      </c>
      <c r="E46" s="352">
        <f>F46-B46</f>
        <v>93.037999999999997</v>
      </c>
      <c r="F46" s="352">
        <v>100.032</v>
      </c>
      <c r="H46" s="86" t="s">
        <v>156</v>
      </c>
      <c r="I46" s="352">
        <v>5.7220000000000004</v>
      </c>
      <c r="J46" s="352">
        <v>51.661999999999999</v>
      </c>
      <c r="K46" s="352">
        <v>37.180999999999997</v>
      </c>
      <c r="L46" s="352">
        <f>M46-I46</f>
        <v>94.288000000000011</v>
      </c>
      <c r="M46" s="352">
        <v>100.01</v>
      </c>
    </row>
    <row r="47" spans="1:13">
      <c r="A47" s="173" t="s">
        <v>157</v>
      </c>
      <c r="B47" s="352"/>
      <c r="E47" s="29"/>
      <c r="F47" s="29"/>
      <c r="H47" s="173" t="s">
        <v>157</v>
      </c>
      <c r="I47" s="29"/>
      <c r="J47" s="29"/>
      <c r="K47" s="29"/>
      <c r="L47" s="29"/>
      <c r="M47" s="29"/>
    </row>
    <row r="48" spans="1:13">
      <c r="A48" s="86" t="s">
        <v>153</v>
      </c>
      <c r="B48" s="352"/>
      <c r="C48" s="143"/>
      <c r="D48" s="29"/>
      <c r="E48" s="29"/>
      <c r="F48" s="29"/>
      <c r="G48" s="217"/>
      <c r="H48" s="86" t="s">
        <v>153</v>
      </c>
      <c r="I48" s="29"/>
      <c r="J48" s="29"/>
      <c r="K48" s="29"/>
      <c r="L48" s="29"/>
      <c r="M48" s="29"/>
    </row>
    <row r="49" spans="1:13">
      <c r="A49" s="86" t="s">
        <v>498</v>
      </c>
      <c r="B49" s="352">
        <f>B26</f>
        <v>0.31</v>
      </c>
      <c r="C49" s="352">
        <f>C26</f>
        <v>6.5369999999999999</v>
      </c>
      <c r="D49" s="352">
        <f>D26</f>
        <v>2.6339999999999999</v>
      </c>
      <c r="E49" s="352">
        <f>E26</f>
        <v>14.856999999999999</v>
      </c>
      <c r="F49" s="352">
        <f>F26</f>
        <v>15.167</v>
      </c>
      <c r="G49" s="217"/>
      <c r="H49" s="86" t="s">
        <v>498</v>
      </c>
      <c r="I49" s="352">
        <f>I26</f>
        <v>0.28199999999999997</v>
      </c>
      <c r="J49" s="352">
        <f t="shared" ref="J49:M49" si="2">J26</f>
        <v>6.6029999999999998</v>
      </c>
      <c r="K49" s="352">
        <f>K26</f>
        <v>1.7649999999999999</v>
      </c>
      <c r="L49" s="352">
        <f t="shared" si="2"/>
        <v>13.973000000000001</v>
      </c>
      <c r="M49" s="352">
        <f t="shared" si="2"/>
        <v>14.255000000000001</v>
      </c>
    </row>
    <row r="50" spans="1:13">
      <c r="A50" s="86" t="s">
        <v>172</v>
      </c>
      <c r="B50" s="352">
        <v>45.872</v>
      </c>
      <c r="C50" s="352">
        <v>75.501999999999995</v>
      </c>
      <c r="D50" s="352">
        <v>22.861000000000001</v>
      </c>
      <c r="E50" s="352">
        <f>F50-B50</f>
        <v>202.37400000000002</v>
      </c>
      <c r="F50" s="352">
        <v>248.24600000000001</v>
      </c>
      <c r="H50" s="86" t="s">
        <v>172</v>
      </c>
      <c r="I50" s="352">
        <v>47.662999999999997</v>
      </c>
      <c r="J50" s="352">
        <v>76.131</v>
      </c>
      <c r="K50" s="352">
        <v>22.381</v>
      </c>
      <c r="L50" s="352">
        <f>M50-I50</f>
        <v>203.80599999999998</v>
      </c>
      <c r="M50" s="352">
        <v>251.46899999999999</v>
      </c>
    </row>
    <row r="51" spans="1:13">
      <c r="A51" s="86" t="s">
        <v>454</v>
      </c>
      <c r="B51" s="352">
        <v>0.71199999999999997</v>
      </c>
      <c r="C51" s="352">
        <v>0.255</v>
      </c>
      <c r="D51" s="352">
        <v>37.250999999999998</v>
      </c>
      <c r="E51" s="352">
        <f>F51-B51</f>
        <v>63.728999999999999</v>
      </c>
      <c r="F51" s="352">
        <v>64.441000000000003</v>
      </c>
      <c r="H51" s="86" t="s">
        <v>454</v>
      </c>
      <c r="I51" s="352">
        <v>0.54400000000000004</v>
      </c>
      <c r="J51" s="352">
        <v>0.11799999999999999</v>
      </c>
      <c r="K51" s="352">
        <v>38.1</v>
      </c>
      <c r="L51" s="352">
        <f>M51-I51</f>
        <v>63.754000000000005</v>
      </c>
      <c r="M51" s="352">
        <v>64.298000000000002</v>
      </c>
    </row>
    <row r="52" spans="1:13">
      <c r="A52" s="86" t="s">
        <v>154</v>
      </c>
      <c r="B52" s="352"/>
      <c r="C52" s="352"/>
      <c r="D52" s="352"/>
      <c r="E52" s="352"/>
      <c r="F52" s="352"/>
      <c r="H52" s="86" t="s">
        <v>154</v>
      </c>
      <c r="I52" s="194"/>
      <c r="J52" s="352"/>
      <c r="K52" s="194"/>
      <c r="L52" s="352"/>
      <c r="M52" s="194"/>
    </row>
    <row r="53" spans="1:13">
      <c r="A53" s="86" t="s">
        <v>457</v>
      </c>
      <c r="B53" s="352">
        <v>34.179000000000002</v>
      </c>
      <c r="C53" s="352">
        <v>28.324999999999999</v>
      </c>
      <c r="D53" s="352">
        <v>59.625</v>
      </c>
      <c r="E53" s="352">
        <f>F53-B53</f>
        <v>209.738</v>
      </c>
      <c r="F53" s="352">
        <v>243.917</v>
      </c>
      <c r="H53" s="86" t="s">
        <v>457</v>
      </c>
      <c r="I53" s="352">
        <v>35.743000000000002</v>
      </c>
      <c r="J53" s="352">
        <v>29.9</v>
      </c>
      <c r="K53" s="352">
        <v>59.472000000000001</v>
      </c>
      <c r="L53" s="352">
        <f>M53-I53</f>
        <v>213.13200000000001</v>
      </c>
      <c r="M53" s="352">
        <v>248.875</v>
      </c>
    </row>
    <row r="54" spans="1:13">
      <c r="A54" s="86" t="s">
        <v>112</v>
      </c>
      <c r="B54" s="352">
        <v>12.406000000000001</v>
      </c>
      <c r="C54" s="352">
        <v>47.295999999999999</v>
      </c>
      <c r="D54" s="352">
        <v>1.119</v>
      </c>
      <c r="E54" s="352">
        <f>F54-B54</f>
        <v>56.934000000000005</v>
      </c>
      <c r="F54" s="352">
        <v>69.34</v>
      </c>
      <c r="H54" s="86" t="s">
        <v>112</v>
      </c>
      <c r="I54" s="352">
        <v>12.428000000000001</v>
      </c>
      <c r="J54" s="352">
        <v>47.2</v>
      </c>
      <c r="K54" s="352">
        <v>1.091</v>
      </c>
      <c r="L54" s="352">
        <f t="shared" ref="L54:L55" si="3">M54-I54</f>
        <v>55.75500000000001</v>
      </c>
      <c r="M54" s="352">
        <v>68.183000000000007</v>
      </c>
    </row>
    <row r="55" spans="1:13">
      <c r="A55" s="86" t="s">
        <v>156</v>
      </c>
      <c r="B55" s="352">
        <v>0.309</v>
      </c>
      <c r="C55" s="352">
        <v>6.673</v>
      </c>
      <c r="D55" s="352">
        <v>2.0019999999999998</v>
      </c>
      <c r="E55" s="352">
        <f>F55-B55</f>
        <v>14.288</v>
      </c>
      <c r="F55" s="352">
        <v>14.597</v>
      </c>
      <c r="H55" s="86" t="s">
        <v>156</v>
      </c>
      <c r="I55" s="352">
        <v>0.318</v>
      </c>
      <c r="J55" s="352">
        <v>5.7519999999999998</v>
      </c>
      <c r="K55" s="352">
        <v>1.6830000000000001</v>
      </c>
      <c r="L55" s="352">
        <f t="shared" si="3"/>
        <v>12.646000000000001</v>
      </c>
      <c r="M55" s="352">
        <v>12.964</v>
      </c>
    </row>
    <row r="56" spans="1:13">
      <c r="A56" s="173" t="s">
        <v>158</v>
      </c>
      <c r="B56" s="352"/>
      <c r="D56" s="29"/>
      <c r="E56" s="29"/>
      <c r="F56" s="352"/>
      <c r="H56" s="173" t="s">
        <v>158</v>
      </c>
      <c r="I56" s="29"/>
      <c r="J56" s="29"/>
      <c r="K56" s="29"/>
      <c r="L56" s="29"/>
      <c r="M56" s="29"/>
    </row>
    <row r="57" spans="1:13">
      <c r="A57" s="86" t="s">
        <v>153</v>
      </c>
      <c r="B57" s="352"/>
      <c r="C57" s="29"/>
      <c r="D57" s="29"/>
      <c r="E57" s="29"/>
      <c r="F57" s="29"/>
      <c r="H57" s="86" t="s">
        <v>153</v>
      </c>
      <c r="I57" s="29"/>
      <c r="J57" s="29"/>
      <c r="K57" s="29"/>
      <c r="L57" s="29"/>
      <c r="M57" s="29"/>
    </row>
    <row r="58" spans="1:13">
      <c r="A58" s="86" t="s">
        <v>498</v>
      </c>
      <c r="B58" s="352">
        <f>B35</f>
        <v>0.84</v>
      </c>
      <c r="C58" s="352">
        <f t="shared" ref="C58:F58" si="4">C35</f>
        <v>1.506</v>
      </c>
      <c r="D58" s="352">
        <f t="shared" si="4"/>
        <v>1.5009999999999999</v>
      </c>
      <c r="E58" s="352">
        <f t="shared" si="4"/>
        <v>4.4260000000000002</v>
      </c>
      <c r="F58" s="352">
        <f t="shared" si="4"/>
        <v>5.266</v>
      </c>
      <c r="H58" s="86" t="s">
        <v>498</v>
      </c>
      <c r="I58" s="352">
        <f>I35</f>
        <v>0.90300000000000002</v>
      </c>
      <c r="J58" s="352">
        <f t="shared" ref="J58:M58" si="5">J35</f>
        <v>1.345</v>
      </c>
      <c r="K58" s="352">
        <f t="shared" si="5"/>
        <v>0.71799999999999997</v>
      </c>
      <c r="L58" s="352">
        <f t="shared" si="5"/>
        <v>3.5219999999999998</v>
      </c>
      <c r="M58" s="352">
        <f t="shared" si="5"/>
        <v>4.4249999999999998</v>
      </c>
    </row>
    <row r="59" spans="1:13">
      <c r="A59" s="86" t="s">
        <v>172</v>
      </c>
      <c r="B59" s="352">
        <v>11.35</v>
      </c>
      <c r="C59" s="352">
        <v>20.547000000000001</v>
      </c>
      <c r="D59" s="352">
        <v>19.957999999999998</v>
      </c>
      <c r="E59" s="352">
        <f>F59-B59</f>
        <v>47.98</v>
      </c>
      <c r="F59" s="352">
        <v>59.33</v>
      </c>
      <c r="H59" s="86" t="s">
        <v>172</v>
      </c>
      <c r="I59" s="352">
        <v>11.882</v>
      </c>
      <c r="J59" s="352">
        <v>20.565999999999999</v>
      </c>
      <c r="K59" s="352">
        <v>19.952000000000002</v>
      </c>
      <c r="L59" s="352">
        <f>M59-I59</f>
        <v>48.327000000000005</v>
      </c>
      <c r="M59" s="352">
        <v>60.209000000000003</v>
      </c>
    </row>
    <row r="60" spans="1:13">
      <c r="A60" s="86" t="s">
        <v>454</v>
      </c>
      <c r="B60" s="352">
        <v>0.13700000000000001</v>
      </c>
      <c r="C60" s="352">
        <v>0.74299999999999999</v>
      </c>
      <c r="D60" s="352">
        <v>6.7729999999999997</v>
      </c>
      <c r="E60" s="352">
        <f>F60-B60</f>
        <v>11.568</v>
      </c>
      <c r="F60" s="352">
        <v>11.705</v>
      </c>
      <c r="H60" s="86" t="s">
        <v>454</v>
      </c>
      <c r="I60" s="352">
        <v>0.13600000000000001</v>
      </c>
      <c r="J60" s="352">
        <v>0.52700000000000002</v>
      </c>
      <c r="K60" s="352">
        <v>6.3</v>
      </c>
      <c r="L60" s="352">
        <f>M60-I60</f>
        <v>10.807</v>
      </c>
      <c r="M60" s="352">
        <v>10.943</v>
      </c>
    </row>
    <row r="61" spans="1:13">
      <c r="A61" s="86" t="s">
        <v>154</v>
      </c>
      <c r="B61" s="352"/>
      <c r="C61" s="194"/>
      <c r="D61" s="352"/>
      <c r="E61" s="352"/>
      <c r="F61" s="352"/>
      <c r="H61" s="86" t="s">
        <v>154</v>
      </c>
      <c r="I61" s="352"/>
      <c r="J61" s="352"/>
      <c r="K61" s="352"/>
      <c r="L61" s="352"/>
      <c r="M61" s="352"/>
    </row>
    <row r="62" spans="1:13">
      <c r="A62" s="86" t="s">
        <v>457</v>
      </c>
      <c r="B62" s="352">
        <v>10.574999999999999</v>
      </c>
      <c r="C62" s="352">
        <v>12.489000000000001</v>
      </c>
      <c r="D62" s="352">
        <v>26.355</v>
      </c>
      <c r="E62" s="352">
        <f>F62-B62</f>
        <v>47.849999999999994</v>
      </c>
      <c r="F62" s="352">
        <v>58.424999999999997</v>
      </c>
      <c r="H62" s="86" t="s">
        <v>457</v>
      </c>
      <c r="I62" s="352">
        <v>11.816000000000001</v>
      </c>
      <c r="J62" s="352">
        <v>12.589</v>
      </c>
      <c r="K62" s="352">
        <v>25.754999999999999</v>
      </c>
      <c r="L62" s="352">
        <f>M62-I62</f>
        <v>47.534999999999997</v>
      </c>
      <c r="M62" s="352">
        <v>59.350999999999999</v>
      </c>
    </row>
    <row r="63" spans="1:13">
      <c r="A63" s="86" t="s">
        <v>112</v>
      </c>
      <c r="B63" s="352">
        <v>0.78500000000000003</v>
      </c>
      <c r="C63" s="352">
        <v>9.0239999999999991</v>
      </c>
      <c r="D63" s="352">
        <v>0.20899999999999999</v>
      </c>
      <c r="E63" s="352">
        <f>F63-B63</f>
        <v>11.824999999999999</v>
      </c>
      <c r="F63" s="352">
        <v>12.61</v>
      </c>
      <c r="H63" s="86" t="s">
        <v>112</v>
      </c>
      <c r="I63" s="352">
        <v>0.22700000000000001</v>
      </c>
      <c r="J63" s="352">
        <v>8.76</v>
      </c>
      <c r="K63" s="352">
        <v>0.21099999999999999</v>
      </c>
      <c r="L63" s="352">
        <f>M63-I63</f>
        <v>11.597</v>
      </c>
      <c r="M63" s="352">
        <v>11.824</v>
      </c>
    </row>
    <row r="64" spans="1:13">
      <c r="A64" s="215" t="s">
        <v>156</v>
      </c>
      <c r="B64" s="355">
        <v>0.96699999999999997</v>
      </c>
      <c r="C64" s="355">
        <v>1.2829999999999999</v>
      </c>
      <c r="D64" s="355">
        <v>1.6679999999999999</v>
      </c>
      <c r="E64" s="355">
        <f>F64-B64</f>
        <v>4.2990000000000004</v>
      </c>
      <c r="F64" s="355">
        <v>5.266</v>
      </c>
      <c r="G64" s="1"/>
      <c r="H64" s="88" t="s">
        <v>156</v>
      </c>
      <c r="I64" s="355">
        <v>0.878</v>
      </c>
      <c r="J64" s="355">
        <v>1.089</v>
      </c>
      <c r="K64" s="355">
        <v>1.004</v>
      </c>
      <c r="L64" s="355">
        <f>M64-I64</f>
        <v>3.524</v>
      </c>
      <c r="M64" s="355">
        <v>4.4020000000000001</v>
      </c>
    </row>
    <row r="65" spans="1:13">
      <c r="A65" s="66" t="s">
        <v>374</v>
      </c>
      <c r="H65" s="66"/>
    </row>
    <row r="66" spans="1:13">
      <c r="A66" s="52" t="s">
        <v>698</v>
      </c>
    </row>
    <row r="67" spans="1:13">
      <c r="A67" s="52" t="s">
        <v>697</v>
      </c>
    </row>
    <row r="68" spans="1:13">
      <c r="A68" s="52" t="s">
        <v>696</v>
      </c>
    </row>
    <row r="69" spans="1:13">
      <c r="A69" s="52" t="s">
        <v>691</v>
      </c>
    </row>
    <row r="70" spans="1:13">
      <c r="A70" s="52" t="s">
        <v>575</v>
      </c>
    </row>
    <row r="71" spans="1:13">
      <c r="A71" s="52" t="s">
        <v>487</v>
      </c>
      <c r="L71" s="55"/>
      <c r="M71" s="55"/>
    </row>
    <row r="72" spans="1:13">
      <c r="M72" s="225" t="s">
        <v>592</v>
      </c>
    </row>
    <row r="77" spans="1:13">
      <c r="B77" s="57"/>
    </row>
    <row r="78" spans="1:13">
      <c r="B78" s="57"/>
    </row>
  </sheetData>
  <pageMargins left="0.75" right="0.75" top="1" bottom="1" header="0.5" footer="0.5"/>
  <pageSetup scale="79" firstPageNumber="43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J33"/>
  <sheetViews>
    <sheetView zoomScaleNormal="100" zoomScaleSheetLayoutView="100" workbookViewId="0">
      <pane ySplit="2" topLeftCell="A3" activePane="bottomLeft" state="frozen"/>
      <selection pane="bottomLeft"/>
    </sheetView>
  </sheetViews>
  <sheetFormatPr defaultRowHeight="15"/>
  <cols>
    <col min="1" max="1" width="26.6640625" style="339" customWidth="1"/>
    <col min="2" max="8" width="10.83203125" style="339" customWidth="1"/>
    <col min="9" max="9" width="10" style="339" customWidth="1"/>
    <col min="10" max="10" width="10" style="194" customWidth="1"/>
  </cols>
  <sheetData>
    <row r="1" spans="1:10" ht="11.25">
      <c r="A1" s="223" t="s">
        <v>644</v>
      </c>
      <c r="B1" s="223"/>
      <c r="C1" s="223"/>
      <c r="D1" s="223"/>
      <c r="E1" s="223"/>
      <c r="F1" s="223"/>
      <c r="G1" s="223"/>
      <c r="H1" s="223"/>
      <c r="I1" s="223"/>
    </row>
    <row r="2" spans="1:10" ht="11.25">
      <c r="A2" s="223" t="s">
        <v>297</v>
      </c>
      <c r="B2" s="397" t="s">
        <v>253</v>
      </c>
      <c r="C2" s="397" t="s">
        <v>258</v>
      </c>
      <c r="D2" s="397" t="s">
        <v>260</v>
      </c>
      <c r="E2" s="397" t="s">
        <v>262</v>
      </c>
      <c r="F2" s="397" t="s">
        <v>270</v>
      </c>
      <c r="G2" s="397" t="s">
        <v>295</v>
      </c>
      <c r="H2" s="397" t="s">
        <v>334</v>
      </c>
      <c r="I2" s="398" t="s">
        <v>350</v>
      </c>
      <c r="J2" s="398" t="s">
        <v>504</v>
      </c>
    </row>
    <row r="3" spans="1:10">
      <c r="A3" s="194"/>
      <c r="B3" s="394"/>
      <c r="C3" s="395"/>
      <c r="D3" s="395"/>
      <c r="E3" s="394"/>
      <c r="F3" s="394"/>
      <c r="G3" s="394"/>
      <c r="H3" s="394"/>
      <c r="I3" s="394"/>
      <c r="J3" s="396"/>
    </row>
    <row r="4" spans="1:10" ht="11.25">
      <c r="A4" s="194" t="s">
        <v>316</v>
      </c>
      <c r="B4" s="399">
        <v>27300.837899999999</v>
      </c>
      <c r="C4" s="399">
        <v>29515.912700000001</v>
      </c>
      <c r="D4" s="399">
        <v>30561.895199999999</v>
      </c>
      <c r="E4" s="399">
        <v>36119.2768</v>
      </c>
      <c r="F4" s="399">
        <v>28193.531800000001</v>
      </c>
      <c r="G4" s="399">
        <v>13406.594999999999</v>
      </c>
      <c r="H4" s="399">
        <v>16137.788699999999</v>
      </c>
      <c r="I4" s="399">
        <v>35522.5101</v>
      </c>
      <c r="J4" s="399">
        <v>29998.949499999999</v>
      </c>
    </row>
    <row r="5" spans="1:10" ht="11.25">
      <c r="A5" s="194" t="s">
        <v>298</v>
      </c>
      <c r="B5" s="399">
        <v>3394.2926000000002</v>
      </c>
      <c r="C5" s="399">
        <v>3577.8807999999999</v>
      </c>
      <c r="D5" s="399">
        <v>3577.2347999999997</v>
      </c>
      <c r="E5" s="399">
        <v>3887.3618999999999</v>
      </c>
      <c r="F5" s="399">
        <v>4383.4332000000004</v>
      </c>
      <c r="G5" s="399">
        <v>5190.2431999999999</v>
      </c>
      <c r="H5" s="399">
        <v>4802.2761</v>
      </c>
      <c r="I5" s="399">
        <v>4871.8487000000005</v>
      </c>
      <c r="J5" s="399">
        <v>5663.5351000000001</v>
      </c>
    </row>
    <row r="6" spans="1:10" ht="11.25">
      <c r="A6" s="194" t="s">
        <v>302</v>
      </c>
      <c r="B6" s="399">
        <v>505.089</v>
      </c>
      <c r="C6" s="399">
        <v>596.14599999999996</v>
      </c>
      <c r="D6" s="399">
        <v>261.34899999999999</v>
      </c>
      <c r="E6" s="399">
        <v>939.21799999999996</v>
      </c>
      <c r="F6" s="399">
        <v>2331.3319999999999</v>
      </c>
      <c r="G6" s="399">
        <v>2660.8020000000001</v>
      </c>
      <c r="H6" s="399">
        <v>3856.7339999999999</v>
      </c>
      <c r="I6" s="399">
        <v>2701.884</v>
      </c>
      <c r="J6" s="399">
        <v>4145.37</v>
      </c>
    </row>
    <row r="7" spans="1:10" ht="11.25">
      <c r="A7" s="194" t="s">
        <v>552</v>
      </c>
      <c r="B7" s="399">
        <v>1396.0930000000001</v>
      </c>
      <c r="C7" s="399">
        <v>1085.1316000000002</v>
      </c>
      <c r="D7" s="399">
        <v>2331.5990000000002</v>
      </c>
      <c r="E7" s="399">
        <v>1287.3703</v>
      </c>
      <c r="F7" s="399">
        <v>1034.203</v>
      </c>
      <c r="G7" s="399">
        <v>1439.9780000000001</v>
      </c>
      <c r="H7" s="399">
        <v>1415.7750000000001</v>
      </c>
      <c r="I7" s="399">
        <v>1186.606</v>
      </c>
      <c r="J7" s="399">
        <v>2728.335</v>
      </c>
    </row>
    <row r="8" spans="1:10" ht="11.25">
      <c r="A8" s="194" t="s">
        <v>300</v>
      </c>
      <c r="B8" s="399">
        <v>2018.0536000000002</v>
      </c>
      <c r="C8" s="399">
        <v>2171.4870000000001</v>
      </c>
      <c r="D8" s="399">
        <v>2282.0677000000001</v>
      </c>
      <c r="E8" s="399">
        <v>2475.9142999999999</v>
      </c>
      <c r="F8" s="399">
        <v>2189.5879</v>
      </c>
      <c r="G8" s="399">
        <v>2348.1624999999999</v>
      </c>
      <c r="H8" s="399">
        <v>2518.0902999999998</v>
      </c>
      <c r="I8" s="399">
        <v>2365.8577999999998</v>
      </c>
      <c r="J8" s="399">
        <v>2645.4331000000002</v>
      </c>
    </row>
    <row r="9" spans="1:10" ht="11.25">
      <c r="A9" s="194" t="s">
        <v>301</v>
      </c>
      <c r="B9" s="399">
        <v>2011.9992</v>
      </c>
      <c r="C9" s="399">
        <v>1929.6845000000001</v>
      </c>
      <c r="D9" s="399">
        <v>2286.0724</v>
      </c>
      <c r="E9" s="399">
        <v>2498.9937</v>
      </c>
      <c r="F9" s="399">
        <v>2560.8226</v>
      </c>
      <c r="G9" s="399">
        <v>2580.4662999999996</v>
      </c>
      <c r="H9" s="399">
        <v>2222.0304999999998</v>
      </c>
      <c r="I9" s="399">
        <v>2325.1742999999997</v>
      </c>
      <c r="J9" s="399">
        <v>2021.5458000000001</v>
      </c>
    </row>
    <row r="10" spans="1:10" ht="11.25">
      <c r="A10" s="194" t="s">
        <v>318</v>
      </c>
      <c r="B10" s="399">
        <v>1221.6298999999999</v>
      </c>
      <c r="C10" s="399">
        <v>1434.1076</v>
      </c>
      <c r="D10" s="399">
        <v>1462.3616999999999</v>
      </c>
      <c r="E10" s="399">
        <v>1476.6197</v>
      </c>
      <c r="F10" s="399">
        <v>2015.7076000000002</v>
      </c>
      <c r="G10" s="399">
        <v>1845.2958999999998</v>
      </c>
      <c r="H10" s="399">
        <v>1704.2068999999999</v>
      </c>
      <c r="I10" s="399">
        <v>1486.5399</v>
      </c>
      <c r="J10" s="399">
        <v>1611.6405</v>
      </c>
    </row>
    <row r="11" spans="1:10" ht="11.25">
      <c r="A11" s="194" t="s">
        <v>574</v>
      </c>
      <c r="B11" s="399">
        <v>78.504999999999995</v>
      </c>
      <c r="C11" s="399">
        <v>4.07E-2</v>
      </c>
      <c r="D11" s="399">
        <v>136.93899999999999</v>
      </c>
      <c r="E11" s="399">
        <v>190.08500000000001</v>
      </c>
      <c r="F11" s="399">
        <v>327.738</v>
      </c>
      <c r="G11" s="399">
        <v>756.89409999999998</v>
      </c>
      <c r="H11" s="399">
        <v>401.8</v>
      </c>
      <c r="I11" s="399">
        <v>320.16419999999999</v>
      </c>
      <c r="J11" s="399">
        <v>902.0403</v>
      </c>
    </row>
    <row r="12" spans="1:10" ht="11.25">
      <c r="A12" s="194" t="s">
        <v>307</v>
      </c>
      <c r="B12" s="399">
        <v>160.55199999999999</v>
      </c>
      <c r="C12" s="399">
        <v>602.96400000000006</v>
      </c>
      <c r="D12" s="399">
        <v>720.721</v>
      </c>
      <c r="E12" s="399">
        <v>993.86900000000003</v>
      </c>
      <c r="F12" s="399">
        <v>1052.9100000000001</v>
      </c>
      <c r="G12" s="399">
        <v>859.774</v>
      </c>
      <c r="H12" s="399">
        <v>1566.84</v>
      </c>
      <c r="I12" s="399">
        <v>916.80399999999997</v>
      </c>
      <c r="J12" s="399">
        <v>888.38199999999995</v>
      </c>
    </row>
    <row r="13" spans="1:10" ht="11.25">
      <c r="A13" s="194" t="s">
        <v>303</v>
      </c>
      <c r="B13" s="399">
        <v>491.46370000000002</v>
      </c>
      <c r="C13" s="399">
        <v>516.6</v>
      </c>
      <c r="D13" s="399">
        <v>549.55280000000005</v>
      </c>
      <c r="E13" s="399">
        <v>1039.9488000000001</v>
      </c>
      <c r="F13" s="399">
        <v>1504.8863000000001</v>
      </c>
      <c r="G13" s="399">
        <v>1544.5661</v>
      </c>
      <c r="H13" s="399">
        <v>1262.4453000000001</v>
      </c>
      <c r="I13" s="399">
        <v>1196.6334999999999</v>
      </c>
      <c r="J13" s="399">
        <v>700.28449999999998</v>
      </c>
    </row>
    <row r="14" spans="1:10" ht="11.25">
      <c r="A14" s="194" t="s">
        <v>319</v>
      </c>
      <c r="B14" s="399">
        <v>0</v>
      </c>
      <c r="C14" s="399">
        <v>314.363</v>
      </c>
      <c r="D14" s="399">
        <v>166.86600000000001</v>
      </c>
      <c r="E14" s="399">
        <v>623.95600000000002</v>
      </c>
      <c r="F14" s="399">
        <v>1660.799</v>
      </c>
      <c r="G14" s="399">
        <v>1075.096</v>
      </c>
      <c r="H14" s="399">
        <v>1129.1300000000001</v>
      </c>
      <c r="I14" s="399">
        <v>883.52099999999996</v>
      </c>
      <c r="J14" s="399">
        <v>699.46900000000005</v>
      </c>
    </row>
    <row r="15" spans="1:10" ht="11.25">
      <c r="A15" s="194" t="s">
        <v>320</v>
      </c>
      <c r="B15" s="399">
        <v>1027.7550000000001</v>
      </c>
      <c r="C15" s="399">
        <v>918.67</v>
      </c>
      <c r="D15" s="399">
        <v>1271.221</v>
      </c>
      <c r="E15" s="399">
        <v>660.86199999999997</v>
      </c>
      <c r="F15" s="399">
        <v>999.53009999999995</v>
      </c>
      <c r="G15" s="399">
        <v>1846.827</v>
      </c>
      <c r="H15" s="399">
        <v>1373.7760000000001</v>
      </c>
      <c r="I15" s="399">
        <v>971.74099999999999</v>
      </c>
      <c r="J15" s="399">
        <v>694.97339999999997</v>
      </c>
    </row>
    <row r="16" spans="1:10" ht="11.25">
      <c r="A16" s="194" t="s">
        <v>551</v>
      </c>
      <c r="B16" s="399">
        <v>598.43499999999995</v>
      </c>
      <c r="C16" s="399">
        <v>594.47450000000003</v>
      </c>
      <c r="D16" s="399">
        <v>455.16030000000001</v>
      </c>
      <c r="E16" s="399">
        <v>679.0557</v>
      </c>
      <c r="F16" s="399">
        <v>747.03449999999998</v>
      </c>
      <c r="G16" s="399">
        <v>1087.0691999999999</v>
      </c>
      <c r="H16" s="399">
        <v>647.55730000000005</v>
      </c>
      <c r="I16" s="399">
        <v>649.65790000000004</v>
      </c>
      <c r="J16" s="399">
        <v>584.04790000000003</v>
      </c>
    </row>
    <row r="17" spans="1:10" ht="11.25">
      <c r="A17" s="194" t="s">
        <v>312</v>
      </c>
      <c r="B17" s="399">
        <v>530.59040000000005</v>
      </c>
      <c r="C17" s="399">
        <v>772.17919999999992</v>
      </c>
      <c r="D17" s="399">
        <v>834.07460000000003</v>
      </c>
      <c r="E17" s="399">
        <v>547.77089999999998</v>
      </c>
      <c r="F17" s="399">
        <v>1204.5642</v>
      </c>
      <c r="G17" s="399">
        <v>816.11890000000005</v>
      </c>
      <c r="H17" s="399">
        <v>913.72230000000002</v>
      </c>
      <c r="I17" s="399">
        <v>1092.2331000000001</v>
      </c>
      <c r="J17" s="399">
        <v>578.16</v>
      </c>
    </row>
    <row r="18" spans="1:10" ht="11.25">
      <c r="A18" s="194" t="s">
        <v>317</v>
      </c>
      <c r="B18" s="399">
        <v>303.33199999999999</v>
      </c>
      <c r="C18" s="399">
        <v>1821.5250000000001</v>
      </c>
      <c r="D18" s="399">
        <v>1412.0519999999999</v>
      </c>
      <c r="E18" s="399">
        <v>1970.414</v>
      </c>
      <c r="F18" s="399">
        <v>2856.8777</v>
      </c>
      <c r="G18" s="399">
        <v>2051.9294</v>
      </c>
      <c r="H18" s="399">
        <v>1559.7311000000002</v>
      </c>
      <c r="I18" s="399">
        <v>1090.328</v>
      </c>
      <c r="J18" s="399">
        <v>550.37</v>
      </c>
    </row>
    <row r="19" spans="1:10" ht="11.25">
      <c r="A19" s="194" t="s">
        <v>308</v>
      </c>
      <c r="B19" s="399">
        <v>138.81800000000001</v>
      </c>
      <c r="C19" s="399">
        <v>530.15139999999997</v>
      </c>
      <c r="D19" s="399">
        <v>521.89700000000005</v>
      </c>
      <c r="E19" s="399">
        <v>555.80630000000008</v>
      </c>
      <c r="F19" s="399">
        <v>656.56050000000005</v>
      </c>
      <c r="G19" s="399">
        <v>638.32000000000005</v>
      </c>
      <c r="H19" s="399">
        <v>562.70899999999995</v>
      </c>
      <c r="I19" s="399">
        <v>456.85059999999999</v>
      </c>
      <c r="J19" s="399">
        <v>545.59</v>
      </c>
    </row>
    <row r="20" spans="1:10" ht="11.25">
      <c r="A20" s="194" t="s">
        <v>305</v>
      </c>
      <c r="B20" s="399">
        <v>250.62379999999999</v>
      </c>
      <c r="C20" s="399">
        <v>327.30670000000003</v>
      </c>
      <c r="D20" s="399">
        <v>377.35250000000002</v>
      </c>
      <c r="E20" s="399">
        <v>451.37099999999998</v>
      </c>
      <c r="F20" s="399">
        <v>480.71749999999997</v>
      </c>
      <c r="G20" s="399">
        <v>656.8546</v>
      </c>
      <c r="H20" s="399">
        <v>647.93130000000008</v>
      </c>
      <c r="I20" s="399">
        <v>554.23059999999998</v>
      </c>
      <c r="J20" s="399">
        <v>459.15179999999998</v>
      </c>
    </row>
    <row r="21" spans="1:10" ht="11.25">
      <c r="A21" s="194" t="s">
        <v>321</v>
      </c>
      <c r="B21" s="399">
        <v>287.44650000000001</v>
      </c>
      <c r="C21" s="399">
        <v>233.95089999999999</v>
      </c>
      <c r="D21" s="399">
        <v>254.06889999999999</v>
      </c>
      <c r="E21" s="399">
        <v>344.11709999999999</v>
      </c>
      <c r="F21" s="399">
        <v>381.47919999999999</v>
      </c>
      <c r="G21" s="399">
        <v>953.32619999999997</v>
      </c>
      <c r="H21" s="399">
        <v>206.23329999999999</v>
      </c>
      <c r="I21" s="399">
        <v>422.23950000000002</v>
      </c>
      <c r="J21" s="399">
        <v>438.30149999999998</v>
      </c>
    </row>
    <row r="22" spans="1:10" ht="11.25">
      <c r="A22" s="194" t="s">
        <v>642</v>
      </c>
      <c r="B22" s="399">
        <v>380.90100000000001</v>
      </c>
      <c r="C22" s="399">
        <v>830.30180000000007</v>
      </c>
      <c r="D22" s="399">
        <v>394.16699999999997</v>
      </c>
      <c r="E22" s="399">
        <v>209.56800000000001</v>
      </c>
      <c r="F22" s="399">
        <v>422.87799999999999</v>
      </c>
      <c r="G22" s="399">
        <v>63.509099999999997</v>
      </c>
      <c r="H22" s="399">
        <v>6.54E-2</v>
      </c>
      <c r="I22" s="399">
        <v>22.951900000000002</v>
      </c>
      <c r="J22" s="399">
        <v>432.98500000000001</v>
      </c>
    </row>
    <row r="23" spans="1:10" ht="11.25">
      <c r="A23" s="194" t="s">
        <v>322</v>
      </c>
      <c r="B23" s="399">
        <v>206.35499999999999</v>
      </c>
      <c r="C23" s="399">
        <v>187.762</v>
      </c>
      <c r="D23" s="399">
        <v>353.81799999999998</v>
      </c>
      <c r="E23" s="399">
        <v>215.589</v>
      </c>
      <c r="F23" s="399">
        <v>370.55599999999998</v>
      </c>
      <c r="G23" s="399">
        <v>278.51100000000002</v>
      </c>
      <c r="H23" s="399">
        <v>348.18200000000002</v>
      </c>
      <c r="I23" s="399">
        <v>227.36</v>
      </c>
      <c r="J23" s="399">
        <v>337.20600000000002</v>
      </c>
    </row>
    <row r="24" spans="1:10" ht="11.25">
      <c r="A24" s="194" t="s">
        <v>323</v>
      </c>
      <c r="B24" s="399">
        <v>102.361</v>
      </c>
      <c r="C24" s="399">
        <v>270.77699999999999</v>
      </c>
      <c r="D24" s="399">
        <v>308.08449999999999</v>
      </c>
      <c r="E24" s="399">
        <v>258.733</v>
      </c>
      <c r="F24" s="399">
        <v>313.29930000000002</v>
      </c>
      <c r="G24" s="399">
        <v>302.2414</v>
      </c>
      <c r="H24" s="399">
        <v>276.90949999999998</v>
      </c>
      <c r="I24" s="399">
        <v>300.18700000000001</v>
      </c>
      <c r="J24" s="399">
        <v>294.36430000000001</v>
      </c>
    </row>
    <row r="25" spans="1:10" ht="11.25">
      <c r="A25" s="194" t="s">
        <v>643</v>
      </c>
      <c r="B25" s="399">
        <v>0</v>
      </c>
      <c r="C25" s="399">
        <v>0</v>
      </c>
      <c r="D25" s="399">
        <v>0</v>
      </c>
      <c r="E25" s="399">
        <v>0</v>
      </c>
      <c r="F25" s="399">
        <v>0</v>
      </c>
      <c r="G25" s="399">
        <v>30.105</v>
      </c>
      <c r="H25" s="399">
        <v>91.587000000000003</v>
      </c>
      <c r="I25" s="399">
        <v>75.602999999999994</v>
      </c>
      <c r="J25" s="399">
        <v>263.20499999999998</v>
      </c>
    </row>
    <row r="26" spans="1:10" ht="11.25">
      <c r="A26" s="194" t="s">
        <v>324</v>
      </c>
      <c r="B26" s="399">
        <v>171.27</v>
      </c>
      <c r="C26" s="399">
        <v>404.50299999999999</v>
      </c>
      <c r="D26" s="399">
        <v>66.626999999999995</v>
      </c>
      <c r="E26" s="399">
        <v>57.811999999999998</v>
      </c>
      <c r="F26" s="399">
        <v>218.155</v>
      </c>
      <c r="G26" s="399">
        <v>603.54899999999998</v>
      </c>
      <c r="H26" s="399">
        <v>274.471</v>
      </c>
      <c r="I26" s="399">
        <v>329.96</v>
      </c>
      <c r="J26" s="399">
        <v>236.251</v>
      </c>
    </row>
    <row r="27" spans="1:10" ht="11.25">
      <c r="A27" s="194" t="s">
        <v>330</v>
      </c>
      <c r="B27" s="399">
        <v>276.28300000000002</v>
      </c>
      <c r="C27" s="399">
        <v>279.48200000000003</v>
      </c>
      <c r="D27" s="399">
        <v>213.33500000000001</v>
      </c>
      <c r="E27" s="399">
        <v>285.72609999999997</v>
      </c>
      <c r="F27" s="399">
        <v>147.60300000000001</v>
      </c>
      <c r="G27" s="399">
        <v>272.61700000000002</v>
      </c>
      <c r="H27" s="399">
        <v>296.36900000000003</v>
      </c>
      <c r="I27" s="399">
        <v>400.72399999999999</v>
      </c>
      <c r="J27" s="399">
        <v>230.41320000000002</v>
      </c>
    </row>
    <row r="28" spans="1:10" ht="11.25">
      <c r="A28" s="194" t="s">
        <v>505</v>
      </c>
      <c r="B28" s="399">
        <v>159.06</v>
      </c>
      <c r="C28" s="399">
        <v>257.21899999999999</v>
      </c>
      <c r="D28" s="399">
        <v>232.87799999999999</v>
      </c>
      <c r="E28" s="399">
        <v>130.34399999999999</v>
      </c>
      <c r="F28" s="399">
        <v>123.578</v>
      </c>
      <c r="G28" s="399">
        <v>319.988</v>
      </c>
      <c r="H28" s="399">
        <v>192.98220000000001</v>
      </c>
      <c r="I28" s="399">
        <v>136.66249999999999</v>
      </c>
      <c r="J28" s="399">
        <v>189.10629999999998</v>
      </c>
    </row>
    <row r="29" spans="1:10" ht="11.25">
      <c r="A29" s="194" t="s">
        <v>315</v>
      </c>
      <c r="B29" s="399">
        <f>B30-SUM(B4:B28)</f>
        <v>1582.5360000000073</v>
      </c>
      <c r="C29" s="399">
        <f t="shared" ref="C29:G29" si="0">C30-SUM(C4:C28)</f>
        <v>963.17729999999574</v>
      </c>
      <c r="D29" s="399">
        <f t="shared" si="0"/>
        <v>1837.6926000000094</v>
      </c>
      <c r="E29" s="399">
        <f t="shared" si="0"/>
        <v>1064.0799000000188</v>
      </c>
      <c r="F29" s="399">
        <f t="shared" si="0"/>
        <v>1892.8584000000046</v>
      </c>
      <c r="G29" s="399">
        <f t="shared" si="0"/>
        <v>4091.7087000000029</v>
      </c>
      <c r="H29" s="399">
        <f>H30-SUM(H4:H28)</f>
        <v>1391.0133000000133</v>
      </c>
      <c r="I29" s="399">
        <f>I30-SUM(I4:I28)</f>
        <v>1156.8065000000061</v>
      </c>
      <c r="J29" s="399">
        <f>J30-SUM(J4:J28)</f>
        <v>881.9513999999981</v>
      </c>
    </row>
    <row r="30" spans="1:10" ht="11.25">
      <c r="A30" s="223" t="s">
        <v>2</v>
      </c>
      <c r="B30" s="400">
        <v>44594.282599999999</v>
      </c>
      <c r="C30" s="400">
        <v>50135.797700000003</v>
      </c>
      <c r="D30" s="400">
        <v>52869.087</v>
      </c>
      <c r="E30" s="400">
        <v>58963.862500000003</v>
      </c>
      <c r="F30" s="400">
        <v>58070.642799999994</v>
      </c>
      <c r="G30" s="400">
        <v>47720.547599999998</v>
      </c>
      <c r="H30" s="400">
        <v>45800.356500000002</v>
      </c>
      <c r="I30" s="400">
        <v>61665.079100000003</v>
      </c>
      <c r="J30" s="400">
        <v>58721.061600000001</v>
      </c>
    </row>
    <row r="31" spans="1:10" ht="11.25">
      <c r="A31" s="338" t="s">
        <v>527</v>
      </c>
      <c r="B31" s="391"/>
      <c r="C31" s="391"/>
      <c r="D31" s="391"/>
      <c r="E31" s="391"/>
      <c r="F31" s="391"/>
      <c r="G31" s="391"/>
      <c r="H31" s="391"/>
      <c r="I31" s="391"/>
    </row>
    <row r="32" spans="1:10" ht="11.25">
      <c r="A32" s="338" t="s">
        <v>702</v>
      </c>
      <c r="B32" s="202"/>
      <c r="C32" s="202"/>
      <c r="D32" s="202"/>
      <c r="E32" s="202"/>
      <c r="F32" s="202"/>
      <c r="G32" s="202"/>
      <c r="H32" s="202"/>
      <c r="I32" s="202"/>
    </row>
    <row r="33" spans="2:9">
      <c r="B33" s="202"/>
      <c r="C33" s="202"/>
      <c r="D33" s="202"/>
      <c r="F33" s="340"/>
      <c r="I33" s="225" t="s">
        <v>592</v>
      </c>
    </row>
  </sheetData>
  <phoneticPr fontId="0" type="noConversion"/>
  <pageMargins left="0.75" right="0.75" top="1" bottom="1" header="0.5" footer="0.5"/>
  <pageSetup scale="71" firstPageNumber="44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K38"/>
  <sheetViews>
    <sheetView zoomScaleNormal="100" workbookViewId="0">
      <pane ySplit="2" topLeftCell="A3" activePane="bottomLeft" state="frozen"/>
      <selection pane="bottomLeft"/>
    </sheetView>
  </sheetViews>
  <sheetFormatPr defaultRowHeight="15"/>
  <cols>
    <col min="1" max="1" width="26.6640625" style="339" customWidth="1"/>
    <col min="2" max="7" width="10.83203125" style="339" customWidth="1"/>
    <col min="8" max="10" width="10.33203125" style="194" customWidth="1"/>
    <col min="11" max="11" width="8" customWidth="1"/>
  </cols>
  <sheetData>
    <row r="1" spans="1:10" ht="11.25">
      <c r="A1" s="223" t="s">
        <v>645</v>
      </c>
      <c r="B1" s="223"/>
      <c r="C1" s="223"/>
      <c r="D1" s="223"/>
      <c r="E1" s="223"/>
      <c r="F1" s="223"/>
      <c r="G1" s="223"/>
    </row>
    <row r="2" spans="1:10" ht="11.25">
      <c r="A2" s="223" t="s">
        <v>297</v>
      </c>
      <c r="B2" s="393" t="s">
        <v>253</v>
      </c>
      <c r="C2" s="393" t="s">
        <v>258</v>
      </c>
      <c r="D2" s="393" t="s">
        <v>260</v>
      </c>
      <c r="E2" s="393" t="s">
        <v>262</v>
      </c>
      <c r="F2" s="393" t="s">
        <v>270</v>
      </c>
      <c r="G2" s="393" t="s">
        <v>295</v>
      </c>
      <c r="H2" s="393" t="s">
        <v>334</v>
      </c>
      <c r="I2" s="393" t="s">
        <v>350</v>
      </c>
      <c r="J2" s="393" t="s">
        <v>504</v>
      </c>
    </row>
    <row r="3" spans="1:10">
      <c r="A3" s="194"/>
      <c r="B3" s="394"/>
      <c r="C3" s="395"/>
      <c r="D3" s="395"/>
      <c r="E3" s="394"/>
      <c r="F3" s="394"/>
      <c r="G3" s="394"/>
      <c r="H3" s="396"/>
      <c r="I3" s="396"/>
      <c r="J3" s="396"/>
    </row>
    <row r="4" spans="1:10" ht="11.25">
      <c r="A4" s="194" t="s">
        <v>299</v>
      </c>
      <c r="B4" s="399">
        <v>1258.2547</v>
      </c>
      <c r="C4" s="399">
        <v>1417.1416999999999</v>
      </c>
      <c r="D4" s="399">
        <v>1895.944</v>
      </c>
      <c r="E4" s="399">
        <v>1875.2825</v>
      </c>
      <c r="F4" s="399">
        <v>2142.2755999999999</v>
      </c>
      <c r="G4" s="399">
        <v>2123.1578</v>
      </c>
      <c r="H4" s="399">
        <v>2382.2402000000002</v>
      </c>
      <c r="I4" s="399">
        <v>2139.8216000000002</v>
      </c>
      <c r="J4" s="399">
        <v>2111.7386999999999</v>
      </c>
    </row>
    <row r="5" spans="1:10" ht="11.25">
      <c r="A5" s="194" t="s">
        <v>298</v>
      </c>
      <c r="B5" s="399">
        <v>1476.2154</v>
      </c>
      <c r="C5" s="399">
        <v>1840.1476</v>
      </c>
      <c r="D5" s="399">
        <v>2212.7518999999998</v>
      </c>
      <c r="E5" s="399">
        <v>1713.5127</v>
      </c>
      <c r="F5" s="399">
        <v>1821.0146999999999</v>
      </c>
      <c r="G5" s="399">
        <v>1750.5777000000003</v>
      </c>
      <c r="H5" s="399">
        <v>1813.6345000000001</v>
      </c>
      <c r="I5" s="399">
        <v>1836.8592000000001</v>
      </c>
      <c r="J5" s="399">
        <v>1612.4168</v>
      </c>
    </row>
    <row r="6" spans="1:10" ht="11.25">
      <c r="A6" s="194" t="s">
        <v>308</v>
      </c>
      <c r="B6" s="399">
        <v>341.55869999999999</v>
      </c>
      <c r="C6" s="399">
        <v>812.56389999999999</v>
      </c>
      <c r="D6" s="399">
        <v>654.90389999999991</v>
      </c>
      <c r="E6" s="399">
        <v>926.4695999999999</v>
      </c>
      <c r="F6" s="399">
        <v>1091.8835999999999</v>
      </c>
      <c r="G6" s="399">
        <v>1207.0766000000001</v>
      </c>
      <c r="H6" s="399">
        <v>1382.6024</v>
      </c>
      <c r="I6" s="399">
        <v>1096.6836999999998</v>
      </c>
      <c r="J6" s="399">
        <v>1557.2686999999999</v>
      </c>
    </row>
    <row r="7" spans="1:10" ht="11.25">
      <c r="A7" s="194" t="s">
        <v>321</v>
      </c>
      <c r="B7" s="399">
        <v>985.20489999999995</v>
      </c>
      <c r="C7" s="399">
        <v>862.25220000000002</v>
      </c>
      <c r="D7" s="399">
        <v>771.15539999999999</v>
      </c>
      <c r="E7" s="399">
        <v>849.19219999999996</v>
      </c>
      <c r="F7" s="399">
        <v>982.47929999999997</v>
      </c>
      <c r="G7" s="399">
        <v>969.77869999999996</v>
      </c>
      <c r="H7" s="399">
        <v>1101.74</v>
      </c>
      <c r="I7" s="399">
        <v>1220.6950000000002</v>
      </c>
      <c r="J7" s="399">
        <v>1292.8092000000001</v>
      </c>
    </row>
    <row r="8" spans="1:10" ht="11.25">
      <c r="A8" s="194" t="s">
        <v>309</v>
      </c>
      <c r="B8" s="399">
        <v>379.8877</v>
      </c>
      <c r="C8" s="399">
        <v>412.54829999999998</v>
      </c>
      <c r="D8" s="399">
        <v>391.05709999999999</v>
      </c>
      <c r="E8" s="399">
        <v>165.4616</v>
      </c>
      <c r="F8" s="399">
        <v>290.03559999999999</v>
      </c>
      <c r="G8" s="399">
        <v>507.44460000000004</v>
      </c>
      <c r="H8" s="399">
        <v>540.80239999999992</v>
      </c>
      <c r="I8" s="399">
        <v>664.59690000000001</v>
      </c>
      <c r="J8" s="399">
        <v>751.79679999999996</v>
      </c>
    </row>
    <row r="9" spans="1:10" ht="11.25">
      <c r="A9" s="194" t="s">
        <v>304</v>
      </c>
      <c r="B9" s="399">
        <v>312.47999999999996</v>
      </c>
      <c r="C9" s="399">
        <v>353.2867</v>
      </c>
      <c r="D9" s="399">
        <v>372.75280000000004</v>
      </c>
      <c r="E9" s="399">
        <v>370.09259999999995</v>
      </c>
      <c r="F9" s="399">
        <v>404.82890000000003</v>
      </c>
      <c r="G9" s="399">
        <v>434.48829999999998</v>
      </c>
      <c r="H9" s="399">
        <v>495.39779999999996</v>
      </c>
      <c r="I9" s="399">
        <v>458.52599999999995</v>
      </c>
      <c r="J9" s="399">
        <v>574.07399999999996</v>
      </c>
    </row>
    <row r="10" spans="1:10" ht="11.25">
      <c r="A10" s="194" t="s">
        <v>314</v>
      </c>
      <c r="B10" s="399">
        <v>771.55790000000002</v>
      </c>
      <c r="C10" s="399">
        <v>778.33140000000003</v>
      </c>
      <c r="D10" s="399">
        <v>308.30139999999994</v>
      </c>
      <c r="E10" s="399">
        <v>310.16550000000001</v>
      </c>
      <c r="F10" s="399">
        <v>188.07820000000001</v>
      </c>
      <c r="G10" s="399">
        <v>128.09530000000001</v>
      </c>
      <c r="H10" s="399">
        <v>189.5924</v>
      </c>
      <c r="I10" s="399">
        <v>346.4502</v>
      </c>
      <c r="J10" s="399">
        <v>451.12379999999996</v>
      </c>
    </row>
    <row r="11" spans="1:10" ht="11.25">
      <c r="A11" s="194" t="s">
        <v>311</v>
      </c>
      <c r="B11" s="399">
        <v>355.3546</v>
      </c>
      <c r="C11" s="399">
        <v>477.05799999999999</v>
      </c>
      <c r="D11" s="399">
        <v>444.76409999999998</v>
      </c>
      <c r="E11" s="399">
        <v>517.06640000000004</v>
      </c>
      <c r="F11" s="399">
        <v>497.60279999999995</v>
      </c>
      <c r="G11" s="399">
        <v>537.91570000000002</v>
      </c>
      <c r="H11" s="399">
        <v>476.26139999999998</v>
      </c>
      <c r="I11" s="399">
        <v>483.30399999999997</v>
      </c>
      <c r="J11" s="399">
        <v>450.52159999999998</v>
      </c>
    </row>
    <row r="12" spans="1:10" ht="11.25">
      <c r="A12" s="194" t="s">
        <v>325</v>
      </c>
      <c r="B12" s="399">
        <v>171.42060000000001</v>
      </c>
      <c r="C12" s="399">
        <v>147.24930000000001</v>
      </c>
      <c r="D12" s="399">
        <v>151.7286</v>
      </c>
      <c r="E12" s="399">
        <v>140.94839999999999</v>
      </c>
      <c r="F12" s="399">
        <v>570.69860000000006</v>
      </c>
      <c r="G12" s="399">
        <v>322.53030000000001</v>
      </c>
      <c r="H12" s="399">
        <v>447.53009999999995</v>
      </c>
      <c r="I12" s="399">
        <v>386.76099999999997</v>
      </c>
      <c r="J12" s="399">
        <v>404.98509999999999</v>
      </c>
    </row>
    <row r="13" spans="1:10" ht="11.25">
      <c r="A13" s="194" t="s">
        <v>310</v>
      </c>
      <c r="B13" s="399">
        <v>173.02629999999999</v>
      </c>
      <c r="C13" s="399">
        <v>215.62460000000002</v>
      </c>
      <c r="D13" s="399">
        <v>237.43619999999999</v>
      </c>
      <c r="E13" s="399">
        <v>241.965</v>
      </c>
      <c r="F13" s="399">
        <v>263.06510000000003</v>
      </c>
      <c r="G13" s="399">
        <v>268.87119999999999</v>
      </c>
      <c r="H13" s="399">
        <v>318.06400000000002</v>
      </c>
      <c r="I13" s="399">
        <v>323.31810000000002</v>
      </c>
      <c r="J13" s="399">
        <v>400.1105</v>
      </c>
    </row>
    <row r="14" spans="1:10" ht="11.25">
      <c r="A14" s="194" t="s">
        <v>300</v>
      </c>
      <c r="B14" s="399">
        <v>209.22290000000001</v>
      </c>
      <c r="C14" s="399">
        <v>198.6498</v>
      </c>
      <c r="D14" s="399">
        <v>125.4444</v>
      </c>
      <c r="E14" s="399">
        <v>223.2655</v>
      </c>
      <c r="F14" s="399">
        <v>329.46249999999998</v>
      </c>
      <c r="G14" s="399">
        <v>310.53039999999999</v>
      </c>
      <c r="H14" s="399">
        <v>283.79729999999995</v>
      </c>
      <c r="I14" s="399">
        <v>219.9538</v>
      </c>
      <c r="J14" s="399">
        <v>293.07249999999999</v>
      </c>
    </row>
    <row r="15" spans="1:10" ht="11.25">
      <c r="A15" s="194" t="s">
        <v>313</v>
      </c>
      <c r="B15" s="399">
        <v>158.6799</v>
      </c>
      <c r="C15" s="399">
        <v>181.74439999999998</v>
      </c>
      <c r="D15" s="399">
        <v>197.35300000000001</v>
      </c>
      <c r="E15" s="399">
        <v>210.61240000000001</v>
      </c>
      <c r="F15" s="399">
        <v>195.78209999999999</v>
      </c>
      <c r="G15" s="399">
        <v>210.38249999999996</v>
      </c>
      <c r="H15" s="399">
        <v>241.57729999999998</v>
      </c>
      <c r="I15" s="399">
        <v>207.68389999999999</v>
      </c>
      <c r="J15" s="399">
        <v>263.96320000000003</v>
      </c>
    </row>
    <row r="16" spans="1:10" ht="11.25">
      <c r="A16" s="194" t="s">
        <v>326</v>
      </c>
      <c r="B16" s="399">
        <v>166.91070000000002</v>
      </c>
      <c r="C16" s="399">
        <v>179.50310000000002</v>
      </c>
      <c r="D16" s="399">
        <v>207.66079999999999</v>
      </c>
      <c r="E16" s="399">
        <v>212.10199999999998</v>
      </c>
      <c r="F16" s="399">
        <v>211.99549999999999</v>
      </c>
      <c r="G16" s="399">
        <v>205.7277</v>
      </c>
      <c r="H16" s="399">
        <v>186.79990000000001</v>
      </c>
      <c r="I16" s="399">
        <v>211.9615</v>
      </c>
      <c r="J16" s="399">
        <v>209.67949999999999</v>
      </c>
    </row>
    <row r="17" spans="1:10" ht="11.25">
      <c r="A17" s="194" t="s">
        <v>329</v>
      </c>
      <c r="B17" s="399">
        <v>68.246300000000005</v>
      </c>
      <c r="C17" s="399">
        <v>113.35159999999999</v>
      </c>
      <c r="D17" s="399">
        <v>120.9038</v>
      </c>
      <c r="E17" s="399">
        <v>113.49879999999999</v>
      </c>
      <c r="F17" s="399">
        <v>104.55500000000001</v>
      </c>
      <c r="G17" s="399">
        <v>116.0089</v>
      </c>
      <c r="H17" s="399">
        <v>135.28190000000001</v>
      </c>
      <c r="I17" s="399">
        <v>146.87079999999997</v>
      </c>
      <c r="J17" s="399">
        <v>194.54259999999999</v>
      </c>
    </row>
    <row r="18" spans="1:10" ht="11.25">
      <c r="A18" s="194" t="s">
        <v>312</v>
      </c>
      <c r="B18" s="399">
        <v>350.37090000000001</v>
      </c>
      <c r="C18" s="399">
        <v>450.18780000000004</v>
      </c>
      <c r="D18" s="399">
        <v>158.83940000000001</v>
      </c>
      <c r="E18" s="399">
        <v>249.99399999999997</v>
      </c>
      <c r="F18" s="399">
        <v>641.08010000000002</v>
      </c>
      <c r="G18" s="399">
        <v>617.63720000000001</v>
      </c>
      <c r="H18" s="399">
        <v>177.12949999999998</v>
      </c>
      <c r="I18" s="399">
        <v>417.41660000000002</v>
      </c>
      <c r="J18" s="399">
        <v>149.57900000000001</v>
      </c>
    </row>
    <row r="19" spans="1:10" ht="11.25">
      <c r="A19" s="194" t="s">
        <v>323</v>
      </c>
      <c r="B19" s="399">
        <v>50.807699999999997</v>
      </c>
      <c r="C19" s="399">
        <v>64.516599999999997</v>
      </c>
      <c r="D19" s="399">
        <v>57.6648</v>
      </c>
      <c r="E19" s="399">
        <v>59.750399999999999</v>
      </c>
      <c r="F19" s="399">
        <v>104.71210000000001</v>
      </c>
      <c r="G19" s="399">
        <v>88.067599999999999</v>
      </c>
      <c r="H19" s="399">
        <v>111.8279</v>
      </c>
      <c r="I19" s="399">
        <v>96.816100000000006</v>
      </c>
      <c r="J19" s="399">
        <v>144.40170000000003</v>
      </c>
    </row>
    <row r="20" spans="1:10" ht="11.25">
      <c r="A20" s="194" t="s">
        <v>327</v>
      </c>
      <c r="B20" s="399">
        <v>52.622600000000006</v>
      </c>
      <c r="C20" s="399">
        <v>100.65050000000001</v>
      </c>
      <c r="D20" s="399">
        <v>156.62449999999998</v>
      </c>
      <c r="E20" s="399">
        <v>150.73510000000002</v>
      </c>
      <c r="F20" s="399">
        <v>165.55530000000002</v>
      </c>
      <c r="G20" s="399">
        <v>188.154</v>
      </c>
      <c r="H20" s="399">
        <v>192.54560000000001</v>
      </c>
      <c r="I20" s="399">
        <v>191.65869999999998</v>
      </c>
      <c r="J20" s="399">
        <v>141.6046</v>
      </c>
    </row>
    <row r="21" spans="1:10" ht="11.25">
      <c r="A21" s="194" t="s">
        <v>328</v>
      </c>
      <c r="B21" s="399">
        <v>108.9449</v>
      </c>
      <c r="C21" s="399">
        <v>94.847799999999992</v>
      </c>
      <c r="D21" s="399">
        <v>122.8385</v>
      </c>
      <c r="E21" s="399">
        <v>117.32899999999999</v>
      </c>
      <c r="F21" s="399">
        <v>120.7687</v>
      </c>
      <c r="G21" s="399">
        <v>117.9498</v>
      </c>
      <c r="H21" s="399">
        <v>105.3901</v>
      </c>
      <c r="I21" s="399">
        <v>117.4543</v>
      </c>
      <c r="J21" s="399">
        <v>113.0732</v>
      </c>
    </row>
    <row r="22" spans="1:10" ht="11.25">
      <c r="A22" s="194" t="s">
        <v>303</v>
      </c>
      <c r="B22" s="399">
        <v>379.70330000000001</v>
      </c>
      <c r="C22" s="399">
        <v>724.78600000000006</v>
      </c>
      <c r="D22" s="399">
        <v>556.48329999999999</v>
      </c>
      <c r="E22" s="399">
        <v>347.16300000000001</v>
      </c>
      <c r="F22" s="399">
        <v>507.1413</v>
      </c>
      <c r="G22" s="399">
        <v>126.33239999999998</v>
      </c>
      <c r="H22" s="399">
        <v>18.473099999999999</v>
      </c>
      <c r="I22" s="399">
        <v>2.1004999999999998</v>
      </c>
      <c r="J22" s="399">
        <v>109.8584</v>
      </c>
    </row>
    <row r="23" spans="1:10" ht="11.25">
      <c r="A23" s="194" t="s">
        <v>506</v>
      </c>
      <c r="B23" s="399">
        <v>93.043700000000001</v>
      </c>
      <c r="C23" s="399">
        <v>75.632199999999997</v>
      </c>
      <c r="D23" s="399">
        <v>38.194800000000001</v>
      </c>
      <c r="E23" s="399">
        <v>0.17219999999999999</v>
      </c>
      <c r="F23" s="399">
        <v>63.243300000000005</v>
      </c>
      <c r="G23" s="399">
        <v>60.364999999999995</v>
      </c>
      <c r="H23" s="399">
        <v>40.275400000000005</v>
      </c>
      <c r="I23" s="399">
        <v>117.50510000000001</v>
      </c>
      <c r="J23" s="399">
        <v>107.97119999999998</v>
      </c>
    </row>
    <row r="24" spans="1:10" ht="11.25">
      <c r="A24" s="194" t="s">
        <v>714</v>
      </c>
      <c r="B24" s="399">
        <v>5.5243000000000002</v>
      </c>
      <c r="C24" s="399">
        <v>33.201300000000003</v>
      </c>
      <c r="D24" s="399">
        <v>107.8822</v>
      </c>
      <c r="E24" s="399">
        <v>92.571499999999986</v>
      </c>
      <c r="F24" s="399">
        <v>163.90469999999999</v>
      </c>
      <c r="G24" s="399">
        <v>173.0796</v>
      </c>
      <c r="H24" s="399">
        <v>291.23360000000002</v>
      </c>
      <c r="I24" s="399">
        <v>146.46539999999999</v>
      </c>
      <c r="J24" s="399">
        <v>82.267799999999994</v>
      </c>
    </row>
    <row r="25" spans="1:10" ht="11.25">
      <c r="A25" s="194" t="s">
        <v>318</v>
      </c>
      <c r="B25" s="399">
        <v>18.434799999999999</v>
      </c>
      <c r="C25" s="399">
        <v>23.985400000000002</v>
      </c>
      <c r="D25" s="399">
        <v>25.8705</v>
      </c>
      <c r="E25" s="399">
        <v>24.773699999999998</v>
      </c>
      <c r="F25" s="399">
        <v>27.388500000000004</v>
      </c>
      <c r="G25" s="399">
        <v>17.389099999999999</v>
      </c>
      <c r="H25" s="399">
        <v>86.062399999999997</v>
      </c>
      <c r="I25" s="399">
        <v>50.320299999999996</v>
      </c>
      <c r="J25" s="399">
        <v>76.989099999999993</v>
      </c>
    </row>
    <row r="26" spans="1:10" ht="11.25">
      <c r="A26" s="194" t="s">
        <v>306</v>
      </c>
      <c r="B26" s="399">
        <v>2.7400000000000001E-2</v>
      </c>
      <c r="C26" s="399">
        <v>202.40520000000001</v>
      </c>
      <c r="D26" s="399">
        <v>280.3784</v>
      </c>
      <c r="E26" s="399">
        <v>215.88839999999999</v>
      </c>
      <c r="F26" s="399">
        <v>238.71549999999999</v>
      </c>
      <c r="G26" s="399">
        <v>151.16079999999999</v>
      </c>
      <c r="H26" s="399">
        <v>295.55220000000003</v>
      </c>
      <c r="I26" s="399">
        <v>98.323899999999995</v>
      </c>
      <c r="J26" s="399">
        <v>64.766599999999997</v>
      </c>
    </row>
    <row r="27" spans="1:10" ht="11.25">
      <c r="A27" s="194" t="s">
        <v>660</v>
      </c>
      <c r="B27" s="399">
        <v>32.029400000000003</v>
      </c>
      <c r="C27" s="399">
        <v>36.4298</v>
      </c>
      <c r="D27" s="399">
        <v>43.712000000000003</v>
      </c>
      <c r="E27" s="399">
        <v>54.939900000000002</v>
      </c>
      <c r="F27" s="399">
        <v>52.766199999999998</v>
      </c>
      <c r="G27" s="399">
        <v>53.662099999999995</v>
      </c>
      <c r="H27" s="399">
        <v>62.994500000000002</v>
      </c>
      <c r="I27" s="399">
        <v>58.896599999999999</v>
      </c>
      <c r="J27" s="399">
        <v>63.479099999999995</v>
      </c>
    </row>
    <row r="28" spans="1:10" ht="11.25">
      <c r="A28" s="194" t="s">
        <v>661</v>
      </c>
      <c r="B28" s="399">
        <v>49.235999999999997</v>
      </c>
      <c r="C28" s="399">
        <v>73.145899999999997</v>
      </c>
      <c r="D28" s="399">
        <v>20.939599999999999</v>
      </c>
      <c r="E28" s="399">
        <v>105.41630000000001</v>
      </c>
      <c r="F28" s="399">
        <v>71.372100000000003</v>
      </c>
      <c r="G28" s="399">
        <v>142.32479999999998</v>
      </c>
      <c r="H28" s="399">
        <v>129.02580000000003</v>
      </c>
      <c r="I28" s="399">
        <v>54.570599999999999</v>
      </c>
      <c r="J28" s="399">
        <v>60.077499999999993</v>
      </c>
    </row>
    <row r="29" spans="1:10" ht="11.25">
      <c r="A29" s="194" t="s">
        <v>315</v>
      </c>
      <c r="B29" s="399">
        <f t="shared" ref="B29:J29" si="0">B30-SUM(B4:B28)</f>
        <v>2534.7438000000011</v>
      </c>
      <c r="C29" s="399">
        <f t="shared" si="0"/>
        <v>2021.5010000000002</v>
      </c>
      <c r="D29" s="399">
        <f t="shared" si="0"/>
        <v>1181.547999999997</v>
      </c>
      <c r="E29" s="399">
        <f t="shared" si="0"/>
        <v>1216.6774999999998</v>
      </c>
      <c r="F29" s="399">
        <f t="shared" si="0"/>
        <v>1466.9607000000015</v>
      </c>
      <c r="G29" s="399">
        <f t="shared" si="0"/>
        <v>1311.9236000000019</v>
      </c>
      <c r="H29" s="399">
        <f t="shared" si="0"/>
        <v>1043.3562000000002</v>
      </c>
      <c r="I29" s="399">
        <f t="shared" si="0"/>
        <v>1311.0681000000041</v>
      </c>
      <c r="J29" s="399">
        <f t="shared" si="0"/>
        <v>586.43839999999727</v>
      </c>
    </row>
    <row r="30" spans="1:10" ht="11.25">
      <c r="A30" s="223" t="s">
        <v>2</v>
      </c>
      <c r="B30" s="400">
        <v>10503.509400000001</v>
      </c>
      <c r="C30" s="400">
        <v>11890.742099999999</v>
      </c>
      <c r="D30" s="400">
        <v>10843.133399999997</v>
      </c>
      <c r="E30" s="400">
        <v>10505.046200000001</v>
      </c>
      <c r="F30" s="400">
        <v>12717.366</v>
      </c>
      <c r="G30" s="400">
        <v>12140.6317</v>
      </c>
      <c r="H30" s="400">
        <v>12549.187899999999</v>
      </c>
      <c r="I30" s="400">
        <v>12406.081900000001</v>
      </c>
      <c r="J30" s="400">
        <v>12268.6096</v>
      </c>
    </row>
    <row r="31" spans="1:10" ht="11.25">
      <c r="A31" s="338" t="s">
        <v>528</v>
      </c>
      <c r="B31" s="338"/>
      <c r="C31" s="338"/>
      <c r="D31" s="338"/>
      <c r="E31" s="338"/>
      <c r="F31" s="338"/>
      <c r="G31" s="338"/>
    </row>
    <row r="32" spans="1:10" ht="13.15" customHeight="1">
      <c r="A32" s="194" t="s">
        <v>703</v>
      </c>
    </row>
    <row r="33" spans="2:11">
      <c r="B33" s="344"/>
      <c r="C33" s="344"/>
      <c r="D33" s="344"/>
      <c r="E33" s="344"/>
      <c r="F33" s="344"/>
      <c r="I33" s="225" t="s">
        <v>592</v>
      </c>
    </row>
    <row r="34" spans="2:11">
      <c r="B34" s="344"/>
      <c r="C34" s="344"/>
      <c r="D34" s="344"/>
      <c r="E34" s="344"/>
      <c r="F34" s="344"/>
      <c r="I34" s="225"/>
    </row>
    <row r="35" spans="2:11">
      <c r="H35" s="339"/>
      <c r="I35" s="339"/>
    </row>
    <row r="36" spans="2:11">
      <c r="H36" s="339"/>
      <c r="I36" s="339"/>
    </row>
    <row r="37" spans="2:11">
      <c r="B37" s="345"/>
      <c r="C37" s="345"/>
      <c r="D37" s="345"/>
      <c r="E37" s="345"/>
      <c r="F37" s="345"/>
      <c r="G37" s="345"/>
      <c r="H37" s="345"/>
      <c r="I37" s="345"/>
      <c r="J37" s="202"/>
      <c r="K37" s="217"/>
    </row>
    <row r="38" spans="2:11">
      <c r="B38" s="345"/>
      <c r="C38" s="345"/>
      <c r="D38" s="345"/>
      <c r="E38" s="345"/>
      <c r="F38" s="345"/>
      <c r="G38" s="345"/>
      <c r="H38" s="345"/>
      <c r="I38" s="345"/>
      <c r="J38" s="345"/>
    </row>
  </sheetData>
  <phoneticPr fontId="0" type="noConversion"/>
  <pageMargins left="0.75" right="0.75" top="1" bottom="1" header="0.5" footer="0.5"/>
  <pageSetup firstPageNumber="45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J33"/>
  <sheetViews>
    <sheetView zoomScaleNormal="100" workbookViewId="0">
      <pane ySplit="2" topLeftCell="A3" activePane="bottomLeft" state="frozen"/>
      <selection pane="bottomLeft"/>
    </sheetView>
  </sheetViews>
  <sheetFormatPr defaultRowHeight="15"/>
  <cols>
    <col min="1" max="1" width="26.6640625" style="339" customWidth="1"/>
    <col min="2" max="7" width="10.83203125" style="339" customWidth="1"/>
    <col min="8" max="10" width="10" style="194" customWidth="1"/>
  </cols>
  <sheetData>
    <row r="1" spans="1:10" ht="11.25">
      <c r="A1" s="223" t="s">
        <v>646</v>
      </c>
      <c r="B1" s="223"/>
      <c r="C1" s="223"/>
      <c r="D1" s="223"/>
      <c r="E1" s="223"/>
      <c r="F1" s="223"/>
      <c r="G1" s="223"/>
    </row>
    <row r="2" spans="1:10" ht="11.25">
      <c r="A2" s="223" t="s">
        <v>297</v>
      </c>
      <c r="B2" s="392" t="s">
        <v>253</v>
      </c>
      <c r="C2" s="392" t="s">
        <v>258</v>
      </c>
      <c r="D2" s="392" t="s">
        <v>260</v>
      </c>
      <c r="E2" s="392" t="s">
        <v>262</v>
      </c>
      <c r="F2" s="392" t="s">
        <v>270</v>
      </c>
      <c r="G2" s="392" t="s">
        <v>295</v>
      </c>
      <c r="H2" s="392" t="s">
        <v>334</v>
      </c>
      <c r="I2" s="392" t="s">
        <v>350</v>
      </c>
      <c r="J2" s="392" t="s">
        <v>504</v>
      </c>
    </row>
    <row r="3" spans="1:10">
      <c r="A3" s="194"/>
      <c r="B3" s="341"/>
      <c r="C3" s="342"/>
      <c r="D3" s="341"/>
      <c r="E3" s="341"/>
      <c r="F3" s="341"/>
      <c r="G3" s="341"/>
      <c r="H3" s="343"/>
      <c r="I3" s="343"/>
      <c r="J3" s="343"/>
    </row>
    <row r="4" spans="1:10" ht="11.25">
      <c r="A4" s="194" t="s">
        <v>508</v>
      </c>
      <c r="B4" s="401">
        <v>2.23E-2</v>
      </c>
      <c r="C4" s="401">
        <v>3.9E-2</v>
      </c>
      <c r="D4" s="401">
        <v>5.0599999999999999E-2</v>
      </c>
      <c r="E4" s="401">
        <v>0.13850000000000001</v>
      </c>
      <c r="F4" s="401">
        <v>0.105</v>
      </c>
      <c r="G4" s="401">
        <v>0.11749999999999999</v>
      </c>
      <c r="H4" s="401">
        <v>0.10290000000000001</v>
      </c>
      <c r="I4" s="401">
        <v>36.089599999999997</v>
      </c>
      <c r="J4" s="401">
        <v>192.63679999999999</v>
      </c>
    </row>
    <row r="5" spans="1:10" ht="11.25">
      <c r="A5" s="194" t="s">
        <v>551</v>
      </c>
      <c r="B5" s="401">
        <v>0.26700000000000002</v>
      </c>
      <c r="C5" s="401">
        <v>57.656300000000002</v>
      </c>
      <c r="D5" s="401">
        <v>91.6892</v>
      </c>
      <c r="E5" s="401">
        <v>205.7124</v>
      </c>
      <c r="F5" s="401">
        <v>301.42930000000001</v>
      </c>
      <c r="G5" s="401">
        <v>302.79329999999999</v>
      </c>
      <c r="H5" s="401">
        <v>353.05900000000003</v>
      </c>
      <c r="I5" s="401">
        <v>214.00460000000001</v>
      </c>
      <c r="J5" s="401">
        <v>111.4816</v>
      </c>
    </row>
    <row r="6" spans="1:10" ht="11.25">
      <c r="A6" s="194" t="s">
        <v>298</v>
      </c>
      <c r="B6" s="401">
        <v>189.75910000000002</v>
      </c>
      <c r="C6" s="401">
        <v>245.16310000000001</v>
      </c>
      <c r="D6" s="401">
        <v>235.5539</v>
      </c>
      <c r="E6" s="401">
        <v>265.02790000000005</v>
      </c>
      <c r="F6" s="401">
        <v>166.65649999999999</v>
      </c>
      <c r="G6" s="401">
        <v>125.5703</v>
      </c>
      <c r="H6" s="401">
        <v>128.94480000000001</v>
      </c>
      <c r="I6" s="401">
        <v>64.050699999999992</v>
      </c>
      <c r="J6" s="401">
        <v>91.764399999999995</v>
      </c>
    </row>
    <row r="7" spans="1:10" ht="11.25">
      <c r="A7" s="194" t="s">
        <v>304</v>
      </c>
      <c r="B7" s="401">
        <v>32.865699999999997</v>
      </c>
      <c r="C7" s="401">
        <v>45.9405</v>
      </c>
      <c r="D7" s="401">
        <v>49.050800000000002</v>
      </c>
      <c r="E7" s="401">
        <v>42.809699999999999</v>
      </c>
      <c r="F7" s="401">
        <v>71.609899999999996</v>
      </c>
      <c r="G7" s="401">
        <v>87.413399999999996</v>
      </c>
      <c r="H7" s="401">
        <v>105.18380000000001</v>
      </c>
      <c r="I7" s="401">
        <v>86.812300000000008</v>
      </c>
      <c r="J7" s="401">
        <v>81.263800000000003</v>
      </c>
    </row>
    <row r="8" spans="1:10" ht="11.25">
      <c r="A8" s="194" t="s">
        <v>321</v>
      </c>
      <c r="B8" s="401">
        <v>31.754999999999999</v>
      </c>
      <c r="C8" s="401">
        <v>28.755200000000002</v>
      </c>
      <c r="D8" s="401">
        <v>15.6471</v>
      </c>
      <c r="E8" s="401">
        <v>22.658099999999997</v>
      </c>
      <c r="F8" s="401">
        <v>21.212799999999998</v>
      </c>
      <c r="G8" s="401">
        <v>21.8047</v>
      </c>
      <c r="H8" s="401">
        <v>31.6129</v>
      </c>
      <c r="I8" s="401">
        <v>40.161699999999996</v>
      </c>
      <c r="J8" s="401">
        <v>72.213700000000003</v>
      </c>
    </row>
    <row r="9" spans="1:10" ht="11.25">
      <c r="A9" s="194" t="s">
        <v>314</v>
      </c>
      <c r="B9" s="401">
        <v>18.988099999999999</v>
      </c>
      <c r="C9" s="401">
        <v>61.919800000000002</v>
      </c>
      <c r="D9" s="401">
        <v>50.054499999999997</v>
      </c>
      <c r="E9" s="401">
        <v>32.436700000000002</v>
      </c>
      <c r="F9" s="401">
        <v>48.3446</v>
      </c>
      <c r="G9" s="401">
        <v>1.0067000000000002</v>
      </c>
      <c r="H9" s="401">
        <v>59.037099999999995</v>
      </c>
      <c r="I9" s="401">
        <v>60.020499999999998</v>
      </c>
      <c r="J9" s="401">
        <v>59.118199999999995</v>
      </c>
    </row>
    <row r="10" spans="1:10" ht="11.25">
      <c r="A10" s="194" t="s">
        <v>311</v>
      </c>
      <c r="B10" s="401">
        <v>121.43519999999999</v>
      </c>
      <c r="C10" s="401">
        <v>116.51889999999999</v>
      </c>
      <c r="D10" s="401">
        <v>118.6057</v>
      </c>
      <c r="E10" s="401">
        <v>149.93639999999999</v>
      </c>
      <c r="F10" s="401">
        <v>152.18360000000001</v>
      </c>
      <c r="G10" s="401">
        <v>139.3391</v>
      </c>
      <c r="H10" s="401">
        <v>151.00529999999998</v>
      </c>
      <c r="I10" s="401">
        <v>80.98960000000001</v>
      </c>
      <c r="J10" s="401">
        <v>51.468900000000005</v>
      </c>
    </row>
    <row r="11" spans="1:10" ht="11.25">
      <c r="A11" s="194" t="s">
        <v>308</v>
      </c>
      <c r="B11" s="401">
        <v>60.241999999999997</v>
      </c>
      <c r="C11" s="401">
        <v>58.769100000000002</v>
      </c>
      <c r="D11" s="401">
        <v>51.085999999999999</v>
      </c>
      <c r="E11" s="401">
        <v>122.31939999999999</v>
      </c>
      <c r="F11" s="401">
        <v>108.4662</v>
      </c>
      <c r="G11" s="401">
        <v>67.239999999999995</v>
      </c>
      <c r="H11" s="401">
        <v>136.81360000000001</v>
      </c>
      <c r="I11" s="401">
        <v>35.677800000000005</v>
      </c>
      <c r="J11" s="401">
        <v>32.9452</v>
      </c>
    </row>
    <row r="12" spans="1:10" ht="11.25">
      <c r="A12" s="194" t="s">
        <v>328</v>
      </c>
      <c r="B12" s="401">
        <v>17.513300000000001</v>
      </c>
      <c r="C12" s="401">
        <v>22.015400000000003</v>
      </c>
      <c r="D12" s="401">
        <v>30.6128</v>
      </c>
      <c r="E12" s="401">
        <v>32.986499999999999</v>
      </c>
      <c r="F12" s="401">
        <v>28.769200000000001</v>
      </c>
      <c r="G12" s="401">
        <v>27.517599999999998</v>
      </c>
      <c r="H12" s="401">
        <v>29.184799999999999</v>
      </c>
      <c r="I12" s="401">
        <v>24.686799999999998</v>
      </c>
      <c r="J12" s="401">
        <v>28.2437</v>
      </c>
    </row>
    <row r="13" spans="1:10" ht="11.25">
      <c r="A13" s="194" t="s">
        <v>643</v>
      </c>
      <c r="B13" s="401">
        <v>0</v>
      </c>
      <c r="C13" s="401">
        <v>8.9999999999999998E-4</v>
      </c>
      <c r="D13" s="401">
        <v>25.107200000000002</v>
      </c>
      <c r="E13" s="401">
        <v>14.997399999999999</v>
      </c>
      <c r="F13" s="401">
        <v>0</v>
      </c>
      <c r="G13" s="401">
        <v>0</v>
      </c>
      <c r="H13" s="401">
        <v>22.8779</v>
      </c>
      <c r="I13" s="401">
        <v>0</v>
      </c>
      <c r="J13" s="401">
        <v>21.9954</v>
      </c>
    </row>
    <row r="14" spans="1:10" ht="11.25">
      <c r="A14" s="194" t="s">
        <v>323</v>
      </c>
      <c r="B14" s="401">
        <v>1.0780999999999998</v>
      </c>
      <c r="C14" s="401">
        <v>5.5961999999999996</v>
      </c>
      <c r="D14" s="401">
        <v>0.9282999999999999</v>
      </c>
      <c r="E14" s="401">
        <v>4.0335999999999999</v>
      </c>
      <c r="F14" s="401">
        <v>5.6452999999999998</v>
      </c>
      <c r="G14" s="401">
        <v>4.6023999999999994</v>
      </c>
      <c r="H14" s="401">
        <v>7.4281000000000006</v>
      </c>
      <c r="I14" s="401">
        <v>7.5076000000000001</v>
      </c>
      <c r="J14" s="401">
        <v>12.3843</v>
      </c>
    </row>
    <row r="15" spans="1:10" ht="11.25">
      <c r="A15" s="194" t="s">
        <v>310</v>
      </c>
      <c r="B15" s="401">
        <v>0.40960000000000002</v>
      </c>
      <c r="C15" s="401">
        <v>1.4657</v>
      </c>
      <c r="D15" s="401">
        <v>0.4551</v>
      </c>
      <c r="E15" s="401">
        <v>2.3784999999999998</v>
      </c>
      <c r="F15" s="401">
        <v>4.7221000000000002</v>
      </c>
      <c r="G15" s="401">
        <v>4.4965999999999999</v>
      </c>
      <c r="H15" s="401">
        <v>3.448</v>
      </c>
      <c r="I15" s="401">
        <v>3.4295999999999998</v>
      </c>
      <c r="J15" s="401">
        <v>8.7757000000000005</v>
      </c>
    </row>
    <row r="16" spans="1:10" ht="11.25">
      <c r="A16" s="194" t="s">
        <v>313</v>
      </c>
      <c r="B16" s="401">
        <v>5.1151999999999997</v>
      </c>
      <c r="C16" s="401">
        <v>5.9880000000000004</v>
      </c>
      <c r="D16" s="401">
        <v>1.468</v>
      </c>
      <c r="E16" s="401">
        <v>6.9130000000000003</v>
      </c>
      <c r="F16" s="401">
        <v>6.8971999999999998</v>
      </c>
      <c r="G16" s="401">
        <v>9.7157</v>
      </c>
      <c r="H16" s="401">
        <v>14.2347</v>
      </c>
      <c r="I16" s="401">
        <v>6.3123999999999993</v>
      </c>
      <c r="J16" s="401">
        <v>6.1369999999999996</v>
      </c>
    </row>
    <row r="17" spans="1:10" ht="11.25">
      <c r="A17" s="194" t="s">
        <v>510</v>
      </c>
      <c r="B17" s="401">
        <v>1.5760999999999998</v>
      </c>
      <c r="C17" s="401">
        <v>0.64879999999999993</v>
      </c>
      <c r="D17" s="401">
        <v>2.6874000000000002</v>
      </c>
      <c r="E17" s="401">
        <v>1.3072999999999999</v>
      </c>
      <c r="F17" s="401">
        <v>0</v>
      </c>
      <c r="G17" s="401">
        <v>2.7699999999999999E-2</v>
      </c>
      <c r="H17" s="401">
        <v>2.6446000000000001</v>
      </c>
      <c r="I17" s="401">
        <v>1.7575999999999998</v>
      </c>
      <c r="J17" s="401">
        <v>5.5362999999999998</v>
      </c>
    </row>
    <row r="18" spans="1:10" ht="11.25">
      <c r="A18" s="194" t="s">
        <v>332</v>
      </c>
      <c r="B18" s="401">
        <v>2.4114</v>
      </c>
      <c r="C18" s="401">
        <v>5.5823999999999998</v>
      </c>
      <c r="D18" s="401">
        <v>3.5129999999999999</v>
      </c>
      <c r="E18" s="401">
        <v>3.298</v>
      </c>
      <c r="F18" s="401">
        <v>4.4536000000000007</v>
      </c>
      <c r="G18" s="401">
        <v>3.8809999999999998</v>
      </c>
      <c r="H18" s="401">
        <v>2.778</v>
      </c>
      <c r="I18" s="401">
        <v>3.9633000000000003</v>
      </c>
      <c r="J18" s="401">
        <v>2.8929</v>
      </c>
    </row>
    <row r="19" spans="1:10" ht="11.25">
      <c r="A19" s="194" t="s">
        <v>329</v>
      </c>
      <c r="B19" s="401">
        <v>40.959099999999999</v>
      </c>
      <c r="C19" s="401">
        <v>36.348599999999998</v>
      </c>
      <c r="D19" s="401">
        <v>14.9137</v>
      </c>
      <c r="E19" s="401">
        <v>18.060500000000001</v>
      </c>
      <c r="F19" s="401">
        <v>15.437299999999999</v>
      </c>
      <c r="G19" s="401">
        <v>6.7686999999999999</v>
      </c>
      <c r="H19" s="401">
        <v>10.6409</v>
      </c>
      <c r="I19" s="401">
        <v>4.0846999999999998</v>
      </c>
      <c r="J19" s="401">
        <v>2.7020999999999997</v>
      </c>
    </row>
    <row r="20" spans="1:10" ht="11.25">
      <c r="A20" s="194" t="s">
        <v>333</v>
      </c>
      <c r="B20" s="401">
        <v>0.50219999999999998</v>
      </c>
      <c r="C20" s="401">
        <v>0.89760000000000006</v>
      </c>
      <c r="D20" s="401">
        <v>0.84710000000000008</v>
      </c>
      <c r="E20" s="401">
        <v>1.0628</v>
      </c>
      <c r="F20" s="401">
        <v>1.9545999999999999</v>
      </c>
      <c r="G20" s="401">
        <v>2.1276999999999999</v>
      </c>
      <c r="H20" s="401">
        <v>2.1055999999999999</v>
      </c>
      <c r="I20" s="401">
        <v>1.7475000000000001</v>
      </c>
      <c r="J20" s="401">
        <v>2.597</v>
      </c>
    </row>
    <row r="21" spans="1:10" ht="11.25">
      <c r="A21" s="194" t="s">
        <v>330</v>
      </c>
      <c r="B21" s="401">
        <v>0.84489999999999998</v>
      </c>
      <c r="C21" s="401">
        <v>1.6365999999999998</v>
      </c>
      <c r="D21" s="401">
        <v>5.6571999999999996</v>
      </c>
      <c r="E21" s="401">
        <v>2.6318999999999999</v>
      </c>
      <c r="F21" s="401">
        <v>3.1455000000000002</v>
      </c>
      <c r="G21" s="401">
        <v>5.7343000000000002</v>
      </c>
      <c r="H21" s="401">
        <v>4.2341999999999995</v>
      </c>
      <c r="I21" s="401">
        <v>4.4728999999999992</v>
      </c>
      <c r="J21" s="401">
        <v>2.5550000000000002</v>
      </c>
    </row>
    <row r="22" spans="1:10" ht="11.25">
      <c r="A22" s="194" t="s">
        <v>331</v>
      </c>
      <c r="B22" s="401">
        <v>8.5669000000000004</v>
      </c>
      <c r="C22" s="401">
        <v>10.1411</v>
      </c>
      <c r="D22" s="401">
        <v>11.128299999999999</v>
      </c>
      <c r="E22" s="401">
        <v>10.8474</v>
      </c>
      <c r="F22" s="401">
        <v>10.7075</v>
      </c>
      <c r="G22" s="401">
        <v>9.7319999999999993</v>
      </c>
      <c r="H22" s="401">
        <v>9.6479999999999997</v>
      </c>
      <c r="I22" s="401">
        <v>6.1909000000000001</v>
      </c>
      <c r="J22" s="401">
        <v>2.5076000000000001</v>
      </c>
    </row>
    <row r="23" spans="1:10" ht="11.25">
      <c r="A23" s="194" t="s">
        <v>326</v>
      </c>
      <c r="B23" s="401">
        <v>4.1393999999999993</v>
      </c>
      <c r="C23" s="401">
        <v>5.4343000000000004</v>
      </c>
      <c r="D23" s="401">
        <v>6.0537000000000001</v>
      </c>
      <c r="E23" s="401">
        <v>7.0548000000000002</v>
      </c>
      <c r="F23" s="401">
        <v>7.7233000000000001</v>
      </c>
      <c r="G23" s="401">
        <v>3.1570999999999998</v>
      </c>
      <c r="H23" s="401">
        <v>2.3044000000000002</v>
      </c>
      <c r="I23" s="401">
        <v>2.2035999999999998</v>
      </c>
      <c r="J23" s="401">
        <v>2.1216999999999997</v>
      </c>
    </row>
    <row r="24" spans="1:10" ht="11.25">
      <c r="A24" s="194" t="s">
        <v>509</v>
      </c>
      <c r="B24" s="401">
        <v>8.4529999999999994</v>
      </c>
      <c r="C24" s="401">
        <v>0.94799999999999995</v>
      </c>
      <c r="D24" s="401">
        <v>0.83089999999999997</v>
      </c>
      <c r="E24" s="401">
        <v>6.2048999999999994</v>
      </c>
      <c r="F24" s="401">
        <v>0.2092</v>
      </c>
      <c r="G24" s="401">
        <v>0.1971</v>
      </c>
      <c r="H24" s="401">
        <v>8.8200000000000001E-2</v>
      </c>
      <c r="I24" s="401">
        <v>7.8048999999999999</v>
      </c>
      <c r="J24" s="401">
        <v>2.1084000000000001</v>
      </c>
    </row>
    <row r="25" spans="1:10" ht="11.25">
      <c r="A25" s="194" t="s">
        <v>662</v>
      </c>
      <c r="B25" s="401">
        <v>2.4581999999999997</v>
      </c>
      <c r="C25" s="401">
        <v>0.16889999999999999</v>
      </c>
      <c r="D25" s="401">
        <v>0.26239999999999997</v>
      </c>
      <c r="E25" s="401">
        <v>0.3417</v>
      </c>
      <c r="F25" s="401">
        <v>0.46</v>
      </c>
      <c r="G25" s="401">
        <v>0.8822000000000001</v>
      </c>
      <c r="H25" s="401">
        <v>0.53179999999999994</v>
      </c>
      <c r="I25" s="401">
        <v>0.86129999999999995</v>
      </c>
      <c r="J25" s="401">
        <v>1.6733</v>
      </c>
    </row>
    <row r="26" spans="1:10" ht="11.25">
      <c r="A26" s="194" t="s">
        <v>553</v>
      </c>
      <c r="B26" s="401">
        <v>2.6978</v>
      </c>
      <c r="C26" s="401">
        <v>2.1195999999999997</v>
      </c>
      <c r="D26" s="401">
        <v>2.1921999999999997</v>
      </c>
      <c r="E26" s="401">
        <v>2.0449000000000002</v>
      </c>
      <c r="F26" s="401">
        <v>2.2865000000000002</v>
      </c>
      <c r="G26" s="401">
        <v>1.6697</v>
      </c>
      <c r="H26" s="401">
        <v>1.5178</v>
      </c>
      <c r="I26" s="401">
        <v>1.3551</v>
      </c>
      <c r="J26" s="401">
        <v>1.4914000000000001</v>
      </c>
    </row>
    <row r="27" spans="1:10" ht="11.25">
      <c r="A27" s="194" t="s">
        <v>663</v>
      </c>
      <c r="B27" s="401">
        <v>0.27300000000000002</v>
      </c>
      <c r="C27" s="401">
        <v>0.2681</v>
      </c>
      <c r="D27" s="401">
        <v>0.36019999999999996</v>
      </c>
      <c r="E27" s="401">
        <v>0.96929999999999994</v>
      </c>
      <c r="F27" s="401">
        <v>1.5647</v>
      </c>
      <c r="G27" s="401">
        <v>1.4339999999999999</v>
      </c>
      <c r="H27" s="401">
        <v>1.3905999999999998</v>
      </c>
      <c r="I27" s="401">
        <v>0.89249999999999996</v>
      </c>
      <c r="J27" s="401">
        <v>1.3340999999999998</v>
      </c>
    </row>
    <row r="28" spans="1:10" ht="11.25">
      <c r="A28" s="194" t="s">
        <v>300</v>
      </c>
      <c r="B28" s="401">
        <v>3.7986</v>
      </c>
      <c r="C28" s="401">
        <v>2.9769000000000001</v>
      </c>
      <c r="D28" s="401">
        <v>2.6763000000000003</v>
      </c>
      <c r="E28" s="401">
        <v>2.7725</v>
      </c>
      <c r="F28" s="401">
        <v>2.6355</v>
      </c>
      <c r="G28" s="401">
        <v>1.9257</v>
      </c>
      <c r="H28" s="401">
        <v>3.6372</v>
      </c>
      <c r="I28" s="401">
        <v>0.17599999999999999</v>
      </c>
      <c r="J28" s="401">
        <v>1.1685999999999999</v>
      </c>
    </row>
    <row r="29" spans="1:10" ht="11.25">
      <c r="A29" s="194" t="s">
        <v>315</v>
      </c>
      <c r="B29" s="401">
        <f>B30-SUM(B4:B28)</f>
        <v>295.9422999999997</v>
      </c>
      <c r="C29" s="401">
        <f t="shared" ref="C29:H29" si="0">C30-SUM(C4:C28)</f>
        <v>196.70539999999994</v>
      </c>
      <c r="D29" s="401">
        <f t="shared" si="0"/>
        <v>295.76830000000018</v>
      </c>
      <c r="E29" s="401">
        <f t="shared" si="0"/>
        <v>200.28509999999994</v>
      </c>
      <c r="F29" s="401">
        <f t="shared" si="0"/>
        <v>141.52379999999994</v>
      </c>
      <c r="G29" s="401">
        <f t="shared" si="0"/>
        <v>51.00610000000006</v>
      </c>
      <c r="H29" s="401">
        <f t="shared" si="0"/>
        <v>202.2489999999998</v>
      </c>
      <c r="I29" s="401">
        <f t="shared" ref="I29:J29" si="1">I30-SUM(I4:I28)</f>
        <v>90.077799999999797</v>
      </c>
      <c r="J29" s="401">
        <f t="shared" si="1"/>
        <v>5.3034000000000106</v>
      </c>
    </row>
    <row r="30" spans="1:10" ht="11.25">
      <c r="A30" s="223" t="s">
        <v>2</v>
      </c>
      <c r="B30" s="402">
        <v>852.07349999999997</v>
      </c>
      <c r="C30" s="402">
        <v>913.70440000000008</v>
      </c>
      <c r="D30" s="402">
        <v>1017.1999000000001</v>
      </c>
      <c r="E30" s="402">
        <v>1159.2292</v>
      </c>
      <c r="F30" s="402">
        <v>1108.1432</v>
      </c>
      <c r="G30" s="402">
        <v>880.16059999999993</v>
      </c>
      <c r="H30" s="402">
        <v>1286.7031999999999</v>
      </c>
      <c r="I30" s="402">
        <v>785.33130000000006</v>
      </c>
      <c r="J30" s="402">
        <v>804.42049999999995</v>
      </c>
    </row>
    <row r="31" spans="1:10" ht="11.25">
      <c r="A31" s="338" t="s">
        <v>528</v>
      </c>
      <c r="B31" s="338"/>
      <c r="C31" s="338"/>
      <c r="D31" s="338"/>
      <c r="E31" s="338"/>
      <c r="F31" s="338"/>
      <c r="G31" s="338"/>
    </row>
    <row r="32" spans="1:10">
      <c r="A32" s="346" t="s">
        <v>664</v>
      </c>
    </row>
    <row r="33" spans="2:9">
      <c r="B33" s="347"/>
      <c r="C33" s="347"/>
      <c r="D33" s="347"/>
      <c r="E33" s="347"/>
      <c r="F33" s="347"/>
      <c r="I33" s="225" t="s">
        <v>592</v>
      </c>
    </row>
  </sheetData>
  <phoneticPr fontId="0" type="noConversion"/>
  <pageMargins left="0.75" right="0.75" top="1" bottom="1" header="0.5" footer="0.5"/>
  <pageSetup firstPageNumber="46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55"/>
  <sheetViews>
    <sheetView zoomScaleNormal="100" zoomScaleSheetLayoutView="100" workbookViewId="0">
      <pane ySplit="6" topLeftCell="A7" activePane="bottomLeft" state="frozen"/>
      <selection pane="bottomLeft"/>
    </sheetView>
  </sheetViews>
  <sheetFormatPr defaultRowHeight="11.25"/>
  <cols>
    <col min="1" max="1" width="10.33203125" customWidth="1"/>
    <col min="2" max="2" width="13.6640625" customWidth="1"/>
    <col min="3" max="3" width="15" bestFit="1" customWidth="1"/>
    <col min="4" max="9" width="13.6640625" customWidth="1"/>
    <col min="10" max="10" width="17.5" customWidth="1"/>
    <col min="12" max="12" width="21" bestFit="1" customWidth="1"/>
    <col min="13" max="13" width="20.6640625" bestFit="1" customWidth="1"/>
  </cols>
  <sheetData>
    <row r="1" spans="1:12">
      <c r="A1" s="67" t="s">
        <v>598</v>
      </c>
      <c r="B1" s="1"/>
      <c r="C1" s="1"/>
      <c r="D1" s="1"/>
      <c r="E1" s="1"/>
      <c r="F1" s="1"/>
      <c r="G1" s="1"/>
      <c r="H1" s="1"/>
      <c r="I1" s="1"/>
      <c r="J1" s="1"/>
    </row>
    <row r="2" spans="1:12">
      <c r="A2" t="s">
        <v>379</v>
      </c>
      <c r="B2" s="123"/>
      <c r="C2" s="4"/>
      <c r="D2" s="137" t="s">
        <v>75</v>
      </c>
      <c r="E2" s="120"/>
      <c r="F2" s="123"/>
      <c r="G2" s="9" t="s">
        <v>131</v>
      </c>
      <c r="H2" s="122"/>
      <c r="J2" s="9" t="s">
        <v>74</v>
      </c>
    </row>
    <row r="3" spans="1:12">
      <c r="A3" t="s">
        <v>59</v>
      </c>
      <c r="B3" s="108" t="s">
        <v>96</v>
      </c>
      <c r="E3" s="111"/>
      <c r="H3" s="111"/>
      <c r="I3" s="7" t="s">
        <v>98</v>
      </c>
      <c r="J3" s="7" t="s">
        <v>482</v>
      </c>
    </row>
    <row r="4" spans="1:12">
      <c r="A4" t="s">
        <v>95</v>
      </c>
      <c r="B4" s="109" t="s">
        <v>122</v>
      </c>
      <c r="C4" s="7" t="s">
        <v>123</v>
      </c>
      <c r="D4" s="7" t="s">
        <v>49</v>
      </c>
      <c r="E4" s="119" t="s">
        <v>2</v>
      </c>
      <c r="F4" s="7" t="s">
        <v>97</v>
      </c>
      <c r="G4" s="7" t="s">
        <v>50</v>
      </c>
      <c r="H4" s="119" t="s">
        <v>2</v>
      </c>
      <c r="I4" s="7" t="s">
        <v>122</v>
      </c>
      <c r="J4" s="7" t="s">
        <v>356</v>
      </c>
    </row>
    <row r="5" spans="1:12">
      <c r="A5" s="1"/>
      <c r="B5" s="110"/>
      <c r="C5" s="1"/>
      <c r="D5" s="1"/>
      <c r="E5" s="113"/>
      <c r="F5" s="1"/>
      <c r="G5" s="1"/>
      <c r="H5" s="113"/>
      <c r="I5" s="1"/>
      <c r="J5" s="9" t="s">
        <v>124</v>
      </c>
    </row>
    <row r="6" spans="1:12">
      <c r="C6" s="102"/>
      <c r="D6" s="102"/>
      <c r="E6" s="153" t="s">
        <v>130</v>
      </c>
      <c r="F6" s="102"/>
      <c r="G6" s="102"/>
      <c r="H6" s="102"/>
      <c r="I6" s="102"/>
      <c r="J6" s="150" t="s">
        <v>355</v>
      </c>
    </row>
    <row r="7" spans="1:12">
      <c r="B7" s="74"/>
      <c r="C7" s="74"/>
      <c r="D7" s="74"/>
      <c r="E7" s="74"/>
      <c r="F7" s="74"/>
      <c r="G7" s="74"/>
      <c r="H7" s="74"/>
      <c r="I7" s="74"/>
      <c r="J7" s="7"/>
    </row>
    <row r="8" spans="1:12">
      <c r="A8" s="10" t="s">
        <v>181</v>
      </c>
      <c r="B8" s="27">
        <v>226</v>
      </c>
      <c r="C8" s="27">
        <v>24312</v>
      </c>
      <c r="D8" s="27">
        <v>0</v>
      </c>
      <c r="E8" s="27">
        <f>+B8+C8+D8</f>
        <v>24538</v>
      </c>
      <c r="F8" s="27">
        <f t="shared" ref="F8:F20" si="0">+H8-G8</f>
        <v>17591</v>
      </c>
      <c r="G8" s="27">
        <v>6784</v>
      </c>
      <c r="H8" s="27">
        <f t="shared" ref="H8:H46" si="1">+E8-I8</f>
        <v>24375</v>
      </c>
      <c r="I8" s="27">
        <v>163</v>
      </c>
      <c r="J8" s="24">
        <v>235.13</v>
      </c>
      <c r="K8" s="40"/>
      <c r="L8" s="40"/>
    </row>
    <row r="9" spans="1:12">
      <c r="A9" s="10" t="s">
        <v>182</v>
      </c>
      <c r="B9" s="27">
        <f t="shared" ref="B9:B27" si="2">+I8</f>
        <v>163</v>
      </c>
      <c r="C9" s="27">
        <v>24634</v>
      </c>
      <c r="D9" s="27">
        <v>0</v>
      </c>
      <c r="E9" s="27">
        <f t="shared" ref="E9:E30" si="3">+B9+C9+D9</f>
        <v>24797</v>
      </c>
      <c r="F9" s="27">
        <f t="shared" si="0"/>
        <v>17714</v>
      </c>
      <c r="G9" s="27">
        <v>6908</v>
      </c>
      <c r="H9" s="27">
        <f t="shared" si="1"/>
        <v>24622</v>
      </c>
      <c r="I9" s="27">
        <v>175</v>
      </c>
      <c r="J9" s="24">
        <v>196.62</v>
      </c>
      <c r="K9" s="40"/>
      <c r="L9" s="40"/>
    </row>
    <row r="10" spans="1:12">
      <c r="A10" s="10" t="s">
        <v>183</v>
      </c>
      <c r="B10" s="27">
        <f t="shared" si="2"/>
        <v>175</v>
      </c>
      <c r="C10" s="27">
        <v>26714</v>
      </c>
      <c r="D10" s="27">
        <v>0</v>
      </c>
      <c r="E10" s="27">
        <f t="shared" si="3"/>
        <v>26889</v>
      </c>
      <c r="F10" s="27">
        <f t="shared" si="0"/>
        <v>19306</v>
      </c>
      <c r="G10" s="27">
        <v>7109</v>
      </c>
      <c r="H10" s="27">
        <f t="shared" si="1"/>
        <v>26415</v>
      </c>
      <c r="I10" s="27">
        <v>474</v>
      </c>
      <c r="J10" s="24">
        <v>200.94</v>
      </c>
      <c r="K10" s="40"/>
      <c r="L10" s="40"/>
    </row>
    <row r="11" spans="1:12">
      <c r="A11" s="10" t="s">
        <v>184</v>
      </c>
      <c r="B11" s="27">
        <f t="shared" si="2"/>
        <v>474</v>
      </c>
      <c r="C11" s="27">
        <v>22756</v>
      </c>
      <c r="D11" s="27">
        <v>0</v>
      </c>
      <c r="E11" s="27">
        <f t="shared" si="3"/>
        <v>23230</v>
      </c>
      <c r="F11" s="27">
        <f t="shared" si="0"/>
        <v>17615</v>
      </c>
      <c r="G11" s="27">
        <v>5360</v>
      </c>
      <c r="H11" s="27">
        <f t="shared" si="1"/>
        <v>22975</v>
      </c>
      <c r="I11" s="27">
        <v>255</v>
      </c>
      <c r="J11" s="24">
        <v>203.21</v>
      </c>
      <c r="K11" s="40"/>
      <c r="L11" s="40"/>
    </row>
    <row r="12" spans="1:12">
      <c r="A12" s="10" t="s">
        <v>185</v>
      </c>
      <c r="B12" s="27">
        <f t="shared" si="2"/>
        <v>255</v>
      </c>
      <c r="C12" s="27">
        <v>24529</v>
      </c>
      <c r="D12" s="27">
        <v>0</v>
      </c>
      <c r="E12" s="27">
        <f t="shared" si="3"/>
        <v>24784</v>
      </c>
      <c r="F12" s="27">
        <f t="shared" si="0"/>
        <v>19518</v>
      </c>
      <c r="G12" s="27">
        <v>4879</v>
      </c>
      <c r="H12" s="27">
        <f t="shared" si="1"/>
        <v>24397</v>
      </c>
      <c r="I12" s="27">
        <v>387</v>
      </c>
      <c r="J12" s="24">
        <v>136.4</v>
      </c>
      <c r="K12" s="40"/>
      <c r="L12" s="40"/>
    </row>
    <row r="13" spans="1:12">
      <c r="A13" s="10" t="s">
        <v>186</v>
      </c>
      <c r="B13" s="27">
        <f t="shared" si="2"/>
        <v>387</v>
      </c>
      <c r="C13" s="27">
        <v>24951</v>
      </c>
      <c r="D13" s="27">
        <v>0</v>
      </c>
      <c r="E13" s="27">
        <f t="shared" si="3"/>
        <v>25338</v>
      </c>
      <c r="F13" s="27">
        <f t="shared" si="0"/>
        <v>19090</v>
      </c>
      <c r="G13" s="27">
        <v>6036</v>
      </c>
      <c r="H13" s="27">
        <f t="shared" si="1"/>
        <v>25126</v>
      </c>
      <c r="I13" s="27">
        <v>212</v>
      </c>
      <c r="J13" s="24">
        <v>166.2</v>
      </c>
      <c r="K13" s="40"/>
      <c r="L13" s="40"/>
    </row>
    <row r="14" spans="1:12">
      <c r="A14" s="10" t="s">
        <v>187</v>
      </c>
      <c r="B14" s="27">
        <f t="shared" si="2"/>
        <v>212</v>
      </c>
      <c r="C14" s="27">
        <v>27758</v>
      </c>
      <c r="D14" s="27">
        <v>0</v>
      </c>
      <c r="E14" s="27">
        <f t="shared" si="3"/>
        <v>27970</v>
      </c>
      <c r="F14" s="27">
        <f t="shared" si="0"/>
        <v>20435</v>
      </c>
      <c r="G14" s="27">
        <v>7295</v>
      </c>
      <c r="H14" s="27">
        <f t="shared" si="1"/>
        <v>27730</v>
      </c>
      <c r="I14" s="27">
        <v>240</v>
      </c>
      <c r="J14" s="24">
        <v>177.31</v>
      </c>
      <c r="K14" s="40"/>
      <c r="L14" s="40"/>
    </row>
    <row r="15" spans="1:12">
      <c r="A15" s="10" t="s">
        <v>188</v>
      </c>
      <c r="B15" s="27">
        <f t="shared" si="2"/>
        <v>240</v>
      </c>
      <c r="C15" s="27">
        <v>28060</v>
      </c>
      <c r="D15" s="27">
        <v>0</v>
      </c>
      <c r="E15" s="27">
        <f t="shared" si="3"/>
        <v>28300</v>
      </c>
      <c r="F15" s="27">
        <f t="shared" si="0"/>
        <v>21323</v>
      </c>
      <c r="G15" s="27">
        <v>6824</v>
      </c>
      <c r="H15" s="27">
        <f t="shared" si="1"/>
        <v>28147</v>
      </c>
      <c r="I15" s="27">
        <v>153</v>
      </c>
      <c r="J15" s="24">
        <v>239.35</v>
      </c>
      <c r="K15" s="40"/>
      <c r="L15" s="40"/>
    </row>
    <row r="16" spans="1:12">
      <c r="A16" s="10" t="s">
        <v>189</v>
      </c>
      <c r="B16" s="27">
        <f t="shared" si="2"/>
        <v>153</v>
      </c>
      <c r="C16" s="27">
        <v>24943</v>
      </c>
      <c r="D16" s="27">
        <v>17</v>
      </c>
      <c r="E16" s="27">
        <f t="shared" si="3"/>
        <v>25113</v>
      </c>
      <c r="F16" s="27">
        <f t="shared" si="0"/>
        <v>19497</v>
      </c>
      <c r="G16" s="27">
        <v>5443</v>
      </c>
      <c r="H16" s="27">
        <f t="shared" si="1"/>
        <v>24940</v>
      </c>
      <c r="I16" s="27">
        <v>173</v>
      </c>
      <c r="J16" s="24">
        <v>252.4</v>
      </c>
      <c r="K16" s="40"/>
      <c r="L16" s="40"/>
    </row>
    <row r="17" spans="1:12">
      <c r="A17" s="10" t="s">
        <v>4</v>
      </c>
      <c r="B17" s="27">
        <f t="shared" si="2"/>
        <v>173</v>
      </c>
      <c r="C17" s="27">
        <v>27718.7</v>
      </c>
      <c r="D17" s="27">
        <v>36.779331835638004</v>
      </c>
      <c r="E17" s="27">
        <f t="shared" si="3"/>
        <v>27928.479331835639</v>
      </c>
      <c r="F17" s="27">
        <f t="shared" si="0"/>
        <v>22193.708355922441</v>
      </c>
      <c r="G17" s="27">
        <v>5416.4709759132002</v>
      </c>
      <c r="H17" s="27">
        <f t="shared" si="1"/>
        <v>27610.179331835639</v>
      </c>
      <c r="I17" s="27">
        <v>318.3</v>
      </c>
      <c r="J17" s="24">
        <v>186.48</v>
      </c>
      <c r="K17" s="40"/>
      <c r="L17" s="40"/>
    </row>
    <row r="18" spans="1:12">
      <c r="A18" s="10" t="s">
        <v>5</v>
      </c>
      <c r="B18" s="27">
        <f t="shared" si="2"/>
        <v>318.3</v>
      </c>
      <c r="C18" s="27">
        <v>28325.200000000001</v>
      </c>
      <c r="D18" s="27">
        <v>49.638329783028006</v>
      </c>
      <c r="E18" s="27">
        <f t="shared" si="3"/>
        <v>28693.138329783029</v>
      </c>
      <c r="F18" s="27">
        <f t="shared" si="0"/>
        <v>22775.031716275229</v>
      </c>
      <c r="G18" s="27">
        <v>5633.1066135077999</v>
      </c>
      <c r="H18" s="27">
        <f t="shared" si="1"/>
        <v>28408.138329783029</v>
      </c>
      <c r="I18" s="27">
        <v>285</v>
      </c>
      <c r="J18" s="24">
        <v>181.38</v>
      </c>
      <c r="K18" s="40"/>
      <c r="L18" s="40"/>
    </row>
    <row r="19" spans="1:12">
      <c r="A19" s="10" t="s">
        <v>6</v>
      </c>
      <c r="B19" s="27">
        <f t="shared" si="2"/>
        <v>285</v>
      </c>
      <c r="C19" s="27">
        <v>29830.799999999999</v>
      </c>
      <c r="D19" s="27">
        <v>68.861405648573992</v>
      </c>
      <c r="E19" s="27">
        <f t="shared" si="3"/>
        <v>30184.661405648574</v>
      </c>
      <c r="F19" s="27">
        <f t="shared" si="0"/>
        <v>22853.535142301371</v>
      </c>
      <c r="G19" s="27">
        <v>7101.1262633472015</v>
      </c>
      <c r="H19" s="27">
        <f t="shared" si="1"/>
        <v>29954.661405648574</v>
      </c>
      <c r="I19" s="27">
        <v>230</v>
      </c>
      <c r="J19" s="24">
        <v>189.21</v>
      </c>
      <c r="K19" s="40"/>
      <c r="L19" s="40"/>
    </row>
    <row r="20" spans="1:12">
      <c r="A20" s="10" t="s">
        <v>7</v>
      </c>
      <c r="B20" s="27">
        <f t="shared" si="2"/>
        <v>230</v>
      </c>
      <c r="C20" s="27">
        <v>30364.194000000003</v>
      </c>
      <c r="D20" s="27">
        <v>94.648846034043018</v>
      </c>
      <c r="E20" s="27">
        <f t="shared" si="3"/>
        <v>30688.842846034047</v>
      </c>
      <c r="F20" s="27">
        <f t="shared" si="0"/>
        <v>24086.211071734746</v>
      </c>
      <c r="G20" s="27">
        <v>6398.1947742992998</v>
      </c>
      <c r="H20" s="27">
        <f t="shared" si="1"/>
        <v>30484.405846034046</v>
      </c>
      <c r="I20" s="27">
        <v>204.43700000000001</v>
      </c>
      <c r="J20" s="24">
        <v>193.75</v>
      </c>
      <c r="K20" s="40"/>
      <c r="L20" s="40"/>
    </row>
    <row r="21" spans="1:12">
      <c r="A21" s="10" t="s">
        <v>8</v>
      </c>
      <c r="B21" s="27">
        <f t="shared" si="2"/>
        <v>204.43700000000001</v>
      </c>
      <c r="C21" s="27">
        <v>30514.129000000001</v>
      </c>
      <c r="D21" s="27">
        <v>74.635889379849004</v>
      </c>
      <c r="E21" s="27">
        <f t="shared" si="3"/>
        <v>30793.201889379852</v>
      </c>
      <c r="F21" s="27">
        <f t="shared" ref="F21:F27" si="4">+H21-G21</f>
        <v>25162.650019629851</v>
      </c>
      <c r="G21" s="27">
        <v>5480.9658697500008</v>
      </c>
      <c r="H21" s="27">
        <f t="shared" si="1"/>
        <v>30643.615889379853</v>
      </c>
      <c r="I21" s="27">
        <v>149.58600000000001</v>
      </c>
      <c r="J21" s="24">
        <v>192.86</v>
      </c>
      <c r="K21" s="40"/>
      <c r="L21" s="40"/>
    </row>
    <row r="22" spans="1:12">
      <c r="A22" s="10" t="s">
        <v>9</v>
      </c>
      <c r="B22" s="27">
        <f t="shared" si="2"/>
        <v>149.58600000000001</v>
      </c>
      <c r="C22" s="27">
        <v>33269.410000000003</v>
      </c>
      <c r="D22" s="27">
        <v>70.64862656531399</v>
      </c>
      <c r="E22" s="27">
        <f t="shared" si="3"/>
        <v>33489.644626565321</v>
      </c>
      <c r="F22" s="27">
        <f t="shared" si="4"/>
        <v>26426.930730003318</v>
      </c>
      <c r="G22" s="27">
        <v>6839.3348965620016</v>
      </c>
      <c r="H22" s="27">
        <f t="shared" si="1"/>
        <v>33266.26562656532</v>
      </c>
      <c r="I22" s="27">
        <v>223.37900000000002</v>
      </c>
      <c r="J22" s="24">
        <v>162.6</v>
      </c>
      <c r="K22" s="40"/>
      <c r="L22" s="40"/>
    </row>
    <row r="23" spans="1:12">
      <c r="A23" s="10" t="s">
        <v>10</v>
      </c>
      <c r="B23" s="27">
        <f t="shared" si="2"/>
        <v>223.37900000000002</v>
      </c>
      <c r="C23" s="27">
        <v>32527.040000000001</v>
      </c>
      <c r="D23" s="27">
        <v>99.704516069150984</v>
      </c>
      <c r="E23" s="27">
        <f t="shared" si="3"/>
        <v>32850.12351606915</v>
      </c>
      <c r="F23" s="27">
        <f t="shared" si="4"/>
        <v>26548.748873658253</v>
      </c>
      <c r="G23" s="27">
        <v>6088.9696424108997</v>
      </c>
      <c r="H23" s="27">
        <f t="shared" si="1"/>
        <v>32637.718516069152</v>
      </c>
      <c r="I23" s="27">
        <v>212.405</v>
      </c>
      <c r="J23" s="24">
        <v>235.9</v>
      </c>
      <c r="K23" s="40"/>
      <c r="L23" s="40"/>
    </row>
    <row r="24" spans="1:12">
      <c r="A24" s="10" t="s">
        <v>11</v>
      </c>
      <c r="B24" s="27">
        <f t="shared" si="2"/>
        <v>212.405</v>
      </c>
      <c r="C24" s="27">
        <v>34211.215000000004</v>
      </c>
      <c r="D24" s="27">
        <v>119.20565208906899</v>
      </c>
      <c r="E24" s="27">
        <f t="shared" si="3"/>
        <v>34542.825652089072</v>
      </c>
      <c r="F24" s="27">
        <f t="shared" si="4"/>
        <v>27222.094393573771</v>
      </c>
      <c r="G24" s="27">
        <v>7111.2312585153013</v>
      </c>
      <c r="H24" s="27">
        <f t="shared" si="1"/>
        <v>34333.325652089072</v>
      </c>
      <c r="I24" s="27">
        <v>209.5</v>
      </c>
      <c r="J24" s="24">
        <v>270.89999999999998</v>
      </c>
      <c r="K24" s="40"/>
      <c r="L24" s="40"/>
    </row>
    <row r="25" spans="1:12">
      <c r="A25" s="10" t="s">
        <v>12</v>
      </c>
      <c r="B25" s="27">
        <f t="shared" si="2"/>
        <v>209.5</v>
      </c>
      <c r="C25" s="27">
        <v>38176.416000000005</v>
      </c>
      <c r="D25" s="27">
        <v>66.181418643689994</v>
      </c>
      <c r="E25" s="27">
        <f t="shared" si="3"/>
        <v>38452.097418643694</v>
      </c>
      <c r="F25" s="27">
        <f t="shared" si="4"/>
        <v>28619.357623617791</v>
      </c>
      <c r="G25" s="27">
        <v>9614.672795025901</v>
      </c>
      <c r="H25" s="27">
        <f t="shared" si="1"/>
        <v>38234.030418643692</v>
      </c>
      <c r="I25" s="27">
        <v>218.06700000000001</v>
      </c>
      <c r="J25" s="24">
        <v>185.3</v>
      </c>
      <c r="K25" s="40"/>
      <c r="L25" s="40"/>
    </row>
    <row r="26" spans="1:12">
      <c r="A26" s="10" t="s">
        <v>13</v>
      </c>
      <c r="B26" s="27">
        <f t="shared" si="2"/>
        <v>218.06700000000001</v>
      </c>
      <c r="C26" s="27">
        <v>37796.553</v>
      </c>
      <c r="D26" s="27">
        <v>111.73103331698699</v>
      </c>
      <c r="E26" s="27">
        <f t="shared" si="3"/>
        <v>38126.351033316991</v>
      </c>
      <c r="F26" s="27">
        <f t="shared" si="4"/>
        <v>30102.743509943888</v>
      </c>
      <c r="G26" s="27">
        <v>7693.3835233730997</v>
      </c>
      <c r="H26" s="27">
        <f t="shared" si="1"/>
        <v>37796.127033316989</v>
      </c>
      <c r="I26" s="27">
        <v>330.22399999999999</v>
      </c>
      <c r="J26" s="24">
        <v>138.55000000000001</v>
      </c>
      <c r="K26" s="40"/>
      <c r="L26" s="40"/>
    </row>
    <row r="27" spans="1:12">
      <c r="A27" s="10" t="s">
        <v>14</v>
      </c>
      <c r="B27" s="27">
        <f t="shared" si="2"/>
        <v>330.22399999999999</v>
      </c>
      <c r="C27" s="27">
        <v>37591.152999999998</v>
      </c>
      <c r="D27" s="27">
        <v>71.143200441684016</v>
      </c>
      <c r="E27" s="27">
        <f t="shared" si="3"/>
        <v>37992.520200441686</v>
      </c>
      <c r="F27" s="27">
        <f t="shared" si="4"/>
        <v>30080.358195430188</v>
      </c>
      <c r="G27" s="27">
        <v>7619.2800050115002</v>
      </c>
      <c r="H27" s="27">
        <f t="shared" si="1"/>
        <v>37699.638200441688</v>
      </c>
      <c r="I27" s="27">
        <v>292.88200000000001</v>
      </c>
      <c r="J27" s="24">
        <v>167.7</v>
      </c>
      <c r="K27" s="40"/>
      <c r="L27" s="40"/>
    </row>
    <row r="28" spans="1:12">
      <c r="A28" s="10" t="s">
        <v>209</v>
      </c>
      <c r="B28" s="27">
        <f t="shared" ref="B28:B33" si="5">+I27</f>
        <v>292.88200000000001</v>
      </c>
      <c r="C28" s="27">
        <v>39385.067000000003</v>
      </c>
      <c r="D28" s="27">
        <v>54.861085914894005</v>
      </c>
      <c r="E28" s="27">
        <f t="shared" si="3"/>
        <v>39732.810085914898</v>
      </c>
      <c r="F28" s="27">
        <f t="shared" ref="F28:F33" si="6">+H28-G28</f>
        <v>31264.490589662797</v>
      </c>
      <c r="G28" s="27">
        <v>8085.0224962521006</v>
      </c>
      <c r="H28" s="27">
        <f t="shared" si="1"/>
        <v>39349.513085914899</v>
      </c>
      <c r="I28" s="27">
        <v>383.29700000000003</v>
      </c>
      <c r="J28" s="24">
        <v>173.61</v>
      </c>
      <c r="K28" s="40"/>
      <c r="L28" s="40"/>
    </row>
    <row r="29" spans="1:12">
      <c r="A29" s="10" t="s">
        <v>210</v>
      </c>
      <c r="B29" s="27">
        <f t="shared" si="5"/>
        <v>383.29700000000003</v>
      </c>
      <c r="C29" s="27">
        <v>40291.832000000002</v>
      </c>
      <c r="D29" s="27">
        <v>147.58826105721602</v>
      </c>
      <c r="E29" s="27">
        <f t="shared" si="3"/>
        <v>40822.717261057216</v>
      </c>
      <c r="F29" s="27">
        <f t="shared" si="6"/>
        <v>32567.438195617819</v>
      </c>
      <c r="G29" s="27">
        <v>8015.3060654394003</v>
      </c>
      <c r="H29" s="27">
        <f t="shared" si="1"/>
        <v>40582.744261057218</v>
      </c>
      <c r="I29" s="27">
        <v>239.97300000000001</v>
      </c>
      <c r="J29" s="24">
        <v>167.72</v>
      </c>
      <c r="K29" s="40"/>
      <c r="L29" s="40"/>
    </row>
    <row r="30" spans="1:12">
      <c r="A30" s="10" t="s">
        <v>217</v>
      </c>
      <c r="B30" s="27">
        <f t="shared" si="5"/>
        <v>239.97300000000001</v>
      </c>
      <c r="C30" s="27">
        <v>38194.363999999994</v>
      </c>
      <c r="D30" s="27">
        <v>173.14371127424704</v>
      </c>
      <c r="E30" s="27">
        <f t="shared" si="3"/>
        <v>38607.480711274242</v>
      </c>
      <c r="F30" s="27">
        <f t="shared" si="6"/>
        <v>32073.560882858641</v>
      </c>
      <c r="G30" s="27">
        <v>6313.9708284155995</v>
      </c>
      <c r="H30" s="27">
        <f t="shared" si="1"/>
        <v>38387.531711274241</v>
      </c>
      <c r="I30" s="27">
        <v>219.94899999999998</v>
      </c>
      <c r="J30" s="24">
        <v>181.58</v>
      </c>
      <c r="K30" s="40"/>
      <c r="L30" s="40"/>
    </row>
    <row r="31" spans="1:12">
      <c r="A31" s="10" t="s">
        <v>221</v>
      </c>
      <c r="B31" s="27">
        <f t="shared" si="5"/>
        <v>219.94899999999998</v>
      </c>
      <c r="C31" s="27">
        <v>36324.455000000002</v>
      </c>
      <c r="D31" s="27">
        <v>285.230620186029</v>
      </c>
      <c r="E31" s="27">
        <f t="shared" ref="E31:E36" si="7">+B31+C31+D31</f>
        <v>36829.634620186029</v>
      </c>
      <c r="F31" s="27">
        <f t="shared" si="6"/>
        <v>31449.478319528032</v>
      </c>
      <c r="G31" s="27">
        <v>5169.4193006579972</v>
      </c>
      <c r="H31" s="27">
        <f t="shared" si="1"/>
        <v>36618.897620186028</v>
      </c>
      <c r="I31" s="27">
        <v>210.73700000000002</v>
      </c>
      <c r="J31" s="24">
        <v>256.05</v>
      </c>
      <c r="K31" s="40"/>
      <c r="L31" s="40"/>
    </row>
    <row r="32" spans="1:12">
      <c r="A32" s="10" t="s">
        <v>222</v>
      </c>
      <c r="B32" s="27">
        <f t="shared" si="5"/>
        <v>210.73700000000002</v>
      </c>
      <c r="C32" s="27">
        <v>40715.440999999999</v>
      </c>
      <c r="D32" s="27">
        <v>147.16075398670802</v>
      </c>
      <c r="E32" s="27">
        <f t="shared" si="7"/>
        <v>41073.338753986711</v>
      </c>
      <c r="F32" s="27">
        <f t="shared" si="6"/>
        <v>33561.139775323005</v>
      </c>
      <c r="G32" s="27">
        <v>7340.4029786637057</v>
      </c>
      <c r="H32" s="27">
        <f t="shared" si="1"/>
        <v>40901.542753986709</v>
      </c>
      <c r="I32" s="27">
        <v>171.79599999999999</v>
      </c>
      <c r="J32" s="24">
        <v>182.9</v>
      </c>
      <c r="K32" s="40"/>
      <c r="L32" s="40"/>
    </row>
    <row r="33" spans="1:13">
      <c r="A33" s="10" t="s">
        <v>225</v>
      </c>
      <c r="B33" s="27">
        <f t="shared" si="5"/>
        <v>171.79599999999999</v>
      </c>
      <c r="C33" s="27">
        <v>41243.914000000004</v>
      </c>
      <c r="D33" s="27">
        <v>140.796088536789</v>
      </c>
      <c r="E33" s="27">
        <f t="shared" si="7"/>
        <v>41556.506088536793</v>
      </c>
      <c r="F33" s="27">
        <f t="shared" si="6"/>
        <v>33194.939385345788</v>
      </c>
      <c r="G33" s="27">
        <v>8047.8017031910049</v>
      </c>
      <c r="H33" s="27">
        <f t="shared" si="1"/>
        <v>41242.741088536794</v>
      </c>
      <c r="I33" s="27">
        <v>313.76499999999999</v>
      </c>
      <c r="J33" s="24">
        <v>174.17</v>
      </c>
    </row>
    <row r="34" spans="1:13">
      <c r="A34" s="10" t="s">
        <v>227</v>
      </c>
      <c r="B34" s="27">
        <f t="shared" ref="B34:B39" si="8">+I33</f>
        <v>313.76499999999999</v>
      </c>
      <c r="C34" s="27">
        <v>43031.546570000006</v>
      </c>
      <c r="D34" s="27">
        <v>156.36249016825502</v>
      </c>
      <c r="E34" s="27">
        <f t="shared" si="7"/>
        <v>43501.674060168261</v>
      </c>
      <c r="F34" s="27">
        <f t="shared" ref="F34:F39" si="9">+H34-G34</f>
        <v>34354.753536586861</v>
      </c>
      <c r="G34" s="27">
        <v>8803.9515235814033</v>
      </c>
      <c r="H34" s="27">
        <f t="shared" si="1"/>
        <v>43158.705060168264</v>
      </c>
      <c r="I34" s="27">
        <v>342.96899999999999</v>
      </c>
      <c r="J34" s="24">
        <v>205.44</v>
      </c>
    </row>
    <row r="35" spans="1:13">
      <c r="A35" s="10" t="s">
        <v>230</v>
      </c>
      <c r="B35" s="27">
        <f t="shared" si="8"/>
        <v>342.96899999999999</v>
      </c>
      <c r="C35" s="27">
        <f>'tab7'!C20</f>
        <v>42284.076460000004</v>
      </c>
      <c r="D35" s="27">
        <f>'tab7'!D20</f>
        <v>140.62193001265501</v>
      </c>
      <c r="E35" s="27">
        <f t="shared" si="7"/>
        <v>42767.667390012655</v>
      </c>
      <c r="F35" s="27">
        <f t="shared" si="9"/>
        <v>33231.85553778601</v>
      </c>
      <c r="G35" s="27">
        <f>'tab7'!G20</f>
        <v>9241.9678522266495</v>
      </c>
      <c r="H35" s="27">
        <f t="shared" si="1"/>
        <v>42473.823390012658</v>
      </c>
      <c r="I35" s="27">
        <f>'tab7'!I19</f>
        <v>293.84400000000005</v>
      </c>
      <c r="J35" s="24">
        <v>335.94</v>
      </c>
    </row>
    <row r="36" spans="1:13">
      <c r="A36" s="10" t="s">
        <v>231</v>
      </c>
      <c r="B36" s="27">
        <f t="shared" si="8"/>
        <v>293.84400000000005</v>
      </c>
      <c r="C36" s="27">
        <f>'tab7'!C34</f>
        <v>39102.433099999995</v>
      </c>
      <c r="D36" s="27">
        <f>'tab7'!D34</f>
        <v>87.724852550370031</v>
      </c>
      <c r="E36" s="27">
        <f t="shared" si="7"/>
        <v>39484.001952550359</v>
      </c>
      <c r="F36" s="27">
        <f t="shared" si="9"/>
        <v>30752.203793197361</v>
      </c>
      <c r="G36" s="27">
        <f>'tab7'!G34</f>
        <v>8497.0671593529969</v>
      </c>
      <c r="H36" s="27">
        <f t="shared" si="1"/>
        <v>39249.27095255036</v>
      </c>
      <c r="I36" s="27">
        <f>'tab7'!I33</f>
        <v>234.73099999999999</v>
      </c>
      <c r="J36" s="24">
        <v>331.17</v>
      </c>
    </row>
    <row r="37" spans="1:13">
      <c r="A37" s="10" t="s">
        <v>234</v>
      </c>
      <c r="B37" s="27">
        <f t="shared" si="8"/>
        <v>234.73099999999999</v>
      </c>
      <c r="C37" s="27">
        <f>'tab7'!C48</f>
        <v>41706.522250000002</v>
      </c>
      <c r="D37" s="27">
        <f>'tab7'!D48</f>
        <v>160.003937078181</v>
      </c>
      <c r="E37" s="27">
        <f t="shared" ref="E37:E42" si="10">+B37+C37+D37</f>
        <v>42101.257187078183</v>
      </c>
      <c r="F37" s="27">
        <f t="shared" si="9"/>
        <v>30640.234987746197</v>
      </c>
      <c r="G37" s="27">
        <f>'tab7'!G48</f>
        <v>11159.468199331988</v>
      </c>
      <c r="H37" s="27">
        <f t="shared" si="1"/>
        <v>41799.703187078187</v>
      </c>
      <c r="I37" s="27">
        <f>'tab7'!I47</f>
        <v>301.55399999999997</v>
      </c>
      <c r="J37" s="24">
        <v>311.27</v>
      </c>
    </row>
    <row r="38" spans="1:13">
      <c r="A38" s="10" t="s">
        <v>236</v>
      </c>
      <c r="B38" s="27">
        <f t="shared" si="8"/>
        <v>301.55399999999997</v>
      </c>
      <c r="C38" s="27">
        <f>'tab7'!C62</f>
        <v>39250.930509999998</v>
      </c>
      <c r="D38" s="27">
        <f>'tab7'!D62</f>
        <v>179.6542058556</v>
      </c>
      <c r="E38" s="27">
        <f t="shared" si="10"/>
        <v>39732.138715855595</v>
      </c>
      <c r="F38" s="27">
        <f t="shared" si="9"/>
        <v>30300.877697032454</v>
      </c>
      <c r="G38" s="27">
        <f>'tab7'!G62</f>
        <v>9081.2610188231411</v>
      </c>
      <c r="H38" s="27">
        <f t="shared" si="1"/>
        <v>39382.138715855595</v>
      </c>
      <c r="I38" s="27">
        <f>'tab7'!I61</f>
        <v>350</v>
      </c>
      <c r="J38" s="24">
        <v>345.52</v>
      </c>
    </row>
    <row r="39" spans="1:13">
      <c r="A39" s="10" t="s">
        <v>239</v>
      </c>
      <c r="B39" s="27">
        <f t="shared" si="8"/>
        <v>350</v>
      </c>
      <c r="C39" s="27">
        <v>41035.722435549993</v>
      </c>
      <c r="D39" s="27">
        <v>215.849014134957</v>
      </c>
      <c r="E39" s="27">
        <f t="shared" si="10"/>
        <v>41601.571449684947</v>
      </c>
      <c r="F39" s="27">
        <f t="shared" si="9"/>
        <v>31551.853705135592</v>
      </c>
      <c r="G39" s="27">
        <v>9749.6833304243519</v>
      </c>
      <c r="H39" s="27">
        <f t="shared" si="1"/>
        <v>41301.537035559944</v>
      </c>
      <c r="I39" s="27">
        <v>300.03441412499996</v>
      </c>
      <c r="J39" s="24">
        <v>395.53</v>
      </c>
    </row>
    <row r="40" spans="1:13">
      <c r="A40" s="10" t="s">
        <v>241</v>
      </c>
      <c r="B40" s="27">
        <f>+I39</f>
        <v>300.03441412499996</v>
      </c>
      <c r="C40" s="27">
        <v>39875.164675500004</v>
      </c>
      <c r="D40" s="27">
        <v>244.78521801734703</v>
      </c>
      <c r="E40" s="27">
        <f t="shared" si="10"/>
        <v>40419.984307642357</v>
      </c>
      <c r="F40" s="27">
        <f t="shared" ref="F40:F46" si="11">+H40-G40</f>
        <v>28999.028080074357</v>
      </c>
      <c r="G40" s="27">
        <v>11146</v>
      </c>
      <c r="H40" s="27">
        <f t="shared" si="1"/>
        <v>40145.028080074357</v>
      </c>
      <c r="I40" s="27">
        <v>274.95622756800003</v>
      </c>
      <c r="J40" s="24">
        <v>468.11</v>
      </c>
    </row>
    <row r="41" spans="1:13">
      <c r="A41" s="10" t="s">
        <v>253</v>
      </c>
      <c r="B41" s="27">
        <f t="shared" ref="B41:B46" si="12">I40</f>
        <v>274.95622756800003</v>
      </c>
      <c r="C41" s="27">
        <v>40684.650893000005</v>
      </c>
      <c r="D41" s="27">
        <v>382.64782108858202</v>
      </c>
      <c r="E41" s="27">
        <f t="shared" si="10"/>
        <v>41342.254941656589</v>
      </c>
      <c r="F41" s="27">
        <f t="shared" si="11"/>
        <v>29514.121747508303</v>
      </c>
      <c r="G41" s="27">
        <v>11578.133194148284</v>
      </c>
      <c r="H41" s="27">
        <f t="shared" si="1"/>
        <v>41092.254941656589</v>
      </c>
      <c r="I41" s="27">
        <v>250</v>
      </c>
      <c r="J41" s="24">
        <v>489.94</v>
      </c>
    </row>
    <row r="42" spans="1:13">
      <c r="A42" s="10" t="s">
        <v>258</v>
      </c>
      <c r="B42" s="27">
        <f t="shared" si="12"/>
        <v>250</v>
      </c>
      <c r="C42" s="27">
        <v>45062</v>
      </c>
      <c r="D42" s="27">
        <v>332.95030271640906</v>
      </c>
      <c r="E42" s="27">
        <f t="shared" si="10"/>
        <v>45644.95030271641</v>
      </c>
      <c r="F42" s="27">
        <f t="shared" si="11"/>
        <v>32277.093526243123</v>
      </c>
      <c r="G42" s="27">
        <v>13107.392776473285</v>
      </c>
      <c r="H42" s="27">
        <f t="shared" si="1"/>
        <v>45384.48630271641</v>
      </c>
      <c r="I42" s="27">
        <v>260.464</v>
      </c>
      <c r="J42" s="24">
        <v>368.49</v>
      </c>
    </row>
    <row r="43" spans="1:13">
      <c r="A43" s="10" t="s">
        <v>260</v>
      </c>
      <c r="B43" s="27">
        <f t="shared" si="12"/>
        <v>260.464</v>
      </c>
      <c r="C43" s="27">
        <f>'tab7'!C76</f>
        <v>44671.661999999989</v>
      </c>
      <c r="D43" s="27">
        <f>'tab7'!D76</f>
        <v>394.55847453000007</v>
      </c>
      <c r="E43" s="27">
        <f>+B43+C43+D43</f>
        <v>45326.68447452999</v>
      </c>
      <c r="F43" s="27">
        <f t="shared" si="11"/>
        <v>33110.293318278942</v>
      </c>
      <c r="G43" s="27">
        <f>'tab7'!G76</f>
        <v>11952.505156251051</v>
      </c>
      <c r="H43" s="27">
        <f t="shared" si="1"/>
        <v>45062.798474529991</v>
      </c>
      <c r="I43" s="27">
        <f>'tab7'!I75</f>
        <v>263.88600000000002</v>
      </c>
      <c r="J43" s="24">
        <v>324.56</v>
      </c>
    </row>
    <row r="44" spans="1:13">
      <c r="A44" s="10" t="s">
        <v>262</v>
      </c>
      <c r="B44" s="27">
        <f t="shared" si="12"/>
        <v>263.88600000000002</v>
      </c>
      <c r="C44" s="27">
        <f>'tab7'!C90</f>
        <v>44787.017</v>
      </c>
      <c r="D44" s="27">
        <f>'tab7'!D90</f>
        <v>345.13409828000005</v>
      </c>
      <c r="E44" s="27">
        <f>+B44+C44+D44</f>
        <v>45396.037098280001</v>
      </c>
      <c r="F44" s="27">
        <f t="shared" si="11"/>
        <v>33415.694561790006</v>
      </c>
      <c r="G44" s="27">
        <f>'tab7'!G90</f>
        <v>11579.71253649</v>
      </c>
      <c r="H44" s="27">
        <f t="shared" si="1"/>
        <v>44995.407098280004</v>
      </c>
      <c r="I44" s="27">
        <f>'tab7'!I89</f>
        <v>400.63</v>
      </c>
      <c r="J44" s="24">
        <v>316.88</v>
      </c>
    </row>
    <row r="45" spans="1:13">
      <c r="A45" s="10" t="s">
        <v>270</v>
      </c>
      <c r="B45" s="27">
        <f t="shared" si="12"/>
        <v>400.63</v>
      </c>
      <c r="C45" s="27">
        <f>'tab7'!C104</f>
        <v>49225.606000000007</v>
      </c>
      <c r="D45" s="27">
        <f>'tab7'!D104</f>
        <v>482.78866090000002</v>
      </c>
      <c r="E45" s="27">
        <f>+B45+C45+D45</f>
        <v>50109.024660900002</v>
      </c>
      <c r="F45" s="27">
        <f t="shared" si="11"/>
        <v>35535.104065228283</v>
      </c>
      <c r="G45" s="27">
        <f>'tab7'!G104</f>
        <v>14018.496595671721</v>
      </c>
      <c r="H45" s="27">
        <f t="shared" si="1"/>
        <v>49553.600660900003</v>
      </c>
      <c r="I45" s="27">
        <f>'tab7'!I103</f>
        <v>555.42399999999998</v>
      </c>
      <c r="J45" s="24">
        <v>345.02250000000004</v>
      </c>
      <c r="M45" s="238"/>
    </row>
    <row r="46" spans="1:13">
      <c r="A46" s="10" t="s">
        <v>295</v>
      </c>
      <c r="B46" s="27">
        <f t="shared" si="12"/>
        <v>555.42399999999998</v>
      </c>
      <c r="C46" s="27">
        <f>'tab7'!C118</f>
        <v>48813.759999999995</v>
      </c>
      <c r="D46" s="27">
        <f>'tab7'!D118</f>
        <v>683.25635603000001</v>
      </c>
      <c r="E46" s="27">
        <f>+B46+C46+D46</f>
        <v>50052.440356029991</v>
      </c>
      <c r="F46" s="27">
        <f t="shared" si="11"/>
        <v>36267.669612344333</v>
      </c>
      <c r="G46" s="27">
        <f>'tab7'!G118</f>
        <v>13382.755743685657</v>
      </c>
      <c r="H46" s="27">
        <f t="shared" si="1"/>
        <v>49650.425356029991</v>
      </c>
      <c r="I46" s="27">
        <f>'tab7'!I117</f>
        <v>402.01499999999999</v>
      </c>
      <c r="J46" s="24">
        <v>308.28249999999997</v>
      </c>
      <c r="M46" s="238"/>
    </row>
    <row r="47" spans="1:13">
      <c r="A47" s="10" t="s">
        <v>334</v>
      </c>
      <c r="B47" s="27">
        <f>I46</f>
        <v>402.01499999999999</v>
      </c>
      <c r="C47" s="27">
        <f>'tab7'!C132</f>
        <v>51100.43</v>
      </c>
      <c r="D47" s="27">
        <f>'tab7'!D132</f>
        <v>639.2838314457</v>
      </c>
      <c r="E47" s="27">
        <f>+B47+C47+D47</f>
        <v>52141.728831445696</v>
      </c>
      <c r="F47" s="27">
        <f>+H47-G47</f>
        <v>37967.280967729414</v>
      </c>
      <c r="G47" s="27">
        <f>'tab7'!G132</f>
        <v>13833.111863716282</v>
      </c>
      <c r="H47" s="27">
        <f>+E47-I47</f>
        <v>51800.392831445693</v>
      </c>
      <c r="I47" s="27">
        <f>'tab7'!I131</f>
        <v>341.33600000000001</v>
      </c>
      <c r="J47" s="24">
        <v>299.50083333333328</v>
      </c>
      <c r="M47" s="238"/>
    </row>
    <row r="48" spans="1:13">
      <c r="A48" s="10" t="s">
        <v>350</v>
      </c>
      <c r="B48" s="27">
        <f>I47</f>
        <v>341.33600000000001</v>
      </c>
      <c r="C48" s="27">
        <f>'tab7'!C146</f>
        <v>50564.716999999997</v>
      </c>
      <c r="D48" s="27">
        <f>'tab7'!D146</f>
        <v>784.47108718440006</v>
      </c>
      <c r="E48" s="27">
        <f>B48+C48+D48</f>
        <v>51690.5240871844</v>
      </c>
      <c r="F48" s="27">
        <f>+H48-G48</f>
        <v>37674.373696028109</v>
      </c>
      <c r="G48" s="27">
        <f>'tab7'!G146</f>
        <v>13675.364391156287</v>
      </c>
      <c r="H48" s="27">
        <f>+E48-I48</f>
        <v>51349.7380871844</v>
      </c>
      <c r="I48" s="27">
        <f>'tab7'!I145</f>
        <v>340.786</v>
      </c>
      <c r="J48" s="24">
        <v>392.31</v>
      </c>
      <c r="M48" s="238"/>
    </row>
    <row r="49" spans="1:13">
      <c r="A49" s="10" t="s">
        <v>504</v>
      </c>
      <c r="B49" s="27">
        <f>I48</f>
        <v>340.786</v>
      </c>
      <c r="C49" s="27">
        <f>'tab7'!C160</f>
        <v>51814.455000000002</v>
      </c>
      <c r="D49" s="27">
        <f>'tab7'!D160</f>
        <v>649.11556371690006</v>
      </c>
      <c r="E49" s="27">
        <f>B49+C49+D49</f>
        <v>52804.356563716901</v>
      </c>
      <c r="F49" s="27">
        <f>+H49-G49</f>
        <v>38969.602443662327</v>
      </c>
      <c r="G49" s="27">
        <f>'tab7'!G160</f>
        <v>13523.827120054575</v>
      </c>
      <c r="H49" s="27">
        <f>+E49-I49</f>
        <v>52493.429563716898</v>
      </c>
      <c r="I49" s="27">
        <f>'tab7'!I159</f>
        <v>310.92700000000002</v>
      </c>
      <c r="J49" s="24">
        <v>439.81</v>
      </c>
      <c r="M49" s="238"/>
    </row>
    <row r="50" spans="1:13">
      <c r="A50" s="11" t="s">
        <v>597</v>
      </c>
      <c r="B50" s="237">
        <f>I49</f>
        <v>310.92700000000002</v>
      </c>
      <c r="C50" s="237">
        <v>52539.072999999997</v>
      </c>
      <c r="D50" s="237">
        <v>600</v>
      </c>
      <c r="E50" s="237">
        <f>B50+C50+D50</f>
        <v>53450</v>
      </c>
      <c r="F50" s="237">
        <v>39400</v>
      </c>
      <c r="G50" s="237">
        <v>13700</v>
      </c>
      <c r="H50" s="237">
        <f>SUM(F50:G50)</f>
        <v>53100</v>
      </c>
      <c r="I50" s="237">
        <f>E50-H50</f>
        <v>350</v>
      </c>
      <c r="J50" s="234">
        <v>465</v>
      </c>
    </row>
    <row r="51" spans="1:13">
      <c r="A51" t="s">
        <v>518</v>
      </c>
      <c r="B51" s="27"/>
      <c r="C51" s="27"/>
      <c r="D51" s="27"/>
      <c r="E51" s="27"/>
      <c r="F51" s="27"/>
      <c r="G51" s="27"/>
      <c r="H51" s="27"/>
      <c r="I51" s="27"/>
      <c r="J51" s="27"/>
      <c r="K51" s="24"/>
    </row>
    <row r="52" spans="1:13">
      <c r="A52" s="52" t="s">
        <v>516</v>
      </c>
    </row>
    <row r="53" spans="1:13">
      <c r="A53" s="52" t="s">
        <v>719</v>
      </c>
    </row>
    <row r="54" spans="1:13">
      <c r="A54" s="73" t="s">
        <v>720</v>
      </c>
    </row>
    <row r="55" spans="1:13">
      <c r="J55" s="101" t="s">
        <v>592</v>
      </c>
    </row>
  </sheetData>
  <phoneticPr fontId="0" type="noConversion"/>
  <pageMargins left="0.7" right="0.7" top="0.75" bottom="1.25" header="0.3" footer="0.3"/>
  <pageSetup scale="81" firstPageNumber="4" fitToHeight="0" orientation="portrait" useFirstPageNumber="1" r:id="rId1"/>
  <headerFooter alignWithMargins="0">
    <oddFooter>&amp;COil Crops Yearbook/OCS-2023
March 2023
Economic Research Service
&amp;P</oddFooter>
  </headerFooter>
  <drawing r:id="rId2"/>
  <legacyDrawing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T58"/>
  <sheetViews>
    <sheetView zoomScaleNormal="100" zoomScaleSheetLayoutView="100" workbookViewId="0">
      <pane ySplit="4" topLeftCell="A5" activePane="bottomLeft" state="frozen"/>
      <selection pane="bottomLeft"/>
    </sheetView>
  </sheetViews>
  <sheetFormatPr defaultRowHeight="11.25"/>
  <cols>
    <col min="1" max="1" width="52.6640625" customWidth="1"/>
    <col min="2" max="8" width="12.83203125" customWidth="1"/>
    <col min="9" max="9" width="12.5" customWidth="1"/>
    <col min="10" max="10" width="11.1640625" bestFit="1" customWidth="1"/>
  </cols>
  <sheetData>
    <row r="1" spans="1:20">
      <c r="A1" s="223" t="s">
        <v>636</v>
      </c>
      <c r="B1" s="1"/>
      <c r="C1" s="1"/>
      <c r="D1" s="1"/>
      <c r="E1" s="1"/>
      <c r="F1" s="1"/>
      <c r="H1" s="1"/>
      <c r="I1" s="1"/>
    </row>
    <row r="2" spans="1:20">
      <c r="B2" s="1"/>
      <c r="G2" s="3"/>
      <c r="J2" s="3"/>
    </row>
    <row r="3" spans="1:20">
      <c r="A3" s="1" t="s">
        <v>203</v>
      </c>
      <c r="B3" s="389" t="s">
        <v>261</v>
      </c>
      <c r="C3" s="389" t="s">
        <v>260</v>
      </c>
      <c r="D3" s="389" t="s">
        <v>271</v>
      </c>
      <c r="E3" s="389" t="s">
        <v>270</v>
      </c>
      <c r="F3" s="389" t="s">
        <v>295</v>
      </c>
      <c r="G3" s="389" t="s">
        <v>334</v>
      </c>
      <c r="H3" s="390" t="s">
        <v>350</v>
      </c>
      <c r="I3" s="390" t="s">
        <v>615</v>
      </c>
      <c r="J3" s="390" t="s">
        <v>614</v>
      </c>
    </row>
    <row r="4" spans="1:20">
      <c r="B4" s="205" t="s">
        <v>159</v>
      </c>
      <c r="C4" s="206"/>
      <c r="D4" s="2"/>
      <c r="E4" s="2"/>
      <c r="F4" s="2"/>
      <c r="G4" s="207"/>
      <c r="H4" s="206"/>
      <c r="I4" s="206"/>
      <c r="J4" s="2"/>
    </row>
    <row r="5" spans="1:20">
      <c r="A5" s="173" t="s">
        <v>40</v>
      </c>
    </row>
    <row r="6" spans="1:20">
      <c r="A6" s="86" t="s">
        <v>458</v>
      </c>
      <c r="B6" s="356">
        <v>5.3159999999999998</v>
      </c>
      <c r="C6" s="356">
        <v>5.1280000000000001</v>
      </c>
      <c r="D6" s="356">
        <v>5.4550000000000001</v>
      </c>
      <c r="E6" s="356">
        <v>5.9390000000000001</v>
      </c>
      <c r="F6" s="356">
        <v>6.06</v>
      </c>
      <c r="G6" s="356">
        <v>5.9240000000000004</v>
      </c>
      <c r="H6" s="356">
        <v>5.7750000000000004</v>
      </c>
      <c r="I6" s="356">
        <v>6.0659999999999998</v>
      </c>
      <c r="J6" s="356">
        <v>6.0289999999999999</v>
      </c>
    </row>
    <row r="7" spans="1:20">
      <c r="A7" s="86" t="s">
        <v>407</v>
      </c>
      <c r="B7" s="356">
        <v>44.362000000000002</v>
      </c>
      <c r="C7" s="356">
        <v>35.619</v>
      </c>
      <c r="D7" s="356">
        <v>39.283000000000001</v>
      </c>
      <c r="E7" s="356">
        <v>45.255000000000003</v>
      </c>
      <c r="F7" s="356">
        <v>43.079000000000001</v>
      </c>
      <c r="G7" s="356">
        <v>43.628999999999998</v>
      </c>
      <c r="H7" s="356">
        <v>41.014000000000003</v>
      </c>
      <c r="I7" s="356">
        <v>41.777000000000001</v>
      </c>
      <c r="J7" s="356">
        <v>41.929000000000002</v>
      </c>
    </row>
    <row r="8" spans="1:20">
      <c r="A8" s="86" t="s">
        <v>410</v>
      </c>
      <c r="B8" s="356">
        <v>16.532</v>
      </c>
      <c r="C8" s="356">
        <v>15.906000000000001</v>
      </c>
      <c r="D8" s="356">
        <v>17.326000000000001</v>
      </c>
      <c r="E8" s="356">
        <v>18.725000000000001</v>
      </c>
      <c r="F8" s="356">
        <v>19.498999999999999</v>
      </c>
      <c r="G8" s="356">
        <v>19.361999999999998</v>
      </c>
      <c r="H8" s="356">
        <v>19.088000000000001</v>
      </c>
      <c r="I8" s="356">
        <v>19.334</v>
      </c>
      <c r="J8" s="356">
        <v>20.076000000000001</v>
      </c>
    </row>
    <row r="9" spans="1:20">
      <c r="A9" s="86" t="s">
        <v>459</v>
      </c>
      <c r="B9" s="356">
        <v>41.79</v>
      </c>
      <c r="C9" s="356">
        <v>41.273000000000003</v>
      </c>
      <c r="D9" s="356">
        <v>45.93</v>
      </c>
      <c r="E9" s="356">
        <v>47.1</v>
      </c>
      <c r="F9" s="356">
        <v>46.621000000000002</v>
      </c>
      <c r="G9" s="356">
        <v>48.173000000000002</v>
      </c>
      <c r="H9" s="356">
        <v>50.256999999999998</v>
      </c>
      <c r="I9" s="356">
        <v>50.433999999999997</v>
      </c>
      <c r="J9" s="356">
        <v>50.109000000000002</v>
      </c>
    </row>
    <row r="10" spans="1:20">
      <c r="A10" s="86" t="s">
        <v>460</v>
      </c>
      <c r="B10" s="356">
        <v>70.429000000000002</v>
      </c>
      <c r="C10" s="356">
        <v>68.84</v>
      </c>
      <c r="D10" s="356">
        <v>69.584999999999994</v>
      </c>
      <c r="E10" s="356">
        <v>75.322999999999993</v>
      </c>
      <c r="F10" s="356">
        <v>72.927000000000007</v>
      </c>
      <c r="G10" s="356">
        <v>69.707999999999998</v>
      </c>
      <c r="H10" s="356">
        <v>73.891999999999996</v>
      </c>
      <c r="I10" s="356">
        <v>74.025000000000006</v>
      </c>
      <c r="J10" s="356">
        <v>86.305000000000007</v>
      </c>
    </row>
    <row r="11" spans="1:20">
      <c r="A11" s="86" t="s">
        <v>461</v>
      </c>
      <c r="B11" s="356">
        <v>321.24799999999999</v>
      </c>
      <c r="C11" s="356">
        <v>315.83300000000003</v>
      </c>
      <c r="D11" s="356">
        <v>350.55799999999999</v>
      </c>
      <c r="E11" s="356">
        <v>343.476</v>
      </c>
      <c r="F11" s="356">
        <v>362.99400000000003</v>
      </c>
      <c r="G11" s="356">
        <v>340.79500000000002</v>
      </c>
      <c r="H11" s="356">
        <v>368.476</v>
      </c>
      <c r="I11" s="356">
        <v>358.142</v>
      </c>
      <c r="J11" s="356">
        <v>375.14800000000002</v>
      </c>
    </row>
    <row r="12" spans="1:20">
      <c r="A12" s="86" t="s">
        <v>462</v>
      </c>
      <c r="B12" s="356">
        <v>39.283999999999999</v>
      </c>
      <c r="C12" s="356">
        <v>40.75</v>
      </c>
      <c r="D12" s="356">
        <v>48.393000000000001</v>
      </c>
      <c r="E12" s="356">
        <v>48.01</v>
      </c>
      <c r="F12" s="356">
        <v>50.658999999999999</v>
      </c>
      <c r="G12" s="356">
        <v>54.201999999999998</v>
      </c>
      <c r="H12" s="356">
        <v>49.2</v>
      </c>
      <c r="I12" s="356">
        <v>57.308</v>
      </c>
      <c r="J12" s="356">
        <v>50.293999999999997</v>
      </c>
    </row>
    <row r="13" spans="1:20">
      <c r="A13" s="86" t="s">
        <v>2</v>
      </c>
      <c r="B13" s="356">
        <f>SUM(B6:B12)</f>
        <v>538.96100000000001</v>
      </c>
      <c r="C13" s="356">
        <f t="shared" ref="C13:F13" si="0">SUM(C6:C12)</f>
        <v>523.34900000000005</v>
      </c>
      <c r="D13" s="356">
        <f t="shared" si="0"/>
        <v>576.53</v>
      </c>
      <c r="E13" s="356">
        <f t="shared" si="0"/>
        <v>583.82799999999997</v>
      </c>
      <c r="F13" s="356">
        <f t="shared" si="0"/>
        <v>601.83900000000006</v>
      </c>
      <c r="G13" s="356">
        <f>SUM(G6:G12)</f>
        <v>581.79300000000001</v>
      </c>
      <c r="H13" s="356">
        <f>SUM(H6:H12)</f>
        <v>607.702</v>
      </c>
      <c r="I13" s="356">
        <f>SUM(I6:I12)</f>
        <v>607.08600000000001</v>
      </c>
      <c r="J13" s="356">
        <f>SUM(J6:J12)</f>
        <v>629.89</v>
      </c>
    </row>
    <row r="14" spans="1:20">
      <c r="A14" s="173" t="s">
        <v>49</v>
      </c>
      <c r="B14" s="26"/>
      <c r="C14" s="26"/>
      <c r="D14" s="26"/>
      <c r="E14" s="26"/>
      <c r="F14" s="40"/>
      <c r="G14" s="40"/>
      <c r="H14" s="26"/>
      <c r="I14" s="26"/>
      <c r="J14" s="253"/>
    </row>
    <row r="15" spans="1:20">
      <c r="A15" s="86" t="s">
        <v>458</v>
      </c>
      <c r="B15" s="356">
        <v>0.11600000000000001</v>
      </c>
      <c r="C15" s="356">
        <v>0.13300000000000001</v>
      </c>
      <c r="D15" s="356">
        <v>0.13500000000000001</v>
      </c>
      <c r="E15" s="356">
        <v>0.13100000000000001</v>
      </c>
      <c r="F15" s="356">
        <v>0.20399999999999999</v>
      </c>
      <c r="G15" s="356">
        <v>0.153</v>
      </c>
      <c r="H15" s="356">
        <v>8.1000000000000003E-2</v>
      </c>
      <c r="I15" s="356">
        <v>8.6999999999999994E-2</v>
      </c>
      <c r="J15" s="356">
        <v>8.4000000000000005E-2</v>
      </c>
      <c r="L15" s="190"/>
      <c r="M15" s="190"/>
      <c r="N15" s="190"/>
      <c r="O15" s="190"/>
      <c r="P15" s="190"/>
      <c r="Q15" s="190"/>
      <c r="R15" s="190"/>
      <c r="S15" s="190"/>
      <c r="T15" s="190"/>
    </row>
    <row r="16" spans="1:20">
      <c r="A16" s="86" t="s">
        <v>407</v>
      </c>
      <c r="B16" s="356">
        <v>0.66800000000000004</v>
      </c>
      <c r="C16" s="356">
        <v>0.69399999999999995</v>
      </c>
      <c r="D16" s="356">
        <v>1.0089999999999999</v>
      </c>
      <c r="E16" s="356">
        <v>0.872</v>
      </c>
      <c r="F16" s="356">
        <v>0.73299999999999998</v>
      </c>
      <c r="G16" s="356">
        <v>0.80500000000000005</v>
      </c>
      <c r="H16" s="356">
        <v>0.83799999999999997</v>
      </c>
      <c r="I16" s="356">
        <v>1.0269999999999999</v>
      </c>
      <c r="J16" s="356">
        <v>0.99</v>
      </c>
      <c r="L16" s="190"/>
      <c r="M16" s="190"/>
      <c r="N16" s="190"/>
      <c r="O16" s="190"/>
      <c r="P16" s="190"/>
      <c r="Q16" s="190"/>
      <c r="R16" s="190"/>
      <c r="S16" s="190"/>
      <c r="T16" s="190"/>
    </row>
    <row r="17" spans="1:20">
      <c r="A17" s="86" t="s">
        <v>410</v>
      </c>
      <c r="B17" s="356">
        <v>6.8000000000000005E-2</v>
      </c>
      <c r="C17" s="356">
        <v>5.5E-2</v>
      </c>
      <c r="D17" s="356">
        <v>7.0000000000000007E-2</v>
      </c>
      <c r="E17" s="356">
        <v>0.18</v>
      </c>
      <c r="F17" s="356">
        <v>0.16200000000000001</v>
      </c>
      <c r="G17" s="356">
        <v>0.14399999999999999</v>
      </c>
      <c r="H17" s="356">
        <v>0.14399999999999999</v>
      </c>
      <c r="I17" s="356">
        <v>0.14799999999999999</v>
      </c>
      <c r="J17" s="356">
        <v>0.14299999999999999</v>
      </c>
      <c r="L17" s="190"/>
      <c r="M17" s="190"/>
      <c r="N17" s="190"/>
      <c r="O17" s="190"/>
      <c r="P17" s="190"/>
      <c r="Q17" s="190"/>
      <c r="R17" s="190"/>
      <c r="S17" s="190"/>
      <c r="T17" s="190"/>
    </row>
    <row r="18" spans="1:20">
      <c r="A18" s="86" t="s">
        <v>459</v>
      </c>
      <c r="B18" s="356">
        <v>2.52</v>
      </c>
      <c r="C18" s="356">
        <v>3.2930000000000001</v>
      </c>
      <c r="D18" s="356">
        <v>3.1920000000000002</v>
      </c>
      <c r="E18" s="356">
        <v>3.077</v>
      </c>
      <c r="F18" s="356">
        <v>3.5249999999999999</v>
      </c>
      <c r="G18" s="356">
        <v>4.3410000000000002</v>
      </c>
      <c r="H18" s="356">
        <v>4.3090000000000002</v>
      </c>
      <c r="I18" s="356">
        <v>3.9809999999999999</v>
      </c>
      <c r="J18" s="356">
        <v>4.2039999999999997</v>
      </c>
      <c r="L18" s="190"/>
      <c r="M18" s="190"/>
      <c r="N18" s="190"/>
      <c r="O18" s="190"/>
      <c r="P18" s="190"/>
      <c r="Q18" s="190"/>
      <c r="R18" s="190"/>
      <c r="S18" s="190"/>
      <c r="T18" s="190"/>
    </row>
    <row r="19" spans="1:20">
      <c r="A19" s="86" t="s">
        <v>460</v>
      </c>
      <c r="B19" s="356">
        <v>14.316000000000001</v>
      </c>
      <c r="C19" s="356">
        <v>14.106</v>
      </c>
      <c r="D19" s="356">
        <v>15.795</v>
      </c>
      <c r="E19" s="356">
        <v>15.718999999999999</v>
      </c>
      <c r="F19" s="356">
        <v>14.635</v>
      </c>
      <c r="G19" s="356">
        <v>15.711</v>
      </c>
      <c r="H19" s="356">
        <v>16.661999999999999</v>
      </c>
      <c r="I19" s="356">
        <v>13.907</v>
      </c>
      <c r="J19" s="356">
        <v>18.637</v>
      </c>
      <c r="L19" s="190"/>
      <c r="M19" s="190"/>
      <c r="N19" s="190"/>
      <c r="O19" s="190"/>
      <c r="P19" s="190"/>
      <c r="Q19" s="190"/>
      <c r="R19" s="190"/>
      <c r="S19" s="190"/>
      <c r="T19" s="190"/>
    </row>
    <row r="20" spans="1:20">
      <c r="A20" s="86" t="s">
        <v>461</v>
      </c>
      <c r="B20" s="356">
        <v>124.41800000000001</v>
      </c>
      <c r="C20" s="356">
        <v>133.71299999999999</v>
      </c>
      <c r="D20" s="356">
        <v>145.18299999999999</v>
      </c>
      <c r="E20" s="356">
        <v>154.11000000000001</v>
      </c>
      <c r="F20" s="356">
        <v>146.02199999999999</v>
      </c>
      <c r="G20" s="356">
        <v>165.124</v>
      </c>
      <c r="H20" s="356">
        <v>165.54599999999999</v>
      </c>
      <c r="I20" s="356">
        <v>157.07599999999999</v>
      </c>
      <c r="J20" s="356">
        <v>165.393</v>
      </c>
      <c r="L20" s="190"/>
      <c r="M20" s="190"/>
      <c r="N20" s="190"/>
      <c r="O20" s="190"/>
      <c r="P20" s="190"/>
      <c r="Q20" s="190"/>
      <c r="R20" s="190"/>
      <c r="S20" s="190"/>
      <c r="T20" s="190"/>
    </row>
    <row r="21" spans="1:20">
      <c r="A21" s="86" t="s">
        <v>462</v>
      </c>
      <c r="B21" s="356">
        <v>1.6240000000000001</v>
      </c>
      <c r="C21" s="356">
        <v>2.1110000000000002</v>
      </c>
      <c r="D21" s="356">
        <v>2.4550000000000001</v>
      </c>
      <c r="E21" s="356">
        <v>2.383</v>
      </c>
      <c r="F21" s="356">
        <v>2.89</v>
      </c>
      <c r="G21" s="356">
        <v>3.343</v>
      </c>
      <c r="H21" s="356">
        <v>2.7349999999999999</v>
      </c>
      <c r="I21" s="356">
        <v>3.7909999999999999</v>
      </c>
      <c r="J21" s="356">
        <v>5.476</v>
      </c>
      <c r="L21" s="190"/>
      <c r="M21" s="190"/>
      <c r="N21" s="190"/>
      <c r="O21" s="190"/>
      <c r="P21" s="190"/>
      <c r="Q21" s="190"/>
      <c r="R21" s="190"/>
      <c r="S21" s="190"/>
      <c r="T21" s="190"/>
    </row>
    <row r="22" spans="1:20">
      <c r="A22" s="86" t="s">
        <v>2</v>
      </c>
      <c r="B22" s="356">
        <f>SUM(B15:B21)</f>
        <v>143.72999999999999</v>
      </c>
      <c r="C22" s="356">
        <f t="shared" ref="C22:F22" si="1">SUM(C15:C21)</f>
        <v>154.10499999999999</v>
      </c>
      <c r="D22" s="356">
        <f t="shared" si="1"/>
        <v>167.839</v>
      </c>
      <c r="E22" s="356">
        <f t="shared" si="1"/>
        <v>176.47200000000001</v>
      </c>
      <c r="F22" s="356">
        <f t="shared" si="1"/>
        <v>168.17099999999999</v>
      </c>
      <c r="G22" s="356">
        <f>SUM(G15:G21)</f>
        <v>189.62099999999998</v>
      </c>
      <c r="H22" s="356">
        <f>SUM(H15:H21)</f>
        <v>190.315</v>
      </c>
      <c r="I22" s="356">
        <f>SUM(I15:I21)</f>
        <v>180.017</v>
      </c>
      <c r="J22" s="356">
        <f>SUM(J15:J21)</f>
        <v>194.92699999999999</v>
      </c>
      <c r="L22" s="190"/>
      <c r="M22" s="190"/>
      <c r="N22" s="190"/>
      <c r="O22" s="190"/>
      <c r="P22" s="190"/>
      <c r="Q22" s="190"/>
      <c r="R22" s="190"/>
      <c r="S22" s="190"/>
      <c r="T22" s="190"/>
    </row>
    <row r="23" spans="1:20">
      <c r="A23" s="173" t="s">
        <v>50</v>
      </c>
      <c r="B23" s="26"/>
      <c r="C23" s="26"/>
      <c r="D23" s="26"/>
      <c r="E23" s="26"/>
      <c r="H23" s="26"/>
      <c r="I23" s="26"/>
    </row>
    <row r="24" spans="1:20">
      <c r="A24" s="86" t="s">
        <v>458</v>
      </c>
      <c r="B24" s="356">
        <v>0.11600000000000001</v>
      </c>
      <c r="C24" s="356">
        <v>0.152</v>
      </c>
      <c r="D24" s="356">
        <v>0.16700000000000001</v>
      </c>
      <c r="E24" s="356">
        <v>0.16400000000000001</v>
      </c>
      <c r="F24" s="356">
        <v>0.18</v>
      </c>
      <c r="G24" s="356">
        <v>0.27500000000000002</v>
      </c>
      <c r="H24" s="356">
        <v>9.7000000000000003E-2</v>
      </c>
      <c r="I24" s="356">
        <v>0.121</v>
      </c>
      <c r="J24" s="356">
        <v>0.13500000000000001</v>
      </c>
      <c r="L24" s="190"/>
      <c r="M24" s="190"/>
      <c r="N24" s="190"/>
      <c r="O24" s="190"/>
      <c r="P24" s="190"/>
      <c r="Q24" s="190"/>
      <c r="R24" s="190"/>
      <c r="S24" s="190"/>
      <c r="T24" s="190"/>
    </row>
    <row r="25" spans="1:20">
      <c r="A25" s="86" t="s">
        <v>407</v>
      </c>
      <c r="B25" s="356">
        <v>0.72499999999999998</v>
      </c>
      <c r="C25" s="356">
        <v>0.73399999999999999</v>
      </c>
      <c r="D25" s="356">
        <v>0.86099999999999999</v>
      </c>
      <c r="E25" s="356">
        <v>0.89300000000000002</v>
      </c>
      <c r="F25" s="356">
        <v>0.83599999999999997</v>
      </c>
      <c r="G25" s="356">
        <v>0.88300000000000001</v>
      </c>
      <c r="H25" s="356">
        <v>0.96</v>
      </c>
      <c r="I25" s="356">
        <v>1.284</v>
      </c>
      <c r="J25" s="356">
        <v>1.1659999999999999</v>
      </c>
      <c r="L25" s="190"/>
      <c r="M25" s="190"/>
      <c r="N25" s="190"/>
      <c r="O25" s="190"/>
      <c r="P25" s="190"/>
      <c r="Q25" s="190"/>
      <c r="R25" s="190"/>
      <c r="S25" s="190"/>
      <c r="T25" s="190"/>
    </row>
    <row r="26" spans="1:20">
      <c r="A26" s="86" t="s">
        <v>410</v>
      </c>
      <c r="B26" s="356">
        <v>4.2000000000000003E-2</v>
      </c>
      <c r="C26" s="356">
        <v>4.3999999999999997E-2</v>
      </c>
      <c r="D26" s="356">
        <v>8.8999999999999996E-2</v>
      </c>
      <c r="E26" s="356">
        <v>0.16300000000000001</v>
      </c>
      <c r="F26" s="356">
        <v>6.8000000000000005E-2</v>
      </c>
      <c r="G26" s="356">
        <v>7.5999999999999998E-2</v>
      </c>
      <c r="H26" s="356">
        <v>5.8000000000000003E-2</v>
      </c>
      <c r="I26" s="356">
        <v>0.108</v>
      </c>
      <c r="J26" s="356">
        <v>4.9000000000000002E-2</v>
      </c>
      <c r="L26" s="190"/>
      <c r="M26" s="190"/>
      <c r="N26" s="190"/>
      <c r="O26" s="190"/>
      <c r="P26" s="190"/>
      <c r="Q26" s="190"/>
      <c r="R26" s="190"/>
      <c r="S26" s="190"/>
      <c r="T26" s="190"/>
    </row>
    <row r="27" spans="1:20">
      <c r="A27" s="86" t="s">
        <v>459</v>
      </c>
      <c r="B27" s="356">
        <v>3.423</v>
      </c>
      <c r="C27" s="356">
        <v>3.629</v>
      </c>
      <c r="D27" s="356">
        <v>3.9039999999999999</v>
      </c>
      <c r="E27" s="356">
        <v>3.504</v>
      </c>
      <c r="F27" s="356">
        <v>3.83</v>
      </c>
      <c r="G27" s="356">
        <v>4.9269999999999996</v>
      </c>
      <c r="H27" s="356">
        <v>4.9160000000000004</v>
      </c>
      <c r="I27" s="356">
        <v>4.3049999999999997</v>
      </c>
      <c r="J27" s="356">
        <v>4.46</v>
      </c>
      <c r="L27" s="190"/>
      <c r="M27" s="190"/>
      <c r="N27" s="190"/>
      <c r="O27" s="190"/>
      <c r="P27" s="190"/>
      <c r="Q27" s="190"/>
      <c r="R27" s="190"/>
      <c r="S27" s="190"/>
      <c r="T27" s="190"/>
    </row>
    <row r="28" spans="1:20">
      <c r="A28" s="86" t="s">
        <v>460</v>
      </c>
      <c r="B28" s="356">
        <v>15.105</v>
      </c>
      <c r="C28" s="356">
        <v>14.398999999999999</v>
      </c>
      <c r="D28" s="356">
        <v>16.145</v>
      </c>
      <c r="E28" s="356">
        <v>16.594999999999999</v>
      </c>
      <c r="F28" s="356">
        <v>14.678000000000001</v>
      </c>
      <c r="G28" s="356">
        <v>15.981999999999999</v>
      </c>
      <c r="H28" s="356">
        <v>18.106000000000002</v>
      </c>
      <c r="I28" s="356">
        <v>15.167</v>
      </c>
      <c r="J28" s="356">
        <v>20.050999999999998</v>
      </c>
      <c r="L28" s="190"/>
      <c r="M28" s="190"/>
      <c r="N28" s="190"/>
      <c r="O28" s="190"/>
      <c r="P28" s="190"/>
      <c r="Q28" s="190"/>
      <c r="R28" s="190"/>
      <c r="S28" s="190"/>
      <c r="T28" s="190"/>
    </row>
    <row r="29" spans="1:20">
      <c r="A29" s="86" t="s">
        <v>461</v>
      </c>
      <c r="B29" s="356">
        <v>126.443</v>
      </c>
      <c r="C29" s="356">
        <v>132.82900000000001</v>
      </c>
      <c r="D29" s="356">
        <v>147.65899999999999</v>
      </c>
      <c r="E29" s="356">
        <v>153.351</v>
      </c>
      <c r="F29" s="356">
        <v>149.18700000000001</v>
      </c>
      <c r="G29" s="356">
        <v>165.55600000000001</v>
      </c>
      <c r="H29" s="356">
        <v>164.994</v>
      </c>
      <c r="I29" s="356">
        <v>153.977</v>
      </c>
      <c r="J29" s="356">
        <v>168.40199999999999</v>
      </c>
      <c r="L29" s="190"/>
      <c r="M29" s="190"/>
      <c r="N29" s="190"/>
      <c r="O29" s="190"/>
      <c r="P29" s="190"/>
      <c r="Q29" s="190"/>
      <c r="R29" s="190"/>
      <c r="S29" s="190"/>
      <c r="T29" s="190"/>
    </row>
    <row r="30" spans="1:20">
      <c r="A30" s="86" t="s">
        <v>462</v>
      </c>
      <c r="B30" s="356">
        <v>1.675</v>
      </c>
      <c r="C30" s="356">
        <v>2.1320000000000001</v>
      </c>
      <c r="D30" s="356">
        <v>2.6829999999999998</v>
      </c>
      <c r="E30" s="356">
        <v>2.7559999999999998</v>
      </c>
      <c r="F30" s="356">
        <v>3.2130000000000001</v>
      </c>
      <c r="G30" s="356">
        <v>3.6869999999999998</v>
      </c>
      <c r="H30" s="356">
        <v>2.9</v>
      </c>
      <c r="I30" s="356">
        <v>3.91</v>
      </c>
      <c r="J30" s="356">
        <v>5.6150000000000002</v>
      </c>
      <c r="L30" s="190"/>
      <c r="M30" s="190"/>
      <c r="N30" s="190"/>
      <c r="O30" s="190"/>
      <c r="P30" s="190"/>
      <c r="Q30" s="190"/>
      <c r="R30" s="190"/>
      <c r="S30" s="190"/>
      <c r="T30" s="190"/>
    </row>
    <row r="31" spans="1:20">
      <c r="A31" s="86" t="s">
        <v>2</v>
      </c>
      <c r="B31" s="356">
        <f t="shared" ref="B31:F31" si="2">SUM(B24:B30)</f>
        <v>147.529</v>
      </c>
      <c r="C31" s="356">
        <f t="shared" si="2"/>
        <v>153.91900000000001</v>
      </c>
      <c r="D31" s="356">
        <f t="shared" si="2"/>
        <v>171.50799999999998</v>
      </c>
      <c r="E31" s="356">
        <f t="shared" si="2"/>
        <v>177.42599999999999</v>
      </c>
      <c r="F31" s="356">
        <f t="shared" si="2"/>
        <v>171.99199999999999</v>
      </c>
      <c r="G31" s="356">
        <f>SUM(G24:G30)</f>
        <v>191.38600000000002</v>
      </c>
      <c r="H31" s="356">
        <f>SUM(H24:H30)</f>
        <v>192.03100000000001</v>
      </c>
      <c r="I31" s="356">
        <f>SUM(I24:I30)</f>
        <v>178.87199999999999</v>
      </c>
      <c r="J31" s="356">
        <f>SUM(J24:J30)</f>
        <v>199.87799999999999</v>
      </c>
      <c r="L31" s="190"/>
      <c r="M31" s="190"/>
      <c r="N31" s="190"/>
      <c r="O31" s="190"/>
      <c r="P31" s="190"/>
      <c r="Q31" s="190"/>
      <c r="R31" s="190"/>
      <c r="S31" s="190"/>
      <c r="T31" s="190"/>
    </row>
    <row r="32" spans="1:20">
      <c r="A32" s="173" t="s">
        <v>67</v>
      </c>
      <c r="B32" s="26"/>
      <c r="C32" s="26"/>
      <c r="D32" s="26"/>
      <c r="E32" s="26"/>
      <c r="H32" s="26"/>
      <c r="I32" s="26"/>
    </row>
    <row r="33" spans="1:20">
      <c r="A33" s="86" t="s">
        <v>458</v>
      </c>
      <c r="B33" s="356">
        <v>5.2759999999999998</v>
      </c>
      <c r="C33" s="356">
        <v>5.1020000000000003</v>
      </c>
      <c r="D33" s="356">
        <v>5.383</v>
      </c>
      <c r="E33" s="356">
        <v>5.8810000000000002</v>
      </c>
      <c r="F33" s="356">
        <v>6.0250000000000004</v>
      </c>
      <c r="G33" s="356">
        <v>5.7569999999999997</v>
      </c>
      <c r="H33" s="356">
        <v>5.7110000000000003</v>
      </c>
      <c r="I33" s="356">
        <v>5.9249999999999998</v>
      </c>
      <c r="J33" s="356">
        <v>5.8929999999999998</v>
      </c>
    </row>
    <row r="34" spans="1:20">
      <c r="A34" s="86" t="s">
        <v>407</v>
      </c>
      <c r="B34" s="356">
        <v>33.451000000000001</v>
      </c>
      <c r="C34" s="356">
        <v>28.074000000000002</v>
      </c>
      <c r="D34" s="356">
        <v>29.102</v>
      </c>
      <c r="E34" s="356">
        <v>33.732999999999997</v>
      </c>
      <c r="F34" s="356">
        <v>32.801000000000002</v>
      </c>
      <c r="G34" s="356">
        <v>33.704000000000001</v>
      </c>
      <c r="H34" s="356">
        <v>32.094000000000001</v>
      </c>
      <c r="I34" s="356">
        <v>32.994</v>
      </c>
      <c r="J34" s="356">
        <v>32.781999999999996</v>
      </c>
    </row>
    <row r="35" spans="1:20">
      <c r="A35" s="86" t="s">
        <v>410</v>
      </c>
      <c r="B35" s="356">
        <v>16.46</v>
      </c>
      <c r="C35" s="356">
        <v>15.853</v>
      </c>
      <c r="D35" s="356">
        <v>17.198</v>
      </c>
      <c r="E35" s="356">
        <v>18.655999999999999</v>
      </c>
      <c r="F35" s="356">
        <v>19.451000000000001</v>
      </c>
      <c r="G35" s="356">
        <v>19.402999999999999</v>
      </c>
      <c r="H35" s="356">
        <v>19.073</v>
      </c>
      <c r="I35" s="356">
        <v>19.141999999999999</v>
      </c>
      <c r="J35" s="356">
        <v>20.064</v>
      </c>
    </row>
    <row r="36" spans="1:20">
      <c r="A36" s="86" t="s">
        <v>459</v>
      </c>
      <c r="B36" s="356">
        <v>16.536000000000001</v>
      </c>
      <c r="C36" s="356">
        <v>16.654</v>
      </c>
      <c r="D36" s="356">
        <v>17.53</v>
      </c>
      <c r="E36" s="356">
        <v>18.111999999999998</v>
      </c>
      <c r="F36" s="356">
        <v>18.001000000000001</v>
      </c>
      <c r="G36" s="356">
        <v>19.199000000000002</v>
      </c>
      <c r="H36" s="356">
        <v>19.789000000000001</v>
      </c>
      <c r="I36" s="356">
        <v>20.164999999999999</v>
      </c>
      <c r="J36" s="356">
        <v>19.827000000000002</v>
      </c>
    </row>
    <row r="37" spans="1:20">
      <c r="A37" s="86" t="s">
        <v>460</v>
      </c>
      <c r="B37" s="356">
        <v>67.091999999999999</v>
      </c>
      <c r="C37" s="356">
        <v>66.697000000000003</v>
      </c>
      <c r="D37" s="356">
        <v>67.421000000000006</v>
      </c>
      <c r="E37" s="356">
        <v>68.495000000000005</v>
      </c>
      <c r="F37" s="356">
        <v>68.093999999999994</v>
      </c>
      <c r="G37" s="356">
        <v>68.53</v>
      </c>
      <c r="H37" s="356">
        <v>71.244</v>
      </c>
      <c r="I37" s="356">
        <v>71.149000000000001</v>
      </c>
      <c r="J37" s="356">
        <v>78.682000000000002</v>
      </c>
    </row>
    <row r="38" spans="1:20">
      <c r="A38" s="86" t="s">
        <v>461</v>
      </c>
      <c r="B38" s="356">
        <v>265.149</v>
      </c>
      <c r="C38" s="356">
        <v>275.65499999999997</v>
      </c>
      <c r="D38" s="356">
        <v>288.45100000000002</v>
      </c>
      <c r="E38" s="356">
        <v>295.45999999999998</v>
      </c>
      <c r="F38" s="356">
        <v>298.75400000000002</v>
      </c>
      <c r="G38" s="356">
        <v>312.11599999999999</v>
      </c>
      <c r="H38" s="356">
        <v>315.983</v>
      </c>
      <c r="I38" s="356">
        <v>312.947</v>
      </c>
      <c r="J38" s="356">
        <v>320.04000000000002</v>
      </c>
    </row>
    <row r="39" spans="1:20">
      <c r="A39" s="86" t="s">
        <v>462</v>
      </c>
      <c r="B39" s="356">
        <v>35.673999999999999</v>
      </c>
      <c r="C39" s="356">
        <v>36.795000000000002</v>
      </c>
      <c r="D39" s="356">
        <v>43.331000000000003</v>
      </c>
      <c r="E39" s="356">
        <v>44.164999999999999</v>
      </c>
      <c r="F39" s="356">
        <v>46.518000000000001</v>
      </c>
      <c r="G39" s="356">
        <v>49.328000000000003</v>
      </c>
      <c r="H39" s="356">
        <v>45.101999999999997</v>
      </c>
      <c r="I39" s="356">
        <v>47.215000000000003</v>
      </c>
      <c r="J39" s="356">
        <v>48.973999999999997</v>
      </c>
    </row>
    <row r="40" spans="1:20">
      <c r="A40" s="86" t="s">
        <v>2</v>
      </c>
      <c r="B40" s="356">
        <f t="shared" ref="B40:F40" si="3">SUM(B33:B39)</f>
        <v>439.63799999999998</v>
      </c>
      <c r="C40" s="356">
        <f t="shared" si="3"/>
        <v>444.83</v>
      </c>
      <c r="D40" s="356">
        <f t="shared" si="3"/>
        <v>468.41600000000005</v>
      </c>
      <c r="E40" s="356">
        <f t="shared" si="3"/>
        <v>484.50200000000001</v>
      </c>
      <c r="F40" s="356">
        <f t="shared" si="3"/>
        <v>489.64400000000001</v>
      </c>
      <c r="G40" s="356">
        <f>SUM(G33:G39)</f>
        <v>508.03700000000003</v>
      </c>
      <c r="H40" s="356">
        <f>SUM(H33:H39)</f>
        <v>508.99599999999998</v>
      </c>
      <c r="I40" s="356">
        <f>SUM(I33:I39)</f>
        <v>509.53700000000003</v>
      </c>
      <c r="J40" s="356">
        <f>SUM(J33:J39)</f>
        <v>526.26200000000006</v>
      </c>
      <c r="L40" s="190"/>
      <c r="M40" s="190"/>
      <c r="N40" s="190"/>
      <c r="O40" s="190"/>
      <c r="P40" s="190"/>
      <c r="Q40" s="190"/>
      <c r="R40" s="190"/>
      <c r="S40" s="190"/>
      <c r="T40" s="190"/>
    </row>
    <row r="41" spans="1:20">
      <c r="A41" s="173" t="s">
        <v>127</v>
      </c>
      <c r="B41" s="26"/>
      <c r="C41" s="26"/>
      <c r="D41" s="26"/>
      <c r="E41" s="26"/>
      <c r="H41" s="26"/>
      <c r="I41" s="26"/>
      <c r="L41" s="190"/>
      <c r="M41" s="190"/>
      <c r="N41" s="190"/>
      <c r="O41" s="190"/>
      <c r="P41" s="190"/>
      <c r="Q41" s="190"/>
      <c r="R41" s="190"/>
      <c r="S41" s="190"/>
      <c r="T41" s="190"/>
    </row>
    <row r="42" spans="1:20">
      <c r="A42" s="86" t="s">
        <v>458</v>
      </c>
      <c r="B42" s="257">
        <v>7.4999999999999997E-2</v>
      </c>
      <c r="C42" s="257">
        <v>5.2999999999999999E-2</v>
      </c>
      <c r="D42" s="257">
        <v>6.9000000000000006E-2</v>
      </c>
      <c r="E42" s="257">
        <v>6.5000000000000002E-2</v>
      </c>
      <c r="F42" s="257">
        <v>8.1000000000000003E-2</v>
      </c>
      <c r="G42" s="257">
        <v>5.6000000000000001E-2</v>
      </c>
      <c r="H42" s="257">
        <v>0.05</v>
      </c>
      <c r="I42" s="257">
        <v>6.7000000000000004E-2</v>
      </c>
      <c r="J42" s="356">
        <v>6.0999999999999999E-2</v>
      </c>
      <c r="L42" s="190"/>
      <c r="M42" s="190"/>
      <c r="N42" s="190"/>
      <c r="O42" s="190"/>
      <c r="P42" s="190"/>
      <c r="Q42" s="190"/>
      <c r="R42" s="190"/>
      <c r="S42" s="190"/>
      <c r="T42" s="190"/>
    </row>
    <row r="43" spans="1:20">
      <c r="A43" s="86" t="s">
        <v>407</v>
      </c>
      <c r="B43" s="257">
        <v>1.738</v>
      </c>
      <c r="C43" s="257">
        <v>0.88100000000000001</v>
      </c>
      <c r="D43" s="257">
        <v>1.399</v>
      </c>
      <c r="E43" s="257">
        <v>1.964</v>
      </c>
      <c r="F43" s="257">
        <v>1.8839999999999999</v>
      </c>
      <c r="G43" s="257">
        <v>1.68</v>
      </c>
      <c r="H43" s="257">
        <v>1.508</v>
      </c>
      <c r="I43" s="257">
        <v>1.2190000000000001</v>
      </c>
      <c r="J43" s="356">
        <v>1.4350000000000001</v>
      </c>
      <c r="L43" s="190"/>
      <c r="M43" s="190"/>
      <c r="N43" s="190"/>
      <c r="O43" s="190"/>
      <c r="P43" s="190"/>
      <c r="Q43" s="190"/>
      <c r="R43" s="190"/>
      <c r="S43" s="190"/>
      <c r="T43" s="190"/>
    </row>
    <row r="44" spans="1:20">
      <c r="A44" s="86" t="s">
        <v>410</v>
      </c>
      <c r="B44" s="257">
        <v>0.28899999999999998</v>
      </c>
      <c r="C44" s="257">
        <v>0.251</v>
      </c>
      <c r="D44" s="257">
        <v>0.255</v>
      </c>
      <c r="E44" s="257">
        <v>0.23</v>
      </c>
      <c r="F44" s="257">
        <v>0.26500000000000001</v>
      </c>
      <c r="G44" s="257">
        <v>0.183</v>
      </c>
      <c r="H44" s="257">
        <v>0.17499999999999999</v>
      </c>
      <c r="I44" s="257">
        <v>0.29299999999999998</v>
      </c>
      <c r="J44" s="356">
        <v>0.28499999999999998</v>
      </c>
      <c r="L44" s="190"/>
      <c r="M44" s="190"/>
      <c r="N44" s="190"/>
      <c r="O44" s="190"/>
      <c r="P44" s="190"/>
      <c r="Q44" s="190"/>
      <c r="R44" s="190"/>
      <c r="S44" s="190"/>
      <c r="T44" s="190"/>
    </row>
    <row r="45" spans="1:20">
      <c r="A45" s="86" t="s">
        <v>459</v>
      </c>
      <c r="B45" s="257">
        <v>4.2290000000000001</v>
      </c>
      <c r="C45" s="257">
        <v>3.355</v>
      </c>
      <c r="D45" s="257">
        <v>4.2850000000000001</v>
      </c>
      <c r="E45" s="257">
        <v>5.1639999999999997</v>
      </c>
      <c r="F45" s="257">
        <v>5.07</v>
      </c>
      <c r="G45" s="257">
        <v>4.6909999999999998</v>
      </c>
      <c r="H45" s="257">
        <v>4.9080000000000004</v>
      </c>
      <c r="I45" s="257">
        <v>4.8769999999999998</v>
      </c>
      <c r="J45" s="356">
        <v>4.484</v>
      </c>
      <c r="L45" s="190"/>
      <c r="M45" s="190"/>
      <c r="N45" s="190"/>
      <c r="O45" s="190"/>
      <c r="P45" s="190"/>
      <c r="Q45" s="190"/>
      <c r="R45" s="190"/>
      <c r="S45" s="190"/>
      <c r="T45" s="190"/>
    </row>
    <row r="46" spans="1:20">
      <c r="A46" s="86" t="s">
        <v>460</v>
      </c>
      <c r="B46" s="257">
        <v>7.3230000000000004</v>
      </c>
      <c r="C46" s="257">
        <v>6.2519999999999998</v>
      </c>
      <c r="D46" s="257">
        <v>5.2050000000000001</v>
      </c>
      <c r="E46" s="257">
        <v>8.0459999999999994</v>
      </c>
      <c r="F46" s="257">
        <v>9.7989999999999995</v>
      </c>
      <c r="G46" s="257">
        <v>7.5960000000000001</v>
      </c>
      <c r="H46" s="257">
        <v>6.327</v>
      </c>
      <c r="I46" s="257">
        <v>4.2110000000000003</v>
      </c>
      <c r="J46" s="356">
        <v>6.6719999999999997</v>
      </c>
      <c r="L46" s="190"/>
      <c r="M46" s="190"/>
      <c r="N46" s="190"/>
      <c r="O46" s="190"/>
      <c r="P46" s="190"/>
      <c r="Q46" s="190"/>
      <c r="R46" s="190"/>
      <c r="S46" s="190"/>
      <c r="T46" s="190"/>
    </row>
    <row r="47" spans="1:20">
      <c r="A47" s="86" t="s">
        <v>461</v>
      </c>
      <c r="B47" s="257">
        <v>79.459999999999994</v>
      </c>
      <c r="C47" s="257">
        <v>79.474999999999994</v>
      </c>
      <c r="D47" s="257">
        <v>95.421999999999997</v>
      </c>
      <c r="E47" s="257">
        <v>99.62</v>
      </c>
      <c r="F47" s="257">
        <v>114.158</v>
      </c>
      <c r="G47" s="257">
        <v>94.97</v>
      </c>
      <c r="H47" s="257">
        <v>100.032</v>
      </c>
      <c r="I47" s="257">
        <v>99.001999999999995</v>
      </c>
      <c r="J47" s="356">
        <v>100.01</v>
      </c>
      <c r="L47" s="190"/>
      <c r="M47" s="190"/>
      <c r="N47" s="190"/>
      <c r="O47" s="190"/>
      <c r="P47" s="190"/>
      <c r="Q47" s="190"/>
      <c r="R47" s="190"/>
      <c r="S47" s="190"/>
      <c r="T47" s="190"/>
    </row>
    <row r="48" spans="1:20">
      <c r="A48" s="86" t="s">
        <v>462</v>
      </c>
      <c r="B48" s="257">
        <v>2.968</v>
      </c>
      <c r="C48" s="257">
        <v>2.835</v>
      </c>
      <c r="D48" s="257">
        <v>3.5270000000000001</v>
      </c>
      <c r="E48" s="257">
        <v>2.875</v>
      </c>
      <c r="F48" s="257">
        <v>2.6880000000000002</v>
      </c>
      <c r="G48" s="257">
        <v>3.0329999999999999</v>
      </c>
      <c r="H48" s="257">
        <v>2.6269999999999998</v>
      </c>
      <c r="I48" s="257">
        <v>8.0269999999999992</v>
      </c>
      <c r="J48" s="356">
        <v>4.367</v>
      </c>
      <c r="L48" s="190"/>
      <c r="M48" s="190"/>
      <c r="N48" s="190"/>
      <c r="O48" s="190"/>
      <c r="P48" s="190"/>
      <c r="Q48" s="190"/>
      <c r="R48" s="190"/>
      <c r="S48" s="190"/>
      <c r="T48" s="190"/>
    </row>
    <row r="49" spans="1:20">
      <c r="A49" s="88" t="s">
        <v>2</v>
      </c>
      <c r="B49" s="258">
        <f t="shared" ref="B49:F49" si="4">SUM(B42:B48)</f>
        <v>96.081999999999994</v>
      </c>
      <c r="C49" s="258">
        <f t="shared" si="4"/>
        <v>93.10199999999999</v>
      </c>
      <c r="D49" s="258">
        <f t="shared" si="4"/>
        <v>110.16199999999999</v>
      </c>
      <c r="E49" s="258">
        <f t="shared" si="4"/>
        <v>117.964</v>
      </c>
      <c r="F49" s="258">
        <f t="shared" si="4"/>
        <v>133.94499999999999</v>
      </c>
      <c r="G49" s="258">
        <f>SUM(G42:G48)</f>
        <v>112.209</v>
      </c>
      <c r="H49" s="258">
        <f>SUM(H42:H48)</f>
        <v>115.627</v>
      </c>
      <c r="I49" s="258">
        <f>SUM(I42:I48)</f>
        <v>117.696</v>
      </c>
      <c r="J49" s="403">
        <f>SUM(J42:J48)</f>
        <v>117.31400000000001</v>
      </c>
      <c r="L49" s="190"/>
      <c r="M49" s="190"/>
      <c r="N49" s="190"/>
      <c r="O49" s="190"/>
      <c r="P49" s="190"/>
      <c r="Q49" s="190"/>
      <c r="R49" s="190"/>
      <c r="S49" s="190"/>
      <c r="T49" s="190"/>
    </row>
    <row r="50" spans="1:20" ht="13.15" customHeight="1">
      <c r="A50" s="52" t="s">
        <v>514</v>
      </c>
    </row>
    <row r="51" spans="1:20" ht="13.15" customHeight="1">
      <c r="A51" s="52" t="s">
        <v>507</v>
      </c>
      <c r="L51" s="190"/>
      <c r="M51" s="190"/>
      <c r="N51" s="190"/>
      <c r="O51" s="190"/>
      <c r="P51" s="190"/>
      <c r="Q51" s="190"/>
      <c r="R51" s="190"/>
      <c r="S51" s="190"/>
      <c r="T51" s="190"/>
    </row>
    <row r="52" spans="1:20" ht="10.15" customHeight="1">
      <c r="E52" s="78"/>
      <c r="H52" s="194"/>
      <c r="I52" s="225" t="s">
        <v>592</v>
      </c>
      <c r="L52" s="190"/>
      <c r="M52" s="190"/>
      <c r="N52" s="190"/>
      <c r="O52" s="190"/>
      <c r="P52" s="190"/>
      <c r="Q52" s="190"/>
      <c r="R52" s="190"/>
      <c r="S52" s="190"/>
      <c r="T52" s="190"/>
    </row>
    <row r="53" spans="1:20" ht="10.15" customHeight="1">
      <c r="E53" s="78"/>
      <c r="F53" s="78"/>
      <c r="G53" s="78"/>
      <c r="H53" s="78"/>
      <c r="L53" s="190"/>
      <c r="M53" s="190"/>
      <c r="N53" s="190"/>
      <c r="O53" s="190"/>
      <c r="P53" s="190"/>
      <c r="Q53" s="190"/>
      <c r="R53" s="190"/>
      <c r="S53" s="190"/>
      <c r="T53" s="190"/>
    </row>
    <row r="54" spans="1:20">
      <c r="L54" s="190"/>
      <c r="M54" s="190"/>
      <c r="N54" s="190"/>
      <c r="O54" s="190"/>
      <c r="P54" s="190"/>
      <c r="Q54" s="190"/>
      <c r="R54" s="190"/>
      <c r="S54" s="190"/>
      <c r="T54" s="190"/>
    </row>
    <row r="55" spans="1:20">
      <c r="L55" s="190"/>
      <c r="M55" s="190"/>
      <c r="N55" s="190"/>
      <c r="O55" s="190"/>
      <c r="P55" s="190"/>
      <c r="Q55" s="190"/>
      <c r="R55" s="190"/>
      <c r="S55" s="190"/>
      <c r="T55" s="190"/>
    </row>
    <row r="56" spans="1:20">
      <c r="L56" s="190"/>
      <c r="M56" s="190"/>
      <c r="N56" s="190"/>
      <c r="O56" s="190"/>
      <c r="P56" s="190"/>
      <c r="Q56" s="190"/>
      <c r="R56" s="190"/>
      <c r="S56" s="190"/>
      <c r="T56" s="190"/>
    </row>
    <row r="57" spans="1:20">
      <c r="L57" s="190"/>
      <c r="M57" s="190"/>
      <c r="N57" s="190"/>
      <c r="O57" s="190"/>
      <c r="P57" s="190"/>
      <c r="Q57" s="190"/>
      <c r="R57" s="190"/>
      <c r="S57" s="190"/>
      <c r="T57" s="190"/>
    </row>
    <row r="58" spans="1:20">
      <c r="L58" s="190"/>
      <c r="M58" s="190"/>
      <c r="N58" s="190"/>
      <c r="O58" s="190"/>
      <c r="P58" s="190"/>
      <c r="Q58" s="190"/>
      <c r="R58" s="190"/>
      <c r="S58" s="190"/>
      <c r="T58" s="190"/>
    </row>
  </sheetData>
  <phoneticPr fontId="0" type="noConversion"/>
  <pageMargins left="0.75" right="0.75" top="1" bottom="1" header="0.5" footer="0.5"/>
  <pageSetup scale="87" firstPageNumber="47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T70"/>
  <sheetViews>
    <sheetView zoomScaleNormal="100" zoomScaleSheetLayoutView="100" workbookViewId="0">
      <pane ySplit="4" topLeftCell="A5" activePane="bottomLeft" state="frozen"/>
      <selection pane="bottomLeft"/>
    </sheetView>
  </sheetViews>
  <sheetFormatPr defaultRowHeight="11.25"/>
  <cols>
    <col min="1" max="1" width="57.6640625" customWidth="1"/>
    <col min="2" max="6" width="12.83203125" customWidth="1"/>
    <col min="7" max="7" width="12.83203125" style="26" customWidth="1"/>
    <col min="8" max="8" width="12.83203125" customWidth="1"/>
    <col min="9" max="9" width="11.33203125" customWidth="1"/>
    <col min="10" max="10" width="11.1640625" bestFit="1" customWidth="1"/>
  </cols>
  <sheetData>
    <row r="1" spans="1:10">
      <c r="A1" s="249" t="s">
        <v>637</v>
      </c>
      <c r="B1" s="1"/>
    </row>
    <row r="2" spans="1:10">
      <c r="B2" s="17"/>
      <c r="C2" s="3"/>
      <c r="D2" s="3"/>
      <c r="E2" s="3"/>
      <c r="F2" s="3"/>
      <c r="G2" s="3"/>
      <c r="H2" s="3"/>
      <c r="I2" s="3"/>
      <c r="J2" s="3"/>
    </row>
    <row r="3" spans="1:10">
      <c r="A3" s="1" t="s">
        <v>203</v>
      </c>
      <c r="B3" s="4" t="s">
        <v>261</v>
      </c>
      <c r="C3" s="389" t="s">
        <v>260</v>
      </c>
      <c r="D3" s="389" t="s">
        <v>271</v>
      </c>
      <c r="E3" s="389" t="s">
        <v>270</v>
      </c>
      <c r="F3" s="389" t="s">
        <v>295</v>
      </c>
      <c r="G3" s="389" t="s">
        <v>334</v>
      </c>
      <c r="H3" s="390" t="s">
        <v>350</v>
      </c>
      <c r="I3" s="390" t="s">
        <v>615</v>
      </c>
      <c r="J3" s="390" t="s">
        <v>614</v>
      </c>
    </row>
    <row r="4" spans="1:10">
      <c r="B4" s="205" t="s">
        <v>159</v>
      </c>
      <c r="C4" s="2"/>
      <c r="D4" s="2"/>
      <c r="E4" s="2"/>
      <c r="F4" s="50"/>
      <c r="G4" s="207"/>
      <c r="H4" s="50"/>
      <c r="I4" s="50"/>
      <c r="J4" s="2"/>
    </row>
    <row r="5" spans="1:10">
      <c r="A5" s="173" t="s">
        <v>40</v>
      </c>
    </row>
    <row r="6" spans="1:10">
      <c r="A6" s="86" t="s">
        <v>463</v>
      </c>
      <c r="B6" s="257">
        <v>3.306</v>
      </c>
      <c r="C6" s="257">
        <v>3.202</v>
      </c>
      <c r="D6" s="257">
        <v>3.367</v>
      </c>
      <c r="E6" s="257">
        <v>3.6909999999999998</v>
      </c>
      <c r="F6" s="257">
        <v>3.7829999999999999</v>
      </c>
      <c r="G6" s="257">
        <v>3.6160000000000001</v>
      </c>
      <c r="H6" s="257">
        <v>3.5859999999999999</v>
      </c>
      <c r="I6" s="257">
        <v>3.7229999999999999</v>
      </c>
      <c r="J6" s="257">
        <v>3.7</v>
      </c>
    </row>
    <row r="7" spans="1:10">
      <c r="A7" s="86" t="s">
        <v>464</v>
      </c>
      <c r="B7" s="257">
        <v>5.0620000000000003</v>
      </c>
      <c r="C7" s="257">
        <v>4.2469999999999999</v>
      </c>
      <c r="D7" s="257">
        <v>4.42</v>
      </c>
      <c r="E7" s="257">
        <v>5.1180000000000003</v>
      </c>
      <c r="F7" s="257">
        <v>4.9400000000000004</v>
      </c>
      <c r="G7" s="257">
        <v>5.0890000000000004</v>
      </c>
      <c r="H7" s="257">
        <v>4.806</v>
      </c>
      <c r="I7" s="257">
        <v>4.9790000000000001</v>
      </c>
      <c r="J7" s="257">
        <v>4.95</v>
      </c>
    </row>
    <row r="8" spans="1:10">
      <c r="A8" s="86" t="s">
        <v>465</v>
      </c>
      <c r="B8" s="257">
        <v>2.4060000000000001</v>
      </c>
      <c r="C8" s="257">
        <v>3.1190000000000002</v>
      </c>
      <c r="D8" s="257">
        <v>2.4940000000000002</v>
      </c>
      <c r="E8" s="257">
        <v>3.2850000000000001</v>
      </c>
      <c r="F8" s="257">
        <v>3.16</v>
      </c>
      <c r="G8" s="257">
        <v>3.153</v>
      </c>
      <c r="H8" s="257">
        <v>2.927</v>
      </c>
      <c r="I8" s="257">
        <v>3.274</v>
      </c>
      <c r="J8" s="257">
        <v>2.8239999999999998</v>
      </c>
    </row>
    <row r="9" spans="1:10">
      <c r="A9" s="86" t="s">
        <v>466</v>
      </c>
      <c r="B9" s="257">
        <v>61.997999999999998</v>
      </c>
      <c r="C9" s="257">
        <v>58.851999999999997</v>
      </c>
      <c r="D9" s="257">
        <v>65.173000000000002</v>
      </c>
      <c r="E9" s="257">
        <v>70.558999999999997</v>
      </c>
      <c r="F9" s="257">
        <v>74.171000000000006</v>
      </c>
      <c r="G9" s="257">
        <v>73.043000000000006</v>
      </c>
      <c r="H9" s="257">
        <v>73.081000000000003</v>
      </c>
      <c r="I9" s="257">
        <v>73.825999999999993</v>
      </c>
      <c r="J9" s="257">
        <v>77.558999999999997</v>
      </c>
    </row>
    <row r="10" spans="1:10">
      <c r="A10" s="86" t="s">
        <v>467</v>
      </c>
      <c r="B10" s="257">
        <v>7.31</v>
      </c>
      <c r="C10" s="257">
        <v>7.008</v>
      </c>
      <c r="D10" s="257">
        <v>7.6130000000000004</v>
      </c>
      <c r="E10" s="257">
        <v>8.2449999999999992</v>
      </c>
      <c r="F10" s="257">
        <v>8.5830000000000002</v>
      </c>
      <c r="G10" s="257">
        <v>8.5259999999999998</v>
      </c>
      <c r="H10" s="257">
        <v>8.4420000000000002</v>
      </c>
      <c r="I10" s="257">
        <v>8.4789999999999992</v>
      </c>
      <c r="J10" s="257">
        <v>8.8610000000000007</v>
      </c>
    </row>
    <row r="11" spans="1:10">
      <c r="A11" s="86" t="s">
        <v>468</v>
      </c>
      <c r="B11" s="257">
        <v>5.36</v>
      </c>
      <c r="C11" s="257">
        <v>5.3920000000000003</v>
      </c>
      <c r="D11" s="257">
        <v>5.6829999999999998</v>
      </c>
      <c r="E11" s="257">
        <v>5.8739999999999997</v>
      </c>
      <c r="F11" s="257">
        <v>5.8239999999999998</v>
      </c>
      <c r="G11" s="257">
        <v>6.2110000000000003</v>
      </c>
      <c r="H11" s="257">
        <v>6.407</v>
      </c>
      <c r="I11" s="257">
        <v>6.5389999999999997</v>
      </c>
      <c r="J11" s="257">
        <v>6.431</v>
      </c>
    </row>
    <row r="12" spans="1:10">
      <c r="A12" s="86" t="s">
        <v>469</v>
      </c>
      <c r="B12" s="257">
        <v>27.423999999999999</v>
      </c>
      <c r="C12" s="257">
        <v>27.347999999999999</v>
      </c>
      <c r="D12" s="257">
        <v>27.577000000000002</v>
      </c>
      <c r="E12" s="257">
        <v>28.132999999999999</v>
      </c>
      <c r="F12" s="257">
        <v>27.795000000000002</v>
      </c>
      <c r="G12" s="257">
        <v>28.126000000000001</v>
      </c>
      <c r="H12" s="257">
        <v>29.109000000000002</v>
      </c>
      <c r="I12" s="257">
        <v>28.829000000000001</v>
      </c>
      <c r="J12" s="257">
        <v>32.11</v>
      </c>
    </row>
    <row r="13" spans="1:10">
      <c r="A13" s="86" t="s">
        <v>470</v>
      </c>
      <c r="B13" s="257">
        <v>49.338000000000001</v>
      </c>
      <c r="C13" s="257">
        <v>51.640999999999998</v>
      </c>
      <c r="D13" s="257">
        <v>53.969000000000001</v>
      </c>
      <c r="E13" s="257">
        <v>55.273000000000003</v>
      </c>
      <c r="F13" s="257">
        <v>56.066000000000003</v>
      </c>
      <c r="G13" s="257">
        <v>58.488999999999997</v>
      </c>
      <c r="H13" s="257">
        <v>59.33</v>
      </c>
      <c r="I13" s="257">
        <v>59.039000000000001</v>
      </c>
      <c r="J13" s="257">
        <v>60.209000000000003</v>
      </c>
    </row>
    <row r="14" spans="1:10">
      <c r="A14" s="86" t="s">
        <v>471</v>
      </c>
      <c r="B14" s="257">
        <v>14.974</v>
      </c>
      <c r="C14" s="257">
        <v>15.468999999999999</v>
      </c>
      <c r="D14" s="257">
        <v>18.3</v>
      </c>
      <c r="E14" s="257">
        <v>18.577999999999999</v>
      </c>
      <c r="F14" s="257">
        <v>19.606000000000002</v>
      </c>
      <c r="G14" s="257">
        <v>21.125</v>
      </c>
      <c r="H14" s="257">
        <v>19.032</v>
      </c>
      <c r="I14" s="257">
        <v>19.841000000000001</v>
      </c>
      <c r="J14" s="257">
        <v>20.577999999999999</v>
      </c>
    </row>
    <row r="15" spans="1:10">
      <c r="A15" s="86" t="s">
        <v>2</v>
      </c>
      <c r="B15" s="257">
        <f t="shared" ref="B15:F15" si="0">SUM(B6:B14)</f>
        <v>177.17799999999997</v>
      </c>
      <c r="C15" s="257">
        <f t="shared" si="0"/>
        <v>176.27799999999999</v>
      </c>
      <c r="D15" s="257">
        <f t="shared" si="0"/>
        <v>188.596</v>
      </c>
      <c r="E15" s="257">
        <f t="shared" si="0"/>
        <v>198.756</v>
      </c>
      <c r="F15" s="257">
        <f t="shared" si="0"/>
        <v>203.928</v>
      </c>
      <c r="G15" s="257">
        <f>SUM(G6:G14)</f>
        <v>207.37800000000001</v>
      </c>
      <c r="H15" s="257">
        <f>SUM(H6:H14)</f>
        <v>206.72</v>
      </c>
      <c r="I15" s="257">
        <f>SUM(I6:I14)</f>
        <v>208.529</v>
      </c>
      <c r="J15" s="257">
        <f>SUM(J6:J14)</f>
        <v>217.22200000000001</v>
      </c>
    </row>
    <row r="16" spans="1:10">
      <c r="A16" s="173" t="s">
        <v>49</v>
      </c>
      <c r="B16" s="26"/>
      <c r="C16" s="26"/>
      <c r="D16" s="26"/>
      <c r="E16" s="26"/>
      <c r="F16" s="26"/>
      <c r="H16" s="26"/>
      <c r="I16" s="26"/>
    </row>
    <row r="17" spans="1:20">
      <c r="A17" s="86" t="s">
        <v>463</v>
      </c>
      <c r="B17" s="257">
        <v>1.8220000000000001</v>
      </c>
      <c r="C17" s="257">
        <v>1.605</v>
      </c>
      <c r="D17" s="257">
        <v>1.54</v>
      </c>
      <c r="E17" s="257">
        <v>1.752</v>
      </c>
      <c r="F17" s="257">
        <v>1.855</v>
      </c>
      <c r="G17" s="257">
        <v>1.835</v>
      </c>
      <c r="H17" s="257">
        <v>1.93</v>
      </c>
      <c r="I17" s="257">
        <v>2.1640000000000001</v>
      </c>
      <c r="J17" s="257">
        <v>2.044</v>
      </c>
      <c r="L17" s="190"/>
      <c r="M17" s="190"/>
      <c r="N17" s="190"/>
      <c r="O17" s="190"/>
      <c r="P17" s="190"/>
      <c r="Q17" s="190"/>
      <c r="R17" s="190"/>
      <c r="S17" s="190"/>
      <c r="T17" s="190"/>
    </row>
    <row r="18" spans="1:20">
      <c r="A18" s="86" t="s">
        <v>464</v>
      </c>
      <c r="B18" s="257">
        <v>7.5999999999999998E-2</v>
      </c>
      <c r="C18" s="257">
        <v>6.0999999999999999E-2</v>
      </c>
      <c r="D18" s="257">
        <v>5.3999999999999999E-2</v>
      </c>
      <c r="E18" s="257">
        <v>9.0999999999999998E-2</v>
      </c>
      <c r="F18" s="257">
        <v>9.5000000000000001E-2</v>
      </c>
      <c r="G18" s="257">
        <v>9.7000000000000003E-2</v>
      </c>
      <c r="H18" s="257">
        <v>9.8000000000000004E-2</v>
      </c>
      <c r="I18" s="257">
        <v>0.108</v>
      </c>
      <c r="J18" s="257">
        <v>9.4E-2</v>
      </c>
      <c r="L18" s="190"/>
      <c r="M18" s="190"/>
      <c r="N18" s="190"/>
      <c r="O18" s="190"/>
      <c r="P18" s="190"/>
      <c r="Q18" s="190"/>
      <c r="R18" s="190"/>
      <c r="S18" s="190"/>
      <c r="T18" s="190"/>
    </row>
    <row r="19" spans="1:20">
      <c r="A19" s="86" t="s">
        <v>465</v>
      </c>
      <c r="B19" s="257">
        <v>0.90200000000000002</v>
      </c>
      <c r="C19" s="257">
        <v>0.90100000000000002</v>
      </c>
      <c r="D19" s="257">
        <v>0.93200000000000005</v>
      </c>
      <c r="E19" s="257">
        <v>1.093</v>
      </c>
      <c r="F19" s="257">
        <v>1.1040000000000001</v>
      </c>
      <c r="G19" s="257">
        <v>1.3140000000000001</v>
      </c>
      <c r="H19" s="257">
        <v>1.214</v>
      </c>
      <c r="I19" s="257">
        <v>1.29</v>
      </c>
      <c r="J19" s="257">
        <v>1.129</v>
      </c>
      <c r="L19" s="190"/>
      <c r="M19" s="190"/>
      <c r="N19" s="190"/>
      <c r="O19" s="190"/>
      <c r="P19" s="190"/>
      <c r="Q19" s="190"/>
      <c r="R19" s="190"/>
      <c r="S19" s="190"/>
      <c r="T19" s="190"/>
    </row>
    <row r="20" spans="1:20">
      <c r="A20" s="86" t="s">
        <v>466</v>
      </c>
      <c r="B20" s="257">
        <v>44.484000000000002</v>
      </c>
      <c r="C20" s="257">
        <v>42.38</v>
      </c>
      <c r="D20" s="257">
        <v>46.384</v>
      </c>
      <c r="E20" s="257">
        <v>46.792999999999999</v>
      </c>
      <c r="F20" s="257">
        <v>50.540999999999997</v>
      </c>
      <c r="G20" s="257">
        <v>47.476999999999997</v>
      </c>
      <c r="H20" s="257">
        <v>47.526000000000003</v>
      </c>
      <c r="I20" s="257">
        <v>42.738999999999997</v>
      </c>
      <c r="J20" s="257">
        <v>49.863</v>
      </c>
      <c r="L20" s="190"/>
      <c r="M20" s="190"/>
      <c r="N20" s="190"/>
      <c r="O20" s="190"/>
      <c r="P20" s="190"/>
      <c r="Q20" s="190"/>
      <c r="R20" s="190"/>
      <c r="S20" s="190"/>
      <c r="T20" s="190"/>
    </row>
    <row r="21" spans="1:20">
      <c r="A21" s="86" t="s">
        <v>467</v>
      </c>
      <c r="B21" s="257">
        <v>2.8079999999999998</v>
      </c>
      <c r="C21" s="257">
        <v>2.6389999999999998</v>
      </c>
      <c r="D21" s="257">
        <v>2.7050000000000001</v>
      </c>
      <c r="E21" s="257">
        <v>2.8820000000000001</v>
      </c>
      <c r="F21" s="257">
        <v>3.0059999999999998</v>
      </c>
      <c r="G21" s="257">
        <v>3.0230000000000001</v>
      </c>
      <c r="H21" s="257">
        <v>2.9319999999999999</v>
      </c>
      <c r="I21" s="257">
        <v>2.6669999999999998</v>
      </c>
      <c r="J21" s="257">
        <v>2.923</v>
      </c>
      <c r="L21" s="190"/>
      <c r="M21" s="190"/>
      <c r="N21" s="190"/>
      <c r="O21" s="190"/>
      <c r="P21" s="190"/>
      <c r="Q21" s="190"/>
      <c r="R21" s="190"/>
      <c r="S21" s="190"/>
      <c r="T21" s="190"/>
    </row>
    <row r="22" spans="1:20">
      <c r="A22" s="86" t="s">
        <v>468</v>
      </c>
      <c r="B22" s="257">
        <v>0.249</v>
      </c>
      <c r="C22" s="257">
        <v>0.249</v>
      </c>
      <c r="D22" s="257">
        <v>0.23100000000000001</v>
      </c>
      <c r="E22" s="257">
        <v>0.245</v>
      </c>
      <c r="F22" s="257">
        <v>0.29799999999999999</v>
      </c>
      <c r="G22" s="257">
        <v>0.313</v>
      </c>
      <c r="H22" s="257">
        <v>0.44400000000000001</v>
      </c>
      <c r="I22" s="257">
        <v>0.29299999999999998</v>
      </c>
      <c r="J22" s="257">
        <v>0.41899999999999998</v>
      </c>
      <c r="L22" s="190"/>
      <c r="M22" s="190"/>
      <c r="N22" s="190"/>
      <c r="O22" s="190"/>
      <c r="P22" s="190"/>
      <c r="Q22" s="190"/>
      <c r="R22" s="190"/>
      <c r="S22" s="190"/>
      <c r="T22" s="190"/>
    </row>
    <row r="23" spans="1:20">
      <c r="A23" s="86" t="s">
        <v>469</v>
      </c>
      <c r="B23" s="257">
        <v>3.948</v>
      </c>
      <c r="C23" s="257">
        <v>4.1230000000000002</v>
      </c>
      <c r="D23" s="257">
        <v>4.548</v>
      </c>
      <c r="E23" s="257">
        <v>4.8280000000000003</v>
      </c>
      <c r="F23" s="257">
        <v>5.1769999999999996</v>
      </c>
      <c r="G23" s="257">
        <v>5.798</v>
      </c>
      <c r="H23" s="257">
        <v>6.319</v>
      </c>
      <c r="I23" s="257">
        <v>5.1479999999999997</v>
      </c>
      <c r="J23" s="257">
        <v>6.5549999999999997</v>
      </c>
      <c r="L23" s="190"/>
      <c r="M23" s="190"/>
      <c r="N23" s="190"/>
      <c r="O23" s="190"/>
      <c r="P23" s="190"/>
      <c r="Q23" s="190"/>
      <c r="R23" s="190"/>
      <c r="S23" s="190"/>
      <c r="T23" s="190"/>
    </row>
    <row r="24" spans="1:20">
      <c r="A24" s="86" t="s">
        <v>470</v>
      </c>
      <c r="B24" s="257">
        <v>10.153</v>
      </c>
      <c r="C24" s="257">
        <v>11.734</v>
      </c>
      <c r="D24" s="257">
        <v>11.244</v>
      </c>
      <c r="E24" s="257">
        <v>9.9909999999999997</v>
      </c>
      <c r="F24" s="257">
        <v>10.978</v>
      </c>
      <c r="G24" s="257">
        <v>11.481999999999999</v>
      </c>
      <c r="H24" s="257">
        <v>11.705</v>
      </c>
      <c r="I24" s="257">
        <v>11.459</v>
      </c>
      <c r="J24" s="257">
        <v>10.943</v>
      </c>
      <c r="L24" s="190"/>
      <c r="M24" s="190"/>
      <c r="N24" s="190"/>
      <c r="O24" s="190"/>
      <c r="P24" s="190"/>
      <c r="Q24" s="190"/>
      <c r="R24" s="190"/>
      <c r="S24" s="190"/>
      <c r="T24" s="190"/>
    </row>
    <row r="25" spans="1:20">
      <c r="A25" s="86" t="s">
        <v>471</v>
      </c>
      <c r="B25" s="257">
        <v>6.3330000000000002</v>
      </c>
      <c r="C25" s="257">
        <v>7.327</v>
      </c>
      <c r="D25" s="257">
        <v>9.3119999999999994</v>
      </c>
      <c r="E25" s="257">
        <v>9.1509999999999998</v>
      </c>
      <c r="F25" s="257">
        <v>9.6470000000000002</v>
      </c>
      <c r="G25" s="257">
        <v>11.715999999999999</v>
      </c>
      <c r="H25" s="257">
        <v>9.6760000000000002</v>
      </c>
      <c r="I25" s="257">
        <v>9.5280000000000005</v>
      </c>
      <c r="J25" s="257">
        <v>10.074999999999999</v>
      </c>
      <c r="L25" s="190"/>
      <c r="M25" s="190"/>
      <c r="N25" s="190"/>
      <c r="O25" s="190"/>
      <c r="P25" s="190"/>
      <c r="Q25" s="190"/>
      <c r="R25" s="190"/>
      <c r="S25" s="190"/>
      <c r="T25" s="190"/>
    </row>
    <row r="26" spans="1:20">
      <c r="A26" s="86" t="s">
        <v>2</v>
      </c>
      <c r="B26" s="257">
        <f t="shared" ref="B26:F26" si="1">SUM(B17:B25)</f>
        <v>70.775000000000006</v>
      </c>
      <c r="C26" s="257">
        <f t="shared" si="1"/>
        <v>71.019000000000005</v>
      </c>
      <c r="D26" s="257">
        <f t="shared" si="1"/>
        <v>76.95</v>
      </c>
      <c r="E26" s="257">
        <f t="shared" si="1"/>
        <v>76.825999999999993</v>
      </c>
      <c r="F26" s="257">
        <f t="shared" si="1"/>
        <v>82.701000000000008</v>
      </c>
      <c r="G26" s="257">
        <f>SUM(G17:G25)</f>
        <v>83.054999999999993</v>
      </c>
      <c r="H26" s="257">
        <f>SUM(H17:H25)</f>
        <v>81.844000000000008</v>
      </c>
      <c r="I26" s="257">
        <f>SUM(I17:I25)</f>
        <v>75.396000000000001</v>
      </c>
      <c r="J26" s="257">
        <f>SUM(J17:J25)</f>
        <v>84.045000000000002</v>
      </c>
      <c r="L26" s="190"/>
      <c r="M26" s="190"/>
      <c r="N26" s="190"/>
      <c r="O26" s="190"/>
      <c r="P26" s="190"/>
      <c r="Q26" s="190"/>
      <c r="R26" s="190"/>
      <c r="S26" s="190"/>
      <c r="T26" s="190"/>
    </row>
    <row r="27" spans="1:20">
      <c r="A27" s="173" t="s">
        <v>50</v>
      </c>
      <c r="B27" s="26"/>
      <c r="C27" s="26"/>
      <c r="D27" s="26"/>
      <c r="E27" s="26"/>
      <c r="F27" s="26"/>
      <c r="H27" s="26"/>
      <c r="I27" s="26"/>
      <c r="L27" s="190"/>
      <c r="M27" s="190"/>
      <c r="N27" s="190"/>
      <c r="O27" s="190"/>
      <c r="P27" s="190"/>
      <c r="Q27" s="190"/>
      <c r="R27" s="190"/>
      <c r="S27" s="190"/>
      <c r="T27" s="190"/>
    </row>
    <row r="28" spans="1:20">
      <c r="A28" s="86" t="s">
        <v>463</v>
      </c>
      <c r="B28" s="257">
        <v>1.9410000000000001</v>
      </c>
      <c r="C28" s="257">
        <v>1.579</v>
      </c>
      <c r="D28" s="257">
        <v>1.786</v>
      </c>
      <c r="E28" s="257">
        <v>1.762</v>
      </c>
      <c r="F28" s="257">
        <v>2.1360000000000001</v>
      </c>
      <c r="G28" s="257">
        <v>1.881</v>
      </c>
      <c r="H28" s="257">
        <v>1.7090000000000001</v>
      </c>
      <c r="I28" s="257">
        <v>2.1890000000000001</v>
      </c>
      <c r="J28" s="257">
        <v>2.0139999999999998</v>
      </c>
      <c r="L28" s="190"/>
      <c r="M28" s="190"/>
      <c r="N28" s="190"/>
      <c r="O28" s="190"/>
      <c r="P28" s="190"/>
      <c r="Q28" s="190"/>
      <c r="R28" s="190"/>
      <c r="S28" s="190"/>
      <c r="T28" s="190"/>
    </row>
    <row r="29" spans="1:20">
      <c r="A29" s="86" t="s">
        <v>464</v>
      </c>
      <c r="B29" s="257">
        <v>0.14699999999999999</v>
      </c>
      <c r="C29" s="257">
        <v>7.1999999999999995E-2</v>
      </c>
      <c r="D29" s="257">
        <v>9.7000000000000003E-2</v>
      </c>
      <c r="E29" s="257">
        <v>9.5000000000000001E-2</v>
      </c>
      <c r="F29" s="257">
        <v>9.8000000000000004E-2</v>
      </c>
      <c r="G29" s="257">
        <v>0.111</v>
      </c>
      <c r="H29" s="257">
        <v>9.1999999999999998E-2</v>
      </c>
      <c r="I29" s="257">
        <v>0.122</v>
      </c>
      <c r="J29" s="257">
        <v>0.10299999999999999</v>
      </c>
      <c r="L29" s="190"/>
      <c r="M29" s="190"/>
      <c r="N29" s="190"/>
      <c r="O29" s="190"/>
      <c r="P29" s="190"/>
      <c r="Q29" s="190"/>
      <c r="R29" s="190"/>
      <c r="S29" s="190"/>
      <c r="T29" s="190"/>
    </row>
    <row r="30" spans="1:20">
      <c r="A30" s="86" t="s">
        <v>465</v>
      </c>
      <c r="B30" s="257">
        <v>0.96899999999999997</v>
      </c>
      <c r="C30" s="257">
        <v>0.91500000000000004</v>
      </c>
      <c r="D30" s="257">
        <v>0.96699999999999997</v>
      </c>
      <c r="E30" s="257">
        <v>1.1220000000000001</v>
      </c>
      <c r="F30" s="257">
        <v>1.179</v>
      </c>
      <c r="G30" s="257">
        <v>1.468</v>
      </c>
      <c r="H30" s="257">
        <v>1.3620000000000001</v>
      </c>
      <c r="I30" s="257">
        <v>1.409</v>
      </c>
      <c r="J30" s="257">
        <v>1.159</v>
      </c>
      <c r="L30" s="190"/>
      <c r="M30" s="190"/>
      <c r="N30" s="190"/>
      <c r="O30" s="190"/>
      <c r="P30" s="190"/>
      <c r="Q30" s="190"/>
      <c r="R30" s="190"/>
      <c r="S30" s="190"/>
      <c r="T30" s="190"/>
    </row>
    <row r="31" spans="1:20">
      <c r="A31" s="86" t="s">
        <v>466</v>
      </c>
      <c r="B31" s="257">
        <v>47.396999999999998</v>
      </c>
      <c r="C31" s="257">
        <v>43.895000000000003</v>
      </c>
      <c r="D31" s="257">
        <v>49.03</v>
      </c>
      <c r="E31" s="257">
        <v>48.759</v>
      </c>
      <c r="F31" s="257">
        <v>51.746000000000002</v>
      </c>
      <c r="G31" s="257">
        <v>48.491</v>
      </c>
      <c r="H31" s="257">
        <v>48.188000000000002</v>
      </c>
      <c r="I31" s="257">
        <v>43.820999999999998</v>
      </c>
      <c r="J31" s="257">
        <v>51.218000000000004</v>
      </c>
      <c r="L31" s="190"/>
      <c r="M31" s="190"/>
      <c r="N31" s="190"/>
      <c r="O31" s="190"/>
      <c r="P31" s="190"/>
      <c r="Q31" s="190"/>
      <c r="R31" s="190"/>
      <c r="S31" s="190"/>
      <c r="T31" s="190"/>
    </row>
    <row r="32" spans="1:20">
      <c r="A32" s="86" t="s">
        <v>467</v>
      </c>
      <c r="B32" s="257">
        <v>3.2410000000000001</v>
      </c>
      <c r="C32" s="257">
        <v>3.0209999999999999</v>
      </c>
      <c r="D32" s="257">
        <v>3.0950000000000002</v>
      </c>
      <c r="E32" s="257">
        <v>3.1240000000000001</v>
      </c>
      <c r="F32" s="257">
        <v>3.3969999999999998</v>
      </c>
      <c r="G32" s="257">
        <v>3.2930000000000001</v>
      </c>
      <c r="H32" s="257">
        <v>3.2170000000000001</v>
      </c>
      <c r="I32" s="257">
        <v>2.7639999999999998</v>
      </c>
      <c r="J32" s="257">
        <v>3.1619999999999999</v>
      </c>
      <c r="L32" s="190"/>
      <c r="M32" s="190"/>
      <c r="N32" s="190"/>
      <c r="O32" s="190"/>
      <c r="P32" s="190"/>
      <c r="Q32" s="190"/>
      <c r="R32" s="190"/>
      <c r="S32" s="190"/>
      <c r="T32" s="190"/>
    </row>
    <row r="33" spans="1:20">
      <c r="A33" s="86" t="s">
        <v>468</v>
      </c>
      <c r="B33" s="257">
        <v>0.26</v>
      </c>
      <c r="C33" s="257">
        <v>0.25</v>
      </c>
      <c r="D33" s="257">
        <v>0.27600000000000002</v>
      </c>
      <c r="E33" s="257">
        <v>0.28100000000000003</v>
      </c>
      <c r="F33" s="257">
        <v>0.312</v>
      </c>
      <c r="G33" s="257">
        <v>0.32</v>
      </c>
      <c r="H33" s="257">
        <v>0.47699999999999998</v>
      </c>
      <c r="I33" s="257">
        <v>0.28399999999999997</v>
      </c>
      <c r="J33" s="257">
        <v>0.41</v>
      </c>
      <c r="L33" s="190"/>
      <c r="M33" s="190"/>
      <c r="N33" s="190"/>
      <c r="O33" s="190"/>
      <c r="P33" s="190"/>
      <c r="Q33" s="190"/>
      <c r="R33" s="190"/>
      <c r="S33" s="190"/>
      <c r="T33" s="190"/>
    </row>
    <row r="34" spans="1:20">
      <c r="A34" s="86" t="s">
        <v>469</v>
      </c>
      <c r="B34" s="257">
        <v>4.0659999999999998</v>
      </c>
      <c r="C34" s="257">
        <v>4.1710000000000003</v>
      </c>
      <c r="D34" s="257">
        <v>4.6379999999999999</v>
      </c>
      <c r="E34" s="257">
        <v>4.8339999999999996</v>
      </c>
      <c r="F34" s="257">
        <v>5.2629999999999999</v>
      </c>
      <c r="G34" s="257">
        <v>5.8739999999999997</v>
      </c>
      <c r="H34" s="257">
        <v>6.4109999999999996</v>
      </c>
      <c r="I34" s="257">
        <v>5.266</v>
      </c>
      <c r="J34" s="257">
        <v>6.64</v>
      </c>
      <c r="L34" s="190"/>
      <c r="M34" s="190"/>
      <c r="N34" s="190"/>
      <c r="O34" s="190"/>
      <c r="P34" s="190"/>
      <c r="Q34" s="190"/>
      <c r="R34" s="190"/>
      <c r="S34" s="190"/>
      <c r="T34" s="190"/>
    </row>
    <row r="35" spans="1:20">
      <c r="A35" s="86" t="s">
        <v>470</v>
      </c>
      <c r="B35" s="257">
        <v>11.176</v>
      </c>
      <c r="C35" s="257">
        <v>11.831</v>
      </c>
      <c r="D35" s="257">
        <v>11.464</v>
      </c>
      <c r="E35" s="257">
        <v>10.771000000000001</v>
      </c>
      <c r="F35" s="257">
        <v>11.478999999999999</v>
      </c>
      <c r="G35" s="257">
        <v>12.372</v>
      </c>
      <c r="H35" s="257">
        <v>12.61</v>
      </c>
      <c r="I35" s="257">
        <v>12.132</v>
      </c>
      <c r="J35" s="257">
        <v>11.824</v>
      </c>
      <c r="L35" s="190"/>
      <c r="M35" s="190"/>
      <c r="N35" s="190"/>
      <c r="O35" s="190"/>
      <c r="P35" s="190"/>
      <c r="Q35" s="190"/>
      <c r="R35" s="190"/>
      <c r="S35" s="190"/>
      <c r="T35" s="190"/>
    </row>
    <row r="36" spans="1:20">
      <c r="A36" s="86" t="s">
        <v>471</v>
      </c>
      <c r="B36" s="257">
        <v>7.444</v>
      </c>
      <c r="C36" s="257">
        <v>8.1760000000000002</v>
      </c>
      <c r="D36" s="257">
        <v>10.75</v>
      </c>
      <c r="E36" s="257">
        <v>10.323</v>
      </c>
      <c r="F36" s="257">
        <v>11.505000000000001</v>
      </c>
      <c r="G36" s="257">
        <v>13.47</v>
      </c>
      <c r="H36" s="257">
        <v>11.331</v>
      </c>
      <c r="I36" s="257">
        <v>11.054</v>
      </c>
      <c r="J36" s="257">
        <v>11.7</v>
      </c>
      <c r="L36" s="190"/>
      <c r="M36" s="190"/>
      <c r="N36" s="190"/>
      <c r="O36" s="190"/>
      <c r="P36" s="190"/>
      <c r="Q36" s="190"/>
      <c r="R36" s="190"/>
      <c r="S36" s="190"/>
      <c r="T36" s="190"/>
    </row>
    <row r="37" spans="1:20">
      <c r="A37" s="86" t="s">
        <v>2</v>
      </c>
      <c r="B37" s="257">
        <f t="shared" ref="B37:F37" si="2">SUM(B28:B36)</f>
        <v>76.641000000000005</v>
      </c>
      <c r="C37" s="257">
        <f t="shared" si="2"/>
        <v>73.910000000000011</v>
      </c>
      <c r="D37" s="257">
        <f t="shared" si="2"/>
        <v>82.103000000000009</v>
      </c>
      <c r="E37" s="257">
        <f t="shared" si="2"/>
        <v>81.070999999999998</v>
      </c>
      <c r="F37" s="257">
        <f t="shared" si="2"/>
        <v>87.114999999999995</v>
      </c>
      <c r="G37" s="257">
        <f>SUM(G28:G36)</f>
        <v>87.28</v>
      </c>
      <c r="H37" s="257">
        <f>SUM(H28:H36)</f>
        <v>85.397000000000006</v>
      </c>
      <c r="I37" s="257">
        <f>SUM(I28:I36)</f>
        <v>79.040999999999997</v>
      </c>
      <c r="J37" s="257">
        <f>SUM(J28:J36)</f>
        <v>88.22999999999999</v>
      </c>
      <c r="L37" s="190"/>
    </row>
    <row r="38" spans="1:20">
      <c r="A38" s="173" t="s">
        <v>223</v>
      </c>
      <c r="B38" s="26"/>
      <c r="C38" s="26"/>
      <c r="D38" s="26"/>
      <c r="E38" s="26"/>
      <c r="F38" s="26"/>
      <c r="H38" s="26"/>
      <c r="I38" s="26"/>
    </row>
    <row r="39" spans="1:20">
      <c r="A39" s="86" t="s">
        <v>463</v>
      </c>
      <c r="B39" s="257">
        <v>3.1760000000000002</v>
      </c>
      <c r="C39" s="257">
        <v>3.1269999999999998</v>
      </c>
      <c r="D39" s="257">
        <v>3.1920000000000002</v>
      </c>
      <c r="E39" s="257">
        <v>3.4089999999999998</v>
      </c>
      <c r="F39" s="257">
        <v>3.5289999999999999</v>
      </c>
      <c r="G39" s="257">
        <v>3.621</v>
      </c>
      <c r="H39" s="257">
        <v>3.6619999999999999</v>
      </c>
      <c r="I39" s="257">
        <v>3.6480000000000001</v>
      </c>
      <c r="J39" s="257">
        <v>3.915</v>
      </c>
      <c r="L39" s="190"/>
      <c r="M39" s="190"/>
      <c r="N39" s="190"/>
      <c r="O39" s="190"/>
      <c r="P39" s="190"/>
      <c r="Q39" s="190"/>
      <c r="R39" s="190"/>
      <c r="S39" s="190"/>
      <c r="T39" s="190"/>
    </row>
    <row r="40" spans="1:20">
      <c r="A40" s="86" t="s">
        <v>464</v>
      </c>
      <c r="B40" s="257">
        <v>4.9950000000000001</v>
      </c>
      <c r="C40" s="257">
        <v>4.3499999999999996</v>
      </c>
      <c r="D40" s="257">
        <v>4.3289999999999997</v>
      </c>
      <c r="E40" s="257">
        <v>5.048</v>
      </c>
      <c r="F40" s="257">
        <v>4.9569999999999999</v>
      </c>
      <c r="G40" s="257">
        <v>5.07</v>
      </c>
      <c r="H40" s="257">
        <v>4.8689999999999998</v>
      </c>
      <c r="I40" s="257">
        <v>4.9770000000000003</v>
      </c>
      <c r="J40" s="257">
        <v>4.907</v>
      </c>
      <c r="L40" s="190"/>
      <c r="M40" s="190"/>
      <c r="N40" s="190"/>
      <c r="O40" s="190"/>
      <c r="P40" s="190"/>
      <c r="Q40" s="190"/>
      <c r="R40" s="190"/>
      <c r="S40" s="190"/>
      <c r="T40" s="190"/>
    </row>
    <row r="41" spans="1:20">
      <c r="A41" s="86" t="s">
        <v>465</v>
      </c>
      <c r="B41" s="257">
        <v>2.7480000000000002</v>
      </c>
      <c r="C41" s="257">
        <v>2.8730000000000002</v>
      </c>
      <c r="D41" s="257">
        <v>2.7469999999999999</v>
      </c>
      <c r="E41" s="257">
        <v>2.8620000000000001</v>
      </c>
      <c r="F41" s="257">
        <v>2.927</v>
      </c>
      <c r="G41" s="257">
        <v>3.032</v>
      </c>
      <c r="H41" s="257">
        <v>3.0670000000000002</v>
      </c>
      <c r="I41" s="257">
        <v>3.153</v>
      </c>
      <c r="J41" s="257">
        <v>2.8780000000000001</v>
      </c>
      <c r="L41" s="190"/>
      <c r="M41" s="190"/>
      <c r="N41" s="190"/>
      <c r="O41" s="190"/>
      <c r="P41" s="190"/>
      <c r="Q41" s="190"/>
      <c r="R41" s="190"/>
      <c r="S41" s="190"/>
      <c r="T41" s="190"/>
    </row>
    <row r="42" spans="1:20">
      <c r="A42" s="86" t="s">
        <v>466</v>
      </c>
      <c r="B42" s="257">
        <v>57.853999999999999</v>
      </c>
      <c r="C42" s="257">
        <v>59.386000000000003</v>
      </c>
      <c r="D42" s="257">
        <v>61.05</v>
      </c>
      <c r="E42" s="257">
        <v>65.945999999999998</v>
      </c>
      <c r="F42" s="257">
        <v>70.938999999999993</v>
      </c>
      <c r="G42" s="257">
        <v>71.064999999999998</v>
      </c>
      <c r="H42" s="257">
        <v>73.119</v>
      </c>
      <c r="I42" s="257">
        <v>71.088999999999999</v>
      </c>
      <c r="J42" s="257">
        <v>75.97</v>
      </c>
      <c r="L42" s="190"/>
      <c r="M42" s="190"/>
      <c r="N42" s="190"/>
      <c r="O42" s="190"/>
      <c r="P42" s="190"/>
      <c r="Q42" s="190"/>
      <c r="R42" s="190"/>
      <c r="S42" s="190"/>
      <c r="T42" s="190"/>
    </row>
    <row r="43" spans="1:20">
      <c r="A43" s="86" t="s">
        <v>467</v>
      </c>
      <c r="B43" s="257">
        <v>6.9960000000000004</v>
      </c>
      <c r="C43" s="257">
        <v>6.6109999999999998</v>
      </c>
      <c r="D43" s="257">
        <v>7.1740000000000004</v>
      </c>
      <c r="E43" s="257">
        <v>7.774</v>
      </c>
      <c r="F43" s="257">
        <v>8.2490000000000006</v>
      </c>
      <c r="G43" s="257">
        <v>8.1679999999999993</v>
      </c>
      <c r="H43" s="257">
        <v>8.2929999999999993</v>
      </c>
      <c r="I43" s="257">
        <v>8.3079999999999998</v>
      </c>
      <c r="J43" s="257">
        <v>8.7880000000000003</v>
      </c>
      <c r="L43" s="190"/>
      <c r="M43" s="190"/>
      <c r="N43" s="190"/>
      <c r="O43" s="190"/>
      <c r="P43" s="190"/>
      <c r="Q43" s="190"/>
      <c r="R43" s="190"/>
      <c r="S43" s="190"/>
      <c r="T43" s="190"/>
    </row>
    <row r="44" spans="1:20">
      <c r="A44" s="86" t="s">
        <v>468</v>
      </c>
      <c r="B44" s="257">
        <v>5.3460000000000001</v>
      </c>
      <c r="C44" s="257">
        <v>5.37</v>
      </c>
      <c r="D44" s="257">
        <v>5.516</v>
      </c>
      <c r="E44" s="257">
        <v>5.7030000000000003</v>
      </c>
      <c r="F44" s="257">
        <v>5.915</v>
      </c>
      <c r="G44" s="257">
        <v>6.2229999999999999</v>
      </c>
      <c r="H44" s="257">
        <v>6.4729999999999999</v>
      </c>
      <c r="I44" s="257">
        <v>6.5039999999999996</v>
      </c>
      <c r="J44" s="257">
        <v>6.4619999999999997</v>
      </c>
      <c r="L44" s="190"/>
      <c r="M44" s="190"/>
      <c r="N44" s="190"/>
      <c r="O44" s="190"/>
      <c r="P44" s="190"/>
      <c r="Q44" s="190"/>
      <c r="R44" s="190"/>
      <c r="S44" s="190"/>
      <c r="T44" s="190"/>
    </row>
    <row r="45" spans="1:20">
      <c r="A45" s="86" t="s">
        <v>469</v>
      </c>
      <c r="B45" s="257">
        <v>26.92</v>
      </c>
      <c r="C45" s="257">
        <v>28.259</v>
      </c>
      <c r="D45" s="257">
        <v>28.933</v>
      </c>
      <c r="E45" s="257">
        <v>28.960999999999999</v>
      </c>
      <c r="F45" s="257">
        <v>28.134</v>
      </c>
      <c r="G45" s="257">
        <v>28.173999999999999</v>
      </c>
      <c r="H45" s="257">
        <v>28.456</v>
      </c>
      <c r="I45" s="257">
        <v>29.285</v>
      </c>
      <c r="J45" s="257">
        <v>31.68</v>
      </c>
      <c r="L45" s="190"/>
      <c r="M45" s="190"/>
      <c r="N45" s="190"/>
      <c r="O45" s="190"/>
      <c r="P45" s="190"/>
      <c r="Q45" s="190"/>
      <c r="R45" s="190"/>
      <c r="S45" s="190"/>
      <c r="T45" s="190"/>
    </row>
    <row r="46" spans="1:20">
      <c r="A46" s="86" t="s">
        <v>470</v>
      </c>
      <c r="B46" s="257">
        <v>47.731999999999999</v>
      </c>
      <c r="C46" s="257">
        <v>52.078000000000003</v>
      </c>
      <c r="D46" s="257">
        <v>53.554000000000002</v>
      </c>
      <c r="E46" s="257">
        <v>54.375999999999998</v>
      </c>
      <c r="F46" s="257">
        <v>55.249000000000002</v>
      </c>
      <c r="G46" s="257">
        <v>57.003999999999998</v>
      </c>
      <c r="H46" s="257">
        <v>58.424999999999997</v>
      </c>
      <c r="I46" s="257">
        <v>59.207000000000001</v>
      </c>
      <c r="J46" s="257">
        <v>59.350999999999999</v>
      </c>
      <c r="L46" s="190"/>
      <c r="M46" s="190"/>
      <c r="N46" s="190"/>
      <c r="O46" s="190"/>
      <c r="P46" s="190"/>
      <c r="Q46" s="190"/>
      <c r="R46" s="190"/>
      <c r="S46" s="190"/>
      <c r="T46" s="190"/>
    </row>
    <row r="47" spans="1:20">
      <c r="A47" s="86" t="s">
        <v>471</v>
      </c>
      <c r="B47" s="257">
        <v>14.255000000000001</v>
      </c>
      <c r="C47" s="257">
        <v>15.117000000000001</v>
      </c>
      <c r="D47" s="257">
        <v>16.388999999999999</v>
      </c>
      <c r="E47" s="257">
        <v>17.402999999999999</v>
      </c>
      <c r="F47" s="257">
        <v>18.023</v>
      </c>
      <c r="G47" s="257">
        <v>18.931999999999999</v>
      </c>
      <c r="H47" s="257">
        <v>18.277000000000001</v>
      </c>
      <c r="I47" s="257">
        <v>17.869</v>
      </c>
      <c r="J47" s="257">
        <v>18.873000000000001</v>
      </c>
      <c r="L47" s="190"/>
      <c r="M47" s="190"/>
      <c r="N47" s="190"/>
      <c r="O47" s="190"/>
      <c r="P47" s="190"/>
      <c r="Q47" s="190"/>
      <c r="R47" s="190"/>
      <c r="S47" s="190"/>
      <c r="T47" s="190"/>
    </row>
    <row r="48" spans="1:20" ht="10.15" customHeight="1">
      <c r="A48" s="86" t="s">
        <v>2</v>
      </c>
      <c r="B48" s="257">
        <f t="shared" ref="B48:F48" si="3">SUM(B39:B47)</f>
        <v>170.02199999999999</v>
      </c>
      <c r="C48" s="257">
        <f t="shared" si="3"/>
        <v>177.17100000000002</v>
      </c>
      <c r="D48" s="257">
        <f t="shared" si="3"/>
        <v>182.88400000000001</v>
      </c>
      <c r="E48" s="257">
        <f t="shared" si="3"/>
        <v>191.482</v>
      </c>
      <c r="F48" s="257">
        <f t="shared" si="3"/>
        <v>197.922</v>
      </c>
      <c r="G48" s="257">
        <f>SUM(G39:G47)</f>
        <v>201.28899999999996</v>
      </c>
      <c r="H48" s="257">
        <f>SUM(H39:H47)</f>
        <v>204.64099999999996</v>
      </c>
      <c r="I48" s="257">
        <f>SUM(I39:I47)</f>
        <v>204.04000000000002</v>
      </c>
      <c r="J48" s="257">
        <f>SUM(J39:J47)</f>
        <v>212.82399999999998</v>
      </c>
      <c r="L48" s="190"/>
      <c r="M48" s="190"/>
      <c r="N48" s="190"/>
      <c r="O48" s="190"/>
      <c r="P48" s="190"/>
      <c r="Q48" s="190"/>
      <c r="R48" s="190"/>
      <c r="S48" s="190"/>
      <c r="T48" s="190"/>
    </row>
    <row r="49" spans="1:20">
      <c r="A49" s="173" t="s">
        <v>127</v>
      </c>
      <c r="B49" s="26"/>
      <c r="C49" s="26"/>
      <c r="D49" s="26"/>
      <c r="E49" s="26"/>
      <c r="F49" s="26"/>
      <c r="H49" s="26"/>
      <c r="I49" s="26"/>
      <c r="L49" s="190"/>
      <c r="M49" s="190"/>
      <c r="N49" s="190"/>
      <c r="O49" s="190"/>
      <c r="P49" s="190"/>
      <c r="Q49" s="190"/>
      <c r="R49" s="190"/>
      <c r="S49" s="190"/>
      <c r="T49" s="190"/>
    </row>
    <row r="50" spans="1:20">
      <c r="A50" s="86" t="s">
        <v>463</v>
      </c>
      <c r="B50" s="257">
        <v>0.443</v>
      </c>
      <c r="C50" s="257">
        <v>0.54400000000000004</v>
      </c>
      <c r="D50" s="257">
        <v>0.47099999999999997</v>
      </c>
      <c r="E50" s="257">
        <v>0.74299999999999999</v>
      </c>
      <c r="F50" s="257">
        <v>0.71599999999999997</v>
      </c>
      <c r="G50" s="257">
        <v>0.66500000000000004</v>
      </c>
      <c r="H50" s="257">
        <v>0.81</v>
      </c>
      <c r="I50" s="257">
        <v>0.86</v>
      </c>
      <c r="J50" s="257">
        <v>0.67500000000000004</v>
      </c>
      <c r="L50" s="190"/>
      <c r="M50" s="190"/>
      <c r="N50" s="190"/>
      <c r="O50" s="190"/>
      <c r="P50" s="190"/>
      <c r="Q50" s="190"/>
      <c r="R50" s="190"/>
      <c r="S50" s="190"/>
      <c r="T50" s="190"/>
    </row>
    <row r="51" spans="1:20">
      <c r="A51" s="86" t="s">
        <v>464</v>
      </c>
      <c r="B51" s="257">
        <v>0.221</v>
      </c>
      <c r="C51" s="257">
        <v>0.107</v>
      </c>
      <c r="D51" s="257">
        <v>0.155</v>
      </c>
      <c r="E51" s="257">
        <v>0.221</v>
      </c>
      <c r="F51" s="257">
        <v>0.20100000000000001</v>
      </c>
      <c r="G51" s="257">
        <v>0.20599999999999999</v>
      </c>
      <c r="H51" s="257">
        <v>0.14899999999999999</v>
      </c>
      <c r="I51" s="257">
        <v>0.13700000000000001</v>
      </c>
      <c r="J51" s="257">
        <v>0.17100000000000001</v>
      </c>
      <c r="L51" s="190"/>
      <c r="M51" s="190"/>
      <c r="N51" s="190"/>
      <c r="O51" s="190"/>
      <c r="P51" s="190"/>
      <c r="Q51" s="190"/>
      <c r="R51" s="190"/>
      <c r="S51" s="190"/>
      <c r="T51" s="190"/>
    </row>
    <row r="52" spans="1:20">
      <c r="A52" s="86" t="s">
        <v>465</v>
      </c>
      <c r="B52" s="257">
        <v>0.39100000000000001</v>
      </c>
      <c r="C52" s="257">
        <v>0.623</v>
      </c>
      <c r="D52" s="257">
        <v>0.33100000000000002</v>
      </c>
      <c r="E52" s="257">
        <v>0.72499999999999998</v>
      </c>
      <c r="F52" s="257">
        <v>0.88300000000000001</v>
      </c>
      <c r="G52" s="257">
        <v>0.85</v>
      </c>
      <c r="H52" s="257">
        <v>0.56200000000000006</v>
      </c>
      <c r="I52" s="257">
        <v>0.56399999999999995</v>
      </c>
      <c r="J52" s="257">
        <v>0.48</v>
      </c>
      <c r="L52" s="190"/>
      <c r="M52" s="190"/>
      <c r="N52" s="190"/>
      <c r="O52" s="190"/>
      <c r="P52" s="190"/>
      <c r="Q52" s="190"/>
      <c r="R52" s="190"/>
      <c r="S52" s="190"/>
      <c r="T52" s="190"/>
    </row>
    <row r="53" spans="1:20">
      <c r="A53" s="86" t="s">
        <v>466</v>
      </c>
      <c r="B53" s="257">
        <v>10.843999999999999</v>
      </c>
      <c r="C53" s="257">
        <v>8.7949999999999999</v>
      </c>
      <c r="D53" s="257">
        <v>10.222</v>
      </c>
      <c r="E53" s="257">
        <v>12.869</v>
      </c>
      <c r="F53" s="257">
        <v>14.896000000000001</v>
      </c>
      <c r="G53" s="257">
        <v>15.86</v>
      </c>
      <c r="H53" s="257">
        <v>15.16</v>
      </c>
      <c r="I53" s="257">
        <v>16.815000000000001</v>
      </c>
      <c r="J53" s="257">
        <v>17.048999999999999</v>
      </c>
      <c r="L53" s="190"/>
      <c r="M53" s="190"/>
      <c r="N53" s="190"/>
      <c r="O53" s="190"/>
      <c r="P53" s="190"/>
      <c r="Q53" s="190"/>
      <c r="R53" s="190"/>
      <c r="S53" s="190"/>
      <c r="T53" s="190"/>
    </row>
    <row r="54" spans="1:20">
      <c r="A54" s="86" t="s">
        <v>467</v>
      </c>
      <c r="B54" s="257">
        <v>0.82399999999999995</v>
      </c>
      <c r="C54" s="257">
        <v>0.83899999999999997</v>
      </c>
      <c r="D54" s="257">
        <v>0.874</v>
      </c>
      <c r="E54" s="257">
        <v>1.103</v>
      </c>
      <c r="F54" s="257">
        <v>1.046</v>
      </c>
      <c r="G54" s="257">
        <v>1.1339999999999999</v>
      </c>
      <c r="H54" s="257">
        <v>0.998</v>
      </c>
      <c r="I54" s="257">
        <v>1.0720000000000001</v>
      </c>
      <c r="J54" s="257">
        <v>0.90600000000000003</v>
      </c>
      <c r="L54" s="190"/>
      <c r="M54" s="190"/>
      <c r="N54" s="190"/>
      <c r="O54" s="190"/>
      <c r="P54" s="190"/>
      <c r="Q54" s="190"/>
      <c r="R54" s="190"/>
      <c r="S54" s="190"/>
      <c r="T54" s="190"/>
    </row>
    <row r="55" spans="1:20">
      <c r="A55" s="86" t="s">
        <v>468</v>
      </c>
      <c r="B55" s="257">
        <v>0.252</v>
      </c>
      <c r="C55" s="257">
        <v>0.27300000000000002</v>
      </c>
      <c r="D55" s="257">
        <v>0.39500000000000002</v>
      </c>
      <c r="E55" s="257">
        <v>0.53</v>
      </c>
      <c r="F55" s="257">
        <v>0.42499999999999999</v>
      </c>
      <c r="G55" s="257">
        <v>0.40600000000000003</v>
      </c>
      <c r="H55" s="257">
        <v>0.307</v>
      </c>
      <c r="I55" s="257">
        <v>0.35099999999999998</v>
      </c>
      <c r="J55" s="257">
        <v>0.32900000000000001</v>
      </c>
      <c r="L55" s="190"/>
      <c r="M55" s="190"/>
      <c r="N55" s="190"/>
      <c r="O55" s="190"/>
      <c r="P55" s="190"/>
      <c r="Q55" s="190"/>
      <c r="R55" s="190"/>
      <c r="S55" s="190"/>
      <c r="T55" s="190"/>
    </row>
    <row r="56" spans="1:20">
      <c r="A56" s="86" t="s">
        <v>469</v>
      </c>
      <c r="B56" s="257">
        <v>6.6580000000000004</v>
      </c>
      <c r="C56" s="257">
        <v>5.6989999999999998</v>
      </c>
      <c r="D56" s="257">
        <v>4.2050000000000001</v>
      </c>
      <c r="E56" s="257">
        <v>3.371</v>
      </c>
      <c r="F56" s="257">
        <v>2.9460000000000002</v>
      </c>
      <c r="G56" s="257">
        <v>2.8220000000000001</v>
      </c>
      <c r="H56" s="257">
        <v>3.383</v>
      </c>
      <c r="I56" s="257">
        <v>2.8090000000000002</v>
      </c>
      <c r="J56" s="257">
        <v>3.1539999999999999</v>
      </c>
      <c r="L56" s="190"/>
      <c r="M56" s="190"/>
      <c r="N56" s="190"/>
      <c r="O56" s="190"/>
      <c r="P56" s="190"/>
      <c r="Q56" s="190"/>
      <c r="R56" s="190"/>
      <c r="S56" s="190"/>
      <c r="T56" s="190"/>
    </row>
    <row r="57" spans="1:20">
      <c r="A57" s="86" t="s">
        <v>470</v>
      </c>
      <c r="B57" s="257">
        <v>4.556</v>
      </c>
      <c r="C57" s="257">
        <v>4.0220000000000002</v>
      </c>
      <c r="D57" s="257">
        <v>4.2380000000000004</v>
      </c>
      <c r="E57" s="257">
        <v>4.3550000000000004</v>
      </c>
      <c r="F57" s="257">
        <v>4.6710000000000003</v>
      </c>
      <c r="G57" s="257">
        <v>5.266</v>
      </c>
      <c r="H57" s="257">
        <v>5.266</v>
      </c>
      <c r="I57" s="257">
        <v>4.4249999999999998</v>
      </c>
      <c r="J57" s="257">
        <v>4.4020000000000001</v>
      </c>
      <c r="L57" s="190"/>
      <c r="M57" s="190"/>
      <c r="N57" s="190"/>
      <c r="O57" s="190"/>
      <c r="P57" s="190"/>
      <c r="Q57" s="190"/>
      <c r="R57" s="190"/>
      <c r="S57" s="190"/>
      <c r="T57" s="190"/>
    </row>
    <row r="58" spans="1:20">
      <c r="A58" s="86" t="s">
        <v>471</v>
      </c>
      <c r="B58" s="257">
        <v>2.5430000000000001</v>
      </c>
      <c r="C58" s="257">
        <v>2.0459999999999998</v>
      </c>
      <c r="D58" s="257">
        <v>2.6030000000000002</v>
      </c>
      <c r="E58" s="257">
        <v>2.6059999999999999</v>
      </c>
      <c r="F58" s="257">
        <v>2.331</v>
      </c>
      <c r="G58" s="257">
        <v>2.77</v>
      </c>
      <c r="H58" s="257">
        <v>1.87</v>
      </c>
      <c r="I58" s="257">
        <v>2.3159999999999998</v>
      </c>
      <c r="J58" s="257">
        <v>2.3959999999999999</v>
      </c>
      <c r="L58" s="190"/>
      <c r="M58" s="190"/>
      <c r="N58" s="190"/>
      <c r="O58" s="190"/>
      <c r="P58" s="190"/>
      <c r="Q58" s="190"/>
      <c r="R58" s="190"/>
      <c r="S58" s="190"/>
      <c r="T58" s="190"/>
    </row>
    <row r="59" spans="1:20">
      <c r="A59" s="88" t="s">
        <v>2</v>
      </c>
      <c r="B59" s="258">
        <f t="shared" ref="B59:F59" si="4">SUM(B50:B58)</f>
        <v>26.731999999999999</v>
      </c>
      <c r="C59" s="258">
        <f t="shared" si="4"/>
        <v>22.948</v>
      </c>
      <c r="D59" s="258">
        <f t="shared" si="4"/>
        <v>23.494</v>
      </c>
      <c r="E59" s="258">
        <f t="shared" si="4"/>
        <v>26.522999999999996</v>
      </c>
      <c r="F59" s="258">
        <f t="shared" si="4"/>
        <v>28.115000000000002</v>
      </c>
      <c r="G59" s="258">
        <f>SUM(G50:G58)</f>
        <v>29.978999999999996</v>
      </c>
      <c r="H59" s="258">
        <f>SUM(H50:H58)</f>
        <v>28.504999999999999</v>
      </c>
      <c r="I59" s="258">
        <f>SUM(I50:I58)</f>
        <v>29.349</v>
      </c>
      <c r="J59" s="258">
        <f>SUM(J50:J58)</f>
        <v>29.562000000000001</v>
      </c>
      <c r="L59" s="190"/>
      <c r="M59" s="190"/>
      <c r="N59" s="190"/>
      <c r="O59" s="190"/>
      <c r="P59" s="190"/>
      <c r="Q59" s="190"/>
      <c r="R59" s="190"/>
      <c r="S59" s="190"/>
      <c r="T59" s="190"/>
    </row>
    <row r="60" spans="1:20">
      <c r="A60" s="52" t="s">
        <v>514</v>
      </c>
    </row>
    <row r="61" spans="1:20">
      <c r="A61" s="52" t="s">
        <v>507</v>
      </c>
      <c r="L61" s="190"/>
      <c r="M61" s="190"/>
      <c r="N61" s="190"/>
      <c r="O61" s="190"/>
      <c r="P61" s="190"/>
      <c r="Q61" s="190"/>
      <c r="R61" s="190"/>
      <c r="S61" s="190"/>
      <c r="T61" s="190"/>
    </row>
    <row r="62" spans="1:20" ht="10.15" customHeight="1">
      <c r="E62" s="78"/>
      <c r="I62" s="225" t="s">
        <v>592</v>
      </c>
      <c r="L62" s="190"/>
      <c r="M62" s="190"/>
      <c r="N62" s="190"/>
      <c r="O62" s="190"/>
      <c r="P62" s="190"/>
      <c r="Q62" s="190"/>
      <c r="R62" s="190"/>
      <c r="S62" s="190"/>
      <c r="T62" s="190"/>
    </row>
    <row r="63" spans="1:20">
      <c r="L63" s="190"/>
      <c r="M63" s="190"/>
      <c r="N63" s="190"/>
      <c r="O63" s="190"/>
      <c r="P63" s="190"/>
      <c r="Q63" s="190"/>
      <c r="R63" s="190"/>
      <c r="S63" s="190"/>
      <c r="T63" s="190"/>
    </row>
    <row r="64" spans="1:20">
      <c r="L64" s="190"/>
      <c r="M64" s="190"/>
      <c r="N64" s="190"/>
      <c r="O64" s="190"/>
      <c r="P64" s="190"/>
      <c r="Q64" s="190"/>
      <c r="R64" s="190"/>
      <c r="S64" s="190"/>
      <c r="T64" s="190"/>
    </row>
    <row r="65" spans="12:20">
      <c r="L65" s="190"/>
      <c r="M65" s="190"/>
      <c r="N65" s="190"/>
      <c r="O65" s="190"/>
      <c r="P65" s="190"/>
      <c r="Q65" s="190"/>
      <c r="R65" s="190"/>
      <c r="S65" s="190"/>
      <c r="T65" s="190"/>
    </row>
    <row r="66" spans="12:20">
      <c r="L66" s="190"/>
      <c r="M66" s="190"/>
      <c r="N66" s="190"/>
      <c r="O66" s="190"/>
      <c r="P66" s="190"/>
      <c r="Q66" s="190"/>
      <c r="R66" s="190"/>
      <c r="S66" s="190"/>
      <c r="T66" s="190"/>
    </row>
    <row r="67" spans="12:20">
      <c r="L67" s="190"/>
      <c r="M67" s="190"/>
      <c r="N67" s="190"/>
      <c r="O67" s="190"/>
      <c r="P67" s="190"/>
      <c r="Q67" s="190"/>
      <c r="R67" s="190"/>
      <c r="S67" s="190"/>
      <c r="T67" s="190"/>
    </row>
    <row r="68" spans="12:20">
      <c r="L68" s="190"/>
      <c r="M68" s="190"/>
      <c r="N68" s="190"/>
      <c r="O68" s="190"/>
      <c r="P68" s="190"/>
      <c r="Q68" s="190"/>
      <c r="R68" s="190"/>
      <c r="S68" s="190"/>
      <c r="T68" s="190"/>
    </row>
    <row r="69" spans="12:20">
      <c r="L69" s="190"/>
      <c r="M69" s="190"/>
      <c r="N69" s="190"/>
      <c r="O69" s="190"/>
      <c r="P69" s="190"/>
      <c r="Q69" s="190"/>
      <c r="R69" s="190"/>
      <c r="S69" s="190"/>
      <c r="T69" s="190"/>
    </row>
    <row r="70" spans="12:20">
      <c r="L70" s="190"/>
      <c r="M70" s="190"/>
      <c r="N70" s="190"/>
      <c r="O70" s="190"/>
      <c r="P70" s="190"/>
      <c r="Q70" s="190"/>
      <c r="R70" s="190"/>
      <c r="S70" s="190"/>
      <c r="T70" s="190"/>
    </row>
  </sheetData>
  <phoneticPr fontId="0" type="noConversion"/>
  <pageMargins left="0.75" right="0.75" top="1" bottom="1" header="0.5" footer="0.5"/>
  <pageSetup scale="84" firstPageNumber="48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T57"/>
  <sheetViews>
    <sheetView zoomScaleNormal="100" zoomScaleSheetLayoutView="100" workbookViewId="0">
      <pane ySplit="4" topLeftCell="A5" activePane="bottomLeft" state="frozen"/>
      <selection pane="bottomLeft"/>
    </sheetView>
  </sheetViews>
  <sheetFormatPr defaultRowHeight="11.25"/>
  <cols>
    <col min="1" max="1" width="57.6640625" customWidth="1"/>
    <col min="2" max="9" width="12.83203125" customWidth="1"/>
    <col min="10" max="10" width="11.1640625" bestFit="1" customWidth="1"/>
  </cols>
  <sheetData>
    <row r="1" spans="1:20">
      <c r="A1" s="249" t="s">
        <v>638</v>
      </c>
      <c r="B1" s="1"/>
      <c r="C1" s="1"/>
    </row>
    <row r="2" spans="1:20">
      <c r="B2" s="17"/>
      <c r="C2" s="17"/>
      <c r="D2" s="3"/>
      <c r="E2" s="3"/>
      <c r="F2" s="3"/>
      <c r="G2" s="3"/>
      <c r="H2" s="3"/>
      <c r="I2" s="3"/>
      <c r="J2" s="3"/>
    </row>
    <row r="3" spans="1:20">
      <c r="A3" s="1" t="s">
        <v>203</v>
      </c>
      <c r="B3" s="389" t="s">
        <v>261</v>
      </c>
      <c r="C3" s="389" t="s">
        <v>260</v>
      </c>
      <c r="D3" s="389" t="s">
        <v>271</v>
      </c>
      <c r="E3" s="389" t="s">
        <v>270</v>
      </c>
      <c r="F3" s="389" t="s">
        <v>295</v>
      </c>
      <c r="G3" s="389" t="s">
        <v>334</v>
      </c>
      <c r="H3" s="390" t="s">
        <v>350</v>
      </c>
      <c r="I3" s="390" t="s">
        <v>615</v>
      </c>
      <c r="J3" s="390" t="s">
        <v>614</v>
      </c>
    </row>
    <row r="4" spans="1:20">
      <c r="B4" s="205" t="s">
        <v>159</v>
      </c>
      <c r="C4" s="2"/>
      <c r="D4" s="2"/>
      <c r="E4" s="206"/>
      <c r="F4" s="50"/>
      <c r="G4" s="2"/>
      <c r="H4" s="206"/>
      <c r="I4" s="206"/>
      <c r="J4" s="2"/>
    </row>
    <row r="5" spans="1:20">
      <c r="A5" s="173" t="s">
        <v>40</v>
      </c>
      <c r="B5" s="26"/>
      <c r="C5" s="26"/>
      <c r="D5" s="26"/>
      <c r="E5" s="26"/>
      <c r="F5" s="26"/>
      <c r="H5" s="26"/>
      <c r="I5" s="26"/>
    </row>
    <row r="6" spans="1:20">
      <c r="A6" s="86" t="s">
        <v>472</v>
      </c>
      <c r="B6" s="257">
        <v>1.7470000000000001</v>
      </c>
      <c r="C6" s="257">
        <v>1.704</v>
      </c>
      <c r="D6" s="257">
        <v>1.784</v>
      </c>
      <c r="E6" s="257">
        <v>1.95</v>
      </c>
      <c r="F6" s="257">
        <v>2.0019999999999998</v>
      </c>
      <c r="G6" s="257">
        <v>1.9119999999999999</v>
      </c>
      <c r="H6" s="257">
        <v>1.905</v>
      </c>
      <c r="I6" s="257">
        <v>1.9610000000000001</v>
      </c>
      <c r="J6" s="257">
        <v>1.95</v>
      </c>
    </row>
    <row r="7" spans="1:20">
      <c r="A7" s="86" t="s">
        <v>473</v>
      </c>
      <c r="B7" s="257">
        <v>15.321999999999999</v>
      </c>
      <c r="C7" s="257">
        <v>12.920999999999999</v>
      </c>
      <c r="D7" s="257">
        <v>13.384</v>
      </c>
      <c r="E7" s="257">
        <v>15.518000000000001</v>
      </c>
      <c r="F7" s="257">
        <v>15.029</v>
      </c>
      <c r="G7" s="257">
        <v>15.497</v>
      </c>
      <c r="H7" s="257">
        <v>14.679</v>
      </c>
      <c r="I7" s="257">
        <v>15.157999999999999</v>
      </c>
      <c r="J7" s="257">
        <v>15.055</v>
      </c>
    </row>
    <row r="8" spans="1:20">
      <c r="A8" s="86" t="s">
        <v>474</v>
      </c>
      <c r="B8" s="257">
        <v>4.6849999999999996</v>
      </c>
      <c r="C8" s="257">
        <v>4.5090000000000003</v>
      </c>
      <c r="D8" s="257">
        <v>4.875</v>
      </c>
      <c r="E8" s="257">
        <v>4.766</v>
      </c>
      <c r="F8" s="257">
        <v>4.7610000000000001</v>
      </c>
      <c r="G8" s="257">
        <v>4.641</v>
      </c>
      <c r="H8" s="257">
        <v>4.88</v>
      </c>
      <c r="I8" s="257">
        <v>4.9800000000000004</v>
      </c>
      <c r="J8" s="257">
        <v>4.8499999999999996</v>
      </c>
    </row>
    <row r="9" spans="1:20">
      <c r="A9" s="86" t="s">
        <v>475</v>
      </c>
      <c r="B9" s="257">
        <v>8.5359999999999996</v>
      </c>
      <c r="C9" s="257">
        <v>8.25</v>
      </c>
      <c r="D9" s="257">
        <v>8.91</v>
      </c>
      <c r="E9" s="257">
        <v>9.6760000000000002</v>
      </c>
      <c r="F9" s="257">
        <v>10.085000000000001</v>
      </c>
      <c r="G9" s="257">
        <v>10.146000000000001</v>
      </c>
      <c r="H9" s="257">
        <v>9.9770000000000003</v>
      </c>
      <c r="I9" s="257">
        <v>9.9719999999999995</v>
      </c>
      <c r="J9" s="257">
        <v>10.474</v>
      </c>
    </row>
    <row r="10" spans="1:20">
      <c r="A10" s="86" t="s">
        <v>476</v>
      </c>
      <c r="B10" s="257">
        <v>6.57</v>
      </c>
      <c r="C10" s="257">
        <v>6.609</v>
      </c>
      <c r="D10" s="257">
        <v>6.9909999999999997</v>
      </c>
      <c r="E10" s="257">
        <v>7.2320000000000002</v>
      </c>
      <c r="F10" s="257">
        <v>7.1769999999999996</v>
      </c>
      <c r="G10" s="257">
        <v>7.6559999999999997</v>
      </c>
      <c r="H10" s="257">
        <v>7.8819999999999997</v>
      </c>
      <c r="I10" s="257">
        <v>8.0329999999999995</v>
      </c>
      <c r="J10" s="257">
        <v>7.8949999999999996</v>
      </c>
    </row>
    <row r="11" spans="1:20">
      <c r="A11" s="86" t="s">
        <v>477</v>
      </c>
      <c r="B11" s="257">
        <v>38.715000000000003</v>
      </c>
      <c r="C11" s="257">
        <v>38.591999999999999</v>
      </c>
      <c r="D11" s="257">
        <v>38.802</v>
      </c>
      <c r="E11" s="257">
        <v>39.442</v>
      </c>
      <c r="F11" s="257">
        <v>39.231999999999999</v>
      </c>
      <c r="G11" s="257">
        <v>39.552999999999997</v>
      </c>
      <c r="H11" s="257">
        <v>41.131</v>
      </c>
      <c r="I11" s="257">
        <v>41.491999999999997</v>
      </c>
      <c r="J11" s="257">
        <v>45.494999999999997</v>
      </c>
    </row>
    <row r="12" spans="1:20">
      <c r="A12" s="86" t="s">
        <v>478</v>
      </c>
      <c r="B12" s="257">
        <v>208.583</v>
      </c>
      <c r="C12" s="257">
        <v>216.25800000000001</v>
      </c>
      <c r="D12" s="257">
        <v>226.35300000000001</v>
      </c>
      <c r="E12" s="257">
        <v>232.696</v>
      </c>
      <c r="F12" s="257">
        <v>233.99100000000001</v>
      </c>
      <c r="G12" s="257">
        <v>245.17599999999999</v>
      </c>
      <c r="H12" s="257">
        <v>248.24600000000001</v>
      </c>
      <c r="I12" s="257">
        <v>245.56800000000001</v>
      </c>
      <c r="J12" s="257">
        <v>251.46899999999999</v>
      </c>
    </row>
    <row r="13" spans="1:20">
      <c r="A13" s="86" t="s">
        <v>479</v>
      </c>
      <c r="B13" s="257">
        <v>16.177</v>
      </c>
      <c r="C13" s="257">
        <v>16.602</v>
      </c>
      <c r="D13" s="257">
        <v>19.492999999999999</v>
      </c>
      <c r="E13" s="257">
        <v>20.015999999999998</v>
      </c>
      <c r="F13" s="257">
        <v>20.94</v>
      </c>
      <c r="G13" s="257">
        <v>21.728999999999999</v>
      </c>
      <c r="H13" s="257">
        <v>20.265000000000001</v>
      </c>
      <c r="I13" s="257">
        <v>21.433</v>
      </c>
      <c r="J13" s="257">
        <v>22.321000000000002</v>
      </c>
    </row>
    <row r="14" spans="1:20">
      <c r="A14" s="86" t="s">
        <v>2</v>
      </c>
      <c r="B14" s="257">
        <f t="shared" ref="B14:F14" si="0">SUM(B6:B13)</f>
        <v>300.33500000000004</v>
      </c>
      <c r="C14" s="257">
        <f t="shared" si="0"/>
        <v>305.44499999999999</v>
      </c>
      <c r="D14" s="257">
        <f t="shared" si="0"/>
        <v>320.59200000000004</v>
      </c>
      <c r="E14" s="257">
        <f t="shared" si="0"/>
        <v>331.29599999999999</v>
      </c>
      <c r="F14" s="257">
        <f t="shared" si="0"/>
        <v>333.21700000000004</v>
      </c>
      <c r="G14" s="257">
        <f>SUM(G6:G13)</f>
        <v>346.31</v>
      </c>
      <c r="H14" s="257">
        <f>SUM(H6:H13)</f>
        <v>348.96500000000003</v>
      </c>
      <c r="I14" s="257">
        <f>SUM(I6:I13)</f>
        <v>348.59699999999998</v>
      </c>
      <c r="J14" s="257">
        <f>SUM(J6:J13)</f>
        <v>359.50900000000001</v>
      </c>
    </row>
    <row r="15" spans="1:20">
      <c r="A15" s="173" t="s">
        <v>49</v>
      </c>
      <c r="B15" s="26"/>
      <c r="C15" s="26"/>
      <c r="D15" s="26"/>
      <c r="E15" s="26"/>
      <c r="H15" s="26"/>
      <c r="I15" s="26"/>
    </row>
    <row r="16" spans="1:20">
      <c r="A16" s="86" t="s">
        <v>472</v>
      </c>
      <c r="B16" s="257">
        <v>0.67300000000000004</v>
      </c>
      <c r="C16" s="257">
        <v>0.55900000000000005</v>
      </c>
      <c r="D16" s="257">
        <v>0.50600000000000001</v>
      </c>
      <c r="E16" s="257">
        <v>0.74099999999999999</v>
      </c>
      <c r="F16" s="257">
        <v>0.58299999999999996</v>
      </c>
      <c r="G16" s="257">
        <v>0.42899999999999999</v>
      </c>
      <c r="H16" s="257">
        <v>0.61599999999999999</v>
      </c>
      <c r="I16" s="257">
        <v>0.55900000000000005</v>
      </c>
      <c r="J16" s="257">
        <v>0.67300000000000004</v>
      </c>
      <c r="L16" s="190"/>
      <c r="M16" s="190"/>
      <c r="N16" s="190"/>
      <c r="O16" s="190"/>
      <c r="P16" s="190"/>
      <c r="Q16" s="190"/>
      <c r="R16" s="190"/>
      <c r="S16" s="190"/>
      <c r="T16" s="190"/>
    </row>
    <row r="17" spans="1:20">
      <c r="A17" s="86" t="s">
        <v>473</v>
      </c>
      <c r="B17" s="257">
        <v>0.25900000000000001</v>
      </c>
      <c r="C17" s="257">
        <v>0.25</v>
      </c>
      <c r="D17" s="257">
        <v>0.27500000000000002</v>
      </c>
      <c r="E17" s="257">
        <v>0.33800000000000002</v>
      </c>
      <c r="F17" s="257">
        <v>0.35699999999999998</v>
      </c>
      <c r="G17" s="257">
        <v>0.32800000000000001</v>
      </c>
      <c r="H17" s="257">
        <v>0.25700000000000001</v>
      </c>
      <c r="I17" s="257">
        <v>0.26100000000000001</v>
      </c>
      <c r="J17" s="257">
        <v>0.28499999999999998</v>
      </c>
      <c r="L17" s="190"/>
      <c r="M17" s="190"/>
      <c r="N17" s="190"/>
      <c r="O17" s="190"/>
      <c r="P17" s="190"/>
      <c r="Q17" s="190"/>
      <c r="R17" s="190"/>
      <c r="S17" s="190"/>
      <c r="T17" s="190"/>
    </row>
    <row r="18" spans="1:20">
      <c r="A18" s="86" t="s">
        <v>474</v>
      </c>
      <c r="B18" s="257">
        <v>2.5059999999999998</v>
      </c>
      <c r="C18" s="257">
        <v>2.4420000000000002</v>
      </c>
      <c r="D18" s="257">
        <v>3.0579999999999998</v>
      </c>
      <c r="E18" s="257">
        <v>3.0459999999999998</v>
      </c>
      <c r="F18" s="257">
        <v>3.077</v>
      </c>
      <c r="G18" s="257">
        <v>3.09</v>
      </c>
      <c r="H18" s="257">
        <v>3.411</v>
      </c>
      <c r="I18" s="257">
        <v>3.5950000000000002</v>
      </c>
      <c r="J18" s="257">
        <v>3.3660000000000001</v>
      </c>
      <c r="L18" s="190"/>
      <c r="M18" s="190"/>
      <c r="N18" s="190"/>
      <c r="O18" s="190"/>
      <c r="P18" s="190"/>
      <c r="Q18" s="190"/>
      <c r="R18" s="190"/>
      <c r="S18" s="190"/>
      <c r="T18" s="190"/>
    </row>
    <row r="19" spans="1:20">
      <c r="A19" s="86" t="s">
        <v>475</v>
      </c>
      <c r="B19" s="257">
        <v>6.5</v>
      </c>
      <c r="C19" s="257">
        <v>5.819</v>
      </c>
      <c r="D19" s="257">
        <v>6.5469999999999997</v>
      </c>
      <c r="E19" s="257">
        <v>6.9669999999999996</v>
      </c>
      <c r="F19" s="257">
        <v>7.36</v>
      </c>
      <c r="G19" s="257">
        <v>7.2149999999999999</v>
      </c>
      <c r="H19" s="257">
        <v>7.1020000000000003</v>
      </c>
      <c r="I19" s="257">
        <v>7.2110000000000003</v>
      </c>
      <c r="J19" s="257">
        <v>7.6079999999999997</v>
      </c>
      <c r="L19" s="190"/>
      <c r="M19" s="190"/>
      <c r="N19" s="190"/>
      <c r="O19" s="190"/>
      <c r="P19" s="190"/>
      <c r="Q19" s="190"/>
      <c r="R19" s="190"/>
      <c r="S19" s="190"/>
      <c r="T19" s="190"/>
    </row>
    <row r="20" spans="1:20">
      <c r="A20" s="86" t="s">
        <v>476</v>
      </c>
      <c r="B20" s="257">
        <v>2.7E-2</v>
      </c>
      <c r="C20" s="257">
        <v>1.9E-2</v>
      </c>
      <c r="D20" s="257">
        <v>0.13400000000000001</v>
      </c>
      <c r="E20" s="257">
        <v>5.5E-2</v>
      </c>
      <c r="F20" s="257">
        <v>9.9000000000000005E-2</v>
      </c>
      <c r="G20" s="257">
        <v>0.13200000000000001</v>
      </c>
      <c r="H20" s="257">
        <v>6.9000000000000006E-2</v>
      </c>
      <c r="I20" s="257">
        <v>0.128</v>
      </c>
      <c r="J20" s="257">
        <v>0.10100000000000001</v>
      </c>
      <c r="L20" s="190"/>
      <c r="M20" s="190"/>
      <c r="N20" s="190"/>
      <c r="O20" s="190"/>
      <c r="P20" s="190"/>
      <c r="Q20" s="190"/>
      <c r="R20" s="190"/>
      <c r="S20" s="190"/>
      <c r="T20" s="190"/>
    </row>
    <row r="21" spans="1:20">
      <c r="A21" s="86" t="s">
        <v>477</v>
      </c>
      <c r="B21" s="257">
        <v>6.008</v>
      </c>
      <c r="C21" s="257">
        <v>5.6909999999999998</v>
      </c>
      <c r="D21" s="257">
        <v>6.1760000000000002</v>
      </c>
      <c r="E21" s="257">
        <v>6.4649999999999999</v>
      </c>
      <c r="F21" s="257">
        <v>7.1349999999999998</v>
      </c>
      <c r="G21" s="257">
        <v>7.9660000000000002</v>
      </c>
      <c r="H21" s="257">
        <v>8.2989999999999995</v>
      </c>
      <c r="I21" s="257">
        <v>7.5720000000000001</v>
      </c>
      <c r="J21" s="257">
        <v>8</v>
      </c>
      <c r="L21" s="190"/>
      <c r="M21" s="190"/>
      <c r="N21" s="190"/>
      <c r="O21" s="190"/>
      <c r="P21" s="190"/>
      <c r="Q21" s="190"/>
      <c r="R21" s="190"/>
      <c r="S21" s="190"/>
      <c r="T21" s="190"/>
    </row>
    <row r="22" spans="1:20">
      <c r="A22" s="86" t="s">
        <v>478</v>
      </c>
      <c r="B22" s="257">
        <v>61.255000000000003</v>
      </c>
      <c r="C22" s="257">
        <v>63.127000000000002</v>
      </c>
      <c r="D22" s="257">
        <v>61.627000000000002</v>
      </c>
      <c r="E22" s="257">
        <v>63.42</v>
      </c>
      <c r="F22" s="257">
        <v>63.64</v>
      </c>
      <c r="G22" s="257">
        <v>62.781999999999996</v>
      </c>
      <c r="H22" s="257">
        <v>64.441000000000003</v>
      </c>
      <c r="I22" s="257">
        <v>66.031999999999996</v>
      </c>
      <c r="J22" s="257">
        <v>64.298000000000002</v>
      </c>
      <c r="L22" s="190"/>
      <c r="M22" s="190"/>
      <c r="N22" s="190"/>
      <c r="O22" s="190"/>
      <c r="P22" s="190"/>
      <c r="Q22" s="190"/>
      <c r="R22" s="190"/>
      <c r="S22" s="190"/>
      <c r="T22" s="190"/>
    </row>
    <row r="23" spans="1:20">
      <c r="A23" s="86" t="s">
        <v>479</v>
      </c>
      <c r="B23" s="257">
        <v>5.57</v>
      </c>
      <c r="C23" s="257">
        <v>5.98</v>
      </c>
      <c r="D23" s="257">
        <v>7.12</v>
      </c>
      <c r="E23" s="257">
        <v>6.8419999999999996</v>
      </c>
      <c r="F23" s="257">
        <v>8.0779999999999994</v>
      </c>
      <c r="G23" s="257">
        <v>8.5579999999999998</v>
      </c>
      <c r="H23" s="257">
        <v>7.59</v>
      </c>
      <c r="I23" s="257">
        <v>7.2850000000000001</v>
      </c>
      <c r="J23" s="257">
        <v>7.62</v>
      </c>
      <c r="L23" s="190"/>
      <c r="M23" s="190"/>
      <c r="N23" s="190"/>
      <c r="O23" s="190"/>
      <c r="P23" s="190"/>
      <c r="Q23" s="190"/>
      <c r="R23" s="190"/>
      <c r="S23" s="190"/>
      <c r="T23" s="190"/>
    </row>
    <row r="24" spans="1:20">
      <c r="A24" s="86" t="s">
        <v>2</v>
      </c>
      <c r="B24" s="257">
        <f t="shared" ref="B24:F24" si="1">SUM(B16:B23)</f>
        <v>82.798000000000002</v>
      </c>
      <c r="C24" s="257">
        <f t="shared" si="1"/>
        <v>83.887000000000015</v>
      </c>
      <c r="D24" s="257">
        <f t="shared" si="1"/>
        <v>85.443000000000012</v>
      </c>
      <c r="E24" s="257">
        <f t="shared" si="1"/>
        <v>87.873999999999995</v>
      </c>
      <c r="F24" s="257">
        <f t="shared" si="1"/>
        <v>90.329000000000008</v>
      </c>
      <c r="G24" s="257">
        <f>SUM(G16:G23)</f>
        <v>90.5</v>
      </c>
      <c r="H24" s="257">
        <f>SUM(H16:H23)</f>
        <v>91.784999999999997</v>
      </c>
      <c r="I24" s="257">
        <f>SUM(I16:I23)</f>
        <v>92.643000000000001</v>
      </c>
      <c r="J24" s="257">
        <f>SUM(J16:J23)</f>
        <v>91.951000000000008</v>
      </c>
      <c r="L24" s="190"/>
      <c r="M24" s="190"/>
      <c r="N24" s="190"/>
      <c r="O24" s="190"/>
      <c r="P24" s="190"/>
      <c r="Q24" s="190"/>
      <c r="R24" s="190"/>
      <c r="S24" s="190"/>
      <c r="T24" s="190"/>
    </row>
    <row r="25" spans="1:20">
      <c r="A25" s="173" t="s">
        <v>50</v>
      </c>
      <c r="B25" s="26"/>
      <c r="C25" s="26"/>
      <c r="D25" s="26"/>
      <c r="E25" s="26"/>
      <c r="H25" s="26"/>
      <c r="I25" s="26"/>
    </row>
    <row r="26" spans="1:20">
      <c r="A26" s="86" t="s">
        <v>472</v>
      </c>
      <c r="B26" s="257">
        <v>0.74299999999999999</v>
      </c>
      <c r="C26" s="257">
        <v>0.57899999999999996</v>
      </c>
      <c r="D26" s="257">
        <v>0.53500000000000003</v>
      </c>
      <c r="E26" s="257">
        <v>0.71099999999999997</v>
      </c>
      <c r="F26" s="257">
        <v>0.68300000000000005</v>
      </c>
      <c r="G26" s="257">
        <v>0.432</v>
      </c>
      <c r="H26" s="257">
        <v>0.54700000000000004</v>
      </c>
      <c r="I26" s="257">
        <v>0.66100000000000003</v>
      </c>
      <c r="J26" s="257">
        <v>0.60499999999999998</v>
      </c>
      <c r="L26" s="190"/>
      <c r="M26" s="190"/>
      <c r="N26" s="190"/>
      <c r="O26" s="190"/>
      <c r="P26" s="190"/>
      <c r="Q26" s="190"/>
      <c r="R26" s="190"/>
      <c r="S26" s="190"/>
      <c r="T26" s="190"/>
    </row>
    <row r="27" spans="1:20">
      <c r="A27" s="86" t="s">
        <v>473</v>
      </c>
      <c r="B27" s="257">
        <v>0.35799999999999998</v>
      </c>
      <c r="C27" s="257">
        <v>0.32200000000000001</v>
      </c>
      <c r="D27" s="257">
        <v>0.41899999999999998</v>
      </c>
      <c r="E27" s="257">
        <v>0.51</v>
      </c>
      <c r="F27" s="257">
        <v>0.44800000000000001</v>
      </c>
      <c r="G27" s="257">
        <v>0.41899999999999998</v>
      </c>
      <c r="H27" s="257">
        <v>0.41199999999999998</v>
      </c>
      <c r="I27" s="257">
        <v>0.45</v>
      </c>
      <c r="J27" s="257">
        <v>0.377</v>
      </c>
      <c r="L27" s="190"/>
      <c r="M27" s="190"/>
      <c r="N27" s="190"/>
      <c r="O27" s="190"/>
      <c r="P27" s="190"/>
      <c r="Q27" s="190"/>
      <c r="R27" s="190"/>
      <c r="S27" s="190"/>
      <c r="T27" s="190"/>
    </row>
    <row r="28" spans="1:20">
      <c r="A28" s="86" t="s">
        <v>474</v>
      </c>
      <c r="B28" s="257">
        <v>2.2829999999999999</v>
      </c>
      <c r="C28" s="257">
        <v>2.214</v>
      </c>
      <c r="D28" s="257">
        <v>2.5920000000000001</v>
      </c>
      <c r="E28" s="257">
        <v>2.6850000000000001</v>
      </c>
      <c r="F28" s="257">
        <v>2.649</v>
      </c>
      <c r="G28" s="257">
        <v>2.6720000000000002</v>
      </c>
      <c r="H28" s="257">
        <v>2.9489999999999998</v>
      </c>
      <c r="I28" s="257">
        <v>2.8370000000000002</v>
      </c>
      <c r="J28" s="257">
        <v>2.84</v>
      </c>
      <c r="L28" s="190"/>
      <c r="M28" s="190"/>
      <c r="N28" s="190"/>
      <c r="O28" s="190"/>
      <c r="P28" s="190"/>
      <c r="Q28" s="190"/>
      <c r="R28" s="190"/>
      <c r="S28" s="190"/>
      <c r="T28" s="190"/>
    </row>
    <row r="29" spans="1:20">
      <c r="A29" s="86" t="s">
        <v>475</v>
      </c>
      <c r="B29" s="257">
        <v>6.5979999999999999</v>
      </c>
      <c r="C29" s="257">
        <v>6.47</v>
      </c>
      <c r="D29" s="257">
        <v>6.7939999999999996</v>
      </c>
      <c r="E29" s="257">
        <v>7.4020000000000001</v>
      </c>
      <c r="F29" s="257">
        <v>7.9630000000000001</v>
      </c>
      <c r="G29" s="257">
        <v>7.8840000000000003</v>
      </c>
      <c r="H29" s="257">
        <v>7.6340000000000003</v>
      </c>
      <c r="I29" s="257">
        <v>7.9130000000000003</v>
      </c>
      <c r="J29" s="257">
        <v>8.3019999999999996</v>
      </c>
      <c r="L29" s="190"/>
      <c r="M29" s="190"/>
      <c r="N29" s="190"/>
      <c r="O29" s="190"/>
      <c r="P29" s="190"/>
      <c r="Q29" s="190"/>
      <c r="R29" s="190"/>
      <c r="S29" s="190"/>
      <c r="T29" s="190"/>
    </row>
    <row r="30" spans="1:20">
      <c r="A30" s="86" t="s">
        <v>476</v>
      </c>
      <c r="B30" s="257">
        <v>0.05</v>
      </c>
      <c r="C30" s="257">
        <v>5.3999999999999999E-2</v>
      </c>
      <c r="D30" s="257">
        <v>0.158</v>
      </c>
      <c r="E30" s="257">
        <v>9.7000000000000003E-2</v>
      </c>
      <c r="F30" s="257">
        <v>0.124</v>
      </c>
      <c r="G30" s="257">
        <v>0.17799999999999999</v>
      </c>
      <c r="H30" s="257">
        <v>0.127</v>
      </c>
      <c r="I30" s="257">
        <v>0.18</v>
      </c>
      <c r="J30" s="257">
        <v>0.115</v>
      </c>
      <c r="L30" s="190"/>
      <c r="M30" s="190"/>
      <c r="N30" s="190"/>
      <c r="O30" s="190"/>
      <c r="P30" s="190"/>
      <c r="Q30" s="190"/>
      <c r="R30" s="190"/>
      <c r="S30" s="190"/>
      <c r="T30" s="190"/>
    </row>
    <row r="31" spans="1:20">
      <c r="A31" s="86" t="s">
        <v>477</v>
      </c>
      <c r="B31" s="257">
        <v>6.0679999999999996</v>
      </c>
      <c r="C31" s="257">
        <v>5.6950000000000003</v>
      </c>
      <c r="D31" s="257">
        <v>6.2549999999999999</v>
      </c>
      <c r="E31" s="257">
        <v>6.6749999999999998</v>
      </c>
      <c r="F31" s="257">
        <v>7.2169999999999996</v>
      </c>
      <c r="G31" s="257">
        <v>7.7220000000000004</v>
      </c>
      <c r="H31" s="257">
        <v>8.2219999999999995</v>
      </c>
      <c r="I31" s="257">
        <v>7.6509999999999998</v>
      </c>
      <c r="J31" s="257">
        <v>8.1809999999999992</v>
      </c>
      <c r="L31" s="190"/>
      <c r="M31" s="190"/>
      <c r="N31" s="190"/>
      <c r="O31" s="190"/>
      <c r="P31" s="190"/>
      <c r="Q31" s="190"/>
      <c r="R31" s="190"/>
      <c r="S31" s="190"/>
      <c r="T31" s="190"/>
    </row>
    <row r="32" spans="1:20">
      <c r="A32" s="86" t="s">
        <v>478</v>
      </c>
      <c r="B32" s="257">
        <v>64.658000000000001</v>
      </c>
      <c r="C32" s="257">
        <v>65.823999999999998</v>
      </c>
      <c r="D32" s="257">
        <v>65.346000000000004</v>
      </c>
      <c r="E32" s="257">
        <v>65.771000000000001</v>
      </c>
      <c r="F32" s="257">
        <v>68.016999999999996</v>
      </c>
      <c r="G32" s="257">
        <v>67.872</v>
      </c>
      <c r="H32" s="257">
        <v>69.34</v>
      </c>
      <c r="I32" s="257">
        <v>68.435000000000002</v>
      </c>
      <c r="J32" s="257">
        <v>68.183000000000007</v>
      </c>
      <c r="L32" s="190"/>
      <c r="M32" s="190"/>
      <c r="N32" s="190"/>
      <c r="O32" s="190"/>
      <c r="P32" s="190"/>
      <c r="Q32" s="190"/>
      <c r="R32" s="190"/>
      <c r="S32" s="190"/>
      <c r="T32" s="190"/>
    </row>
    <row r="33" spans="1:20">
      <c r="A33" s="86" t="s">
        <v>479</v>
      </c>
      <c r="B33" s="257">
        <v>5.8710000000000004</v>
      </c>
      <c r="C33" s="257">
        <v>6.2430000000000003</v>
      </c>
      <c r="D33" s="257">
        <v>7.6130000000000004</v>
      </c>
      <c r="E33" s="257">
        <v>7.1619999999999999</v>
      </c>
      <c r="F33" s="257">
        <v>8.1679999999999993</v>
      </c>
      <c r="G33" s="257">
        <v>8.8369999999999997</v>
      </c>
      <c r="H33" s="257">
        <v>8.1340000000000003</v>
      </c>
      <c r="I33" s="257">
        <v>7.7430000000000003</v>
      </c>
      <c r="J33" s="257">
        <v>7.9829999999999997</v>
      </c>
      <c r="L33" s="190"/>
      <c r="M33" s="190"/>
      <c r="N33" s="190"/>
      <c r="O33" s="190"/>
      <c r="P33" s="190"/>
      <c r="Q33" s="190"/>
      <c r="R33" s="190"/>
      <c r="S33" s="190"/>
      <c r="T33" s="190"/>
    </row>
    <row r="34" spans="1:20">
      <c r="A34" s="86" t="s">
        <v>2</v>
      </c>
      <c r="B34" s="257">
        <f t="shared" ref="B34:F34" si="2">SUM(B26:B33)</f>
        <v>86.629000000000005</v>
      </c>
      <c r="C34" s="257">
        <f t="shared" si="2"/>
        <v>87.400999999999996</v>
      </c>
      <c r="D34" s="257">
        <f t="shared" si="2"/>
        <v>89.712000000000003</v>
      </c>
      <c r="E34" s="257">
        <f t="shared" si="2"/>
        <v>91.013000000000005</v>
      </c>
      <c r="F34" s="257">
        <f t="shared" si="2"/>
        <v>95.269000000000005</v>
      </c>
      <c r="G34" s="257">
        <f>SUM(G26:G33)</f>
        <v>96.016000000000005</v>
      </c>
      <c r="H34" s="257">
        <f>SUM(H26:H33)</f>
        <v>97.364999999999995</v>
      </c>
      <c r="I34" s="257">
        <f>SUM(I26:I33)</f>
        <v>95.87</v>
      </c>
      <c r="J34" s="257">
        <f>SUM(J26:J33)</f>
        <v>96.586000000000013</v>
      </c>
      <c r="L34" s="190"/>
      <c r="M34" s="190"/>
      <c r="N34" s="190"/>
      <c r="O34" s="190"/>
      <c r="P34" s="190"/>
      <c r="Q34" s="190"/>
      <c r="R34" s="190"/>
      <c r="S34" s="190"/>
      <c r="T34" s="190"/>
    </row>
    <row r="35" spans="1:20">
      <c r="A35" s="173" t="s">
        <v>223</v>
      </c>
      <c r="B35" s="26"/>
      <c r="C35" s="26"/>
      <c r="D35" s="26"/>
      <c r="E35" s="26"/>
      <c r="H35" s="26"/>
      <c r="I35" s="26"/>
    </row>
    <row r="36" spans="1:20">
      <c r="A36" s="86" t="s">
        <v>472</v>
      </c>
      <c r="B36" s="257">
        <v>1.6839999999999999</v>
      </c>
      <c r="C36" s="257">
        <v>1.6930000000000001</v>
      </c>
      <c r="D36" s="257">
        <v>1.7350000000000001</v>
      </c>
      <c r="E36" s="257">
        <v>1.9339999999999999</v>
      </c>
      <c r="F36" s="257">
        <v>1.907</v>
      </c>
      <c r="G36" s="257">
        <v>1.905</v>
      </c>
      <c r="H36" s="257">
        <v>2.0409999999999999</v>
      </c>
      <c r="I36" s="257">
        <v>1.859</v>
      </c>
      <c r="J36" s="257">
        <v>2.0009999999999999</v>
      </c>
    </row>
    <row r="37" spans="1:20">
      <c r="A37" s="86" t="s">
        <v>473</v>
      </c>
      <c r="B37" s="257">
        <v>15.221</v>
      </c>
      <c r="C37" s="257">
        <v>12.914</v>
      </c>
      <c r="D37" s="257">
        <v>13.167999999999999</v>
      </c>
      <c r="E37" s="257">
        <v>15.284000000000001</v>
      </c>
      <c r="F37" s="257">
        <v>15.07</v>
      </c>
      <c r="G37" s="257">
        <v>15.433999999999999</v>
      </c>
      <c r="H37" s="257">
        <v>14.541</v>
      </c>
      <c r="I37" s="257">
        <v>14.97</v>
      </c>
      <c r="J37" s="257">
        <v>14.941000000000001</v>
      </c>
    </row>
    <row r="38" spans="1:20">
      <c r="A38" s="86" t="s">
        <v>474</v>
      </c>
      <c r="B38" s="257">
        <v>4.8739999999999997</v>
      </c>
      <c r="C38" s="257">
        <v>4.7309999999999999</v>
      </c>
      <c r="D38" s="257">
        <v>5.36</v>
      </c>
      <c r="E38" s="257">
        <v>5.1319999999999997</v>
      </c>
      <c r="F38" s="257">
        <v>5.1950000000000003</v>
      </c>
      <c r="G38" s="257">
        <v>5.0460000000000003</v>
      </c>
      <c r="H38" s="257">
        <v>5.4020000000000001</v>
      </c>
      <c r="I38" s="257">
        <v>5.6680000000000001</v>
      </c>
      <c r="J38" s="257">
        <v>5.3869999999999996</v>
      </c>
    </row>
    <row r="39" spans="1:20">
      <c r="A39" s="86" t="s">
        <v>475</v>
      </c>
      <c r="B39" s="257">
        <v>8.4160000000000004</v>
      </c>
      <c r="C39" s="257">
        <v>7.7729999999999997</v>
      </c>
      <c r="D39" s="257">
        <v>8.5830000000000002</v>
      </c>
      <c r="E39" s="257">
        <v>9.0820000000000007</v>
      </c>
      <c r="F39" s="257">
        <v>9.5190000000000001</v>
      </c>
      <c r="G39" s="257">
        <v>9.3879999999999999</v>
      </c>
      <c r="H39" s="257">
        <v>9.31</v>
      </c>
      <c r="I39" s="257">
        <v>9.3710000000000004</v>
      </c>
      <c r="J39" s="257">
        <v>9.8689999999999998</v>
      </c>
    </row>
    <row r="40" spans="1:20">
      <c r="A40" s="86" t="s">
        <v>476</v>
      </c>
      <c r="B40" s="257">
        <v>6.5490000000000004</v>
      </c>
      <c r="C40" s="257">
        <v>6.548</v>
      </c>
      <c r="D40" s="257">
        <v>6.9889999999999999</v>
      </c>
      <c r="E40" s="257">
        <v>7.1890000000000001</v>
      </c>
      <c r="F40" s="257">
        <v>7.1360000000000001</v>
      </c>
      <c r="G40" s="257">
        <v>7.6210000000000004</v>
      </c>
      <c r="H40" s="257">
        <v>7.835</v>
      </c>
      <c r="I40" s="257">
        <v>7.9710000000000001</v>
      </c>
      <c r="J40" s="257">
        <v>7.8869999999999996</v>
      </c>
    </row>
    <row r="41" spans="1:20">
      <c r="A41" s="86" t="s">
        <v>477</v>
      </c>
      <c r="B41" s="257">
        <v>38.593000000000004</v>
      </c>
      <c r="C41" s="257">
        <v>38.456000000000003</v>
      </c>
      <c r="D41" s="257">
        <v>38.607999999999997</v>
      </c>
      <c r="E41" s="257">
        <v>39.14</v>
      </c>
      <c r="F41" s="257">
        <v>39.393000000000001</v>
      </c>
      <c r="G41" s="257">
        <v>39.622</v>
      </c>
      <c r="H41" s="257">
        <v>41.363</v>
      </c>
      <c r="I41" s="257">
        <v>41.261000000000003</v>
      </c>
      <c r="J41" s="257">
        <v>45.128</v>
      </c>
    </row>
    <row r="42" spans="1:20">
      <c r="A42" s="86" t="s">
        <v>478</v>
      </c>
      <c r="B42" s="257">
        <v>201.89099999999999</v>
      </c>
      <c r="C42" s="257">
        <v>213.739</v>
      </c>
      <c r="D42" s="257">
        <v>222.221</v>
      </c>
      <c r="E42" s="257">
        <v>228.97499999999999</v>
      </c>
      <c r="F42" s="257">
        <v>230.08</v>
      </c>
      <c r="G42" s="257">
        <v>240.642</v>
      </c>
      <c r="H42" s="257">
        <v>243.917</v>
      </c>
      <c r="I42" s="257">
        <v>243.50700000000001</v>
      </c>
      <c r="J42" s="257">
        <v>248.875</v>
      </c>
    </row>
    <row r="43" spans="1:20">
      <c r="A43" s="86" t="s">
        <v>479</v>
      </c>
      <c r="B43" s="257">
        <v>15.768000000000001</v>
      </c>
      <c r="C43" s="257">
        <v>16.393000000000001</v>
      </c>
      <c r="D43" s="257">
        <v>19.001000000000001</v>
      </c>
      <c r="E43" s="257">
        <v>19.353000000000002</v>
      </c>
      <c r="F43" s="257">
        <v>20.663</v>
      </c>
      <c r="G43" s="257">
        <v>21.361999999999998</v>
      </c>
      <c r="H43" s="257">
        <v>20.663</v>
      </c>
      <c r="I43" s="257">
        <v>21.061</v>
      </c>
      <c r="J43" s="257">
        <v>21.768000000000001</v>
      </c>
    </row>
    <row r="44" spans="1:20">
      <c r="A44" s="86" t="s">
        <v>2</v>
      </c>
      <c r="B44" s="257">
        <f t="shared" ref="B44:F44" si="3">SUM(B36:B43)</f>
        <v>292.99599999999998</v>
      </c>
      <c r="C44" s="257">
        <f t="shared" si="3"/>
        <v>302.24700000000007</v>
      </c>
      <c r="D44" s="257">
        <f t="shared" si="3"/>
        <v>315.66499999999996</v>
      </c>
      <c r="E44" s="257">
        <f t="shared" si="3"/>
        <v>326.089</v>
      </c>
      <c r="F44" s="257">
        <f t="shared" si="3"/>
        <v>328.96300000000002</v>
      </c>
      <c r="G44" s="257">
        <f>SUM(G36:G43)</f>
        <v>341.02000000000004</v>
      </c>
      <c r="H44" s="257">
        <f>SUM(H36:H43)</f>
        <v>345.072</v>
      </c>
      <c r="I44" s="257">
        <f>SUM(I36:I43)</f>
        <v>345.66799999999995</v>
      </c>
      <c r="J44" s="257">
        <f>SUM(J36:J43)</f>
        <v>355.85599999999999</v>
      </c>
    </row>
    <row r="45" spans="1:20">
      <c r="A45" s="173" t="s">
        <v>127</v>
      </c>
      <c r="B45" s="26"/>
      <c r="C45" s="26"/>
      <c r="D45" s="26"/>
      <c r="E45" s="26"/>
      <c r="H45" s="26"/>
      <c r="I45" s="26"/>
    </row>
    <row r="46" spans="1:20">
      <c r="A46" s="86" t="s">
        <v>472</v>
      </c>
      <c r="B46" s="257">
        <v>0.129</v>
      </c>
      <c r="C46" s="257">
        <v>0.12</v>
      </c>
      <c r="D46" s="257">
        <v>0.14000000000000001</v>
      </c>
      <c r="E46" s="257">
        <v>0.186</v>
      </c>
      <c r="F46" s="257">
        <v>0.18099999999999999</v>
      </c>
      <c r="G46" s="257">
        <v>0.185</v>
      </c>
      <c r="H46" s="257">
        <v>0.11799999999999999</v>
      </c>
      <c r="I46" s="257">
        <v>0.11799999999999999</v>
      </c>
      <c r="J46" s="257">
        <v>0.13500000000000001</v>
      </c>
    </row>
    <row r="47" spans="1:20">
      <c r="A47" s="86" t="s">
        <v>473</v>
      </c>
      <c r="B47" s="257">
        <v>0.21099999999999999</v>
      </c>
      <c r="C47" s="257">
        <v>0.14599999999999999</v>
      </c>
      <c r="D47" s="257">
        <v>0.218</v>
      </c>
      <c r="E47" s="257">
        <v>0.28000000000000003</v>
      </c>
      <c r="F47" s="257">
        <v>0.14799999999999999</v>
      </c>
      <c r="G47" s="257">
        <v>0.12</v>
      </c>
      <c r="H47" s="257">
        <v>0.10299999999999999</v>
      </c>
      <c r="I47" s="257">
        <v>0.10199999999999999</v>
      </c>
      <c r="J47" s="257">
        <v>0.124</v>
      </c>
    </row>
    <row r="48" spans="1:20">
      <c r="A48" s="86" t="s">
        <v>474</v>
      </c>
      <c r="B48" s="257">
        <v>0.26600000000000001</v>
      </c>
      <c r="C48" s="257">
        <v>0.27200000000000002</v>
      </c>
      <c r="D48" s="257">
        <v>0.253</v>
      </c>
      <c r="E48" s="257">
        <v>0.248</v>
      </c>
      <c r="F48" s="257">
        <v>0.24199999999999999</v>
      </c>
      <c r="G48" s="257">
        <v>0.255</v>
      </c>
      <c r="H48" s="257">
        <v>0.19500000000000001</v>
      </c>
      <c r="I48" s="257">
        <v>0.26500000000000001</v>
      </c>
      <c r="J48" s="257">
        <v>0.254</v>
      </c>
    </row>
    <row r="49" spans="1:10">
      <c r="A49" s="86" t="s">
        <v>475</v>
      </c>
      <c r="B49" s="257">
        <v>0.57599999999999996</v>
      </c>
      <c r="C49" s="257">
        <v>0.40200000000000002</v>
      </c>
      <c r="D49" s="257">
        <v>0.48399999999999999</v>
      </c>
      <c r="E49" s="257">
        <v>0.64300000000000002</v>
      </c>
      <c r="F49" s="257">
        <v>0.60599999999999998</v>
      </c>
      <c r="G49" s="257">
        <v>0.69499999999999995</v>
      </c>
      <c r="H49" s="257">
        <v>0.83</v>
      </c>
      <c r="I49" s="257">
        <v>0.72899999999999998</v>
      </c>
      <c r="J49" s="257">
        <v>0.64</v>
      </c>
    </row>
    <row r="50" spans="1:10">
      <c r="A50" s="86" t="s">
        <v>476</v>
      </c>
      <c r="B50" s="257">
        <v>2.7E-2</v>
      </c>
      <c r="C50" s="257">
        <v>5.2999999999999999E-2</v>
      </c>
      <c r="D50" s="257">
        <v>3.1E-2</v>
      </c>
      <c r="E50" s="257">
        <v>3.2000000000000001E-2</v>
      </c>
      <c r="F50" s="257">
        <v>4.8000000000000001E-2</v>
      </c>
      <c r="G50" s="257">
        <v>3.6999999999999998E-2</v>
      </c>
      <c r="H50" s="257">
        <v>2.5999999999999999E-2</v>
      </c>
      <c r="I50" s="257">
        <v>3.5999999999999997E-2</v>
      </c>
      <c r="J50" s="257">
        <v>0.03</v>
      </c>
    </row>
    <row r="51" spans="1:10">
      <c r="A51" s="86" t="s">
        <v>477</v>
      </c>
      <c r="B51" s="257">
        <v>0.998</v>
      </c>
      <c r="C51" s="257">
        <v>1.1299999999999999</v>
      </c>
      <c r="D51" s="257">
        <v>1.4239999999999999</v>
      </c>
      <c r="E51" s="257">
        <v>1.516</v>
      </c>
      <c r="F51" s="257">
        <v>1.2729999999999999</v>
      </c>
      <c r="G51" s="257">
        <v>1.448</v>
      </c>
      <c r="H51" s="257">
        <v>1.2929999999999999</v>
      </c>
      <c r="I51" s="257">
        <v>1.4450000000000001</v>
      </c>
      <c r="J51" s="257">
        <v>1.631</v>
      </c>
    </row>
    <row r="52" spans="1:10">
      <c r="A52" s="86" t="s">
        <v>478</v>
      </c>
      <c r="B52" s="257">
        <v>14.416</v>
      </c>
      <c r="C52" s="257">
        <v>14.238</v>
      </c>
      <c r="D52" s="257">
        <v>14.819000000000001</v>
      </c>
      <c r="E52" s="257">
        <v>16.189</v>
      </c>
      <c r="F52" s="257">
        <v>15.723000000000001</v>
      </c>
      <c r="G52" s="257">
        <v>15.167</v>
      </c>
      <c r="H52" s="257">
        <v>14.597</v>
      </c>
      <c r="I52" s="257">
        <v>14.255000000000001</v>
      </c>
      <c r="J52" s="257">
        <v>12.964</v>
      </c>
    </row>
    <row r="53" spans="1:10">
      <c r="A53" s="86" t="s">
        <v>479</v>
      </c>
      <c r="B53" s="257">
        <v>1.5029999999999999</v>
      </c>
      <c r="C53" s="257">
        <v>1.4490000000000001</v>
      </c>
      <c r="D53" s="257">
        <v>1.4490000000000001</v>
      </c>
      <c r="E53" s="257">
        <v>1.792</v>
      </c>
      <c r="F53" s="257">
        <v>1.9790000000000001</v>
      </c>
      <c r="G53" s="257">
        <v>2.0670000000000002</v>
      </c>
      <c r="H53" s="257">
        <v>1.125</v>
      </c>
      <c r="I53" s="257">
        <v>1.0389999999999999</v>
      </c>
      <c r="J53" s="257">
        <v>1.2290000000000001</v>
      </c>
    </row>
    <row r="54" spans="1:10" ht="10.15" customHeight="1">
      <c r="A54" s="88" t="s">
        <v>2</v>
      </c>
      <c r="B54" s="258">
        <f t="shared" ref="B54:F54" si="4">SUM(B46:B53)</f>
        <v>18.126000000000001</v>
      </c>
      <c r="C54" s="258">
        <f t="shared" si="4"/>
        <v>17.810000000000002</v>
      </c>
      <c r="D54" s="258">
        <f t="shared" si="4"/>
        <v>18.818000000000001</v>
      </c>
      <c r="E54" s="258">
        <f t="shared" si="4"/>
        <v>20.886000000000003</v>
      </c>
      <c r="F54" s="258">
        <f t="shared" si="4"/>
        <v>20.2</v>
      </c>
      <c r="G54" s="258">
        <f>SUM(G46:G53)</f>
        <v>19.974</v>
      </c>
      <c r="H54" s="258">
        <f>SUM(H46:H53)</f>
        <v>18.286999999999999</v>
      </c>
      <c r="I54" s="258">
        <f>SUM(I46:I53)</f>
        <v>17.989000000000004</v>
      </c>
      <c r="J54" s="258">
        <f>SUM(J46:J53)</f>
        <v>17.007000000000001</v>
      </c>
    </row>
    <row r="55" spans="1:10" ht="13.15" customHeight="1">
      <c r="A55" s="52" t="s">
        <v>514</v>
      </c>
    </row>
    <row r="56" spans="1:10" ht="13.15" customHeight="1">
      <c r="A56" s="52" t="s">
        <v>507</v>
      </c>
    </row>
    <row r="57" spans="1:10" ht="10.15" customHeight="1">
      <c r="E57" s="78"/>
      <c r="H57" s="101"/>
      <c r="I57" s="225" t="s">
        <v>592</v>
      </c>
    </row>
  </sheetData>
  <phoneticPr fontId="0" type="noConversion"/>
  <pageMargins left="0.75" right="0.75" top="1" bottom="1" header="0.5" footer="0.5"/>
  <pageSetup scale="84" firstPageNumber="49" fitToHeight="0" orientation="portrait" useFirstPageNumber="1" r:id="rId1"/>
  <headerFooter alignWithMargins="0">
    <oddHeader xml:space="preserve">&amp;C
</oddHeader>
    <oddFooter>&amp;COil Crops Yearbook/OCS-2023
March 2023
Economic Research Service
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61"/>
  <sheetViews>
    <sheetView zoomScaleNormal="100" zoomScaleSheetLayoutView="90" workbookViewId="0">
      <pane ySplit="5" topLeftCell="A6" activePane="bottomLeft" state="frozen"/>
      <selection pane="bottomLeft"/>
    </sheetView>
  </sheetViews>
  <sheetFormatPr defaultRowHeight="11.25"/>
  <cols>
    <col min="1" max="1" width="9.6640625" customWidth="1"/>
    <col min="2" max="6" width="12.6640625" customWidth="1"/>
    <col min="7" max="7" width="14.83203125" customWidth="1"/>
    <col min="8" max="11" width="12.6640625" customWidth="1"/>
  </cols>
  <sheetData>
    <row r="1" spans="1:11">
      <c r="A1" s="67" t="s">
        <v>599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t="s">
        <v>379</v>
      </c>
      <c r="B2" s="123"/>
      <c r="C2" s="4"/>
      <c r="D2" s="137" t="s">
        <v>75</v>
      </c>
      <c r="E2" s="120"/>
      <c r="F2" s="4"/>
      <c r="G2" s="104" t="s">
        <v>73</v>
      </c>
      <c r="H2" s="4"/>
      <c r="I2" s="120"/>
      <c r="K2" s="9" t="s">
        <v>74</v>
      </c>
    </row>
    <row r="3" spans="1:11">
      <c r="A3" t="s">
        <v>59</v>
      </c>
      <c r="B3" s="108" t="s">
        <v>96</v>
      </c>
      <c r="E3" s="111"/>
      <c r="F3" s="117" t="s">
        <v>97</v>
      </c>
      <c r="G3" s="122"/>
      <c r="I3" s="111"/>
      <c r="J3" s="7" t="s">
        <v>98</v>
      </c>
      <c r="K3" s="7" t="s">
        <v>125</v>
      </c>
    </row>
    <row r="4" spans="1:11">
      <c r="A4" s="1" t="s">
        <v>95</v>
      </c>
      <c r="B4" s="116" t="s">
        <v>66</v>
      </c>
      <c r="C4" s="9" t="s">
        <v>40</v>
      </c>
      <c r="D4" s="89" t="s">
        <v>49</v>
      </c>
      <c r="E4" s="127" t="s">
        <v>2</v>
      </c>
      <c r="F4" s="116" t="s">
        <v>2</v>
      </c>
      <c r="G4" s="120" t="s">
        <v>532</v>
      </c>
      <c r="H4" s="9" t="s">
        <v>50</v>
      </c>
      <c r="I4" s="127" t="s">
        <v>2</v>
      </c>
      <c r="J4" s="9" t="s">
        <v>66</v>
      </c>
      <c r="K4" s="9" t="s">
        <v>356</v>
      </c>
    </row>
    <row r="5" spans="1:11">
      <c r="F5" s="154" t="s">
        <v>51</v>
      </c>
      <c r="K5" s="150" t="s">
        <v>248</v>
      </c>
    </row>
    <row r="6" spans="1:11">
      <c r="K6" s="74"/>
    </row>
    <row r="7" spans="1:11">
      <c r="A7" s="10" t="s">
        <v>181</v>
      </c>
      <c r="B7" s="27">
        <v>1210</v>
      </c>
      <c r="C7" s="27">
        <v>11270.18</v>
      </c>
      <c r="D7" s="27">
        <v>0.01</v>
      </c>
      <c r="E7" s="27">
        <f t="shared" ref="E7:E30" si="0">+B7+C7+D7</f>
        <v>12480.19</v>
      </c>
      <c r="F7" s="27">
        <f t="shared" ref="F7:F27" si="1">+I7-H7</f>
        <v>9113.0720000000001</v>
      </c>
      <c r="G7" s="72" t="s">
        <v>229</v>
      </c>
      <c r="H7" s="27">
        <v>1631</v>
      </c>
      <c r="I7" s="27">
        <f t="shared" ref="I7:I47" si="2">+E7-J7</f>
        <v>10744.072</v>
      </c>
      <c r="J7" s="27">
        <v>1736.1179999999999</v>
      </c>
      <c r="K7" s="24">
        <v>22.73</v>
      </c>
    </row>
    <row r="8" spans="1:11">
      <c r="A8" s="10" t="s">
        <v>182</v>
      </c>
      <c r="B8" s="27">
        <f t="shared" ref="B8:B26" si="3">+J7</f>
        <v>1736.1179999999999</v>
      </c>
      <c r="C8" s="27">
        <v>10979.424999999999</v>
      </c>
      <c r="D8" s="27">
        <v>2.8000000000000001E-2</v>
      </c>
      <c r="E8" s="27">
        <f t="shared" si="0"/>
        <v>12715.571</v>
      </c>
      <c r="F8" s="27">
        <f t="shared" si="1"/>
        <v>9536.0229999999992</v>
      </c>
      <c r="G8" s="72" t="s">
        <v>229</v>
      </c>
      <c r="H8" s="27">
        <v>2077</v>
      </c>
      <c r="I8" s="27">
        <f t="shared" si="2"/>
        <v>11613.022999999999</v>
      </c>
      <c r="J8" s="27">
        <v>1102.548</v>
      </c>
      <c r="K8" s="24">
        <v>18.95</v>
      </c>
    </row>
    <row r="9" spans="1:11">
      <c r="A9" s="10" t="s">
        <v>183</v>
      </c>
      <c r="B9" s="27">
        <f t="shared" si="3"/>
        <v>1102.548</v>
      </c>
      <c r="C9" s="27">
        <v>12040.358</v>
      </c>
      <c r="D9" s="27">
        <v>9.1999999999999998E-2</v>
      </c>
      <c r="E9" s="27">
        <f t="shared" si="0"/>
        <v>13142.998000000001</v>
      </c>
      <c r="F9" s="27">
        <f t="shared" si="1"/>
        <v>9857.0520000000015</v>
      </c>
      <c r="G9" s="72" t="s">
        <v>229</v>
      </c>
      <c r="H9" s="27">
        <v>2025</v>
      </c>
      <c r="I9" s="27">
        <f t="shared" si="2"/>
        <v>11882.052000000001</v>
      </c>
      <c r="J9" s="27">
        <v>1260.9459999999999</v>
      </c>
      <c r="K9" s="24">
        <v>20.62</v>
      </c>
    </row>
    <row r="10" spans="1:11">
      <c r="A10" s="10" t="s">
        <v>184</v>
      </c>
      <c r="B10" s="27">
        <f t="shared" si="3"/>
        <v>1260.9459999999999</v>
      </c>
      <c r="C10" s="27">
        <v>10862.793</v>
      </c>
      <c r="D10" s="27">
        <v>7.9000000000000001E-2</v>
      </c>
      <c r="E10" s="27">
        <f t="shared" si="0"/>
        <v>12123.817999999999</v>
      </c>
      <c r="F10" s="27">
        <f t="shared" si="1"/>
        <v>9579.3089999999993</v>
      </c>
      <c r="G10" s="72" t="s">
        <v>229</v>
      </c>
      <c r="H10" s="27">
        <v>1824</v>
      </c>
      <c r="I10" s="27">
        <f t="shared" si="2"/>
        <v>11403.308999999999</v>
      </c>
      <c r="J10" s="27">
        <v>720.50900000000001</v>
      </c>
      <c r="K10" s="24">
        <v>30.55</v>
      </c>
    </row>
    <row r="11" spans="1:11">
      <c r="A11" s="10" t="s">
        <v>185</v>
      </c>
      <c r="B11" s="27">
        <f t="shared" si="3"/>
        <v>720.50900000000001</v>
      </c>
      <c r="C11" s="27">
        <v>11467.944</v>
      </c>
      <c r="D11" s="27">
        <v>20.401</v>
      </c>
      <c r="E11" s="27">
        <f t="shared" si="0"/>
        <v>12208.853999999999</v>
      </c>
      <c r="F11" s="27">
        <f t="shared" si="1"/>
        <v>9916.3599999999988</v>
      </c>
      <c r="G11" s="72" t="s">
        <v>229</v>
      </c>
      <c r="H11" s="27">
        <v>1660</v>
      </c>
      <c r="I11" s="27">
        <f t="shared" si="2"/>
        <v>11576.359999999999</v>
      </c>
      <c r="J11" s="27">
        <v>632.49400000000003</v>
      </c>
      <c r="K11" s="24">
        <v>29.52</v>
      </c>
    </row>
    <row r="12" spans="1:11">
      <c r="A12" s="10" t="s">
        <v>186</v>
      </c>
      <c r="B12" s="27">
        <f t="shared" si="3"/>
        <v>632.49400000000003</v>
      </c>
      <c r="C12" s="27">
        <v>11617.272000000001</v>
      </c>
      <c r="D12" s="27">
        <v>7.7030000000000003</v>
      </c>
      <c r="E12" s="27">
        <f t="shared" si="0"/>
        <v>12257.469000000001</v>
      </c>
      <c r="F12" s="27">
        <f t="shared" si="1"/>
        <v>10053.876</v>
      </c>
      <c r="G12" s="72" t="s">
        <v>229</v>
      </c>
      <c r="H12" s="27">
        <v>1257</v>
      </c>
      <c r="I12" s="27">
        <f t="shared" si="2"/>
        <v>11310.876</v>
      </c>
      <c r="J12" s="27">
        <v>946.59299999999996</v>
      </c>
      <c r="K12" s="24">
        <v>18.02</v>
      </c>
    </row>
    <row r="13" spans="1:11">
      <c r="A13" s="10" t="s">
        <v>187</v>
      </c>
      <c r="B13" s="27">
        <f t="shared" si="3"/>
        <v>946.59299999999996</v>
      </c>
      <c r="C13" s="27">
        <v>12783.103999999999</v>
      </c>
      <c r="D13" s="27">
        <v>15</v>
      </c>
      <c r="E13" s="27">
        <f t="shared" si="0"/>
        <v>13744.697</v>
      </c>
      <c r="F13" s="27">
        <f t="shared" si="1"/>
        <v>10832.699000000001</v>
      </c>
      <c r="G13" s="72" t="s">
        <v>229</v>
      </c>
      <c r="H13" s="27">
        <v>1187</v>
      </c>
      <c r="I13" s="27">
        <f t="shared" si="2"/>
        <v>12019.699000000001</v>
      </c>
      <c r="J13" s="27">
        <v>1724.998</v>
      </c>
      <c r="K13" s="24">
        <v>15.36</v>
      </c>
    </row>
    <row r="14" spans="1:11">
      <c r="A14" s="10" t="s">
        <v>188</v>
      </c>
      <c r="B14" s="27">
        <f t="shared" si="3"/>
        <v>1724.998</v>
      </c>
      <c r="C14" s="27">
        <v>12974.541999999999</v>
      </c>
      <c r="D14" s="27">
        <v>193.87220000000002</v>
      </c>
      <c r="E14" s="27">
        <f t="shared" si="0"/>
        <v>14893.412199999999</v>
      </c>
      <c r="F14" s="27">
        <f t="shared" si="1"/>
        <v>10927.173199999999</v>
      </c>
      <c r="G14" s="72" t="s">
        <v>229</v>
      </c>
      <c r="H14" s="27">
        <v>1874</v>
      </c>
      <c r="I14" s="27">
        <f t="shared" si="2"/>
        <v>12801.173199999999</v>
      </c>
      <c r="J14" s="27">
        <v>2092.239</v>
      </c>
      <c r="K14" s="24">
        <v>22.67</v>
      </c>
    </row>
    <row r="15" spans="1:11">
      <c r="A15" s="10" t="s">
        <v>189</v>
      </c>
      <c r="B15" s="27">
        <f t="shared" si="3"/>
        <v>2092.239</v>
      </c>
      <c r="C15" s="27">
        <v>11737.045</v>
      </c>
      <c r="D15" s="27">
        <v>137.67225223063201</v>
      </c>
      <c r="E15" s="27">
        <f t="shared" si="0"/>
        <v>13966.956252230631</v>
      </c>
      <c r="F15" s="27">
        <f t="shared" si="1"/>
        <v>10590.539252230632</v>
      </c>
      <c r="G15" s="72" t="s">
        <v>229</v>
      </c>
      <c r="H15" s="27">
        <v>1661</v>
      </c>
      <c r="I15" s="27">
        <f t="shared" si="2"/>
        <v>12251.539252230632</v>
      </c>
      <c r="J15" s="27">
        <v>1715.4169999999999</v>
      </c>
      <c r="K15" s="24">
        <v>21.09</v>
      </c>
    </row>
    <row r="16" spans="1:11">
      <c r="A16" s="10" t="s">
        <v>4</v>
      </c>
      <c r="B16" s="27">
        <f t="shared" si="3"/>
        <v>1715.4169999999999</v>
      </c>
      <c r="C16" s="27">
        <v>13003.582</v>
      </c>
      <c r="D16" s="27">
        <v>21.515940000000004</v>
      </c>
      <c r="E16" s="27">
        <f t="shared" si="0"/>
        <v>14740.514939999999</v>
      </c>
      <c r="F16" s="27">
        <f t="shared" si="1"/>
        <v>12082.49094</v>
      </c>
      <c r="G16" s="72" t="s">
        <v>229</v>
      </c>
      <c r="H16" s="27">
        <v>1353</v>
      </c>
      <c r="I16" s="27">
        <f t="shared" si="2"/>
        <v>13435.49094</v>
      </c>
      <c r="J16" s="27">
        <v>1305.0239999999999</v>
      </c>
      <c r="K16" s="24">
        <v>22.28</v>
      </c>
    </row>
    <row r="17" spans="1:11">
      <c r="A17" s="10" t="s">
        <v>5</v>
      </c>
      <c r="B17" s="27">
        <f t="shared" si="3"/>
        <v>1305.0239999999999</v>
      </c>
      <c r="C17" s="27">
        <v>13408.047</v>
      </c>
      <c r="D17" s="27">
        <v>17.351088417648</v>
      </c>
      <c r="E17" s="27">
        <f t="shared" si="0"/>
        <v>14730.422088417648</v>
      </c>
      <c r="F17" s="27">
        <f t="shared" si="1"/>
        <v>12136.128088417649</v>
      </c>
      <c r="G17" s="72" t="s">
        <v>229</v>
      </c>
      <c r="H17" s="27">
        <v>808</v>
      </c>
      <c r="I17" s="27">
        <f t="shared" si="2"/>
        <v>12944.128088417649</v>
      </c>
      <c r="J17" s="27">
        <v>1786.2940000000001</v>
      </c>
      <c r="K17" s="24">
        <v>20.98</v>
      </c>
    </row>
    <row r="18" spans="1:11">
      <c r="A18" s="10" t="s">
        <v>6</v>
      </c>
      <c r="B18" s="27">
        <f t="shared" si="3"/>
        <v>1786.2940000000001</v>
      </c>
      <c r="C18" s="27">
        <v>14344.699000000001</v>
      </c>
      <c r="D18" s="27">
        <v>0.54088982316800005</v>
      </c>
      <c r="E18" s="27">
        <f t="shared" si="0"/>
        <v>16131.533889823168</v>
      </c>
      <c r="F18" s="27">
        <f t="shared" si="1"/>
        <v>12248.151889823168</v>
      </c>
      <c r="G18" s="72" t="s">
        <v>229</v>
      </c>
      <c r="H18" s="27">
        <v>1644</v>
      </c>
      <c r="I18" s="27">
        <f t="shared" si="2"/>
        <v>13892.151889823168</v>
      </c>
      <c r="J18" s="27">
        <v>2239.3820000000001</v>
      </c>
      <c r="K18" s="24">
        <v>19.13</v>
      </c>
    </row>
    <row r="19" spans="1:11">
      <c r="A19" s="10" t="s">
        <v>7</v>
      </c>
      <c r="B19" s="27">
        <f t="shared" si="3"/>
        <v>2239.3820000000001</v>
      </c>
      <c r="C19" s="27">
        <v>13778.489</v>
      </c>
      <c r="D19" s="27">
        <v>9.949287</v>
      </c>
      <c r="E19" s="27">
        <f t="shared" si="0"/>
        <v>16027.820286999999</v>
      </c>
      <c r="F19" s="27">
        <f t="shared" si="1"/>
        <v>13012.032286999998</v>
      </c>
      <c r="G19" s="72" t="s">
        <v>229</v>
      </c>
      <c r="H19" s="27">
        <v>1461</v>
      </c>
      <c r="I19" s="27">
        <f t="shared" si="2"/>
        <v>14473.032286999998</v>
      </c>
      <c r="J19" s="27">
        <v>1554.788</v>
      </c>
      <c r="K19" s="24">
        <v>21.24</v>
      </c>
    </row>
    <row r="20" spans="1:11">
      <c r="A20" s="10" t="s">
        <v>8</v>
      </c>
      <c r="B20" s="27">
        <f t="shared" si="3"/>
        <v>1554.788</v>
      </c>
      <c r="C20" s="27">
        <v>13951.210999999999</v>
      </c>
      <c r="D20" s="27">
        <v>67.638728</v>
      </c>
      <c r="E20" s="27">
        <f t="shared" si="0"/>
        <v>15573.637728</v>
      </c>
      <c r="F20" s="27">
        <f t="shared" si="1"/>
        <v>12939.544727999999</v>
      </c>
      <c r="G20" s="72" t="s">
        <v>229</v>
      </c>
      <c r="H20" s="27">
        <v>1531</v>
      </c>
      <c r="I20" s="27">
        <f t="shared" si="2"/>
        <v>14470.544727999999</v>
      </c>
      <c r="J20" s="27">
        <v>1103.0930000000001</v>
      </c>
      <c r="K20" s="24">
        <v>26.96</v>
      </c>
    </row>
    <row r="21" spans="1:11">
      <c r="A21" s="10" t="s">
        <v>9</v>
      </c>
      <c r="B21" s="27">
        <f t="shared" si="3"/>
        <v>1103.0930000000001</v>
      </c>
      <c r="C21" s="27">
        <v>15612.856</v>
      </c>
      <c r="D21" s="27">
        <v>17.2667122193</v>
      </c>
      <c r="E21" s="27">
        <f t="shared" si="0"/>
        <v>16733.215712219302</v>
      </c>
      <c r="F21" s="27">
        <f t="shared" si="1"/>
        <v>12913.532712219301</v>
      </c>
      <c r="G21" s="72" t="s">
        <v>229</v>
      </c>
      <c r="H21" s="27">
        <v>2683</v>
      </c>
      <c r="I21" s="27">
        <f t="shared" si="2"/>
        <v>15596.532712219301</v>
      </c>
      <c r="J21" s="27">
        <v>1136.683</v>
      </c>
      <c r="K21" s="24">
        <v>27.51</v>
      </c>
    </row>
    <row r="22" spans="1:11">
      <c r="A22" s="10" t="s">
        <v>10</v>
      </c>
      <c r="B22" s="27">
        <f t="shared" si="3"/>
        <v>1136.683</v>
      </c>
      <c r="C22" s="27">
        <v>15239.949000000001</v>
      </c>
      <c r="D22" s="27">
        <v>95.399291646666015</v>
      </c>
      <c r="E22" s="27">
        <f t="shared" si="0"/>
        <v>16472.031291646668</v>
      </c>
      <c r="F22" s="27">
        <f t="shared" si="1"/>
        <v>13464.780301804049</v>
      </c>
      <c r="G22" s="72" t="s">
        <v>229</v>
      </c>
      <c r="H22" s="27">
        <v>991.80698984262006</v>
      </c>
      <c r="I22" s="27">
        <f t="shared" si="2"/>
        <v>14456.587291646669</v>
      </c>
      <c r="J22" s="27">
        <v>2015.444</v>
      </c>
      <c r="K22" s="24">
        <v>24.7</v>
      </c>
    </row>
    <row r="23" spans="1:11">
      <c r="A23" s="10" t="s">
        <v>11</v>
      </c>
      <c r="B23" s="27">
        <f t="shared" si="3"/>
        <v>2015.444</v>
      </c>
      <c r="C23" s="27">
        <v>15752.1</v>
      </c>
      <c r="D23" s="27">
        <v>53.115589674126007</v>
      </c>
      <c r="E23" s="27">
        <f t="shared" si="0"/>
        <v>17820.659589674127</v>
      </c>
      <c r="F23" s="27">
        <f t="shared" si="1"/>
        <v>14267.137620924283</v>
      </c>
      <c r="G23" s="72" t="s">
        <v>229</v>
      </c>
      <c r="H23" s="27">
        <v>2033.3389687498443</v>
      </c>
      <c r="I23" s="27">
        <f t="shared" si="2"/>
        <v>16300.476589674126</v>
      </c>
      <c r="J23" s="27">
        <v>1520.183</v>
      </c>
      <c r="K23" s="24">
        <v>22.51</v>
      </c>
    </row>
    <row r="24" spans="1:11">
      <c r="A24" s="10" t="s">
        <v>12</v>
      </c>
      <c r="B24" s="27">
        <f t="shared" si="3"/>
        <v>1520.183</v>
      </c>
      <c r="C24" s="27">
        <v>18142.795999999998</v>
      </c>
      <c r="D24" s="27">
        <v>60.375334962978002</v>
      </c>
      <c r="E24" s="27">
        <f t="shared" si="0"/>
        <v>19723.354334962976</v>
      </c>
      <c r="F24" s="27">
        <f t="shared" si="1"/>
        <v>15261.745387379917</v>
      </c>
      <c r="G24" s="72" t="s">
        <v>229</v>
      </c>
      <c r="H24" s="27">
        <v>3079.2119475830586</v>
      </c>
      <c r="I24" s="27">
        <f t="shared" si="2"/>
        <v>18340.957334962975</v>
      </c>
      <c r="J24" s="27">
        <v>1382.3969999999999</v>
      </c>
      <c r="K24" s="24">
        <v>25.83</v>
      </c>
    </row>
    <row r="25" spans="1:11">
      <c r="A25" s="10" t="s">
        <v>13</v>
      </c>
      <c r="B25" s="27">
        <f t="shared" si="3"/>
        <v>1382.3969999999999</v>
      </c>
      <c r="C25" s="27">
        <v>18078.099999999999</v>
      </c>
      <c r="D25" s="27">
        <v>82.652998385160018</v>
      </c>
      <c r="E25" s="27">
        <f t="shared" si="0"/>
        <v>19543.149998385161</v>
      </c>
      <c r="F25" s="27">
        <f t="shared" si="1"/>
        <v>15651.95116538301</v>
      </c>
      <c r="G25" s="72" t="s">
        <v>229</v>
      </c>
      <c r="H25" s="27">
        <v>2371.6228330021499</v>
      </c>
      <c r="I25" s="27">
        <f t="shared" si="2"/>
        <v>18023.57399838516</v>
      </c>
      <c r="J25" s="27">
        <v>1519.576</v>
      </c>
      <c r="K25" s="24">
        <v>19.8</v>
      </c>
    </row>
    <row r="26" spans="1:11">
      <c r="A26" s="10" t="s">
        <v>14</v>
      </c>
      <c r="B26" s="27">
        <f t="shared" si="3"/>
        <v>1519.576</v>
      </c>
      <c r="C26" s="27">
        <v>17824.746999999999</v>
      </c>
      <c r="D26" s="27">
        <v>82.808437463891991</v>
      </c>
      <c r="E26" s="27">
        <f t="shared" si="0"/>
        <v>19427.131437463893</v>
      </c>
      <c r="F26" s="27">
        <f t="shared" si="1"/>
        <v>16059.095925842572</v>
      </c>
      <c r="G26" s="72" t="s">
        <v>229</v>
      </c>
      <c r="H26" s="27">
        <v>1374.592511621322</v>
      </c>
      <c r="I26" s="27">
        <f>+E26-J26</f>
        <v>17433.688437463894</v>
      </c>
      <c r="J26" s="27">
        <v>1993.443</v>
      </c>
      <c r="K26" s="24">
        <v>15.59</v>
      </c>
    </row>
    <row r="27" spans="1:11">
      <c r="A27" s="10" t="s">
        <v>209</v>
      </c>
      <c r="B27" s="27">
        <f t="shared" ref="B27:B32" si="4">+J26</f>
        <v>1993.443</v>
      </c>
      <c r="C27" s="27">
        <v>18419.7</v>
      </c>
      <c r="D27" s="27">
        <v>72.998000000000005</v>
      </c>
      <c r="E27" s="27">
        <f t="shared" si="0"/>
        <v>20486.141</v>
      </c>
      <c r="F27" s="27">
        <f t="shared" si="1"/>
        <v>16318.219816251454</v>
      </c>
      <c r="G27" s="72" t="s">
        <v>229</v>
      </c>
      <c r="H27" s="27">
        <v>1401.0221837485442</v>
      </c>
      <c r="I27" s="27">
        <f t="shared" si="2"/>
        <v>17719.241999999998</v>
      </c>
      <c r="J27" s="27">
        <v>2766.8989999999999</v>
      </c>
      <c r="K27" s="24">
        <v>14.09</v>
      </c>
    </row>
    <row r="28" spans="1:11">
      <c r="A28" s="10" t="s">
        <v>210</v>
      </c>
      <c r="B28" s="27">
        <f t="shared" si="4"/>
        <v>2766.8989999999999</v>
      </c>
      <c r="C28" s="27">
        <v>18898.235000000001</v>
      </c>
      <c r="D28" s="27">
        <v>45.957999999999998</v>
      </c>
      <c r="E28" s="27">
        <f t="shared" si="0"/>
        <v>21711.092000000001</v>
      </c>
      <c r="F28" s="27">
        <f>+I28-H28</f>
        <v>16833.150143195951</v>
      </c>
      <c r="G28" s="27">
        <v>91.84682927999998</v>
      </c>
      <c r="H28" s="27">
        <v>2519.341856804052</v>
      </c>
      <c r="I28" s="27">
        <f t="shared" si="2"/>
        <v>19352.492000000002</v>
      </c>
      <c r="J28" s="27">
        <v>2358.6</v>
      </c>
      <c r="K28" s="24">
        <v>16.46</v>
      </c>
    </row>
    <row r="29" spans="1:11">
      <c r="A29" s="10" t="s">
        <v>217</v>
      </c>
      <c r="B29" s="27">
        <f t="shared" si="4"/>
        <v>2358.6</v>
      </c>
      <c r="C29" s="27">
        <v>18430.248</v>
      </c>
      <c r="D29" s="27">
        <v>46.027000000000001</v>
      </c>
      <c r="E29" s="27">
        <f t="shared" si="0"/>
        <v>20834.874999999996</v>
      </c>
      <c r="F29" s="27">
        <f t="shared" ref="F29:F34" si="5">+I29-H29</f>
        <v>17080.895517263172</v>
      </c>
      <c r="G29" s="27">
        <v>120.66962202000001</v>
      </c>
      <c r="H29" s="27">
        <v>2263.3484827368238</v>
      </c>
      <c r="I29" s="27">
        <f t="shared" si="2"/>
        <v>19344.243999999995</v>
      </c>
      <c r="J29" s="27">
        <v>1490.6310000000001</v>
      </c>
      <c r="K29" s="24">
        <v>22.04</v>
      </c>
    </row>
    <row r="30" spans="1:11">
      <c r="A30" s="10" t="s">
        <v>221</v>
      </c>
      <c r="B30" s="27">
        <f t="shared" si="4"/>
        <v>1490.6310000000001</v>
      </c>
      <c r="C30" s="27">
        <v>17080.411</v>
      </c>
      <c r="D30" s="27">
        <v>306.18687396691797</v>
      </c>
      <c r="E30" s="27">
        <f t="shared" si="0"/>
        <v>18877.22887396692</v>
      </c>
      <c r="F30" s="27">
        <f t="shared" si="5"/>
        <v>16865.617739980244</v>
      </c>
      <c r="G30" s="27">
        <v>124.37147027999998</v>
      </c>
      <c r="H30" s="27">
        <v>935.98013398667399</v>
      </c>
      <c r="I30" s="27">
        <f t="shared" si="2"/>
        <v>17801.597873966919</v>
      </c>
      <c r="J30" s="27">
        <v>1075.6310000000001</v>
      </c>
      <c r="K30" s="24">
        <v>29.97</v>
      </c>
    </row>
    <row r="31" spans="1:11">
      <c r="A31" s="10" t="s">
        <v>222</v>
      </c>
      <c r="B31" s="27">
        <f t="shared" si="4"/>
        <v>1075.6310000000001</v>
      </c>
      <c r="C31" s="27">
        <v>19359.734</v>
      </c>
      <c r="D31" s="27">
        <v>26.268284978333998</v>
      </c>
      <c r="E31" s="27">
        <f t="shared" ref="E31:E36" si="6">+B31+C31+D31</f>
        <v>20461.633284978336</v>
      </c>
      <c r="F31" s="27">
        <f t="shared" si="5"/>
        <v>17438.951194781061</v>
      </c>
      <c r="G31" s="27">
        <v>445.22957319999995</v>
      </c>
      <c r="H31" s="27">
        <v>1323.6520901972758</v>
      </c>
      <c r="I31" s="27">
        <f t="shared" si="2"/>
        <v>18762.603284978337</v>
      </c>
      <c r="J31" s="27">
        <v>1699.03</v>
      </c>
      <c r="K31" s="24">
        <v>23.01</v>
      </c>
    </row>
    <row r="32" spans="1:11">
      <c r="A32" s="10" t="s">
        <v>225</v>
      </c>
      <c r="B32" s="27">
        <f t="shared" si="4"/>
        <v>1699.03</v>
      </c>
      <c r="C32" s="27">
        <v>20387.420999999998</v>
      </c>
      <c r="D32" s="27">
        <v>35.337008598444001</v>
      </c>
      <c r="E32" s="27">
        <f t="shared" si="6"/>
        <v>22121.78800859844</v>
      </c>
      <c r="F32" s="27">
        <f t="shared" si="5"/>
        <v>17958.607551960602</v>
      </c>
      <c r="G32" s="27">
        <v>1555.0262248400002</v>
      </c>
      <c r="H32" s="27">
        <v>1153.354456637838</v>
      </c>
      <c r="I32" s="27">
        <f t="shared" si="2"/>
        <v>19111.962008598439</v>
      </c>
      <c r="J32" s="27">
        <v>3009.826</v>
      </c>
      <c r="K32" s="24">
        <v>23.41</v>
      </c>
    </row>
    <row r="33" spans="1:11">
      <c r="A33" s="10" t="s">
        <v>227</v>
      </c>
      <c r="B33" s="27">
        <f t="shared" ref="B33:B38" si="7">+J32</f>
        <v>3009.826</v>
      </c>
      <c r="C33" s="27">
        <v>20488.99351</v>
      </c>
      <c r="D33" s="27">
        <v>37.473177085344005</v>
      </c>
      <c r="E33" s="27">
        <f t="shared" si="6"/>
        <v>23536.292687085344</v>
      </c>
      <c r="F33" s="27">
        <f t="shared" si="5"/>
        <v>18574.448188614173</v>
      </c>
      <c r="G33" s="27">
        <v>2761.5669999999996</v>
      </c>
      <c r="H33" s="27">
        <v>1876.6194984711722</v>
      </c>
      <c r="I33" s="27">
        <f t="shared" si="2"/>
        <v>20451.067687085346</v>
      </c>
      <c r="J33" s="27">
        <v>3085.2249999999999</v>
      </c>
      <c r="K33" s="24">
        <v>31.02</v>
      </c>
    </row>
    <row r="34" spans="1:11">
      <c r="A34" s="10" t="s">
        <v>230</v>
      </c>
      <c r="B34" s="27">
        <f t="shared" si="7"/>
        <v>3085.2249999999999</v>
      </c>
      <c r="C34" s="27">
        <f>'tab8'!C20/1000</f>
        <v>20579.830779999997</v>
      </c>
      <c r="D34" s="27">
        <f>'tab8'!D20/1000</f>
        <v>65.355102067247998</v>
      </c>
      <c r="E34" s="27">
        <f t="shared" si="6"/>
        <v>23730.410882067245</v>
      </c>
      <c r="F34" s="27">
        <f t="shared" si="5"/>
        <v>18334.765425604342</v>
      </c>
      <c r="G34" s="27">
        <f>'tab8'!G20/1000</f>
        <v>3245.2919999999999</v>
      </c>
      <c r="H34" s="27">
        <f>'tab8'!H20/1000</f>
        <v>2911.0484564629019</v>
      </c>
      <c r="I34" s="27">
        <f t="shared" si="2"/>
        <v>21245.813882067243</v>
      </c>
      <c r="J34" s="27">
        <f>'tab8'!J19/1000</f>
        <v>2484.5970000000002</v>
      </c>
      <c r="K34" s="24">
        <v>52.03</v>
      </c>
    </row>
    <row r="35" spans="1:11">
      <c r="A35" s="10" t="s">
        <v>231</v>
      </c>
      <c r="B35" s="27">
        <f t="shared" si="7"/>
        <v>2484.5970000000002</v>
      </c>
      <c r="C35" s="27">
        <f>'tab8'!C34/1000</f>
        <v>18744.967840000001</v>
      </c>
      <c r="D35" s="27">
        <f>'tab8'!D34/1000</f>
        <v>89.577464760251985</v>
      </c>
      <c r="E35" s="27">
        <f t="shared" si="6"/>
        <v>21319.142304760255</v>
      </c>
      <c r="F35" s="27">
        <f t="shared" ref="F35:F40" si="8">+I35-H35</f>
        <v>16265.203884786391</v>
      </c>
      <c r="G35" s="27">
        <f>'tab8'!G34/1000</f>
        <v>2020.952</v>
      </c>
      <c r="H35" s="27">
        <f>'tab8'!H34/1000</f>
        <v>2193.4384199738643</v>
      </c>
      <c r="I35" s="27">
        <f t="shared" si="2"/>
        <v>18458.642304760255</v>
      </c>
      <c r="J35" s="27">
        <f>'tab8'!J33/1000</f>
        <v>2860.5</v>
      </c>
      <c r="K35" s="24">
        <v>32.159999999999997</v>
      </c>
    </row>
    <row r="36" spans="1:11">
      <c r="A36" s="10" t="s">
        <v>234</v>
      </c>
      <c r="B36" s="27">
        <f t="shared" si="7"/>
        <v>2860.5</v>
      </c>
      <c r="C36" s="27">
        <f>'tab8'!C48/1000</f>
        <v>19615.31352</v>
      </c>
      <c r="D36" s="27">
        <f>'tab8'!D48/1000</f>
        <v>102.57960440485799</v>
      </c>
      <c r="E36" s="27">
        <f t="shared" si="6"/>
        <v>22578.393124404858</v>
      </c>
      <c r="F36" s="27">
        <f t="shared" si="8"/>
        <v>15813.946153701158</v>
      </c>
      <c r="G36" s="27">
        <f>'tab8'!G48/1000</f>
        <v>1676.402</v>
      </c>
      <c r="H36" s="27">
        <f>'tab8'!H48/1000</f>
        <v>3358.6669707037017</v>
      </c>
      <c r="I36" s="27">
        <f t="shared" si="2"/>
        <v>19172.613124404859</v>
      </c>
      <c r="J36" s="27">
        <f>'tab8'!J47/1000</f>
        <v>3405.78</v>
      </c>
      <c r="K36" s="24">
        <v>35.950000000000003</v>
      </c>
    </row>
    <row r="37" spans="1:11">
      <c r="A37" s="10" t="s">
        <v>236</v>
      </c>
      <c r="B37" s="27">
        <f t="shared" si="7"/>
        <v>3405.78</v>
      </c>
      <c r="C37" s="27">
        <f>'tab8'!C62/1000</f>
        <v>18887.582520000004</v>
      </c>
      <c r="D37" s="27">
        <f>'tab8'!D62/1000</f>
        <v>159.001291527246</v>
      </c>
      <c r="E37" s="27">
        <f t="shared" ref="E37:E42" si="9">+B37+C37+D37</f>
        <v>22452.363811527248</v>
      </c>
      <c r="F37" s="27">
        <f t="shared" si="8"/>
        <v>16544.42941413249</v>
      </c>
      <c r="G37" s="27">
        <f>'tab8'!G62/1000</f>
        <v>2737</v>
      </c>
      <c r="H37" s="27">
        <f>'tab8'!H62/1000</f>
        <v>3232.934397394758</v>
      </c>
      <c r="I37" s="27">
        <f t="shared" si="2"/>
        <v>19777.363811527248</v>
      </c>
      <c r="J37" s="27">
        <v>2675</v>
      </c>
      <c r="K37" s="24">
        <v>53.2</v>
      </c>
    </row>
    <row r="38" spans="1:11">
      <c r="A38" s="10" t="s">
        <v>239</v>
      </c>
      <c r="B38" s="27">
        <f t="shared" si="7"/>
        <v>2675</v>
      </c>
      <c r="C38" s="27">
        <v>19740</v>
      </c>
      <c r="D38" s="27">
        <v>149.136403945788</v>
      </c>
      <c r="E38" s="27">
        <f t="shared" si="9"/>
        <v>22564.136403945788</v>
      </c>
      <c r="F38" s="27">
        <f t="shared" si="8"/>
        <v>18510.023666165198</v>
      </c>
      <c r="G38" s="27">
        <v>4874</v>
      </c>
      <c r="H38" s="27">
        <v>1464.1127377805883</v>
      </c>
      <c r="I38" s="27">
        <f t="shared" si="2"/>
        <v>19974.136403945788</v>
      </c>
      <c r="J38" s="27">
        <v>2590</v>
      </c>
      <c r="K38" s="24">
        <v>51.9</v>
      </c>
    </row>
    <row r="39" spans="1:11">
      <c r="A39" s="10" t="s">
        <v>241</v>
      </c>
      <c r="B39" s="27">
        <f t="shared" ref="B39:B45" si="10">+J38</f>
        <v>2590</v>
      </c>
      <c r="C39" s="27">
        <v>19820</v>
      </c>
      <c r="D39" s="27">
        <v>195.5896232903676</v>
      </c>
      <c r="E39" s="27">
        <f t="shared" si="9"/>
        <v>22605.589623290369</v>
      </c>
      <c r="F39" s="27">
        <f t="shared" si="8"/>
        <v>18787.095713116814</v>
      </c>
      <c r="G39" s="27">
        <v>4689</v>
      </c>
      <c r="H39" s="27">
        <v>2163.493910173554</v>
      </c>
      <c r="I39" s="27">
        <f t="shared" si="2"/>
        <v>20950.589623290369</v>
      </c>
      <c r="J39" s="27">
        <v>1655</v>
      </c>
      <c r="K39" s="24">
        <v>47.13</v>
      </c>
    </row>
    <row r="40" spans="1:11">
      <c r="A40" s="10" t="s">
        <v>253</v>
      </c>
      <c r="B40" s="27">
        <f t="shared" si="10"/>
        <v>1655</v>
      </c>
      <c r="C40" s="27">
        <v>20130</v>
      </c>
      <c r="D40" s="27">
        <v>165.03584988615484</v>
      </c>
      <c r="E40" s="27">
        <f t="shared" si="9"/>
        <v>21950.035849886153</v>
      </c>
      <c r="F40" s="27">
        <f t="shared" si="8"/>
        <v>18907.953572597096</v>
      </c>
      <c r="G40" s="27">
        <v>5077.57</v>
      </c>
      <c r="H40" s="27">
        <v>1877.0822772890576</v>
      </c>
      <c r="I40" s="27">
        <f t="shared" si="2"/>
        <v>20785.035849886153</v>
      </c>
      <c r="J40" s="27">
        <v>1165</v>
      </c>
      <c r="K40" s="24">
        <v>38.229999999999997</v>
      </c>
    </row>
    <row r="41" spans="1:11">
      <c r="A41" s="10" t="s">
        <v>258</v>
      </c>
      <c r="B41" s="27">
        <f t="shared" si="10"/>
        <v>1165</v>
      </c>
      <c r="C41" s="27">
        <v>21399</v>
      </c>
      <c r="D41" s="27">
        <v>264.33291896083801</v>
      </c>
      <c r="E41" s="27">
        <f t="shared" si="9"/>
        <v>22828.332918960838</v>
      </c>
      <c r="F41" s="27">
        <f t="shared" ref="F41:F47" si="11">+I41-H41</f>
        <v>18959.434800477735</v>
      </c>
      <c r="G41" s="27">
        <v>5038.59</v>
      </c>
      <c r="H41" s="27">
        <v>2014.0801184831043</v>
      </c>
      <c r="I41" s="27">
        <f t="shared" si="2"/>
        <v>20973.514918960838</v>
      </c>
      <c r="J41" s="27">
        <v>1854.818</v>
      </c>
      <c r="K41" s="24">
        <v>31.6</v>
      </c>
    </row>
    <row r="42" spans="1:11">
      <c r="A42" s="10" t="s">
        <v>260</v>
      </c>
      <c r="B42" s="27">
        <f t="shared" si="10"/>
        <v>1854.818</v>
      </c>
      <c r="C42" s="27">
        <f>'tab8'!C76/1000</f>
        <v>21950.231</v>
      </c>
      <c r="D42" s="27">
        <f>'tab8'!D76/1000</f>
        <v>286.55315418454205</v>
      </c>
      <c r="E42" s="27">
        <f t="shared" si="9"/>
        <v>24091.60215418454</v>
      </c>
      <c r="F42" s="27">
        <f t="shared" si="11"/>
        <v>20162.2479225438</v>
      </c>
      <c r="G42" s="27">
        <f>'tab8'!G76/1000</f>
        <v>5670.21</v>
      </c>
      <c r="H42" s="27">
        <f>'tab8'!H76/1000</f>
        <v>2242.5412316407378</v>
      </c>
      <c r="I42" s="27">
        <f t="shared" si="2"/>
        <v>22404.789154184538</v>
      </c>
      <c r="J42" s="27">
        <f>'tab8'!J75/1000</f>
        <v>1686.8130000000001</v>
      </c>
      <c r="K42" s="24">
        <v>29.86</v>
      </c>
    </row>
    <row r="43" spans="1:11">
      <c r="A43" s="10" t="s">
        <v>262</v>
      </c>
      <c r="B43" s="27">
        <f t="shared" si="10"/>
        <v>1686.8130000000001</v>
      </c>
      <c r="C43" s="27">
        <f>'tab8'!C90/1000</f>
        <v>22123.409</v>
      </c>
      <c r="D43" s="27">
        <f>'tab8'!D90/1000</f>
        <v>318.71121470395201</v>
      </c>
      <c r="E43" s="27">
        <f t="shared" ref="E43:E49" si="12">+B43+C43+D43</f>
        <v>24128.933214703953</v>
      </c>
      <c r="F43" s="27">
        <f t="shared" si="11"/>
        <v>19862.316982067598</v>
      </c>
      <c r="G43" s="27">
        <f>'tab8'!G90/1000</f>
        <v>6200.3</v>
      </c>
      <c r="H43" s="27">
        <f>'tab8'!H90/1000</f>
        <v>2555.6622326363522</v>
      </c>
      <c r="I43" s="27">
        <f t="shared" si="2"/>
        <v>22417.979214703952</v>
      </c>
      <c r="J43" s="27">
        <f>'tab8'!J89/1000</f>
        <v>1710.954</v>
      </c>
      <c r="K43" s="24">
        <v>32.549999999999997</v>
      </c>
    </row>
    <row r="44" spans="1:11">
      <c r="A44" s="10" t="s">
        <v>270</v>
      </c>
      <c r="B44" s="27">
        <f t="shared" si="10"/>
        <v>1710.954</v>
      </c>
      <c r="C44" s="27">
        <f>'tab8'!C104/1000</f>
        <v>23772.428</v>
      </c>
      <c r="D44" s="27">
        <f>'tab8'!D104/1000</f>
        <v>335.30024347785007</v>
      </c>
      <c r="E44" s="27">
        <f t="shared" si="12"/>
        <v>25818.682243477851</v>
      </c>
      <c r="F44" s="27">
        <f t="shared" si="11"/>
        <v>21380.211273013327</v>
      </c>
      <c r="G44" s="27">
        <f>'tab8'!G104/1000</f>
        <v>7333.71</v>
      </c>
      <c r="H44" s="27">
        <f>'tab8'!H104/1000</f>
        <v>2443.0369704645245</v>
      </c>
      <c r="I44" s="27">
        <f t="shared" si="2"/>
        <v>23823.24824347785</v>
      </c>
      <c r="J44" s="27">
        <f>'tab8'!J103/1000</f>
        <v>1995.434</v>
      </c>
      <c r="K44" s="24">
        <v>30.04</v>
      </c>
    </row>
    <row r="45" spans="1:11">
      <c r="A45" s="10" t="s">
        <v>295</v>
      </c>
      <c r="B45" s="27">
        <f t="shared" si="10"/>
        <v>1995.434</v>
      </c>
      <c r="C45" s="27">
        <f>'tab8'!C118/1000</f>
        <v>24197.199000000001</v>
      </c>
      <c r="D45" s="27">
        <f>'tab8'!D118/1000</f>
        <v>397.26186129000007</v>
      </c>
      <c r="E45" s="27">
        <f t="shared" si="12"/>
        <v>26589.894861290002</v>
      </c>
      <c r="F45" s="27">
        <f t="shared" si="11"/>
        <v>22874.157218534605</v>
      </c>
      <c r="G45" s="27">
        <f>'tab8'!G118/1000</f>
        <v>8663.2947499999991</v>
      </c>
      <c r="H45" s="27">
        <f>'tab8'!H118/1000</f>
        <v>1940.4216427553999</v>
      </c>
      <c r="I45" s="27">
        <f t="shared" si="2"/>
        <v>24814.578861290003</v>
      </c>
      <c r="J45" s="27">
        <f>'tab8'!J117/1000</f>
        <v>1775.316</v>
      </c>
      <c r="K45" s="24">
        <v>28.26</v>
      </c>
    </row>
    <row r="46" spans="1:11">
      <c r="A46" s="10" t="s">
        <v>334</v>
      </c>
      <c r="B46" s="27">
        <f>+J45</f>
        <v>1775.316</v>
      </c>
      <c r="C46" s="27">
        <f>'tab8'!C132/1000</f>
        <v>24911.125</v>
      </c>
      <c r="D46" s="27">
        <f>'tab8'!D132/1000</f>
        <v>319.92945354719996</v>
      </c>
      <c r="E46" s="27">
        <f t="shared" si="12"/>
        <v>27006.370453547199</v>
      </c>
      <c r="F46" s="27">
        <f t="shared" si="11"/>
        <v>22317.0010508946</v>
      </c>
      <c r="G46" s="27">
        <f>'tab8'!G132/1000</f>
        <v>8657.8183000000008</v>
      </c>
      <c r="H46" s="27">
        <f>'tab8'!H132/1000</f>
        <v>2836.6944026525998</v>
      </c>
      <c r="I46" s="27">
        <f t="shared" si="2"/>
        <v>25153.6954535472</v>
      </c>
      <c r="J46" s="27">
        <f>'tab8'!J131/1000</f>
        <v>1852.675</v>
      </c>
      <c r="K46" s="24">
        <v>29.65</v>
      </c>
    </row>
    <row r="47" spans="1:11">
      <c r="A47" s="10" t="s">
        <v>350</v>
      </c>
      <c r="B47" s="27">
        <f>+J46</f>
        <v>1852.675</v>
      </c>
      <c r="C47" s="27">
        <f>'tab8'!C146/1000</f>
        <v>25022.667000000001</v>
      </c>
      <c r="D47" s="27">
        <f>'tab8'!D146/1000</f>
        <v>301.5817074144</v>
      </c>
      <c r="E47" s="27">
        <f t="shared" si="12"/>
        <v>27176.9237074144</v>
      </c>
      <c r="F47" s="27">
        <f t="shared" si="11"/>
        <v>23314.331825683599</v>
      </c>
      <c r="G47" s="27">
        <f>'tab8'!G146/1000</f>
        <v>8920.0000010000003</v>
      </c>
      <c r="H47" s="27">
        <f>'tab8'!H146/1000</f>
        <v>1731.3588817308002</v>
      </c>
      <c r="I47" s="27">
        <f t="shared" si="2"/>
        <v>25045.6907074144</v>
      </c>
      <c r="J47" s="27">
        <f>'tab8'!J145/1000</f>
        <v>2131.2330000000002</v>
      </c>
      <c r="K47" s="24">
        <v>56.87</v>
      </c>
    </row>
    <row r="48" spans="1:11">
      <c r="A48" s="10" t="s">
        <v>504</v>
      </c>
      <c r="B48" s="27">
        <f>+J47</f>
        <v>2131.2330000000002</v>
      </c>
      <c r="C48" s="27">
        <f>'tab8'!C160/1000</f>
        <v>26155.172999999999</v>
      </c>
      <c r="D48" s="27">
        <f>'tab8'!D160/1000</f>
        <v>303.28830530459999</v>
      </c>
      <c r="E48" s="27">
        <f t="shared" si="12"/>
        <v>28589.694305304598</v>
      </c>
      <c r="F48" s="27">
        <f>+I48-H48</f>
        <v>24825.102953291396</v>
      </c>
      <c r="G48" s="27">
        <f>'tab8'!G160/1000</f>
        <v>10348.1917128</v>
      </c>
      <c r="H48" s="27">
        <f>'tab8'!H160/1000</f>
        <v>1773.4433520131997</v>
      </c>
      <c r="I48" s="27">
        <f>+E48-J48</f>
        <v>26598.546305304597</v>
      </c>
      <c r="J48" s="27">
        <f>'tab8'!J159/1000</f>
        <v>1991.1479999999999</v>
      </c>
      <c r="K48" s="24">
        <v>72.98</v>
      </c>
    </row>
    <row r="49" spans="1:11">
      <c r="A49" s="11" t="s">
        <v>597</v>
      </c>
      <c r="B49" s="237">
        <f>J48</f>
        <v>1991.1479999999999</v>
      </c>
      <c r="C49" s="237">
        <v>26195</v>
      </c>
      <c r="D49" s="237">
        <v>300</v>
      </c>
      <c r="E49" s="237">
        <f t="shared" si="12"/>
        <v>28486.148000000001</v>
      </c>
      <c r="F49" s="237">
        <f>+I49-H49</f>
        <v>26050</v>
      </c>
      <c r="G49" s="237">
        <v>11600</v>
      </c>
      <c r="H49" s="237">
        <v>500</v>
      </c>
      <c r="I49" s="237">
        <f>+E49-J49</f>
        <v>26550</v>
      </c>
      <c r="J49" s="237">
        <v>1936.148000000001</v>
      </c>
      <c r="K49" s="234">
        <v>66</v>
      </c>
    </row>
    <row r="50" spans="1:11">
      <c r="A50" s="55" t="s">
        <v>542</v>
      </c>
      <c r="B50" s="27"/>
      <c r="C50" s="27"/>
      <c r="D50" s="27"/>
      <c r="E50" s="27"/>
      <c r="F50" s="27"/>
      <c r="G50" s="27"/>
      <c r="H50" s="27"/>
      <c r="I50" s="27"/>
      <c r="J50" s="27"/>
      <c r="K50" s="24"/>
    </row>
    <row r="51" spans="1:11">
      <c r="A51" t="s">
        <v>511</v>
      </c>
      <c r="B51" s="27"/>
      <c r="C51" s="27"/>
      <c r="D51" s="27"/>
      <c r="E51" s="27"/>
      <c r="F51" s="27"/>
      <c r="G51" s="27"/>
      <c r="H51" s="27"/>
      <c r="I51" s="27"/>
      <c r="J51" s="27"/>
      <c r="K51" s="24"/>
    </row>
    <row r="52" spans="1:11">
      <c r="A52" s="407" t="s">
        <v>707</v>
      </c>
      <c r="B52" s="407"/>
      <c r="C52" s="407"/>
      <c r="D52" s="407"/>
      <c r="E52" s="407"/>
      <c r="F52" s="407"/>
      <c r="G52" s="407"/>
      <c r="H52" s="407"/>
      <c r="I52" s="407"/>
      <c r="J52" s="407"/>
      <c r="K52" s="407"/>
    </row>
    <row r="53" spans="1:11">
      <c r="A53" s="407"/>
      <c r="B53" s="407"/>
      <c r="C53" s="407"/>
      <c r="D53" s="407"/>
      <c r="E53" s="407"/>
      <c r="F53" s="407"/>
      <c r="G53" s="407"/>
      <c r="H53" s="407"/>
      <c r="I53" s="407"/>
      <c r="J53" s="407"/>
      <c r="K53" s="407"/>
    </row>
    <row r="54" spans="1:11">
      <c r="A54" t="s">
        <v>710</v>
      </c>
    </row>
    <row r="55" spans="1:11">
      <c r="A55" s="10" t="s">
        <v>672</v>
      </c>
      <c r="B55" s="315"/>
      <c r="C55" s="315"/>
      <c r="D55" s="315"/>
      <c r="E55" s="315"/>
      <c r="F55" s="315"/>
      <c r="G55" s="315"/>
      <c r="H55" s="315"/>
      <c r="I55" s="315"/>
      <c r="J55" s="315"/>
    </row>
    <row r="56" spans="1:11">
      <c r="A56" s="52" t="s">
        <v>529</v>
      </c>
    </row>
    <row r="57" spans="1:11">
      <c r="A57" s="52" t="s">
        <v>719</v>
      </c>
    </row>
    <row r="58" spans="1:11">
      <c r="A58" s="73" t="s">
        <v>721</v>
      </c>
    </row>
    <row r="59" spans="1:11">
      <c r="A59" t="s">
        <v>711</v>
      </c>
    </row>
    <row r="60" spans="1:11">
      <c r="K60" s="101" t="s">
        <v>592</v>
      </c>
    </row>
    <row r="61" spans="1:11">
      <c r="A61" s="139"/>
    </row>
  </sheetData>
  <mergeCells count="1">
    <mergeCell ref="A52:K53"/>
  </mergeCells>
  <phoneticPr fontId="0" type="noConversion"/>
  <pageMargins left="0.7" right="0.7" top="0.75" bottom="1.25" header="0.3" footer="0.3"/>
  <pageSetup scale="81" firstPageNumber="5" fitToHeight="0" orientation="portrait" useFirstPageNumber="1" r:id="rId1"/>
  <headerFooter alignWithMargins="0">
    <oddFooter>&amp;COil Crops Yearbook/OCS-2023
March 2023
Economic Research Service
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417"/>
  <sheetViews>
    <sheetView zoomScaleNormal="100" zoomScaleSheetLayoutView="75" workbookViewId="0">
      <pane ySplit="6" topLeftCell="A7" activePane="bottomLeft" state="frozen"/>
      <selection pane="bottomLeft"/>
    </sheetView>
  </sheetViews>
  <sheetFormatPr defaultRowHeight="11.25"/>
  <cols>
    <col min="1" max="1" width="14.83203125" customWidth="1"/>
    <col min="2" max="3" width="16.83203125" customWidth="1"/>
    <col min="4" max="4" width="15.6640625" customWidth="1"/>
    <col min="5" max="5" width="16.83203125" customWidth="1"/>
    <col min="6" max="8" width="15.6640625" customWidth="1"/>
    <col min="9" max="10" width="16.83203125" customWidth="1"/>
    <col min="12" max="12" width="11.6640625" bestFit="1" customWidth="1"/>
  </cols>
  <sheetData>
    <row r="1" spans="1:10">
      <c r="A1" s="67" t="s">
        <v>600</v>
      </c>
      <c r="B1" s="67"/>
      <c r="C1" s="67"/>
      <c r="D1" s="67"/>
      <c r="E1" s="67"/>
      <c r="F1" s="67"/>
      <c r="G1" s="67"/>
      <c r="H1" s="67"/>
      <c r="I1" s="67"/>
      <c r="J1" s="67"/>
    </row>
    <row r="2" spans="1:10">
      <c r="B2" s="123"/>
      <c r="C2" s="4"/>
      <c r="D2" s="137" t="s">
        <v>75</v>
      </c>
      <c r="E2" s="120"/>
      <c r="F2" s="4"/>
      <c r="G2" s="4"/>
      <c r="H2" s="136" t="s">
        <v>73</v>
      </c>
      <c r="I2" s="120"/>
    </row>
    <row r="3" spans="1:10">
      <c r="A3" s="7" t="s">
        <v>380</v>
      </c>
      <c r="B3" s="108" t="s">
        <v>96</v>
      </c>
      <c r="C3" s="7"/>
      <c r="D3" s="7"/>
      <c r="E3" s="118"/>
      <c r="F3" s="7"/>
      <c r="G3" s="7"/>
      <c r="H3" s="7"/>
      <c r="I3" s="118"/>
      <c r="J3" s="7" t="s">
        <v>98</v>
      </c>
    </row>
    <row r="4" spans="1:10">
      <c r="A4" s="7" t="s">
        <v>59</v>
      </c>
      <c r="B4" s="109" t="s">
        <v>66</v>
      </c>
      <c r="C4" s="7" t="s">
        <v>40</v>
      </c>
      <c r="D4" s="7" t="s">
        <v>49</v>
      </c>
      <c r="E4" s="112" t="s">
        <v>191</v>
      </c>
      <c r="F4" s="7" t="s">
        <v>67</v>
      </c>
      <c r="G4" s="7" t="s">
        <v>50</v>
      </c>
      <c r="H4" s="7" t="s">
        <v>242</v>
      </c>
      <c r="I4" s="112" t="s">
        <v>191</v>
      </c>
      <c r="J4" s="7" t="s">
        <v>66</v>
      </c>
    </row>
    <row r="5" spans="1:10">
      <c r="A5" s="9" t="s">
        <v>126</v>
      </c>
      <c r="B5" s="116"/>
      <c r="C5" s="9"/>
      <c r="D5" s="9"/>
      <c r="E5" s="114"/>
      <c r="F5" s="9"/>
      <c r="G5" s="9"/>
      <c r="H5" s="9" t="s">
        <v>243</v>
      </c>
      <c r="I5" s="114"/>
      <c r="J5" s="9"/>
    </row>
    <row r="6" spans="1:10">
      <c r="C6" s="7"/>
      <c r="D6" s="7"/>
      <c r="E6" s="7"/>
      <c r="F6" s="150" t="s">
        <v>3</v>
      </c>
      <c r="G6" s="7"/>
      <c r="H6" s="7"/>
      <c r="I6" s="7"/>
      <c r="J6" s="7"/>
    </row>
    <row r="7" spans="1:10">
      <c r="A7" t="s">
        <v>209</v>
      </c>
      <c r="B7" s="23"/>
      <c r="C7" s="23"/>
      <c r="D7" s="23"/>
      <c r="E7" s="23"/>
      <c r="F7" s="23"/>
      <c r="G7" s="23"/>
      <c r="H7" s="23"/>
      <c r="I7" s="23"/>
      <c r="J7" s="23"/>
    </row>
    <row r="8" spans="1:10">
      <c r="A8" t="s">
        <v>357</v>
      </c>
      <c r="B8" s="23">
        <v>290162</v>
      </c>
      <c r="C8" s="23">
        <v>2757810</v>
      </c>
      <c r="D8" s="23">
        <v>901.03367784990019</v>
      </c>
      <c r="E8" s="23">
        <f>SUM(B8:D8)</f>
        <v>3048873.0336778499</v>
      </c>
      <c r="F8" s="23">
        <v>421136.66666666669</v>
      </c>
      <c r="G8" s="23">
        <v>315767.60487929999</v>
      </c>
      <c r="H8" s="23">
        <f>I8-F8-G8</f>
        <v>71977.762131883239</v>
      </c>
      <c r="I8" s="23">
        <f>E8-J8</f>
        <v>808882.03367784992</v>
      </c>
      <c r="J8" s="23">
        <f>'tab01'!D11</f>
        <v>2239991</v>
      </c>
    </row>
    <row r="9" spans="1:10">
      <c r="A9" t="s">
        <v>358</v>
      </c>
      <c r="B9" s="23">
        <f>J8</f>
        <v>2239991</v>
      </c>
      <c r="C9" s="72" t="s">
        <v>244</v>
      </c>
      <c r="D9" s="23">
        <v>800.01951453269999</v>
      </c>
      <c r="E9" s="23">
        <f>SUM(B9:D9)</f>
        <v>2240791.0195145328</v>
      </c>
      <c r="F9" s="23">
        <v>417936.66666666663</v>
      </c>
      <c r="G9" s="23">
        <v>336291.09246390004</v>
      </c>
      <c r="H9" s="23">
        <f>I9-F9-G9</f>
        <v>82655.260383966088</v>
      </c>
      <c r="I9" s="23">
        <f>E9-J9</f>
        <v>836883.01951453276</v>
      </c>
      <c r="J9" s="23">
        <f>'tab01'!D12</f>
        <v>1403908</v>
      </c>
    </row>
    <row r="10" spans="1:10">
      <c r="A10" t="s">
        <v>359</v>
      </c>
      <c r="B10" s="23">
        <f>J9</f>
        <v>1403908</v>
      </c>
      <c r="C10" s="72" t="s">
        <v>244</v>
      </c>
      <c r="D10" s="23">
        <v>813.36670030139999</v>
      </c>
      <c r="E10" s="23">
        <f>SUM(B10:D10)</f>
        <v>1404721.3667003014</v>
      </c>
      <c r="F10" s="23">
        <v>405486.66666666669</v>
      </c>
      <c r="G10" s="23">
        <v>227730.25083480001</v>
      </c>
      <c r="H10" s="23">
        <f>I10-F10-G10</f>
        <v>63324.449198834714</v>
      </c>
      <c r="I10" s="23">
        <f>E10-J10</f>
        <v>696541.36670030141</v>
      </c>
      <c r="J10" s="23">
        <f>'tab01'!D13</f>
        <v>708180</v>
      </c>
    </row>
    <row r="11" spans="1:10">
      <c r="A11" t="s">
        <v>360</v>
      </c>
      <c r="B11" s="23">
        <f>J10</f>
        <v>708180</v>
      </c>
      <c r="C11" s="72" t="s">
        <v>244</v>
      </c>
      <c r="D11" s="23">
        <v>1053.4054292496</v>
      </c>
      <c r="E11" s="23">
        <f>SUM(B11:D11)</f>
        <v>709233.40542924963</v>
      </c>
      <c r="F11" s="23">
        <v>395110</v>
      </c>
      <c r="G11" s="23">
        <v>116082.24027540002</v>
      </c>
      <c r="H11" s="23">
        <f>I11-F11-G11</f>
        <v>-49705.834846150392</v>
      </c>
      <c r="I11" s="23">
        <f>E11-J11</f>
        <v>461486.40542924963</v>
      </c>
      <c r="J11" s="23">
        <f>'tab01'!D14</f>
        <v>247747</v>
      </c>
    </row>
    <row r="12" spans="1:10">
      <c r="A12" t="s">
        <v>155</v>
      </c>
      <c r="B12" s="23"/>
      <c r="C12" s="23">
        <f>SUM(C8:C11)</f>
        <v>2757810</v>
      </c>
      <c r="D12" s="23">
        <f>SUM(D8:D11)</f>
        <v>3567.8253219336002</v>
      </c>
      <c r="E12" s="23">
        <f>B8+D12+C12</f>
        <v>3051539.8253219337</v>
      </c>
      <c r="F12" s="23">
        <f>SUM(F8:F11)</f>
        <v>1639670</v>
      </c>
      <c r="G12" s="23">
        <f>SUM(G8:G11)</f>
        <v>995871.18845340004</v>
      </c>
      <c r="H12" s="23">
        <f>SUM(H8:H11)</f>
        <v>168251.63686853365</v>
      </c>
      <c r="I12" s="23">
        <f>SUM(I8:I11)</f>
        <v>2803792.8253219337</v>
      </c>
      <c r="J12" s="23"/>
    </row>
    <row r="13" spans="1:10">
      <c r="B13" s="23"/>
      <c r="C13" s="23"/>
      <c r="D13" s="23"/>
      <c r="E13" s="23"/>
      <c r="F13" s="23"/>
      <c r="G13" s="23"/>
      <c r="H13" s="23"/>
      <c r="I13" s="23"/>
      <c r="J13" s="23"/>
    </row>
    <row r="14" spans="1:10">
      <c r="A14" t="s">
        <v>210</v>
      </c>
      <c r="B14" s="23"/>
      <c r="C14" s="23"/>
      <c r="D14" s="23"/>
      <c r="E14" s="23"/>
      <c r="F14" s="23"/>
      <c r="G14" s="23"/>
      <c r="H14" s="23"/>
      <c r="I14" s="23"/>
      <c r="J14" s="23"/>
    </row>
    <row r="15" spans="1:10">
      <c r="A15" t="s">
        <v>361</v>
      </c>
      <c r="B15" s="23">
        <f>J11</f>
        <v>247747</v>
      </c>
      <c r="C15" s="23">
        <v>2890682</v>
      </c>
      <c r="D15" s="23">
        <v>845.7440361992999</v>
      </c>
      <c r="E15" s="23">
        <f>SUM(B15:D15)</f>
        <v>3139274.7440361995</v>
      </c>
      <c r="F15" s="23">
        <v>427540</v>
      </c>
      <c r="G15" s="23">
        <v>348619.37543160003</v>
      </c>
      <c r="H15" s="23">
        <f>I15-F15-G15</f>
        <v>87497.368604599498</v>
      </c>
      <c r="I15" s="23">
        <f>E15-J15</f>
        <v>863656.74403619952</v>
      </c>
      <c r="J15" s="23">
        <f>'tab01'!D17</f>
        <v>2275618</v>
      </c>
    </row>
    <row r="16" spans="1:10">
      <c r="A16" t="s">
        <v>362</v>
      </c>
      <c r="B16" s="23">
        <f>J15</f>
        <v>2275618</v>
      </c>
      <c r="C16" s="72" t="s">
        <v>244</v>
      </c>
      <c r="D16" s="23">
        <v>637.56363838650009</v>
      </c>
      <c r="E16" s="23">
        <f>SUM(B16:D16)</f>
        <v>2276255.5636383863</v>
      </c>
      <c r="F16" s="23">
        <v>447596.73333333328</v>
      </c>
      <c r="G16" s="23">
        <v>422449.30020299996</v>
      </c>
      <c r="H16" s="23">
        <f>I16-F16-G16</f>
        <v>70222.530102053075</v>
      </c>
      <c r="I16" s="23">
        <f>E16-J16</f>
        <v>940268.56363838632</v>
      </c>
      <c r="J16" s="23">
        <f>'tab01'!D18</f>
        <v>1335987</v>
      </c>
    </row>
    <row r="17" spans="1:10">
      <c r="A17" t="s">
        <v>359</v>
      </c>
      <c r="B17" s="23">
        <f>J16</f>
        <v>1335987</v>
      </c>
      <c r="C17" s="72" t="s">
        <v>244</v>
      </c>
      <c r="D17" s="23">
        <v>461.73753817170001</v>
      </c>
      <c r="E17" s="23">
        <f>SUM(B17:D17)</f>
        <v>1336448.7375381717</v>
      </c>
      <c r="F17" s="23">
        <v>429615.9</v>
      </c>
      <c r="G17" s="23">
        <v>155298.12989879999</v>
      </c>
      <c r="H17" s="23">
        <f>I17-F17-G17</f>
        <v>66613.707639371685</v>
      </c>
      <c r="I17" s="23">
        <f>E17-J17</f>
        <v>651527.7375381717</v>
      </c>
      <c r="J17" s="23">
        <f>'tab01'!D19</f>
        <v>684921</v>
      </c>
    </row>
    <row r="18" spans="1:10">
      <c r="A18" t="s">
        <v>360</v>
      </c>
      <c r="B18" s="23">
        <f>J17</f>
        <v>684921</v>
      </c>
      <c r="C18" s="72" t="s">
        <v>244</v>
      </c>
      <c r="D18" s="23">
        <v>374.72915470199996</v>
      </c>
      <c r="E18" s="23">
        <f>SUM(B18:D18)</f>
        <v>685295.72915470204</v>
      </c>
      <c r="F18" s="23">
        <v>394988.16666666669</v>
      </c>
      <c r="G18" s="23">
        <v>137284.64120490002</v>
      </c>
      <c r="H18" s="23">
        <f>I18-F18-G18</f>
        <v>-55038.078716864664</v>
      </c>
      <c r="I18" s="23">
        <f>E18-J18</f>
        <v>477234.72915470204</v>
      </c>
      <c r="J18" s="23">
        <f>'tab01'!D20</f>
        <v>208061</v>
      </c>
    </row>
    <row r="19" spans="1:10">
      <c r="A19" t="s">
        <v>155</v>
      </c>
      <c r="B19" s="23"/>
      <c r="C19" s="23">
        <f>SUM(C15:C18)</f>
        <v>2890682</v>
      </c>
      <c r="D19" s="23">
        <f>SUM(D15:D18)</f>
        <v>2319.7743674594999</v>
      </c>
      <c r="E19" s="23">
        <f>B15+D19+C19</f>
        <v>3140748.7743674596</v>
      </c>
      <c r="F19" s="23">
        <f>SUM(F15:F18)</f>
        <v>1699740.8</v>
      </c>
      <c r="G19" s="23">
        <f>SUM(G15:G18)</f>
        <v>1063651.4467383001</v>
      </c>
      <c r="H19" s="23">
        <f>SUM(H15:H18)</f>
        <v>169295.52762915959</v>
      </c>
      <c r="I19" s="23">
        <f>SUM(I15:I18)</f>
        <v>2932687.77436746</v>
      </c>
      <c r="J19" s="23"/>
    </row>
    <row r="20" spans="1:10">
      <c r="B20" s="23"/>
      <c r="C20" s="23"/>
      <c r="D20" s="23"/>
      <c r="E20" s="23"/>
      <c r="F20" s="23"/>
      <c r="G20" s="23"/>
      <c r="H20" s="23"/>
      <c r="I20" s="23"/>
      <c r="J20" s="23"/>
    </row>
    <row r="21" spans="1:10">
      <c r="A21" t="s">
        <v>217</v>
      </c>
      <c r="B21" s="23"/>
      <c r="C21" s="23"/>
      <c r="D21" s="23"/>
      <c r="E21" s="23"/>
      <c r="F21" s="23"/>
      <c r="G21" s="23"/>
      <c r="H21" s="23"/>
      <c r="I21" s="23"/>
      <c r="J21" s="23"/>
    </row>
    <row r="22" spans="1:10">
      <c r="A22" t="s">
        <v>361</v>
      </c>
      <c r="B22" s="23">
        <f>J18</f>
        <v>208061</v>
      </c>
      <c r="C22" s="23">
        <v>2756147</v>
      </c>
      <c r="D22" s="23">
        <v>1412.6551980156</v>
      </c>
      <c r="E22" s="23">
        <f>SUM(B22:D22)</f>
        <v>2965620.6551980157</v>
      </c>
      <c r="F22" s="23">
        <v>417505.5</v>
      </c>
      <c r="G22" s="23">
        <v>320403.85145790002</v>
      </c>
      <c r="H22" s="23">
        <f>I22-F22-G22</f>
        <v>112338.30374011572</v>
      </c>
      <c r="I22" s="23">
        <f>E22-J22</f>
        <v>850247.65519801574</v>
      </c>
      <c r="J22" s="23">
        <f>'tab01'!D23</f>
        <v>2115373</v>
      </c>
    </row>
    <row r="23" spans="1:10">
      <c r="A23" t="s">
        <v>362</v>
      </c>
      <c r="B23" s="23">
        <f>J22</f>
        <v>2115373</v>
      </c>
      <c r="C23" s="72" t="s">
        <v>244</v>
      </c>
      <c r="D23" s="23">
        <v>1094.9477462385</v>
      </c>
      <c r="E23" s="23">
        <f>SUM(B23:D23)</f>
        <v>2116467.9477462387</v>
      </c>
      <c r="F23" s="23">
        <v>422028.2</v>
      </c>
      <c r="G23" s="23">
        <v>425471.32255320007</v>
      </c>
      <c r="H23" s="23">
        <f>I23-F23-G23</f>
        <v>66940.425193038594</v>
      </c>
      <c r="I23" s="23">
        <f>E23-J23</f>
        <v>914439.94774623867</v>
      </c>
      <c r="J23" s="23">
        <f>'tab01'!D24</f>
        <v>1202028</v>
      </c>
    </row>
    <row r="24" spans="1:10">
      <c r="A24" t="s">
        <v>359</v>
      </c>
      <c r="B24" s="23">
        <f>J23</f>
        <v>1202028</v>
      </c>
      <c r="C24" s="72" t="s">
        <v>244</v>
      </c>
      <c r="D24" s="23">
        <v>1242.2369620794</v>
      </c>
      <c r="E24" s="23">
        <f>SUM(B24:D24)</f>
        <v>1203270.2369620793</v>
      </c>
      <c r="F24" s="23">
        <v>399520</v>
      </c>
      <c r="G24" s="23">
        <v>194410.18182599999</v>
      </c>
      <c r="H24" s="23">
        <f>I24-F24-G24</f>
        <v>6978.0551360793179</v>
      </c>
      <c r="I24" s="23">
        <f>E24-J24</f>
        <v>600908.2369620793</v>
      </c>
      <c r="J24" s="23">
        <f>'tab01'!D25</f>
        <v>602362</v>
      </c>
    </row>
    <row r="25" spans="1:10">
      <c r="A25" t="s">
        <v>360</v>
      </c>
      <c r="B25" s="23">
        <f>J24</f>
        <v>602362</v>
      </c>
      <c r="C25" s="72" t="s">
        <v>244</v>
      </c>
      <c r="D25" s="23">
        <v>911.13834232470003</v>
      </c>
      <c r="E25" s="23">
        <f>SUM(B25:D25)</f>
        <v>603273.13834232464</v>
      </c>
      <c r="F25" s="23">
        <v>375733.73333333334</v>
      </c>
      <c r="G25" s="23">
        <v>104086.74499860001</v>
      </c>
      <c r="H25" s="23">
        <f>I25-F25-G25</f>
        <v>-54876.339989608707</v>
      </c>
      <c r="I25" s="23">
        <f>E25-J25</f>
        <v>424944.13834232464</v>
      </c>
      <c r="J25" s="23">
        <f>'tab01'!D26</f>
        <v>178329</v>
      </c>
    </row>
    <row r="26" spans="1:10">
      <c r="A26" t="s">
        <v>381</v>
      </c>
      <c r="B26" s="23"/>
      <c r="C26" s="23">
        <f>SUM(C22:C25)</f>
        <v>2756147</v>
      </c>
      <c r="D26" s="23">
        <f>SUM(D22:D25)</f>
        <v>4660.9782486581998</v>
      </c>
      <c r="E26" s="23">
        <f>B22+D26+C26</f>
        <v>2968868.9782486581</v>
      </c>
      <c r="F26" s="23">
        <f>SUM(F22:F25)</f>
        <v>1614787.4333333333</v>
      </c>
      <c r="G26" s="23">
        <f>SUM(G22:G25)</f>
        <v>1044372.1008357001</v>
      </c>
      <c r="H26" s="23">
        <f>SUM(H22:H25)</f>
        <v>131380.44407962493</v>
      </c>
      <c r="I26" s="23">
        <f>SUM(I22:I25)</f>
        <v>2790539.9782486586</v>
      </c>
      <c r="J26" s="23"/>
    </row>
    <row r="27" spans="1:10">
      <c r="B27" s="23"/>
      <c r="C27" s="23"/>
      <c r="D27" s="23"/>
      <c r="E27" s="23"/>
      <c r="F27" s="23"/>
      <c r="G27" s="23"/>
      <c r="H27" s="23"/>
      <c r="I27" s="23"/>
      <c r="J27" s="23"/>
    </row>
    <row r="28" spans="1:10">
      <c r="A28" t="s">
        <v>221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0">
      <c r="A29" t="s">
        <v>361</v>
      </c>
      <c r="B29" s="23">
        <f>J25</f>
        <v>178329</v>
      </c>
      <c r="C29" s="23">
        <v>2453845</v>
      </c>
      <c r="D29" s="23">
        <v>2246.2969250022002</v>
      </c>
      <c r="E29" s="23">
        <f>SUM(B29:D29)</f>
        <v>2634420.2969250022</v>
      </c>
      <c r="F29" s="23">
        <v>419401.43333333335</v>
      </c>
      <c r="G29" s="23">
        <v>383501.30889630003</v>
      </c>
      <c r="H29" s="23">
        <f>I29-F29-G29</f>
        <v>142864.55469536886</v>
      </c>
      <c r="I29" s="23">
        <f>E29-J29</f>
        <v>945767.29692500224</v>
      </c>
      <c r="J29" s="23">
        <f>'tab01'!D29</f>
        <v>1688653</v>
      </c>
    </row>
    <row r="30" spans="1:10">
      <c r="A30" t="s">
        <v>362</v>
      </c>
      <c r="B30" s="23">
        <f>J29</f>
        <v>1688653</v>
      </c>
      <c r="C30" s="72" t="s">
        <v>244</v>
      </c>
      <c r="D30" s="23">
        <v>1383.1406372720999</v>
      </c>
      <c r="E30" s="23">
        <f>SUM(B30:D30)</f>
        <v>1690036.140637272</v>
      </c>
      <c r="F30" s="23">
        <v>423116.96666666667</v>
      </c>
      <c r="G30" s="23">
        <v>333885.59265600005</v>
      </c>
      <c r="H30" s="23">
        <f>I30-F30-G30</f>
        <v>27186.581314605311</v>
      </c>
      <c r="I30" s="23">
        <f>E30-J30</f>
        <v>784189.14063727204</v>
      </c>
      <c r="J30" s="23">
        <f>'tab01'!D30</f>
        <v>905847</v>
      </c>
    </row>
    <row r="31" spans="1:10">
      <c r="A31" t="s">
        <v>359</v>
      </c>
      <c r="B31" s="23">
        <f>J30</f>
        <v>905847</v>
      </c>
      <c r="C31" s="72" t="s">
        <v>244</v>
      </c>
      <c r="D31" s="23">
        <v>994.09903980240006</v>
      </c>
      <c r="E31" s="23">
        <f>SUM(B31:D31)</f>
        <v>906841.09903980244</v>
      </c>
      <c r="F31" s="23">
        <v>359570.86666666664</v>
      </c>
      <c r="G31" s="23">
        <v>123367.22995590001</v>
      </c>
      <c r="H31" s="23">
        <f>I31-F31-G31</f>
        <v>13299.002417235795</v>
      </c>
      <c r="I31" s="23">
        <f>E31-J31</f>
        <v>496237.09903980244</v>
      </c>
      <c r="J31" s="23">
        <f>'tab01'!D31</f>
        <v>410604</v>
      </c>
    </row>
    <row r="32" spans="1:10">
      <c r="A32" t="s">
        <v>360</v>
      </c>
      <c r="B32" s="23">
        <f>J31</f>
        <v>410604</v>
      </c>
      <c r="C32" s="72" t="s">
        <v>244</v>
      </c>
      <c r="D32" s="23">
        <v>938.01691003020005</v>
      </c>
      <c r="E32" s="23">
        <f>SUM(B32:D32)</f>
        <v>411542.01691003022</v>
      </c>
      <c r="F32" s="23">
        <v>327609.46666666667</v>
      </c>
      <c r="G32" s="23">
        <v>45796.429087500008</v>
      </c>
      <c r="H32" s="23">
        <f>I32-F32-G32</f>
        <v>-74277.87884413646</v>
      </c>
      <c r="I32" s="23">
        <f>E32-J32</f>
        <v>299128.01691003022</v>
      </c>
      <c r="J32" s="23">
        <f>'tab01'!D32</f>
        <v>112414</v>
      </c>
    </row>
    <row r="33" spans="1:10">
      <c r="A33" t="s">
        <v>381</v>
      </c>
      <c r="B33" s="23"/>
      <c r="C33" s="23">
        <f>SUM(C29:C32)</f>
        <v>2453845</v>
      </c>
      <c r="D33" s="23">
        <f>SUM(D29:D32)</f>
        <v>5561.5535121068997</v>
      </c>
      <c r="E33" s="23">
        <f>B29+D33+C33</f>
        <v>2637735.5535121071</v>
      </c>
      <c r="F33" s="23">
        <f>SUM(F29:F32)</f>
        <v>1529698.7333333334</v>
      </c>
      <c r="G33" s="23">
        <f>SUM(G29:G32)</f>
        <v>886550.56059570005</v>
      </c>
      <c r="H33" s="23">
        <f>SUM(H29:H32)</f>
        <v>109072.25958307352</v>
      </c>
      <c r="I33" s="23">
        <f>SUM(I29:I32)</f>
        <v>2525321.5535121066</v>
      </c>
      <c r="J33" s="23"/>
    </row>
    <row r="34" spans="1:10">
      <c r="B34" s="23"/>
      <c r="C34" s="23"/>
      <c r="D34" s="23"/>
      <c r="E34" s="23"/>
      <c r="F34" s="23"/>
      <c r="G34" s="23"/>
      <c r="H34" s="23"/>
      <c r="I34" s="23"/>
      <c r="J34" s="23"/>
    </row>
    <row r="35" spans="1:10">
      <c r="A35" t="s">
        <v>222</v>
      </c>
      <c r="B35" s="23"/>
      <c r="C35" s="23"/>
      <c r="D35" s="23"/>
      <c r="E35" s="23"/>
      <c r="F35" s="23"/>
      <c r="G35" s="23"/>
      <c r="H35" s="23"/>
      <c r="I35" s="23"/>
      <c r="J35" s="23"/>
    </row>
    <row r="36" spans="1:10">
      <c r="A36" t="s">
        <v>361</v>
      </c>
      <c r="B36" s="23">
        <f>J32</f>
        <v>112414</v>
      </c>
      <c r="C36" s="23">
        <v>3123790</v>
      </c>
      <c r="D36" s="23">
        <v>970.57274682270008</v>
      </c>
      <c r="E36" s="23">
        <f>SUM(B36:D36)</f>
        <v>3237174.5727468226</v>
      </c>
      <c r="F36" s="23">
        <v>427364.03333333333</v>
      </c>
      <c r="G36" s="23">
        <v>405776.25842880004</v>
      </c>
      <c r="H36" s="23">
        <f>I36-F36-G36</f>
        <v>99394.280984689249</v>
      </c>
      <c r="I36" s="23">
        <f>E36-J36</f>
        <v>932534.57274682261</v>
      </c>
      <c r="J36" s="23">
        <f>'tab01'!D35</f>
        <v>2304640</v>
      </c>
    </row>
    <row r="37" spans="1:10">
      <c r="A37" t="s">
        <v>362</v>
      </c>
      <c r="B37" s="23">
        <f>J36</f>
        <v>2304640</v>
      </c>
      <c r="C37" s="72" t="s">
        <v>244</v>
      </c>
      <c r="D37" s="23">
        <v>1377.3180835953001</v>
      </c>
      <c r="E37" s="23">
        <f>SUM(B37:D37)</f>
        <v>2306017.3180835955</v>
      </c>
      <c r="F37" s="23">
        <v>436184.80000000005</v>
      </c>
      <c r="G37" s="23">
        <v>410684.18792520004</v>
      </c>
      <c r="H37" s="23">
        <f>I37-F37-G37</f>
        <v>77784.330158395402</v>
      </c>
      <c r="I37" s="23">
        <f>E37-J37</f>
        <v>924653.31808359548</v>
      </c>
      <c r="J37" s="23">
        <f>'tab01'!D36</f>
        <v>1381364</v>
      </c>
    </row>
    <row r="38" spans="1:10">
      <c r="A38" t="s">
        <v>359</v>
      </c>
      <c r="B38" s="23">
        <f>J37</f>
        <v>1381364</v>
      </c>
      <c r="C38" s="72" t="s">
        <v>244</v>
      </c>
      <c r="D38" s="23">
        <v>969.65595476399994</v>
      </c>
      <c r="E38" s="23">
        <f>SUM(B38:D38)</f>
        <v>1382333.655954764</v>
      </c>
      <c r="F38" s="23">
        <v>430721.9</v>
      </c>
      <c r="G38" s="23">
        <v>197913.1792092</v>
      </c>
      <c r="H38" s="23">
        <f>I38-F38-G38</f>
        <v>54424.576745563973</v>
      </c>
      <c r="I38" s="23">
        <f>E38-J38</f>
        <v>683059.65595476399</v>
      </c>
      <c r="J38" s="23">
        <f>'tab01'!D37</f>
        <v>699274</v>
      </c>
    </row>
    <row r="39" spans="1:10">
      <c r="A39" t="s">
        <v>360</v>
      </c>
      <c r="B39" s="23">
        <f>J38</f>
        <v>699274</v>
      </c>
      <c r="C39" s="72" t="s">
        <v>244</v>
      </c>
      <c r="D39" s="23">
        <v>2260.0176839688002</v>
      </c>
      <c r="E39" s="23">
        <f>SUM(B39:D39)</f>
        <v>701534.01768396876</v>
      </c>
      <c r="F39" s="23">
        <v>401810.49999999994</v>
      </c>
      <c r="G39" s="23">
        <v>82782.674251200006</v>
      </c>
      <c r="H39" s="23">
        <f>I39-F39-G39</f>
        <v>-38797.156567231184</v>
      </c>
      <c r="I39" s="23">
        <f>E39-J39</f>
        <v>445796.01768396876</v>
      </c>
      <c r="J39" s="23">
        <f>'tab01'!D38</f>
        <v>255738</v>
      </c>
    </row>
    <row r="40" spans="1:10">
      <c r="A40" t="s">
        <v>381</v>
      </c>
      <c r="B40" s="23"/>
      <c r="C40" s="23">
        <f>SUM(C36:C39)</f>
        <v>3123790</v>
      </c>
      <c r="D40" s="23">
        <f>SUM(D36:D39)</f>
        <v>5577.5644691508005</v>
      </c>
      <c r="E40" s="23">
        <f>B36+D40+C40</f>
        <v>3241781.5644691507</v>
      </c>
      <c r="F40" s="23">
        <f>SUM(F36:F39)</f>
        <v>1696081.2333333334</v>
      </c>
      <c r="G40" s="23">
        <f>SUM(G36:G39)</f>
        <v>1097156.2998144</v>
      </c>
      <c r="H40" s="23">
        <f>SUM(H36:H39)</f>
        <v>192806.03132141742</v>
      </c>
      <c r="I40" s="23">
        <f>SUM(I36:I39)</f>
        <v>2986043.5644691512</v>
      </c>
      <c r="J40" s="23"/>
    </row>
    <row r="41" spans="1:10">
      <c r="B41" s="23"/>
      <c r="C41" s="23"/>
      <c r="D41" s="23"/>
      <c r="E41" s="23"/>
      <c r="F41" s="23"/>
      <c r="G41" s="23"/>
      <c r="H41" s="23"/>
      <c r="I41" s="23"/>
      <c r="J41" s="23"/>
    </row>
    <row r="42" spans="1:10">
      <c r="A42" t="s">
        <v>225</v>
      </c>
      <c r="B42" s="23"/>
      <c r="C42" s="23"/>
      <c r="D42" s="23"/>
      <c r="E42" s="23"/>
      <c r="F42" s="23"/>
      <c r="G42" s="23"/>
      <c r="H42" s="23"/>
      <c r="I42" s="23"/>
      <c r="J42" s="23"/>
    </row>
    <row r="43" spans="1:10">
      <c r="A43" t="s">
        <v>361</v>
      </c>
      <c r="B43" s="23">
        <f>J39</f>
        <v>255738</v>
      </c>
      <c r="C43" s="23">
        <v>3068342</v>
      </c>
      <c r="D43" s="23">
        <v>587.62468781730001</v>
      </c>
      <c r="E43" s="23">
        <f>SUM(B43:D43)</f>
        <v>3324667.6246878174</v>
      </c>
      <c r="F43" s="23">
        <v>442350.63333333342</v>
      </c>
      <c r="G43" s="23">
        <v>312634.2123744</v>
      </c>
      <c r="H43" s="23">
        <f>I43-F43-G43</f>
        <v>68256.778980083996</v>
      </c>
      <c r="I43" s="23">
        <f>E43-J43</f>
        <v>823241.62468781741</v>
      </c>
      <c r="J43" s="23">
        <f>'tab01'!D41</f>
        <v>2501426</v>
      </c>
    </row>
    <row r="44" spans="1:10">
      <c r="A44" t="s">
        <v>362</v>
      </c>
      <c r="B44" s="23">
        <f>J43</f>
        <v>2501426</v>
      </c>
      <c r="C44" s="72" t="s">
        <v>244</v>
      </c>
      <c r="D44" s="23">
        <v>777.73802462160006</v>
      </c>
      <c r="E44" s="23">
        <f>SUM(B44:D44)</f>
        <v>2502203.7380246217</v>
      </c>
      <c r="F44" s="23">
        <v>437154.7</v>
      </c>
      <c r="G44" s="23">
        <v>305219.62766400003</v>
      </c>
      <c r="H44" s="23">
        <f>I44-F44-G44</f>
        <v>90623.410360621696</v>
      </c>
      <c r="I44" s="23">
        <f>E44-J44</f>
        <v>832997.73802462174</v>
      </c>
      <c r="J44" s="23">
        <f>'tab01'!D42</f>
        <v>1669206</v>
      </c>
    </row>
    <row r="45" spans="1:10">
      <c r="A45" t="s">
        <v>359</v>
      </c>
      <c r="B45" s="23">
        <f>J44</f>
        <v>1669206</v>
      </c>
      <c r="C45" s="72" t="s">
        <v>244</v>
      </c>
      <c r="D45" s="23">
        <v>956.18894778959998</v>
      </c>
      <c r="E45" s="23">
        <f>SUM(B45:D45)</f>
        <v>1670162.1889477896</v>
      </c>
      <c r="F45" s="23">
        <v>431251.76666666672</v>
      </c>
      <c r="G45" s="23">
        <v>184313.4172467</v>
      </c>
      <c r="H45" s="23">
        <f>I45-F45-G45</f>
        <v>63898.00503442288</v>
      </c>
      <c r="I45" s="23">
        <f>E45-J45</f>
        <v>679463.1889477896</v>
      </c>
      <c r="J45" s="23">
        <f>'tab01'!D43</f>
        <v>990699</v>
      </c>
    </row>
    <row r="46" spans="1:10">
      <c r="A46" t="s">
        <v>360</v>
      </c>
      <c r="B46" s="23">
        <f>J45</f>
        <v>990699</v>
      </c>
      <c r="C46" s="72" t="s">
        <v>244</v>
      </c>
      <c r="D46" s="23">
        <v>1050.4569310431002</v>
      </c>
      <c r="E46" s="23">
        <f>SUM(B46:D46)</f>
        <v>991749.45693104307</v>
      </c>
      <c r="F46" s="23">
        <v>428094.6333333333</v>
      </c>
      <c r="G46" s="23">
        <v>137711.49276779999</v>
      </c>
      <c r="H46" s="23">
        <f>I46-F46-G46</f>
        <v>-23382.66917009023</v>
      </c>
      <c r="I46" s="23">
        <f>E46-J46</f>
        <v>542423.45693104307</v>
      </c>
      <c r="J46" s="23">
        <f>'tab01'!D44</f>
        <v>449326</v>
      </c>
    </row>
    <row r="47" spans="1:10">
      <c r="A47" t="s">
        <v>381</v>
      </c>
      <c r="B47" s="23"/>
      <c r="C47" s="23">
        <f>SUM(C43:C46)</f>
        <v>3068342</v>
      </c>
      <c r="D47" s="23">
        <f>SUM(D43:D46)</f>
        <v>3372.0085912715999</v>
      </c>
      <c r="E47" s="23">
        <f>B43+D47+C47</f>
        <v>3327452.0085912715</v>
      </c>
      <c r="F47" s="23">
        <f>SUM(F43:F46)</f>
        <v>1738851.7333333334</v>
      </c>
      <c r="G47" s="23">
        <f>SUM(G43:G46)</f>
        <v>939878.75005290005</v>
      </c>
      <c r="H47" s="23">
        <f>SUM(H43:H46)</f>
        <v>199395.52520503834</v>
      </c>
      <c r="I47" s="23">
        <f>SUM(I43:I46)</f>
        <v>2878126.0085912715</v>
      </c>
      <c r="J47" s="23"/>
    </row>
    <row r="48" spans="1:10">
      <c r="B48" s="23"/>
      <c r="C48" s="23"/>
      <c r="D48" s="23"/>
      <c r="E48" s="23"/>
      <c r="F48" s="23"/>
      <c r="G48" s="23"/>
      <c r="H48" s="23"/>
      <c r="I48" s="23"/>
      <c r="J48" s="23"/>
    </row>
    <row r="49" spans="1:10">
      <c r="A49" t="s">
        <v>227</v>
      </c>
      <c r="B49" s="23"/>
      <c r="C49" s="23"/>
      <c r="D49" s="23"/>
      <c r="E49" s="23"/>
      <c r="F49" s="23"/>
      <c r="G49" s="23"/>
      <c r="H49" s="23"/>
      <c r="I49" s="23"/>
      <c r="J49" s="23"/>
    </row>
    <row r="50" spans="1:10">
      <c r="A50" t="s">
        <v>361</v>
      </c>
      <c r="B50" s="23">
        <f>J46</f>
        <v>449326</v>
      </c>
      <c r="C50" s="23">
        <v>3196726</v>
      </c>
      <c r="D50" s="23">
        <v>1520.9606341859999</v>
      </c>
      <c r="E50" s="23">
        <f>SUM(B50:D50)</f>
        <v>3647572.9606341859</v>
      </c>
      <c r="F50" s="23">
        <v>459203.3</v>
      </c>
      <c r="G50" s="23">
        <v>373814.78772750002</v>
      </c>
      <c r="H50" s="23">
        <f>I50-F50-G50</f>
        <v>113188.87290668592</v>
      </c>
      <c r="I50" s="23">
        <f>E50-J50</f>
        <v>946206.96063418593</v>
      </c>
      <c r="J50" s="23">
        <f>'tab01'!D47</f>
        <v>2701366</v>
      </c>
    </row>
    <row r="51" spans="1:10">
      <c r="A51" t="s">
        <v>362</v>
      </c>
      <c r="B51" s="23">
        <f>J50</f>
        <v>2701366</v>
      </c>
      <c r="C51" s="72" t="s">
        <v>244</v>
      </c>
      <c r="D51" s="23">
        <v>1910.4139815579001</v>
      </c>
      <c r="E51" s="23">
        <f>SUM(B51:D51)</f>
        <v>2703276.4139815578</v>
      </c>
      <c r="F51" s="23">
        <v>449817.45299999998</v>
      </c>
      <c r="G51" s="23">
        <v>396317.3644815</v>
      </c>
      <c r="H51" s="23">
        <f>I51-F51-G51</f>
        <v>70254.596500057844</v>
      </c>
      <c r="I51" s="23">
        <f>E51-J51</f>
        <v>916389.41398155782</v>
      </c>
      <c r="J51" s="23">
        <f>'tab01'!D48</f>
        <v>1786887</v>
      </c>
    </row>
    <row r="52" spans="1:10">
      <c r="A52" t="s">
        <v>359</v>
      </c>
      <c r="B52" s="23">
        <f>J51</f>
        <v>1786887</v>
      </c>
      <c r="C52" s="72" t="s">
        <v>244</v>
      </c>
      <c r="D52" s="23">
        <v>2568.6628165527</v>
      </c>
      <c r="E52" s="23">
        <f>SUM(B52:D52)</f>
        <v>1789455.6628165527</v>
      </c>
      <c r="F52" s="23">
        <v>453227.99633333331</v>
      </c>
      <c r="G52" s="23">
        <v>210005.31041699997</v>
      </c>
      <c r="H52" s="23">
        <f>I52-F52-G52</f>
        <v>34037.356066219392</v>
      </c>
      <c r="I52" s="23">
        <f>E52-J52</f>
        <v>697270.66281655268</v>
      </c>
      <c r="J52" s="23">
        <f>'tab01'!D49</f>
        <v>1092185</v>
      </c>
    </row>
    <row r="53" spans="1:10">
      <c r="A53" t="s">
        <v>360</v>
      </c>
      <c r="B53" s="23">
        <f>J52</f>
        <v>1092185</v>
      </c>
      <c r="C53" s="72" t="s">
        <v>244</v>
      </c>
      <c r="D53" s="23">
        <v>3033.7137178718999</v>
      </c>
      <c r="E53" s="23">
        <f>SUM(B53:D53)</f>
        <v>1095218.7137178718</v>
      </c>
      <c r="F53" s="23">
        <v>445456.89300000004</v>
      </c>
      <c r="G53" s="23">
        <v>136358.40601530002</v>
      </c>
      <c r="H53" s="23">
        <f>I53-F53-G53</f>
        <v>-60406.585297428246</v>
      </c>
      <c r="I53" s="23">
        <f>E53-J53</f>
        <v>521408.71371787181</v>
      </c>
      <c r="J53" s="23">
        <f>'tab01'!D50</f>
        <v>573810</v>
      </c>
    </row>
    <row r="54" spans="1:10">
      <c r="A54" t="s">
        <v>381</v>
      </c>
      <c r="B54" s="23"/>
      <c r="C54" s="23">
        <f>SUM(C50:C53)</f>
        <v>3196726</v>
      </c>
      <c r="D54" s="23">
        <f>SUM(D50:D53)</f>
        <v>9033.7511501685003</v>
      </c>
      <c r="E54" s="23">
        <f>B50+D54+C54</f>
        <v>3655085.7511501685</v>
      </c>
      <c r="F54" s="23">
        <f>SUM(F50:F53)</f>
        <v>1807705.6423333334</v>
      </c>
      <c r="G54" s="23">
        <f>SUM(G50:G53)</f>
        <v>1116495.8686412999</v>
      </c>
      <c r="H54" s="23">
        <f>SUM(H50:H53)</f>
        <v>157074.24017553491</v>
      </c>
      <c r="I54" s="23">
        <f>SUM(I50:I53)</f>
        <v>3081275.751150168</v>
      </c>
      <c r="J54" s="23"/>
    </row>
    <row r="55" spans="1:10">
      <c r="B55" s="23"/>
      <c r="C55" s="23"/>
      <c r="D55" s="23"/>
      <c r="E55" s="23"/>
      <c r="F55" s="23"/>
      <c r="G55" s="23"/>
      <c r="H55" s="23"/>
      <c r="I55" s="23"/>
      <c r="J55" s="23"/>
    </row>
    <row r="56" spans="1:10">
      <c r="A56" t="s">
        <v>230</v>
      </c>
      <c r="B56" s="23"/>
      <c r="C56" s="23"/>
      <c r="D56" s="23"/>
      <c r="E56" s="23"/>
      <c r="F56" s="23"/>
      <c r="G56" s="23"/>
      <c r="H56" s="23"/>
      <c r="I56" s="23"/>
      <c r="J56" s="23"/>
    </row>
    <row r="57" spans="1:10">
      <c r="A57" t="s">
        <v>361</v>
      </c>
      <c r="B57" s="23">
        <f>J53</f>
        <v>573810</v>
      </c>
      <c r="C57" s="23">
        <f>'tab02'!E33</f>
        <v>2677117</v>
      </c>
      <c r="D57" s="23">
        <v>1568.7447137250001</v>
      </c>
      <c r="E57" s="23">
        <f>SUM(B57:D57)</f>
        <v>3252495.7447137251</v>
      </c>
      <c r="F57" s="23">
        <v>467364.81099999999</v>
      </c>
      <c r="G57" s="23">
        <v>328060.35668910004</v>
      </c>
      <c r="H57" s="23">
        <f>I57-F57-G57</f>
        <v>96710.577024625032</v>
      </c>
      <c r="I57" s="23">
        <f>E57-J57</f>
        <v>892135.74471372506</v>
      </c>
      <c r="J57" s="23">
        <f>'tab01'!D53</f>
        <v>2360360</v>
      </c>
    </row>
    <row r="58" spans="1:10">
      <c r="A58" t="s">
        <v>362</v>
      </c>
      <c r="B58" s="23">
        <f>J57</f>
        <v>2360360</v>
      </c>
      <c r="C58" s="72" t="s">
        <v>244</v>
      </c>
      <c r="D58" s="23">
        <v>3726.7765839738004</v>
      </c>
      <c r="E58" s="23">
        <f>SUM(B58:D58)</f>
        <v>2364086.7765839738</v>
      </c>
      <c r="F58" s="23">
        <v>471037.22666666668</v>
      </c>
      <c r="G58" s="23">
        <v>431289.32001120003</v>
      </c>
      <c r="H58" s="23">
        <f>I58-F58-G58</f>
        <v>27778.229906107066</v>
      </c>
      <c r="I58" s="23">
        <f>E58-J58</f>
        <v>930104.77658397378</v>
      </c>
      <c r="J58" s="23">
        <f>'tab01'!D54</f>
        <v>1433982</v>
      </c>
    </row>
    <row r="59" spans="1:10">
      <c r="A59" t="s">
        <v>359</v>
      </c>
      <c r="B59" s="23">
        <f>J58</f>
        <v>1433982</v>
      </c>
      <c r="C59" s="72" t="s">
        <v>244</v>
      </c>
      <c r="D59" s="23">
        <v>2237.1732070863</v>
      </c>
      <c r="E59" s="23">
        <f>SUM(B59:D59)</f>
        <v>1436219.1732070863</v>
      </c>
      <c r="F59" s="23">
        <v>456013.5</v>
      </c>
      <c r="G59" s="23">
        <v>243753.14958120001</v>
      </c>
      <c r="H59" s="23">
        <f>I59-F59-G59</f>
        <v>60309.523625886271</v>
      </c>
      <c r="I59" s="23">
        <f>E59-J59</f>
        <v>760076.17320708628</v>
      </c>
      <c r="J59" s="23">
        <f>'tab01'!D55</f>
        <v>676143</v>
      </c>
    </row>
    <row r="60" spans="1:10">
      <c r="A60" t="s">
        <v>360</v>
      </c>
      <c r="B60" s="23">
        <f>J59</f>
        <v>676143</v>
      </c>
      <c r="C60" s="72" t="s">
        <v>244</v>
      </c>
      <c r="D60" s="23">
        <v>2338.1084081922004</v>
      </c>
      <c r="E60" s="23">
        <f>SUM(B60:D60)</f>
        <v>678481.10840819217</v>
      </c>
      <c r="F60" s="23">
        <v>408991.79999999993</v>
      </c>
      <c r="G60" s="23">
        <v>155726.23074750003</v>
      </c>
      <c r="H60" s="23">
        <f>I60-F60-G60</f>
        <v>-91270.922339307785</v>
      </c>
      <c r="I60" s="23">
        <f>E60-J60</f>
        <v>473447.10840819217</v>
      </c>
      <c r="J60" s="23">
        <f>'tab01'!D56</f>
        <v>205034</v>
      </c>
    </row>
    <row r="61" spans="1:10">
      <c r="A61" t="s">
        <v>381</v>
      </c>
      <c r="B61" s="23"/>
      <c r="C61" s="23">
        <f>SUM(C57:C60)</f>
        <v>2677117</v>
      </c>
      <c r="D61" s="23">
        <f>SUM(D57:D60)</f>
        <v>9870.8029129773004</v>
      </c>
      <c r="E61" s="23">
        <f>B57+D61+C61</f>
        <v>3260797.8029129775</v>
      </c>
      <c r="F61" s="23">
        <f>SUM(F57:F60)</f>
        <v>1803407.3376666666</v>
      </c>
      <c r="G61" s="23">
        <f>SUM(G57:G60)</f>
        <v>1158829.057029</v>
      </c>
      <c r="H61" s="23">
        <f>SUM(H57:H60)</f>
        <v>93527.408217310585</v>
      </c>
      <c r="I61" s="23">
        <f>SUM(I57:I60)</f>
        <v>3055763.8029129775</v>
      </c>
      <c r="J61" s="23"/>
    </row>
    <row r="62" spans="1:10" ht="13.15" customHeight="1">
      <c r="B62" s="23"/>
      <c r="C62" s="23"/>
      <c r="D62" s="23"/>
      <c r="E62" s="23"/>
      <c r="F62" s="23"/>
      <c r="G62" s="23"/>
      <c r="H62" s="23"/>
      <c r="I62" s="23"/>
      <c r="J62" s="23"/>
    </row>
    <row r="63" spans="1:10">
      <c r="A63" t="s">
        <v>231</v>
      </c>
      <c r="B63" s="23"/>
      <c r="C63" s="23"/>
      <c r="D63" s="23"/>
      <c r="E63" s="23"/>
      <c r="F63" s="23"/>
      <c r="G63" s="23"/>
      <c r="H63" s="23"/>
      <c r="I63" s="23"/>
      <c r="J63" s="23"/>
    </row>
    <row r="64" spans="1:10">
      <c r="A64" t="s">
        <v>361</v>
      </c>
      <c r="B64" s="23">
        <f>J60</f>
        <v>205034</v>
      </c>
      <c r="C64" s="23">
        <f>'tab02'!E34</f>
        <v>2967007</v>
      </c>
      <c r="D64" s="23">
        <v>2760.0435538011006</v>
      </c>
      <c r="E64" s="23">
        <f>SUM(B64:D64)</f>
        <v>3174801.0435538013</v>
      </c>
      <c r="F64" s="23">
        <v>420422.06666666665</v>
      </c>
      <c r="G64" s="23">
        <v>386933.7216318</v>
      </c>
      <c r="H64" s="23">
        <f>I64-F64-G64</f>
        <v>92013.255255334603</v>
      </c>
      <c r="I64" s="23">
        <f>E64-J64</f>
        <v>899369.04355380125</v>
      </c>
      <c r="J64" s="23">
        <f>'tab01'!D59</f>
        <v>2275432</v>
      </c>
    </row>
    <row r="65" spans="1:10">
      <c r="A65" t="s">
        <v>362</v>
      </c>
      <c r="B65" s="23">
        <f>J64</f>
        <v>2275432</v>
      </c>
      <c r="C65" s="72" t="s">
        <v>244</v>
      </c>
      <c r="D65" s="23">
        <v>4596.0753527766001</v>
      </c>
      <c r="E65" s="23">
        <f>SUM(B65:D65)</f>
        <v>2280028.0753527768</v>
      </c>
      <c r="F65" s="23">
        <v>421926.73333333328</v>
      </c>
      <c r="G65" s="23">
        <v>482875.27018920006</v>
      </c>
      <c r="H65" s="23">
        <f>I65-F65-G65</f>
        <v>73437.071830243454</v>
      </c>
      <c r="I65" s="23">
        <f>E65-J65</f>
        <v>978239.0753527768</v>
      </c>
      <c r="J65" s="23">
        <f>'tab01'!D60</f>
        <v>1301789</v>
      </c>
    </row>
    <row r="66" spans="1:10">
      <c r="A66" t="s">
        <v>359</v>
      </c>
      <c r="B66" s="23">
        <f>J65</f>
        <v>1301789</v>
      </c>
      <c r="C66" s="72" t="s">
        <v>244</v>
      </c>
      <c r="D66" s="23">
        <v>3771.8175993330001</v>
      </c>
      <c r="E66" s="23">
        <f>SUM(B66:D66)</f>
        <v>1305560.8175993329</v>
      </c>
      <c r="F66" s="23">
        <v>430856.66666666663</v>
      </c>
      <c r="G66" s="23">
        <v>243683.37329490003</v>
      </c>
      <c r="H66" s="23">
        <f>I66-F66-G66</f>
        <v>34861.777637766238</v>
      </c>
      <c r="I66" s="23">
        <f>E66-J66</f>
        <v>709401.81759933289</v>
      </c>
      <c r="J66" s="23">
        <f>'tab01'!D61</f>
        <v>596159</v>
      </c>
    </row>
    <row r="67" spans="1:10">
      <c r="A67" t="s">
        <v>245</v>
      </c>
      <c r="B67" s="23">
        <f>J66</f>
        <v>596159</v>
      </c>
      <c r="C67" s="72" t="s">
        <v>244</v>
      </c>
      <c r="D67" s="23">
        <v>2135.1931253835</v>
      </c>
      <c r="E67" s="23">
        <f>SUM(B67:D67)</f>
        <v>598294.19312538346</v>
      </c>
      <c r="F67" s="23">
        <v>388716.6</v>
      </c>
      <c r="G67" s="23">
        <v>165801.2063127</v>
      </c>
      <c r="H67" s="23">
        <f>I67-F67-G67</f>
        <v>-94421.613187316514</v>
      </c>
      <c r="I67" s="23">
        <f>E67-J67</f>
        <v>460096.19312538346</v>
      </c>
      <c r="J67" s="23">
        <f>'tab01'!D62</f>
        <v>138198</v>
      </c>
    </row>
    <row r="68" spans="1:10">
      <c r="A68" t="s">
        <v>381</v>
      </c>
      <c r="B68" s="23"/>
      <c r="C68" s="23">
        <f>SUM(C64:C67)</f>
        <v>2967007</v>
      </c>
      <c r="D68" s="23">
        <f>SUM(D64:D67)</f>
        <v>13263.129631294199</v>
      </c>
      <c r="E68" s="23">
        <f>B64+D68+C68</f>
        <v>3185304.1296312944</v>
      </c>
      <c r="F68" s="23">
        <f>SUM(F64:F67)</f>
        <v>1661922.0666666664</v>
      </c>
      <c r="G68" s="23">
        <f>SUM(G64:G67)</f>
        <v>1279293.5714286</v>
      </c>
      <c r="H68" s="23">
        <f>SUM(H64:H67)</f>
        <v>105890.49153602778</v>
      </c>
      <c r="I68" s="23">
        <f>SUM(I64:I67)</f>
        <v>3047106.1296312944</v>
      </c>
      <c r="J68" s="23"/>
    </row>
    <row r="69" spans="1:10">
      <c r="B69" s="23"/>
      <c r="C69" s="23"/>
      <c r="D69" s="23"/>
      <c r="E69" s="23"/>
      <c r="F69" s="23"/>
      <c r="G69" s="23"/>
      <c r="H69" s="23"/>
      <c r="I69" s="23"/>
      <c r="J69" s="23"/>
    </row>
    <row r="70" spans="1:10">
      <c r="A70" t="s">
        <v>234</v>
      </c>
      <c r="B70" s="23"/>
      <c r="C70" s="23"/>
      <c r="D70" s="23"/>
      <c r="E70" s="23"/>
      <c r="F70" s="23"/>
      <c r="G70" s="23"/>
      <c r="H70" s="23"/>
      <c r="I70" s="23"/>
      <c r="J70" s="23"/>
    </row>
    <row r="71" spans="1:10">
      <c r="A71" t="s">
        <v>361</v>
      </c>
      <c r="B71" s="23">
        <f>J67</f>
        <v>138198</v>
      </c>
      <c r="C71" s="23">
        <f>'tab02'!E35</f>
        <v>3360931</v>
      </c>
      <c r="D71" s="23">
        <v>3171.0505351308002</v>
      </c>
      <c r="E71" s="23">
        <f>SUM(B71:D71)</f>
        <v>3502300.0505351308</v>
      </c>
      <c r="F71" s="23">
        <v>445062.33333333331</v>
      </c>
      <c r="G71" s="23">
        <v>535978.25750910002</v>
      </c>
      <c r="H71" s="23">
        <f>I71-F71-G71</f>
        <v>182709.45969269751</v>
      </c>
      <c r="I71" s="23">
        <f>E71-J71</f>
        <v>1163750.0505351308</v>
      </c>
      <c r="J71" s="23">
        <f>'tab01'!D65</f>
        <v>2338550</v>
      </c>
    </row>
    <row r="72" spans="1:10">
      <c r="A72" t="s">
        <v>362</v>
      </c>
      <c r="B72" s="23">
        <f>J71</f>
        <v>2338550</v>
      </c>
      <c r="C72" s="72" t="s">
        <v>244</v>
      </c>
      <c r="D72" s="23">
        <v>5609.5613607789001</v>
      </c>
      <c r="E72" s="23">
        <f>SUM(B72:D72)</f>
        <v>2344159.5613607788</v>
      </c>
      <c r="F72" s="23">
        <v>494208.20666666667</v>
      </c>
      <c r="G72" s="23">
        <v>622287.15116190002</v>
      </c>
      <c r="H72" s="23">
        <f>I72-F72-G72</f>
        <v>-42403.796467787935</v>
      </c>
      <c r="I72" s="23">
        <f>E72-J72</f>
        <v>1074091.5613607788</v>
      </c>
      <c r="J72" s="23">
        <f>'tab01'!D66</f>
        <v>1270068</v>
      </c>
    </row>
    <row r="73" spans="1:10">
      <c r="A73" t="s">
        <v>359</v>
      </c>
      <c r="B73" s="23">
        <f>J72</f>
        <v>1270068</v>
      </c>
      <c r="C73" s="72" t="s">
        <v>244</v>
      </c>
      <c r="D73" s="23">
        <v>3181.7533502978999</v>
      </c>
      <c r="E73" s="23">
        <f>SUM(B73:D73)</f>
        <v>1273249.7533502979</v>
      </c>
      <c r="F73" s="23">
        <v>425468.53833333333</v>
      </c>
      <c r="G73" s="23">
        <v>218940.71687040001</v>
      </c>
      <c r="H73" s="23">
        <f>I73-F73-G73</f>
        <v>57717.498146564583</v>
      </c>
      <c r="I73" s="23">
        <f>E73-J73</f>
        <v>702126.75335029792</v>
      </c>
      <c r="J73" s="23">
        <f>'tab01'!D67</f>
        <v>571123</v>
      </c>
    </row>
    <row r="74" spans="1:10">
      <c r="A74" t="s">
        <v>360</v>
      </c>
      <c r="B74" s="23">
        <f>J73</f>
        <v>571123</v>
      </c>
      <c r="C74" s="72" t="s">
        <v>244</v>
      </c>
      <c r="D74" s="23">
        <v>2625.7415824436998</v>
      </c>
      <c r="E74" s="23">
        <f>SUM(B74:D74)</f>
        <v>573748.7415824437</v>
      </c>
      <c r="F74" s="23">
        <v>386947.19000000006</v>
      </c>
      <c r="G74" s="23">
        <v>121841.99896890001</v>
      </c>
      <c r="H74" s="23">
        <f>I74-F74-G74</f>
        <v>-85925.447386456362</v>
      </c>
      <c r="I74" s="23">
        <f>E74-J74</f>
        <v>422863.7415824437</v>
      </c>
      <c r="J74" s="23">
        <f>'tab01'!D68</f>
        <v>150885</v>
      </c>
    </row>
    <row r="75" spans="1:10">
      <c r="A75" t="s">
        <v>218</v>
      </c>
      <c r="B75" s="23"/>
      <c r="C75" s="23">
        <f>SUM(C71:C74)</f>
        <v>3360931</v>
      </c>
      <c r="D75" s="23">
        <f>SUM(D71:D74)</f>
        <v>14588.1068286513</v>
      </c>
      <c r="E75" s="23">
        <f>B71+D75+C75</f>
        <v>3513717.1068286514</v>
      </c>
      <c r="F75" s="23">
        <f>SUM(F71:F74)</f>
        <v>1751686.2683333335</v>
      </c>
      <c r="G75" s="23">
        <f>SUM(G71:G74)</f>
        <v>1499048.1245103001</v>
      </c>
      <c r="H75" s="23">
        <f>SUM(H71:H74)</f>
        <v>112097.71398501779</v>
      </c>
      <c r="I75" s="23">
        <f>SUM(I71:I74)</f>
        <v>3362832.1068286514</v>
      </c>
      <c r="J75" s="23"/>
    </row>
    <row r="76" spans="1:10">
      <c r="B76" s="23"/>
      <c r="C76" s="23"/>
      <c r="D76" s="23"/>
      <c r="E76" s="23"/>
      <c r="F76" s="23"/>
      <c r="G76" s="23"/>
      <c r="H76" s="23"/>
      <c r="I76" s="23"/>
      <c r="J76" s="23"/>
    </row>
    <row r="77" spans="1:10">
      <c r="A77" t="s">
        <v>236</v>
      </c>
      <c r="B77" s="23"/>
      <c r="C77" s="23"/>
      <c r="D77" s="23"/>
      <c r="E77" s="23"/>
      <c r="F77" s="23"/>
      <c r="G77" s="23"/>
      <c r="H77" s="23"/>
      <c r="I77" s="23"/>
      <c r="J77" s="23"/>
    </row>
    <row r="78" spans="1:10">
      <c r="A78" t="s">
        <v>361</v>
      </c>
      <c r="B78" s="23">
        <f>J74</f>
        <v>150885</v>
      </c>
      <c r="C78" s="23">
        <f>'tab02'!E36</f>
        <v>3331306</v>
      </c>
      <c r="D78" s="23">
        <v>3739.2416269929004</v>
      </c>
      <c r="E78" s="23">
        <f>SUM(B78:D78)</f>
        <v>3485930.2416269928</v>
      </c>
      <c r="F78" s="23">
        <v>442633.99966666673</v>
      </c>
      <c r="G78" s="23">
        <v>622063.49225999997</v>
      </c>
      <c r="H78" s="23">
        <f>I78-F78-G78</f>
        <v>143148.74970032612</v>
      </c>
      <c r="I78" s="23">
        <f>E78-J78</f>
        <v>1207846.2416269928</v>
      </c>
      <c r="J78" s="23">
        <f>'tab01'!D71</f>
        <v>2278084</v>
      </c>
    </row>
    <row r="79" spans="1:10">
      <c r="A79" t="s">
        <v>362</v>
      </c>
      <c r="B79" s="23">
        <f>J78</f>
        <v>2278084</v>
      </c>
      <c r="C79" s="72" t="s">
        <v>244</v>
      </c>
      <c r="D79" s="23">
        <v>4874.7842171721004</v>
      </c>
      <c r="E79" s="23">
        <f>SUM(B79:D79)</f>
        <v>2282958.7842171723</v>
      </c>
      <c r="F79" s="23">
        <v>430928.32833333337</v>
      </c>
      <c r="G79" s="23">
        <v>550535.00913809997</v>
      </c>
      <c r="H79" s="23">
        <f>I79-F79-G79</f>
        <v>52695.446745738969</v>
      </c>
      <c r="I79" s="23">
        <f>E79-J79</f>
        <v>1034158.7842171723</v>
      </c>
      <c r="J79" s="23">
        <f>'tab01'!D72</f>
        <v>1248800</v>
      </c>
    </row>
    <row r="80" spans="1:10">
      <c r="A80" t="s">
        <v>359</v>
      </c>
      <c r="B80" s="23">
        <f>J79</f>
        <v>1248800</v>
      </c>
      <c r="C80" s="72" t="s">
        <v>244</v>
      </c>
      <c r="D80" s="23">
        <v>2933.2424794659</v>
      </c>
      <c r="E80" s="23">
        <f>SUM(B80:D80)</f>
        <v>1251733.2424794659</v>
      </c>
      <c r="F80" s="23">
        <v>396293.86666666664</v>
      </c>
      <c r="G80" s="23">
        <v>226853.17871579999</v>
      </c>
      <c r="H80" s="23">
        <f>I80-F80-G80</f>
        <v>9303.197096999269</v>
      </c>
      <c r="I80" s="23">
        <f>E80-J80</f>
        <v>632450.2424794659</v>
      </c>
      <c r="J80" s="23">
        <f>'tab01'!D73</f>
        <v>619283</v>
      </c>
    </row>
    <row r="81" spans="1:10">
      <c r="A81" t="s">
        <v>360</v>
      </c>
      <c r="B81" s="23">
        <f>J80</f>
        <v>619283</v>
      </c>
      <c r="C81" s="72" t="s">
        <v>244</v>
      </c>
      <c r="D81" s="23">
        <v>2901.8281592013</v>
      </c>
      <c r="E81" s="23">
        <f>SUM(B81:D81)</f>
        <v>622184.82815920131</v>
      </c>
      <c r="F81" s="23">
        <v>378186.4</v>
      </c>
      <c r="G81" s="23">
        <v>105525.9589839</v>
      </c>
      <c r="H81" s="23">
        <f>I81-F81-G81</f>
        <v>-76540.530824698712</v>
      </c>
      <c r="I81" s="23">
        <f>E81-J81</f>
        <v>407171.82815920131</v>
      </c>
      <c r="J81" s="23">
        <f>'tab01'!D74</f>
        <v>215013</v>
      </c>
    </row>
    <row r="82" spans="1:10">
      <c r="A82" t="s">
        <v>218</v>
      </c>
      <c r="B82" s="23"/>
      <c r="C82" s="23">
        <f>SUM(C78:C81)</f>
        <v>3331306</v>
      </c>
      <c r="D82" s="23">
        <f>SUM(D78:D81)</f>
        <v>14449.096482832199</v>
      </c>
      <c r="E82" s="23">
        <f>B78+D82+C82</f>
        <v>3496640.096482832</v>
      </c>
      <c r="F82" s="23">
        <f>SUM(F78:F81)</f>
        <v>1648042.5946666668</v>
      </c>
      <c r="G82" s="23">
        <f>SUM(G78:G81)</f>
        <v>1504977.6390978</v>
      </c>
      <c r="H82" s="23">
        <f>SUM(H78:H81)</f>
        <v>128606.86271836565</v>
      </c>
      <c r="I82" s="23">
        <f>SUM(I78:I81)</f>
        <v>3281627.0964828325</v>
      </c>
      <c r="J82" s="23"/>
    </row>
    <row r="83" spans="1:10">
      <c r="B83" s="23"/>
      <c r="C83" s="23"/>
      <c r="D83" s="23"/>
      <c r="E83" s="23"/>
      <c r="F83" s="23"/>
      <c r="G83" s="23"/>
      <c r="H83" s="23"/>
      <c r="I83" s="23"/>
      <c r="J83" s="23"/>
    </row>
    <row r="84" spans="1:10">
      <c r="A84" t="s">
        <v>239</v>
      </c>
      <c r="B84" s="23"/>
      <c r="C84" s="23"/>
      <c r="D84" s="23"/>
      <c r="E84" s="23"/>
      <c r="F84" s="23"/>
      <c r="G84" s="23"/>
      <c r="H84" s="23"/>
      <c r="I84" s="23"/>
      <c r="J84" s="23"/>
    </row>
    <row r="85" spans="1:10">
      <c r="A85" t="s">
        <v>361</v>
      </c>
      <c r="B85" s="23">
        <f>J81</f>
        <v>215013</v>
      </c>
      <c r="C85" s="23">
        <f>'tab02'!E37</f>
        <v>3097179</v>
      </c>
      <c r="D85" s="23">
        <v>2844.1205983722002</v>
      </c>
      <c r="E85" s="23">
        <f>SUM(B85:D85)</f>
        <v>3315036.1205983721</v>
      </c>
      <c r="F85" s="72" t="s">
        <v>229</v>
      </c>
      <c r="G85" s="23">
        <v>424831.50450509996</v>
      </c>
      <c r="H85" s="72" t="s">
        <v>229</v>
      </c>
      <c r="I85" s="23">
        <f>E85-J85</f>
        <v>945151.12059837207</v>
      </c>
      <c r="J85" s="23">
        <f>'tab01'!D77</f>
        <v>2369885</v>
      </c>
    </row>
    <row r="86" spans="1:10">
      <c r="A86" t="s">
        <v>362</v>
      </c>
      <c r="B86" s="23">
        <f>J85</f>
        <v>2369885</v>
      </c>
      <c r="C86" s="72" t="s">
        <v>244</v>
      </c>
      <c r="D86" s="23">
        <v>3141.6916574442002</v>
      </c>
      <c r="E86" s="23">
        <f>SUM(B86:D86)</f>
        <v>2373026.691657444</v>
      </c>
      <c r="F86" s="72" t="s">
        <v>229</v>
      </c>
      <c r="G86" s="23">
        <v>479457.93078500731</v>
      </c>
      <c r="H86" s="72" t="s">
        <v>229</v>
      </c>
      <c r="I86" s="23">
        <f>E86-J86</f>
        <v>998538.691657444</v>
      </c>
      <c r="J86" s="23">
        <f>'tab01'!D78</f>
        <v>1374488</v>
      </c>
    </row>
    <row r="87" spans="1:10">
      <c r="A87" t="s">
        <v>359</v>
      </c>
      <c r="B87" s="23">
        <f>J86</f>
        <v>1374488</v>
      </c>
      <c r="C87" s="72" t="s">
        <v>244</v>
      </c>
      <c r="D87" s="23">
        <v>5330.7780169035004</v>
      </c>
      <c r="E87" s="23">
        <f>SUM(B87:D87)</f>
        <v>1379818.7780169034</v>
      </c>
      <c r="F87" s="72" t="s">
        <v>229</v>
      </c>
      <c r="G87" s="23">
        <v>256979.2281147</v>
      </c>
      <c r="H87" s="72" t="s">
        <v>229</v>
      </c>
      <c r="I87" s="23">
        <f>E87-J87</f>
        <v>712353.77801690344</v>
      </c>
      <c r="J87" s="23">
        <f>'tab01'!D79</f>
        <v>667465</v>
      </c>
    </row>
    <row r="88" spans="1:10">
      <c r="A88" t="s">
        <v>360</v>
      </c>
      <c r="B88" s="23">
        <f>J87</f>
        <v>667465</v>
      </c>
      <c r="C88" s="72" t="s">
        <v>244</v>
      </c>
      <c r="D88" s="23">
        <v>4815.411431859</v>
      </c>
      <c r="E88" s="23">
        <f>SUM(B88:D88)</f>
        <v>672280.41143185901</v>
      </c>
      <c r="F88" s="72" t="s">
        <v>229</v>
      </c>
      <c r="G88" s="23">
        <v>203982.31809300242</v>
      </c>
      <c r="H88" s="72" t="s">
        <v>229</v>
      </c>
      <c r="I88" s="23">
        <f>E88-J88</f>
        <v>502910.41143185901</v>
      </c>
      <c r="J88" s="23">
        <f>'tab01'!D80</f>
        <v>169370</v>
      </c>
    </row>
    <row r="89" spans="1:10">
      <c r="A89" t="s">
        <v>218</v>
      </c>
      <c r="B89" s="23"/>
      <c r="C89" s="23">
        <f>SUM(C85:C88)</f>
        <v>3097179</v>
      </c>
      <c r="D89" s="23">
        <f>SUM(D85:D88)</f>
        <v>16132.001704578901</v>
      </c>
      <c r="E89" s="23">
        <f>B85+D89+C89</f>
        <v>3328324.0017045788</v>
      </c>
      <c r="F89" s="23">
        <v>1703019</v>
      </c>
      <c r="G89" s="23">
        <f>SUM(G85:G88)</f>
        <v>1365250.9814978098</v>
      </c>
      <c r="H89" s="23">
        <f>I89-F89-G89</f>
        <v>90684.020206768531</v>
      </c>
      <c r="I89" s="23">
        <f>SUM(I85:I88)</f>
        <v>3158954.0017045783</v>
      </c>
      <c r="J89" s="23"/>
    </row>
    <row r="90" spans="1:10">
      <c r="B90" s="23"/>
      <c r="C90" s="23"/>
      <c r="D90" s="23"/>
      <c r="E90" s="23"/>
      <c r="F90" s="23"/>
      <c r="G90" s="23"/>
      <c r="H90" s="23"/>
      <c r="I90" s="23"/>
      <c r="J90" s="23"/>
    </row>
    <row r="91" spans="1:10">
      <c r="A91" t="s">
        <v>241</v>
      </c>
      <c r="B91" s="23"/>
      <c r="C91" s="23"/>
      <c r="D91" s="23"/>
      <c r="E91" s="23"/>
      <c r="F91" s="23"/>
      <c r="G91" s="23"/>
      <c r="H91" s="23"/>
      <c r="I91" s="23"/>
      <c r="J91" s="23"/>
    </row>
    <row r="92" spans="1:10">
      <c r="A92" t="s">
        <v>361</v>
      </c>
      <c r="B92" s="23">
        <f>J88</f>
        <v>169370</v>
      </c>
      <c r="C92" s="23">
        <f>'tab02'!E38</f>
        <v>3042044</v>
      </c>
      <c r="D92" s="23">
        <v>4286.3493307698</v>
      </c>
      <c r="E92" s="23">
        <f>SUM(B92:D92)</f>
        <v>3215700.3493307699</v>
      </c>
      <c r="F92" s="72" t="s">
        <v>229</v>
      </c>
      <c r="G92" s="23">
        <v>626178</v>
      </c>
      <c r="H92" s="72" t="s">
        <v>229</v>
      </c>
      <c r="I92" s="23">
        <f>E92-J92</f>
        <v>1249539.3493307699</v>
      </c>
      <c r="J92" s="23">
        <f>'tab01'!D83</f>
        <v>1966161</v>
      </c>
    </row>
    <row r="93" spans="1:10">
      <c r="A93" t="s">
        <v>362</v>
      </c>
      <c r="B93" s="23">
        <f>J92</f>
        <v>1966161</v>
      </c>
      <c r="C93" s="72" t="s">
        <v>244</v>
      </c>
      <c r="D93" s="23">
        <v>4718.1036423045007</v>
      </c>
      <c r="E93" s="23">
        <f>SUM(B93:D93)</f>
        <v>1970879.1036423044</v>
      </c>
      <c r="F93" s="72" t="s">
        <v>229</v>
      </c>
      <c r="G93" s="23">
        <v>522187</v>
      </c>
      <c r="H93" s="72" t="s">
        <v>229</v>
      </c>
      <c r="I93" s="23">
        <f>E93-J93</f>
        <v>972859.10364230443</v>
      </c>
      <c r="J93" s="23">
        <f>'tab01'!D84</f>
        <v>998020</v>
      </c>
    </row>
    <row r="94" spans="1:10">
      <c r="A94" t="s">
        <v>359</v>
      </c>
      <c r="B94" s="23">
        <f>J93</f>
        <v>998020</v>
      </c>
      <c r="C94" s="72" t="s">
        <v>244</v>
      </c>
      <c r="D94" s="23">
        <v>7837.8888527835006</v>
      </c>
      <c r="E94" s="23">
        <f>SUM(B94:D94)</f>
        <v>1005857.8888527835</v>
      </c>
      <c r="F94" s="72" t="s">
        <v>229</v>
      </c>
      <c r="G94" s="23">
        <v>128665</v>
      </c>
      <c r="H94" s="72" t="s">
        <v>229</v>
      </c>
      <c r="I94" s="23">
        <f>E94-J94</f>
        <v>571193.88885278348</v>
      </c>
      <c r="J94" s="23">
        <f>'tab01'!D85</f>
        <v>434664</v>
      </c>
    </row>
    <row r="95" spans="1:10">
      <c r="A95" t="s">
        <v>360</v>
      </c>
      <c r="B95" s="23">
        <f>J94</f>
        <v>434664</v>
      </c>
      <c r="C95" s="72" t="s">
        <v>244</v>
      </c>
      <c r="D95" s="23">
        <v>23674</v>
      </c>
      <c r="E95" s="23">
        <f>SUM(B95:D95)</f>
        <v>458338</v>
      </c>
      <c r="F95" s="72" t="s">
        <v>229</v>
      </c>
      <c r="G95" s="23">
        <v>50496</v>
      </c>
      <c r="H95" s="72" t="s">
        <v>229</v>
      </c>
      <c r="I95" s="23">
        <f>E95-J95</f>
        <v>317781</v>
      </c>
      <c r="J95" s="23">
        <f>'tab01'!D86</f>
        <v>140557</v>
      </c>
    </row>
    <row r="96" spans="1:10">
      <c r="A96" t="s">
        <v>218</v>
      </c>
      <c r="B96" s="23"/>
      <c r="C96" s="23">
        <f>SUM(C92:C95)</f>
        <v>3042044</v>
      </c>
      <c r="D96" s="23">
        <f>SUM(D92:D95)</f>
        <v>40516.341825857802</v>
      </c>
      <c r="E96" s="23">
        <f>B92+D96+C96</f>
        <v>3251930.3418258578</v>
      </c>
      <c r="F96" s="23">
        <v>1688903</v>
      </c>
      <c r="G96" s="23">
        <f>SUM(G92:G95)</f>
        <v>1327526</v>
      </c>
      <c r="H96" s="23">
        <f>I96-F96-G96</f>
        <v>94944.341825857759</v>
      </c>
      <c r="I96" s="23">
        <f>SUM(I92:I95)</f>
        <v>3111373.3418258578</v>
      </c>
      <c r="J96" s="23"/>
    </row>
    <row r="97" spans="1:10">
      <c r="B97" s="23"/>
      <c r="C97" s="23"/>
      <c r="D97" s="23"/>
      <c r="E97" s="23"/>
      <c r="F97" s="72"/>
      <c r="G97" s="23"/>
      <c r="H97" s="72"/>
      <c r="I97" s="23"/>
      <c r="J97" s="23"/>
    </row>
    <row r="98" spans="1:10">
      <c r="A98" t="s">
        <v>253</v>
      </c>
      <c r="B98" s="23"/>
      <c r="C98" s="23"/>
      <c r="D98" s="23"/>
      <c r="E98" s="23"/>
      <c r="F98" s="72"/>
      <c r="G98" s="23"/>
      <c r="H98" s="72"/>
      <c r="I98" s="23"/>
      <c r="J98" s="23"/>
    </row>
    <row r="99" spans="1:10">
      <c r="A99" t="s">
        <v>361</v>
      </c>
      <c r="B99" s="23">
        <f>J95</f>
        <v>140557</v>
      </c>
      <c r="C99" s="23">
        <f>'tab02'!E39</f>
        <v>3357004</v>
      </c>
      <c r="D99" s="23">
        <v>7488.2060411865004</v>
      </c>
      <c r="E99" s="23">
        <f>SUM(B99:D99)</f>
        <v>3505049.2060411866</v>
      </c>
      <c r="F99" s="72" t="s">
        <v>229</v>
      </c>
      <c r="G99" s="23">
        <v>676505.78762861853</v>
      </c>
      <c r="H99" s="72" t="s">
        <v>229</v>
      </c>
      <c r="I99" s="23">
        <f>E99-J99</f>
        <v>1351428.2060411866</v>
      </c>
      <c r="J99" s="23">
        <f>'tab01'!D89</f>
        <v>2153621</v>
      </c>
    </row>
    <row r="100" spans="1:10">
      <c r="A100" t="s">
        <v>362</v>
      </c>
      <c r="B100" s="23">
        <f>J99</f>
        <v>2153621</v>
      </c>
      <c r="C100" s="72" t="s">
        <v>244</v>
      </c>
      <c r="D100" s="23">
        <v>8415.7309346565016</v>
      </c>
      <c r="E100" s="23">
        <f>SUM(B100:D100)</f>
        <v>2162036.7309346567</v>
      </c>
      <c r="F100" s="72" t="s">
        <v>229</v>
      </c>
      <c r="G100" s="23">
        <v>712229.04658936174</v>
      </c>
      <c r="H100" s="72" t="s">
        <v>229</v>
      </c>
      <c r="I100" s="23">
        <f>E100-J100</f>
        <v>1168208.7309346567</v>
      </c>
      <c r="J100" s="23">
        <f>'tab01'!D90</f>
        <v>993828</v>
      </c>
    </row>
    <row r="101" spans="1:10">
      <c r="A101" t="s">
        <v>359</v>
      </c>
      <c r="B101" s="23">
        <f>J100</f>
        <v>993828</v>
      </c>
      <c r="C101" s="72" t="s">
        <v>244</v>
      </c>
      <c r="D101" s="23">
        <v>25586.9457776163</v>
      </c>
      <c r="E101" s="23">
        <f>SUM(B101:D101)</f>
        <v>1019414.9457776163</v>
      </c>
      <c r="F101" s="72" t="s">
        <v>229</v>
      </c>
      <c r="G101" s="23">
        <v>192044.2650875175</v>
      </c>
      <c r="H101" s="72" t="s">
        <v>229</v>
      </c>
      <c r="I101" s="23">
        <f>E101-J101</f>
        <v>614369.94577761635</v>
      </c>
      <c r="J101" s="23">
        <f>'tab01'!D91</f>
        <v>405045</v>
      </c>
    </row>
    <row r="102" spans="1:10">
      <c r="A102" t="s">
        <v>360</v>
      </c>
      <c r="B102" s="23">
        <f>J101</f>
        <v>405045</v>
      </c>
      <c r="C102" s="72" t="s">
        <v>244</v>
      </c>
      <c r="D102" s="23">
        <v>30286.1634153267</v>
      </c>
      <c r="E102" s="23">
        <f>SUM(B102:D102)</f>
        <v>435331.16341532668</v>
      </c>
      <c r="F102" s="72" t="s">
        <v>229</v>
      </c>
      <c r="G102" s="23">
        <v>57779.840463681008</v>
      </c>
      <c r="H102" s="72" t="s">
        <v>229</v>
      </c>
      <c r="I102" s="23">
        <f>E102-J102</f>
        <v>343340.16341532668</v>
      </c>
      <c r="J102" s="23">
        <f>'tab01'!D92</f>
        <v>91991</v>
      </c>
    </row>
    <row r="103" spans="1:10">
      <c r="A103" t="s">
        <v>218</v>
      </c>
      <c r="B103" s="23"/>
      <c r="C103" s="23">
        <f>SUM(C99:C102)</f>
        <v>3357004</v>
      </c>
      <c r="D103" s="23">
        <f>SUM(D99:D102)</f>
        <v>71777.046168786008</v>
      </c>
      <c r="E103" s="23">
        <f>B99+D103+C103</f>
        <v>3569338.046168786</v>
      </c>
      <c r="F103" s="23">
        <v>1733888</v>
      </c>
      <c r="G103" s="23">
        <f>SUM(G99:G102)</f>
        <v>1638558.9397691786</v>
      </c>
      <c r="H103" s="23">
        <f>I103-F103-G103</f>
        <v>104900.10639960784</v>
      </c>
      <c r="I103" s="23">
        <f>SUM(I99:I102)</f>
        <v>3477347.0461687865</v>
      </c>
      <c r="J103" s="23"/>
    </row>
    <row r="104" spans="1:10">
      <c r="B104" s="23"/>
      <c r="C104" s="23"/>
      <c r="D104" s="23"/>
      <c r="E104" s="23"/>
      <c r="F104" s="23"/>
      <c r="G104" s="23"/>
      <c r="H104" s="23"/>
      <c r="I104" s="23"/>
      <c r="J104" s="23"/>
    </row>
    <row r="105" spans="1:10">
      <c r="A105" t="s">
        <v>258</v>
      </c>
      <c r="B105" s="23"/>
      <c r="C105" s="23"/>
      <c r="D105" s="23"/>
      <c r="E105" s="23"/>
      <c r="F105" s="72"/>
      <c r="G105" s="23"/>
      <c r="H105" s="72"/>
      <c r="I105" s="23"/>
      <c r="J105" s="23"/>
    </row>
    <row r="106" spans="1:10">
      <c r="A106" t="s">
        <v>361</v>
      </c>
      <c r="B106" s="23">
        <f>J102</f>
        <v>91991</v>
      </c>
      <c r="C106" s="23">
        <f>'tab02'!E40</f>
        <v>3928070</v>
      </c>
      <c r="D106" s="23">
        <v>7626.5134432809</v>
      </c>
      <c r="E106" s="23">
        <f>SUM(B106:D106)</f>
        <v>4027687.5134432809</v>
      </c>
      <c r="F106" s="72" t="s">
        <v>229</v>
      </c>
      <c r="G106" s="23">
        <v>812568.94971034233</v>
      </c>
      <c r="H106" s="72" t="s">
        <v>229</v>
      </c>
      <c r="I106" s="23">
        <f>E106-J106</f>
        <v>1499943.5134432809</v>
      </c>
      <c r="J106" s="23">
        <f>'tab01'!D95</f>
        <v>2527744</v>
      </c>
    </row>
    <row r="107" spans="1:10">
      <c r="A107" t="s">
        <v>362</v>
      </c>
      <c r="B107" s="23">
        <f>J106</f>
        <v>2527744</v>
      </c>
      <c r="C107" s="72" t="s">
        <v>244</v>
      </c>
      <c r="D107" s="23">
        <v>8698.9358684151011</v>
      </c>
      <c r="E107" s="23">
        <f>SUM(B107:D107)</f>
        <v>2536442.9358684151</v>
      </c>
      <c r="F107" s="72" t="s">
        <v>229</v>
      </c>
      <c r="G107" s="23">
        <v>725406.55222957116</v>
      </c>
      <c r="H107" s="72" t="s">
        <v>229</v>
      </c>
      <c r="I107" s="23">
        <f>E107-J107</f>
        <v>1209843.9358684151</v>
      </c>
      <c r="J107" s="23">
        <f>'tab01'!D96</f>
        <v>1326599</v>
      </c>
    </row>
    <row r="108" spans="1:10">
      <c r="A108" t="s">
        <v>359</v>
      </c>
      <c r="B108" s="23">
        <f>J107</f>
        <v>1326599</v>
      </c>
      <c r="C108" s="72" t="s">
        <v>244</v>
      </c>
      <c r="D108" s="23">
        <v>8256.0711071055011</v>
      </c>
      <c r="E108" s="23">
        <f>SUM(B108:D108)</f>
        <v>1334855.0711071056</v>
      </c>
      <c r="F108" s="72" t="s">
        <v>229</v>
      </c>
      <c r="G108" s="23">
        <v>187766.04864404941</v>
      </c>
      <c r="H108" s="72" t="s">
        <v>229</v>
      </c>
      <c r="I108" s="23">
        <f>E108-J108</f>
        <v>707787.07110710558</v>
      </c>
      <c r="J108" s="23">
        <f>'tab01'!D97</f>
        <v>627068</v>
      </c>
    </row>
    <row r="109" spans="1:10">
      <c r="A109" t="s">
        <v>360</v>
      </c>
      <c r="B109" s="23">
        <f>J108</f>
        <v>627068</v>
      </c>
      <c r="C109" s="72" t="s">
        <v>244</v>
      </c>
      <c r="D109" s="23">
        <v>8663.3411806578006</v>
      </c>
      <c r="E109" s="23">
        <f>SUM(B109:D109)</f>
        <v>635731.34118065785</v>
      </c>
      <c r="F109" s="23">
        <v>451978.8</v>
      </c>
      <c r="G109" s="23">
        <v>116681.142008928</v>
      </c>
      <c r="H109" s="23">
        <f>I109-F109-G109</f>
        <v>-123538.60082827014</v>
      </c>
      <c r="I109" s="23">
        <f>E109-J109</f>
        <v>445121.34118065785</v>
      </c>
      <c r="J109" s="23">
        <f>'tab01'!D98</f>
        <v>190610</v>
      </c>
    </row>
    <row r="110" spans="1:10">
      <c r="A110" t="s">
        <v>218</v>
      </c>
      <c r="B110" s="23"/>
      <c r="C110" s="23">
        <f>SUM(C106:C109)</f>
        <v>3928070</v>
      </c>
      <c r="D110" s="23">
        <f>SUM(D106:D109)</f>
        <v>33244.861599459298</v>
      </c>
      <c r="E110" s="23">
        <f>B106+D110+C110</f>
        <v>4053305.8615994593</v>
      </c>
      <c r="F110" s="23">
        <v>1873493.7851587886</v>
      </c>
      <c r="G110" s="23">
        <f>SUM(G106:G109)</f>
        <v>1842422.6925928909</v>
      </c>
      <c r="H110" s="23">
        <f>I110-F110-G110</f>
        <v>146779.38384777983</v>
      </c>
      <c r="I110" s="23">
        <f>SUM(I106:I109)</f>
        <v>3862695.8615994593</v>
      </c>
      <c r="J110" s="23"/>
    </row>
    <row r="111" spans="1:10">
      <c r="B111" s="23"/>
      <c r="C111" s="23"/>
      <c r="D111" s="23"/>
      <c r="E111" s="23"/>
      <c r="F111" s="23"/>
      <c r="G111" s="23"/>
      <c r="H111" s="23"/>
      <c r="I111" s="23"/>
      <c r="J111" s="23"/>
    </row>
    <row r="112" spans="1:10">
      <c r="A112" t="s">
        <v>260</v>
      </c>
      <c r="B112" s="23"/>
      <c r="C112" s="23"/>
      <c r="D112" s="23"/>
      <c r="E112" s="23"/>
      <c r="F112" s="23"/>
      <c r="G112" s="23"/>
      <c r="H112" s="23"/>
      <c r="I112" s="23"/>
      <c r="J112" s="23"/>
    </row>
    <row r="113" spans="1:10">
      <c r="A113" t="s">
        <v>382</v>
      </c>
      <c r="B113" s="23"/>
      <c r="C113" s="23"/>
      <c r="D113" s="23">
        <v>2448.1465302798001</v>
      </c>
      <c r="E113" s="23"/>
      <c r="F113" s="23">
        <f>4036.896*2000/60</f>
        <v>134563.20000000001</v>
      </c>
      <c r="G113" s="23">
        <v>86331.881099419203</v>
      </c>
      <c r="H113" s="23"/>
      <c r="I113" s="23"/>
      <c r="J113" s="23"/>
    </row>
    <row r="114" spans="1:10">
      <c r="A114" t="s">
        <v>383</v>
      </c>
      <c r="B114" s="23"/>
      <c r="C114" s="23"/>
      <c r="D114" s="23">
        <v>2214.0286076621996</v>
      </c>
      <c r="E114" s="23"/>
      <c r="F114" s="23">
        <f>5104.01*2000/60</f>
        <v>170133.66666666666</v>
      </c>
      <c r="G114" s="23">
        <v>368108.32668944256</v>
      </c>
      <c r="H114" s="23"/>
      <c r="I114" s="23"/>
      <c r="J114" s="23"/>
    </row>
    <row r="115" spans="1:10">
      <c r="A115" t="s">
        <v>384</v>
      </c>
      <c r="B115" s="23"/>
      <c r="C115" s="23"/>
      <c r="D115" s="23">
        <v>1842.7726512027002</v>
      </c>
      <c r="E115" s="23"/>
      <c r="F115" s="23">
        <f>4973.534*2000/60</f>
        <v>165784.46666666667</v>
      </c>
      <c r="G115" s="23">
        <v>336912.87593242229</v>
      </c>
      <c r="H115" s="23"/>
      <c r="I115" s="23"/>
      <c r="J115" s="23"/>
    </row>
    <row r="116" spans="1:10">
      <c r="A116" t="s">
        <v>361</v>
      </c>
      <c r="B116" s="23">
        <f>J109</f>
        <v>190610</v>
      </c>
      <c r="C116" s="23">
        <f>'tab02'!E41</f>
        <v>3926779</v>
      </c>
      <c r="D116" s="23">
        <f>D113+D114+D115</f>
        <v>6504.9477891447004</v>
      </c>
      <c r="E116" s="23">
        <f>SUM(B116:D116)</f>
        <v>4123893.9477891447</v>
      </c>
      <c r="F116" s="23">
        <f>F113+F114+F115</f>
        <v>470481.33333333337</v>
      </c>
      <c r="G116" s="23">
        <f>G113+G114+G115</f>
        <v>791353.08372128406</v>
      </c>
      <c r="H116" s="23">
        <f>I116-F116-G116</f>
        <v>147982.53073452727</v>
      </c>
      <c r="I116" s="23">
        <f>E116-J116</f>
        <v>1409816.9477891447</v>
      </c>
      <c r="J116" s="23">
        <f>'tab01'!D101</f>
        <v>2714077</v>
      </c>
    </row>
    <row r="117" spans="1:10">
      <c r="A117" t="s">
        <v>385</v>
      </c>
      <c r="B117" s="23"/>
      <c r="C117" s="23"/>
      <c r="D117" s="23">
        <v>2144.566994409</v>
      </c>
      <c r="E117" s="23"/>
      <c r="F117" s="23">
        <f>5011.324*2000/60</f>
        <v>167044.13333333333</v>
      </c>
      <c r="G117" s="23">
        <v>249794.17784429222</v>
      </c>
      <c r="H117" s="23"/>
      <c r="I117" s="23"/>
      <c r="J117" s="23"/>
    </row>
    <row r="118" spans="1:10">
      <c r="A118" t="s">
        <v>386</v>
      </c>
      <c r="B118" s="23"/>
      <c r="C118" s="23"/>
      <c r="D118" s="23">
        <v>2859.6502864335002</v>
      </c>
      <c r="E118" s="23"/>
      <c r="F118" s="23">
        <f>4814.044*2000/60</f>
        <v>160468.13333333333</v>
      </c>
      <c r="G118" s="23">
        <v>223610.14749283143</v>
      </c>
      <c r="H118" s="23"/>
      <c r="I118" s="23"/>
      <c r="J118" s="23"/>
    </row>
    <row r="119" spans="1:10">
      <c r="A119" t="s">
        <v>387</v>
      </c>
      <c r="B119" s="23"/>
      <c r="C119" s="23"/>
      <c r="D119" s="23">
        <v>1242.3071425464</v>
      </c>
      <c r="E119" s="23"/>
      <c r="F119" s="23">
        <f>4638.663*2000/60</f>
        <v>154622.1</v>
      </c>
      <c r="G119" s="23">
        <v>208885.59333841081</v>
      </c>
      <c r="H119" s="23"/>
      <c r="I119" s="23"/>
      <c r="J119" s="23"/>
    </row>
    <row r="120" spans="1:10">
      <c r="A120" t="s">
        <v>362</v>
      </c>
      <c r="B120" s="23">
        <f>J116</f>
        <v>2714077</v>
      </c>
      <c r="C120" s="72" t="s">
        <v>244</v>
      </c>
      <c r="D120" s="23">
        <f>D117+D118+D119</f>
        <v>6246.5244233889007</v>
      </c>
      <c r="E120" s="23">
        <f>SUM(B120:D120)</f>
        <v>2720323.5244233888</v>
      </c>
      <c r="F120" s="23">
        <f>F117+F118+F119</f>
        <v>482134.3666666667</v>
      </c>
      <c r="G120" s="23">
        <f>G117+G118+G119</f>
        <v>682289.91867553443</v>
      </c>
      <c r="H120" s="23">
        <f>I120-F120-G120</f>
        <v>24993.239081187639</v>
      </c>
      <c r="I120" s="23">
        <f>E120-J120</f>
        <v>1189417.5244233888</v>
      </c>
      <c r="J120" s="23">
        <f>'tab01'!D102</f>
        <v>1530906</v>
      </c>
    </row>
    <row r="121" spans="1:10">
      <c r="A121" t="s">
        <v>388</v>
      </c>
      <c r="B121" s="23"/>
      <c r="C121" s="23"/>
      <c r="D121" s="23">
        <v>2495.6786215242005</v>
      </c>
      <c r="E121" s="23"/>
      <c r="F121" s="23">
        <f>4991.626*2000/60</f>
        <v>166387.53333333333</v>
      </c>
      <c r="G121" s="23">
        <v>97067.288810268015</v>
      </c>
      <c r="H121" s="23"/>
      <c r="I121" s="23"/>
      <c r="J121" s="23"/>
    </row>
    <row r="122" spans="1:10">
      <c r="A122" t="s">
        <v>389</v>
      </c>
      <c r="B122" s="23"/>
      <c r="C122" s="23"/>
      <c r="D122" s="23">
        <v>1828.4996711688002</v>
      </c>
      <c r="E122" s="23"/>
      <c r="F122" s="23">
        <f>4745.09*2000/60</f>
        <v>158169.66666666666</v>
      </c>
      <c r="G122" s="23">
        <v>49977.149319720003</v>
      </c>
      <c r="H122" s="23"/>
      <c r="I122" s="23"/>
      <c r="J122" s="23"/>
    </row>
    <row r="123" spans="1:10">
      <c r="A123" t="s">
        <v>390</v>
      </c>
      <c r="B123" s="23"/>
      <c r="C123" s="23"/>
      <c r="D123" s="23">
        <v>829.71040829250012</v>
      </c>
      <c r="E123" s="23"/>
      <c r="F123" s="23">
        <f>4825.833*2000/60</f>
        <v>160861.1</v>
      </c>
      <c r="G123" s="23">
        <v>32603.907766848606</v>
      </c>
      <c r="H123" s="23"/>
      <c r="I123" s="23"/>
      <c r="J123" s="23"/>
    </row>
    <row r="124" spans="1:10">
      <c r="A124" t="s">
        <v>359</v>
      </c>
      <c r="B124" s="23">
        <f>J120</f>
        <v>1530906</v>
      </c>
      <c r="C124" s="72" t="s">
        <v>244</v>
      </c>
      <c r="D124" s="23">
        <f>D121+D122+D123</f>
        <v>5153.8887009855007</v>
      </c>
      <c r="E124" s="23">
        <f>SUM(B124:D124)</f>
        <v>1536059.8887009856</v>
      </c>
      <c r="F124" s="23">
        <f>F121+F122+F123</f>
        <v>485418.29999999993</v>
      </c>
      <c r="G124" s="23">
        <f>G121+G122+G123</f>
        <v>179648.34589683663</v>
      </c>
      <c r="H124" s="23">
        <f>I124-F124-G124</f>
        <v>-787.75719585097977</v>
      </c>
      <c r="I124" s="23">
        <f>E124-J124</f>
        <v>664278.88870098558</v>
      </c>
      <c r="J124" s="23">
        <f>'tab01'!D103</f>
        <v>871781</v>
      </c>
    </row>
    <row r="125" spans="1:10">
      <c r="A125" t="s">
        <v>392</v>
      </c>
      <c r="B125" s="23"/>
      <c r="C125" s="23"/>
      <c r="D125" s="23">
        <v>2389.5244555014001</v>
      </c>
      <c r="E125" s="23"/>
      <c r="F125" s="23">
        <f>4623.752*2000/60</f>
        <v>154125.06666666668</v>
      </c>
      <c r="G125" s="23">
        <v>38656.994981587501</v>
      </c>
      <c r="H125" s="23"/>
      <c r="I125" s="23"/>
      <c r="J125" s="23"/>
    </row>
    <row r="126" spans="1:10">
      <c r="A126" t="s">
        <v>393</v>
      </c>
      <c r="B126" s="23"/>
      <c r="C126" s="23"/>
      <c r="D126" s="23">
        <v>1433.572357602</v>
      </c>
      <c r="E126" s="23"/>
      <c r="F126" s="23">
        <f>4603.543*2000/60</f>
        <v>153451.43333333332</v>
      </c>
      <c r="G126" s="23">
        <v>97796.743812648303</v>
      </c>
      <c r="H126" s="23"/>
      <c r="I126" s="23"/>
      <c r="J126" s="23"/>
    </row>
    <row r="127" spans="1:10">
      <c r="A127" t="s">
        <v>394</v>
      </c>
      <c r="B127" s="23"/>
      <c r="C127" s="23"/>
      <c r="D127" s="23">
        <v>1812.4517867063998</v>
      </c>
      <c r="E127" s="23"/>
      <c r="F127" s="23">
        <f>4218.789*2000/60</f>
        <v>140626.29999999999</v>
      </c>
      <c r="G127" s="23">
        <v>152893.55709770729</v>
      </c>
      <c r="H127" s="23"/>
      <c r="I127" s="23"/>
      <c r="J127" s="23"/>
    </row>
    <row r="128" spans="1:10">
      <c r="A128" t="s">
        <v>360</v>
      </c>
      <c r="B128" s="23">
        <f>J124</f>
        <v>871781</v>
      </c>
      <c r="C128" s="72" t="s">
        <v>244</v>
      </c>
      <c r="D128" s="23">
        <f>D125+D126+D127</f>
        <v>5635.5485998098002</v>
      </c>
      <c r="E128" s="23">
        <f>SUM(B128:D128)</f>
        <v>877416.54859980976</v>
      </c>
      <c r="F128" s="23">
        <f>F125+F126+F127</f>
        <v>448202.8</v>
      </c>
      <c r="G128" s="23">
        <f>G125+G126+G127</f>
        <v>289347.2958919431</v>
      </c>
      <c r="H128" s="23">
        <f>I128-F128-G128</f>
        <v>-56862.547292133328</v>
      </c>
      <c r="I128" s="23">
        <f>E128-J128</f>
        <v>680687.54859980976</v>
      </c>
      <c r="J128" s="23">
        <f>'tab01'!D104</f>
        <v>196729</v>
      </c>
    </row>
    <row r="129" spans="1:10">
      <c r="A129" t="s">
        <v>218</v>
      </c>
      <c r="B129" s="23"/>
      <c r="C129" s="23">
        <f>SUM(C116:C128)</f>
        <v>3926779</v>
      </c>
      <c r="D129" s="23">
        <f>D116+D120+D124+D128</f>
        <v>23540.909513328901</v>
      </c>
      <c r="E129" s="23">
        <f>B116+D129+C129</f>
        <v>4140929.9095133287</v>
      </c>
      <c r="F129" s="23">
        <f>F116+F120+F124+F128</f>
        <v>1886236.8</v>
      </c>
      <c r="G129" s="23">
        <f>G116+G120+G124+G128</f>
        <v>1942638.6441855982</v>
      </c>
      <c r="H129" s="23">
        <f>H116+H120+H124+H128</f>
        <v>115325.46532773061</v>
      </c>
      <c r="I129" s="23">
        <f>I116+I120+I124+I128</f>
        <v>3944200.9095133287</v>
      </c>
      <c r="J129" s="23"/>
    </row>
    <row r="130" spans="1:10">
      <c r="B130" s="23"/>
      <c r="C130" s="23"/>
      <c r="D130" s="23"/>
      <c r="E130" s="23"/>
      <c r="F130" s="23"/>
      <c r="G130" s="23"/>
      <c r="H130" s="23"/>
      <c r="I130" s="23"/>
      <c r="J130" s="23"/>
    </row>
    <row r="131" spans="1:10">
      <c r="A131" t="s">
        <v>262</v>
      </c>
      <c r="B131" s="23"/>
      <c r="C131" s="23"/>
      <c r="D131" s="23"/>
      <c r="E131" s="23"/>
      <c r="F131" s="23"/>
      <c r="G131" s="23"/>
      <c r="H131" s="23"/>
      <c r="I131" s="23"/>
      <c r="J131" s="23"/>
    </row>
    <row r="132" spans="1:10">
      <c r="A132" t="s">
        <v>382</v>
      </c>
      <c r="B132" s="23"/>
      <c r="C132" s="23"/>
      <c r="D132" s="23">
        <v>2308.2870008100003</v>
      </c>
      <c r="E132" s="23"/>
      <c r="F132" s="23">
        <f>4148.008*2000/60</f>
        <v>138266.93333333332</v>
      </c>
      <c r="G132" s="23">
        <v>137778.27076817999</v>
      </c>
      <c r="H132" s="23"/>
      <c r="I132" s="23"/>
      <c r="J132" s="23"/>
    </row>
    <row r="133" spans="1:10">
      <c r="A133" t="s">
        <v>383</v>
      </c>
      <c r="B133" s="23"/>
      <c r="C133" s="23"/>
      <c r="D133" s="23">
        <v>1773.0929640899999</v>
      </c>
      <c r="E133" s="23"/>
      <c r="F133" s="23">
        <f>5276.415*2000/60</f>
        <v>175880.5</v>
      </c>
      <c r="G133" s="23">
        <v>410414.89702226996</v>
      </c>
      <c r="H133" s="23"/>
      <c r="I133" s="23"/>
      <c r="J133" s="23"/>
    </row>
    <row r="134" spans="1:10">
      <c r="A134" t="s">
        <v>384</v>
      </c>
      <c r="B134" s="23"/>
      <c r="C134" s="23"/>
      <c r="D134" s="23">
        <v>1382.38617888</v>
      </c>
      <c r="E134" s="23"/>
      <c r="F134" s="23">
        <f>5122.038*2000/60</f>
        <v>170734.6</v>
      </c>
      <c r="G134" s="23">
        <v>380803.73341710004</v>
      </c>
      <c r="H134" s="23"/>
      <c r="I134" s="23"/>
      <c r="J134" s="23"/>
    </row>
    <row r="135" spans="1:10">
      <c r="A135" t="s">
        <v>361</v>
      </c>
      <c r="B135" s="23">
        <f>J128</f>
        <v>196729</v>
      </c>
      <c r="C135" s="23">
        <f>'tab02'!E42</f>
        <v>4296496</v>
      </c>
      <c r="D135" s="23">
        <f>D132+D133+D134</f>
        <v>5463.7661437799998</v>
      </c>
      <c r="E135" s="23">
        <f>SUM(B135:D135)</f>
        <v>4498688.7661437802</v>
      </c>
      <c r="F135" s="23">
        <f>F132+F133+F134</f>
        <v>484882.03333333333</v>
      </c>
      <c r="G135" s="23">
        <f>G132+G133+G134</f>
        <v>928996.90120754996</v>
      </c>
      <c r="H135" s="23">
        <f>I135-F135-G135</f>
        <v>185753.83160289703</v>
      </c>
      <c r="I135" s="23">
        <f>E135-J135</f>
        <v>1599632.7661437802</v>
      </c>
      <c r="J135" s="23">
        <f>'tab01'!D107</f>
        <v>2899056</v>
      </c>
    </row>
    <row r="136" spans="1:10">
      <c r="A136" t="s">
        <v>385</v>
      </c>
      <c r="B136" s="23"/>
      <c r="C136" s="23"/>
      <c r="D136" s="23">
        <v>1171.2421812</v>
      </c>
      <c r="E136" s="23"/>
      <c r="F136" s="23">
        <f>5071.493*2000/60</f>
        <v>169049.76666666666</v>
      </c>
      <c r="G136" s="23">
        <v>293218.92213054001</v>
      </c>
      <c r="H136" s="23"/>
      <c r="I136" s="23"/>
      <c r="J136" s="23"/>
    </row>
    <row r="137" spans="1:10">
      <c r="A137" t="s">
        <v>386</v>
      </c>
      <c r="B137" s="23"/>
      <c r="C137" s="23"/>
      <c r="D137" s="23">
        <v>3212.97568473</v>
      </c>
      <c r="E137" s="23"/>
      <c r="F137" s="23">
        <f>5139.706*2000/60</f>
        <v>171323.53333333333</v>
      </c>
      <c r="G137" s="23">
        <v>257786.95752306</v>
      </c>
      <c r="H137" s="23"/>
      <c r="I137" s="23"/>
      <c r="J137" s="23"/>
    </row>
    <row r="138" spans="1:10">
      <c r="A138" t="s">
        <v>387</v>
      </c>
      <c r="B138" s="23"/>
      <c r="C138" s="23"/>
      <c r="D138" s="23">
        <v>2258.4478461300005</v>
      </c>
      <c r="E138" s="23"/>
      <c r="F138" s="23">
        <f>4542.336*2000/60</f>
        <v>151411.20000000001</v>
      </c>
      <c r="G138" s="23">
        <v>163859.37525509999</v>
      </c>
      <c r="H138" s="23"/>
      <c r="I138" s="23"/>
      <c r="J138" s="23"/>
    </row>
    <row r="139" spans="1:10">
      <c r="A139" t="s">
        <v>362</v>
      </c>
      <c r="B139" s="23">
        <f>J135</f>
        <v>2899056</v>
      </c>
      <c r="C139" s="72" t="s">
        <v>244</v>
      </c>
      <c r="D139" s="23">
        <f>D136+D137+D138</f>
        <v>6642.6657120600003</v>
      </c>
      <c r="E139" s="23">
        <f>SUM(B139:D139)</f>
        <v>2905698.6657120599</v>
      </c>
      <c r="F139" s="23">
        <f>F136+F137+F138</f>
        <v>491784.5</v>
      </c>
      <c r="G139" s="23">
        <f>G136+G137+G138</f>
        <v>714865.25490870001</v>
      </c>
      <c r="H139" s="23">
        <f>I139-F139-G139</f>
        <v>-39884.089196640067</v>
      </c>
      <c r="I139" s="23">
        <f>E139-J139</f>
        <v>1166765.6657120599</v>
      </c>
      <c r="J139" s="23">
        <f>'tab01'!D108</f>
        <v>1738933</v>
      </c>
    </row>
    <row r="140" spans="1:10">
      <c r="A140" t="s">
        <v>388</v>
      </c>
      <c r="B140" s="23"/>
      <c r="C140" s="23"/>
      <c r="D140" s="23">
        <v>2220.4916040300004</v>
      </c>
      <c r="E140" s="23"/>
      <c r="F140" s="23">
        <f>4822.961*2000/60</f>
        <v>160765.36666666667</v>
      </c>
      <c r="G140" s="23">
        <v>118298.73416487001</v>
      </c>
      <c r="H140" s="23"/>
      <c r="I140" s="23"/>
      <c r="J140" s="23"/>
    </row>
    <row r="141" spans="1:10">
      <c r="A141" t="s">
        <v>389</v>
      </c>
      <c r="B141" s="23"/>
      <c r="C141" s="23"/>
      <c r="D141" s="23">
        <v>1603.8478075200001</v>
      </c>
      <c r="E141" s="23"/>
      <c r="F141" s="23">
        <f>4509.463*2000/60</f>
        <v>150315.43333333332</v>
      </c>
      <c r="G141" s="23">
        <v>90342.256950540002</v>
      </c>
      <c r="H141" s="23"/>
      <c r="I141" s="23"/>
      <c r="J141" s="23"/>
    </row>
    <row r="142" spans="1:10">
      <c r="A142" t="s">
        <v>390</v>
      </c>
      <c r="B142" s="23"/>
      <c r="C142" s="23"/>
      <c r="D142" s="23">
        <v>2125.0094252100002</v>
      </c>
      <c r="E142" s="23"/>
      <c r="F142" s="23">
        <f>4739.387*2000/60</f>
        <v>157979.56666666668</v>
      </c>
      <c r="G142" s="23">
        <v>53312.514594780005</v>
      </c>
      <c r="H142" s="23"/>
      <c r="I142" s="23"/>
      <c r="J142" s="23"/>
    </row>
    <row r="143" spans="1:10">
      <c r="A143" t="s">
        <v>359</v>
      </c>
      <c r="B143" s="23">
        <f>J139</f>
        <v>1738933</v>
      </c>
      <c r="C143" s="72" t="s">
        <v>244</v>
      </c>
      <c r="D143" s="23">
        <f>D140+D141+D142</f>
        <v>5949.3488367600003</v>
      </c>
      <c r="E143" s="23">
        <f>SUM(B143:D143)</f>
        <v>1744882.34883676</v>
      </c>
      <c r="F143" s="23">
        <f>F140+F141+F142</f>
        <v>469060.3666666667</v>
      </c>
      <c r="G143" s="23">
        <f>G140+G141+G142</f>
        <v>261953.50571018999</v>
      </c>
      <c r="H143" s="23">
        <f>I143-F143-G143</f>
        <v>48012.476459903351</v>
      </c>
      <c r="I143" s="23">
        <f>E143-J143</f>
        <v>779026.34883676004</v>
      </c>
      <c r="J143" s="23">
        <f>'tab01'!D109</f>
        <v>965856</v>
      </c>
    </row>
    <row r="144" spans="1:10">
      <c r="A144" t="s">
        <v>392</v>
      </c>
      <c r="B144" s="23"/>
      <c r="C144" s="23"/>
      <c r="D144" s="23">
        <v>1053.6917361599999</v>
      </c>
      <c r="E144" s="23"/>
      <c r="F144" s="23">
        <f>4446.863*2000/60</f>
        <v>148228.76666666666</v>
      </c>
      <c r="G144" s="23">
        <v>65633.728074600003</v>
      </c>
      <c r="H144" s="23"/>
      <c r="I144" s="23"/>
      <c r="J144" s="23"/>
    </row>
    <row r="145" spans="1:12">
      <c r="A145" t="s">
        <v>393</v>
      </c>
      <c r="B145" s="23"/>
      <c r="C145" s="23"/>
      <c r="D145" s="23">
        <v>1718.3301536100003</v>
      </c>
      <c r="E145" s="23"/>
      <c r="F145" s="23">
        <f>4668.68*2000/60</f>
        <v>155622.66666666666</v>
      </c>
      <c r="G145" s="23">
        <v>85229.352723690012</v>
      </c>
      <c r="H145" s="23"/>
      <c r="I145" s="23"/>
      <c r="J145" s="23"/>
    </row>
    <row r="146" spans="1:12">
      <c r="A146" t="s">
        <v>394</v>
      </c>
      <c r="B146" s="23"/>
      <c r="C146" s="23"/>
      <c r="D146" s="23">
        <v>1452.90468792</v>
      </c>
      <c r="E146" s="23"/>
      <c r="F146" s="23">
        <f>4548.592*2000/60</f>
        <v>151619.73333333334</v>
      </c>
      <c r="G146" s="23">
        <v>109871.73191652002</v>
      </c>
      <c r="H146" s="23"/>
      <c r="I146" s="23"/>
      <c r="J146" s="23"/>
    </row>
    <row r="147" spans="1:12">
      <c r="A147" t="s">
        <v>360</v>
      </c>
      <c r="B147" s="23">
        <f>J143</f>
        <v>965856</v>
      </c>
      <c r="C147" s="72" t="s">
        <v>244</v>
      </c>
      <c r="D147" s="23">
        <f>D144+D145+D146</f>
        <v>4224.9265776900002</v>
      </c>
      <c r="E147" s="23">
        <f>SUM(B147:D147)</f>
        <v>970080.92657769006</v>
      </c>
      <c r="F147" s="23">
        <f>F144+F145+F146</f>
        <v>455471.16666666669</v>
      </c>
      <c r="G147" s="23">
        <f>G144+G145+G146</f>
        <v>260734.81271481005</v>
      </c>
      <c r="H147" s="23">
        <f>I147-F147-G147</f>
        <v>-47720.052803786675</v>
      </c>
      <c r="I147" s="23">
        <f>E147-J147</f>
        <v>668485.92657769006</v>
      </c>
      <c r="J147" s="23">
        <f>'tab01'!D110</f>
        <v>301595</v>
      </c>
    </row>
    <row r="148" spans="1:12">
      <c r="A148" t="s">
        <v>218</v>
      </c>
      <c r="B148" s="23"/>
      <c r="C148" s="23">
        <f>SUM(C135:C147)</f>
        <v>4296496</v>
      </c>
      <c r="D148" s="192">
        <f>D135+D139+D143+D147</f>
        <v>22280.70727029</v>
      </c>
      <c r="E148" s="23">
        <f>B135+D148+C148</f>
        <v>4515505.7072702898</v>
      </c>
      <c r="F148" s="23">
        <f>F135+F139+F143+F147</f>
        <v>1901198.0666666667</v>
      </c>
      <c r="G148" s="23">
        <f>G135+G139+G143+G147</f>
        <v>2166550.4745412502</v>
      </c>
      <c r="H148" s="23">
        <f>H135+H139+H143+H147</f>
        <v>146162.16606237364</v>
      </c>
      <c r="I148" s="23">
        <f>I135+I139+I143+I147</f>
        <v>4213910.7072702907</v>
      </c>
      <c r="J148" s="23"/>
    </row>
    <row r="149" spans="1:12">
      <c r="B149" s="23"/>
      <c r="C149" s="23"/>
      <c r="D149" s="23"/>
      <c r="E149" s="23"/>
      <c r="F149" s="23"/>
      <c r="G149" s="23"/>
      <c r="H149" s="23"/>
      <c r="I149" s="23"/>
      <c r="J149" s="23"/>
    </row>
    <row r="150" spans="1:12">
      <c r="A150" t="s">
        <v>270</v>
      </c>
      <c r="B150" s="23"/>
      <c r="C150" s="23"/>
      <c r="D150" s="23"/>
      <c r="E150" s="23"/>
      <c r="F150" s="23"/>
      <c r="G150" s="23"/>
      <c r="H150" s="23"/>
      <c r="I150" s="23"/>
      <c r="J150" s="23"/>
      <c r="L150" s="190"/>
    </row>
    <row r="151" spans="1:12">
      <c r="A151" t="s">
        <v>382</v>
      </c>
      <c r="B151" s="23"/>
      <c r="C151" s="23"/>
      <c r="D151" s="23">
        <v>1351.7162255999999</v>
      </c>
      <c r="E151" s="23"/>
      <c r="F151" s="23">
        <v>145373.56666666668</v>
      </c>
      <c r="G151" s="23">
        <v>165530.85284159999</v>
      </c>
      <c r="H151" s="23"/>
      <c r="I151" s="23"/>
      <c r="J151" s="23"/>
    </row>
    <row r="152" spans="1:12">
      <c r="A152" t="s">
        <v>383</v>
      </c>
      <c r="B152" s="23"/>
      <c r="C152" s="23"/>
      <c r="D152" s="23">
        <v>2841.7405415999997</v>
      </c>
      <c r="E152" s="23"/>
      <c r="F152" s="23">
        <v>175913.23333333334</v>
      </c>
      <c r="G152" s="23">
        <v>354358.69874640001</v>
      </c>
      <c r="H152" s="23"/>
      <c r="I152" s="23"/>
      <c r="J152" s="23"/>
    </row>
    <row r="153" spans="1:12">
      <c r="A153" t="s">
        <v>384</v>
      </c>
      <c r="B153" s="23"/>
      <c r="C153" s="23"/>
      <c r="D153" s="23">
        <v>1426.4461727999999</v>
      </c>
      <c r="E153" s="23"/>
      <c r="F153" s="23">
        <v>173348.73333333334</v>
      </c>
      <c r="G153" s="23">
        <v>337605.48873600003</v>
      </c>
      <c r="H153" s="23"/>
      <c r="I153" s="23"/>
      <c r="J153" s="23"/>
    </row>
    <row r="154" spans="1:12">
      <c r="A154" t="s">
        <v>361</v>
      </c>
      <c r="B154" s="23">
        <f>J147</f>
        <v>301595</v>
      </c>
      <c r="C154" s="23">
        <f>'tab02'!E43</f>
        <v>4411633</v>
      </c>
      <c r="D154" s="23">
        <f>D151+D152+D153</f>
        <v>5619.902939999999</v>
      </c>
      <c r="E154" s="23">
        <f>SUM(B154:D154)</f>
        <v>4718847.9029400004</v>
      </c>
      <c r="F154" s="23">
        <f>F151+F152+F153</f>
        <v>494635.53333333338</v>
      </c>
      <c r="G154" s="23">
        <f>G151+G152+G153</f>
        <v>857495.04032400006</v>
      </c>
      <c r="H154" s="23">
        <f>I154-F154-G154</f>
        <v>206038.32928266691</v>
      </c>
      <c r="I154" s="23">
        <f>E154-J154</f>
        <v>1558168.9029400004</v>
      </c>
      <c r="J154" s="23">
        <f>'tab01'!D113</f>
        <v>3160679</v>
      </c>
    </row>
    <row r="155" spans="1:12">
      <c r="A155" t="s">
        <v>385</v>
      </c>
      <c r="B155" s="23"/>
      <c r="C155" s="23"/>
      <c r="D155" s="23">
        <v>2327.9932823999998</v>
      </c>
      <c r="E155" s="23"/>
      <c r="F155" s="23">
        <v>176340.5</v>
      </c>
      <c r="G155" s="23">
        <v>228727.94973839997</v>
      </c>
      <c r="H155" s="23"/>
      <c r="I155" s="23"/>
      <c r="J155" s="218"/>
    </row>
    <row r="156" spans="1:12">
      <c r="A156" t="s">
        <v>386</v>
      </c>
      <c r="B156" s="23"/>
      <c r="C156" s="23"/>
      <c r="D156" s="23">
        <v>1463.1019872000002</v>
      </c>
      <c r="E156" s="23"/>
      <c r="F156" s="23">
        <v>174660.9</v>
      </c>
      <c r="G156" s="23">
        <v>213382.82124960003</v>
      </c>
      <c r="H156" s="23"/>
      <c r="I156" s="23"/>
      <c r="J156" s="218"/>
    </row>
    <row r="157" spans="1:12">
      <c r="A157" t="s">
        <v>387</v>
      </c>
      <c r="B157" s="23"/>
      <c r="C157" s="23"/>
      <c r="D157" s="23">
        <v>1176.193812</v>
      </c>
      <c r="E157" s="23"/>
      <c r="F157" s="23">
        <v>164959.06666666668</v>
      </c>
      <c r="G157" s="23">
        <v>155707.3554648</v>
      </c>
      <c r="H157" s="23"/>
      <c r="I157" s="23"/>
      <c r="J157" s="218"/>
    </row>
    <row r="158" spans="1:12">
      <c r="A158" t="s">
        <v>362</v>
      </c>
      <c r="B158" s="23">
        <f>J154</f>
        <v>3160679</v>
      </c>
      <c r="C158" s="72" t="s">
        <v>244</v>
      </c>
      <c r="D158" s="23">
        <f>D155+D156+D157</f>
        <v>4967.2890815999999</v>
      </c>
      <c r="E158" s="23">
        <f>SUM(B158:D158)</f>
        <v>3165646.2890816</v>
      </c>
      <c r="F158" s="23">
        <f>F155+F156+F157</f>
        <v>515960.46666666667</v>
      </c>
      <c r="G158" s="23">
        <f>G155+G156+G157</f>
        <v>597818.1264528</v>
      </c>
      <c r="H158" s="23">
        <f>I158-F158-G158</f>
        <v>-57435.304037866648</v>
      </c>
      <c r="I158" s="23">
        <f>E158-J158</f>
        <v>1056343.2890816</v>
      </c>
      <c r="J158" s="23">
        <f>'tab01'!D114</f>
        <v>2109303</v>
      </c>
    </row>
    <row r="159" spans="1:12">
      <c r="A159" t="s">
        <v>388</v>
      </c>
      <c r="B159" s="23"/>
      <c r="C159" s="23"/>
      <c r="D159" s="23">
        <v>2140.0697687999996</v>
      </c>
      <c r="E159" s="23"/>
      <c r="F159" s="23">
        <v>182174.66666666666</v>
      </c>
      <c r="G159" s="23">
        <v>118372.45315440001</v>
      </c>
      <c r="H159" s="23"/>
      <c r="I159" s="23"/>
      <c r="J159" s="218"/>
    </row>
    <row r="160" spans="1:12">
      <c r="A160" t="s">
        <v>389</v>
      </c>
      <c r="B160" s="23"/>
      <c r="C160" s="23"/>
      <c r="D160" s="23">
        <v>2418.1887792000002</v>
      </c>
      <c r="E160" s="23"/>
      <c r="F160" s="23">
        <v>171638.23333333334</v>
      </c>
      <c r="G160" s="23">
        <v>80632.676056800003</v>
      </c>
      <c r="H160" s="23"/>
      <c r="I160" s="23"/>
      <c r="J160" s="218"/>
    </row>
    <row r="161" spans="1:10">
      <c r="A161" t="s">
        <v>390</v>
      </c>
      <c r="B161" s="23"/>
      <c r="C161" s="23"/>
      <c r="D161" s="23">
        <v>1851.6146712</v>
      </c>
      <c r="E161" s="23"/>
      <c r="F161" s="23">
        <v>172468</v>
      </c>
      <c r="G161" s="23">
        <v>114292.00255919999</v>
      </c>
      <c r="H161" s="23"/>
      <c r="I161" s="23"/>
      <c r="J161" s="218"/>
    </row>
    <row r="162" spans="1:10">
      <c r="A162" t="s">
        <v>359</v>
      </c>
      <c r="B162" s="23">
        <f>J158</f>
        <v>2109303</v>
      </c>
      <c r="C162" s="72" t="s">
        <v>244</v>
      </c>
      <c r="D162" s="23">
        <f>D159+D160+D161</f>
        <v>6409.8732191999998</v>
      </c>
      <c r="E162" s="23">
        <f>SUM(B162:D162)</f>
        <v>2115712.8732191999</v>
      </c>
      <c r="F162" s="23">
        <f>F159+F160+F161</f>
        <v>526280.9</v>
      </c>
      <c r="G162" s="23">
        <f>G159+G160+G161</f>
        <v>313297.13177039998</v>
      </c>
      <c r="H162" s="23">
        <f>I162-F162-G162</f>
        <v>56805.84144879994</v>
      </c>
      <c r="I162" s="23">
        <f>E162-J162</f>
        <v>896383.87321919994</v>
      </c>
      <c r="J162" s="23">
        <f>'tab01'!D115</f>
        <v>1219329</v>
      </c>
    </row>
    <row r="163" spans="1:10">
      <c r="A163" t="s">
        <v>392</v>
      </c>
      <c r="B163" s="23"/>
      <c r="C163" s="23"/>
      <c r="D163" s="23">
        <v>1899.9881472</v>
      </c>
      <c r="E163" s="23"/>
      <c r="F163" s="23">
        <v>169564.7</v>
      </c>
      <c r="G163" s="23">
        <v>114754.79323919999</v>
      </c>
      <c r="H163" s="23"/>
      <c r="I163" s="23"/>
      <c r="J163" s="218"/>
    </row>
    <row r="164" spans="1:10">
      <c r="A164" t="s">
        <v>393</v>
      </c>
      <c r="B164" s="23"/>
      <c r="C164" s="23"/>
      <c r="D164" s="23">
        <v>2162.4284927999997</v>
      </c>
      <c r="E164" s="23"/>
      <c r="F164" s="23">
        <v>178860.93333333332</v>
      </c>
      <c r="G164" s="23">
        <v>125859.08357280001</v>
      </c>
      <c r="H164" s="23"/>
      <c r="I164" s="23"/>
      <c r="J164" s="218"/>
    </row>
    <row r="165" spans="1:10">
      <c r="A165" t="s">
        <v>394</v>
      </c>
      <c r="B165" s="23"/>
      <c r="C165" s="23"/>
      <c r="D165" s="23">
        <v>751.1906616</v>
      </c>
      <c r="E165" s="23"/>
      <c r="F165" s="23">
        <v>169629.46666666667</v>
      </c>
      <c r="G165" s="23">
        <v>124523.5273584</v>
      </c>
      <c r="H165" s="23"/>
      <c r="I165" s="23"/>
      <c r="J165" s="218"/>
    </row>
    <row r="166" spans="1:10">
      <c r="A166" t="s">
        <v>360</v>
      </c>
      <c r="B166" s="23">
        <f>J162</f>
        <v>1219329</v>
      </c>
      <c r="C166" s="72" t="s">
        <v>244</v>
      </c>
      <c r="D166" s="23">
        <f>D163+D164+D165</f>
        <v>4813.6073015999991</v>
      </c>
      <c r="E166" s="23">
        <f>SUM(B166:D166)</f>
        <v>1224142.6073016</v>
      </c>
      <c r="F166" s="23">
        <f>F163+F164+F165</f>
        <v>518055.1</v>
      </c>
      <c r="G166" s="23">
        <f>G163+G164+G165</f>
        <v>365137.4041704</v>
      </c>
      <c r="H166" s="23">
        <f>I166-F166-G166</f>
        <v>-97154.89686879993</v>
      </c>
      <c r="I166" s="23">
        <f>E166-J166</f>
        <v>786037.60730160004</v>
      </c>
      <c r="J166" s="23">
        <f>'tab01'!D116</f>
        <v>438105</v>
      </c>
    </row>
    <row r="167" spans="1:10">
      <c r="A167" t="s">
        <v>218</v>
      </c>
      <c r="B167" s="23"/>
      <c r="C167" s="23">
        <f>SUM(C154:C166)</f>
        <v>4411633</v>
      </c>
      <c r="D167" s="23">
        <f>D154+D158+D162+D166</f>
        <v>21810.672542399996</v>
      </c>
      <c r="E167" s="23">
        <f>B154+D167+C167</f>
        <v>4735038.6725423997</v>
      </c>
      <c r="F167" s="23">
        <f>F154+F158+F162+F166</f>
        <v>2054932</v>
      </c>
      <c r="G167" s="23">
        <f>G154+G158+G162+G166</f>
        <v>2133747.7027175999</v>
      </c>
      <c r="H167" s="23">
        <f>H154+H158+H162+H166</f>
        <v>108253.96982480027</v>
      </c>
      <c r="I167" s="23">
        <f>I154+I158+I162+I166</f>
        <v>4296933.6725424007</v>
      </c>
      <c r="J167" s="23"/>
    </row>
    <row r="168" spans="1:10">
      <c r="B168" s="23"/>
      <c r="C168" s="23"/>
      <c r="D168" s="23"/>
      <c r="E168" s="23"/>
      <c r="F168" s="23"/>
      <c r="G168" s="23"/>
      <c r="H168" s="23"/>
      <c r="I168" s="23"/>
      <c r="J168" s="23"/>
    </row>
    <row r="169" spans="1:10">
      <c r="A169" t="s">
        <v>295</v>
      </c>
      <c r="B169" s="23"/>
      <c r="C169" s="23"/>
      <c r="D169" s="23"/>
      <c r="E169" s="23"/>
      <c r="F169" s="23"/>
      <c r="G169" s="23"/>
      <c r="H169" s="23"/>
      <c r="I169" s="23"/>
      <c r="J169" s="23"/>
    </row>
    <row r="170" spans="1:10">
      <c r="A170" t="s">
        <v>382</v>
      </c>
      <c r="B170" s="23"/>
      <c r="C170" s="23"/>
      <c r="D170" s="23">
        <v>1029.9232968000001</v>
      </c>
      <c r="E170" s="23"/>
      <c r="F170" s="23">
        <v>169649.33333333334</v>
      </c>
      <c r="G170" s="23">
        <v>122556.77536319999</v>
      </c>
      <c r="H170" s="23"/>
      <c r="I170" s="23"/>
      <c r="J170" s="23"/>
    </row>
    <row r="171" spans="1:10">
      <c r="A171" t="s">
        <v>383</v>
      </c>
      <c r="B171" s="23"/>
      <c r="C171" s="23"/>
      <c r="D171" s="23">
        <v>776.03327999999999</v>
      </c>
      <c r="E171" s="23"/>
      <c r="F171" s="23">
        <v>183558.43333333332</v>
      </c>
      <c r="G171" s="23">
        <v>200531.76524880002</v>
      </c>
      <c r="H171" s="23"/>
      <c r="I171" s="23"/>
      <c r="J171" s="23"/>
    </row>
    <row r="172" spans="1:10">
      <c r="A172" t="s">
        <v>384</v>
      </c>
      <c r="B172" s="23"/>
      <c r="C172" s="23"/>
      <c r="D172" s="23">
        <v>1836.0793079999999</v>
      </c>
      <c r="E172" s="23"/>
      <c r="F172" s="23">
        <v>178101.76666666666</v>
      </c>
      <c r="G172" s="23">
        <v>179262.9087072</v>
      </c>
      <c r="H172" s="23"/>
      <c r="I172" s="23"/>
      <c r="J172" s="23"/>
    </row>
    <row r="173" spans="1:10">
      <c r="A173" t="s">
        <v>361</v>
      </c>
      <c r="B173" s="23">
        <f>J166</f>
        <v>438105</v>
      </c>
      <c r="C173" s="23">
        <f>'tab02'!E44</f>
        <v>4428150</v>
      </c>
      <c r="D173" s="23">
        <f>D170+D171+D172</f>
        <v>3642.0358848000001</v>
      </c>
      <c r="E173" s="23">
        <f>SUM(B173:D173)</f>
        <v>4869897.0358848004</v>
      </c>
      <c r="F173" s="23">
        <f>F170+F171+F172</f>
        <v>531309.53333333333</v>
      </c>
      <c r="G173" s="23">
        <f>G170+G171+G172</f>
        <v>502351.44931920001</v>
      </c>
      <c r="H173" s="23">
        <f>I173-F173-G173</f>
        <v>90412.053232267033</v>
      </c>
      <c r="I173" s="23">
        <f>E173-J173</f>
        <v>1124073.0358848004</v>
      </c>
      <c r="J173" s="23">
        <f>'tab01'!D119</f>
        <v>3745824</v>
      </c>
    </row>
    <row r="174" spans="1:10">
      <c r="A174" t="s">
        <v>385</v>
      </c>
      <c r="B174" s="23"/>
      <c r="C174" s="23"/>
      <c r="D174" s="23">
        <v>1136.5139664000001</v>
      </c>
      <c r="E174" s="23"/>
      <c r="F174" s="23">
        <v>183775.53333333333</v>
      </c>
      <c r="G174" s="23">
        <v>147066.9707952</v>
      </c>
      <c r="H174" s="23"/>
      <c r="I174" s="23"/>
      <c r="J174" s="23"/>
    </row>
    <row r="175" spans="1:10">
      <c r="A175" t="s">
        <v>386</v>
      </c>
      <c r="B175" s="23"/>
      <c r="C175" s="23"/>
      <c r="D175" s="23">
        <v>1016.6256431999999</v>
      </c>
      <c r="E175" s="23"/>
      <c r="F175" s="23">
        <v>183070.9</v>
      </c>
      <c r="G175" s="23">
        <v>176659.57058639996</v>
      </c>
      <c r="H175" s="23"/>
      <c r="I175" s="23"/>
      <c r="J175" s="23"/>
    </row>
    <row r="176" spans="1:10">
      <c r="A176" t="s">
        <v>387</v>
      </c>
      <c r="B176" s="23"/>
      <c r="C176" s="23"/>
      <c r="D176" s="23">
        <v>1461.7020407999998</v>
      </c>
      <c r="E176" s="23"/>
      <c r="F176" s="23">
        <v>162781.13333333333</v>
      </c>
      <c r="G176" s="23">
        <v>166188.71741760001</v>
      </c>
      <c r="H176" s="23"/>
      <c r="I176" s="23"/>
      <c r="J176" s="23"/>
    </row>
    <row r="177" spans="1:10">
      <c r="A177" t="s">
        <v>362</v>
      </c>
      <c r="B177" s="23">
        <f>J173</f>
        <v>3745824</v>
      </c>
      <c r="C177" s="72" t="s">
        <v>244</v>
      </c>
      <c r="D177" s="23">
        <f>D174+D175+D176</f>
        <v>3614.8416503999997</v>
      </c>
      <c r="E177" s="23">
        <f>SUM(B177:D177)</f>
        <v>3749438.8416503998</v>
      </c>
      <c r="F177" s="23">
        <f>F174+F175+F176</f>
        <v>529627.56666666665</v>
      </c>
      <c r="G177" s="23">
        <f>G174+G175+G176</f>
        <v>489915.25879919995</v>
      </c>
      <c r="H177" s="23">
        <f>I177-F177-G177</f>
        <v>2827.0161845332477</v>
      </c>
      <c r="I177" s="23">
        <f>E177-J177</f>
        <v>1022369.8416503998</v>
      </c>
      <c r="J177" s="23">
        <f>'tab01'!D120</f>
        <v>2727069</v>
      </c>
    </row>
    <row r="178" spans="1:10">
      <c r="A178" t="s">
        <v>388</v>
      </c>
      <c r="B178" s="23"/>
      <c r="C178" s="23"/>
      <c r="D178" s="23">
        <v>1484.7809472000001</v>
      </c>
      <c r="E178" s="23"/>
      <c r="F178" s="23">
        <v>179433.60000000001</v>
      </c>
      <c r="G178" s="23">
        <v>141063.394356</v>
      </c>
      <c r="H178" s="23"/>
      <c r="I178" s="23"/>
      <c r="J178" s="23"/>
    </row>
    <row r="179" spans="1:10">
      <c r="A179" t="s">
        <v>389</v>
      </c>
      <c r="B179" s="23"/>
      <c r="C179" s="23"/>
      <c r="D179" s="23">
        <v>1562.2777176000002</v>
      </c>
      <c r="E179" s="23"/>
      <c r="F179" s="23">
        <v>171546.76666666666</v>
      </c>
      <c r="G179" s="23">
        <v>91209.315201599995</v>
      </c>
      <c r="H179" s="23"/>
      <c r="I179" s="23"/>
      <c r="J179" s="23"/>
    </row>
    <row r="180" spans="1:10">
      <c r="A180" t="s">
        <v>390</v>
      </c>
      <c r="B180" s="23"/>
      <c r="C180" s="23"/>
      <c r="D180" s="23">
        <v>639.05532239999991</v>
      </c>
      <c r="E180" s="23"/>
      <c r="F180" s="23">
        <v>165442.36666666667</v>
      </c>
      <c r="G180" s="23">
        <v>91021.472524800003</v>
      </c>
      <c r="H180" s="23"/>
      <c r="I180" s="23"/>
      <c r="J180" s="23"/>
    </row>
    <row r="181" spans="1:10">
      <c r="A181" t="s">
        <v>359</v>
      </c>
      <c r="B181" s="23">
        <f>J177</f>
        <v>2727069</v>
      </c>
      <c r="C181" s="72" t="s">
        <v>244</v>
      </c>
      <c r="D181" s="23">
        <f>D178+D179+D180</f>
        <v>3686.1139872000003</v>
      </c>
      <c r="E181" s="23">
        <f>SUM(B181:D181)</f>
        <v>2730755.1139872</v>
      </c>
      <c r="F181" s="23">
        <f>F178+F179+F180</f>
        <v>516422.7333333334</v>
      </c>
      <c r="G181" s="23">
        <f>G178+G179+G180</f>
        <v>323294.18208240002</v>
      </c>
      <c r="H181" s="23">
        <f>I181-F181-G181</f>
        <v>107958.19857146655</v>
      </c>
      <c r="I181" s="23">
        <f>E181-J181</f>
        <v>947675.11398719996</v>
      </c>
      <c r="J181" s="23">
        <f>'tab01'!D121</f>
        <v>1783080</v>
      </c>
    </row>
    <row r="182" spans="1:10">
      <c r="A182" t="s">
        <v>392</v>
      </c>
      <c r="B182" s="23"/>
      <c r="C182" s="23"/>
      <c r="D182" s="23">
        <v>745.73417760000007</v>
      </c>
      <c r="E182" s="23"/>
      <c r="F182" s="23">
        <v>157637.9</v>
      </c>
      <c r="G182" s="23">
        <v>120212.11867680002</v>
      </c>
      <c r="H182" s="23"/>
      <c r="I182" s="23"/>
      <c r="J182" s="23"/>
    </row>
    <row r="183" spans="1:10">
      <c r="A183" t="s">
        <v>393</v>
      </c>
      <c r="B183" s="23"/>
      <c r="C183" s="23"/>
      <c r="D183" s="23">
        <v>1313.1901416000001</v>
      </c>
      <c r="E183" s="23"/>
      <c r="F183" s="23">
        <v>179463.2</v>
      </c>
      <c r="G183" s="23">
        <v>136022.76425040001</v>
      </c>
      <c r="H183" s="23"/>
      <c r="I183" s="23"/>
      <c r="J183" s="23"/>
    </row>
    <row r="184" spans="1:10">
      <c r="A184" t="s">
        <v>394</v>
      </c>
      <c r="B184" s="23"/>
      <c r="C184" s="23"/>
      <c r="D184" s="23">
        <v>1055.4787487999999</v>
      </c>
      <c r="E184" s="23"/>
      <c r="F184" s="23">
        <v>177529.33333333334</v>
      </c>
      <c r="G184" s="23">
        <v>181648.02788639997</v>
      </c>
      <c r="H184" s="23"/>
      <c r="I184" s="23"/>
      <c r="J184" s="23"/>
    </row>
    <row r="185" spans="1:10">
      <c r="A185" t="s">
        <v>360</v>
      </c>
      <c r="B185" s="23">
        <f>J181</f>
        <v>1783080</v>
      </c>
      <c r="C185" s="72" t="s">
        <v>244</v>
      </c>
      <c r="D185" s="23">
        <f>D182+D183+D184</f>
        <v>3114.4030680000005</v>
      </c>
      <c r="E185" s="23">
        <f>SUM(B185:D185)</f>
        <v>1786194.403068</v>
      </c>
      <c r="F185" s="23">
        <f>F182+F183+F184</f>
        <v>514630.43333333335</v>
      </c>
      <c r="G185" s="23">
        <f>G182+G183+G184</f>
        <v>437882.9108136</v>
      </c>
      <c r="H185" s="23">
        <f>I185-F185-G185</f>
        <v>-75370.941078933363</v>
      </c>
      <c r="I185" s="23">
        <f>E185-J185</f>
        <v>877142.40306799999</v>
      </c>
      <c r="J185" s="23">
        <f>'tab01'!D122</f>
        <v>909052</v>
      </c>
    </row>
    <row r="186" spans="1:10">
      <c r="A186" t="s">
        <v>218</v>
      </c>
      <c r="B186" s="23"/>
      <c r="C186" s="23">
        <f>SUM(C173:C185)</f>
        <v>4428150</v>
      </c>
      <c r="D186" s="23">
        <f>D173+D177+D181+D185</f>
        <v>14057.394590399999</v>
      </c>
      <c r="E186" s="23">
        <f>B173+D186+C186</f>
        <v>4880312.3945904002</v>
      </c>
      <c r="F186" s="23">
        <f>F173+F177+F181+F185</f>
        <v>2091990.2666666668</v>
      </c>
      <c r="G186" s="23">
        <f>G173+G177+G181+G185</f>
        <v>1753443.8010144001</v>
      </c>
      <c r="H186" s="23">
        <f>H173+H177+H181+H185</f>
        <v>125826.32690933347</v>
      </c>
      <c r="I186" s="23">
        <f>I173+I177+I181+I185</f>
        <v>3971260.3945904002</v>
      </c>
      <c r="J186" s="23"/>
    </row>
    <row r="187" spans="1:10">
      <c r="B187" s="23"/>
      <c r="C187" s="23"/>
      <c r="D187" s="23"/>
      <c r="E187" s="23"/>
      <c r="F187" s="23"/>
      <c r="G187" s="23"/>
      <c r="H187" s="23"/>
      <c r="I187" s="23"/>
      <c r="J187" s="23"/>
    </row>
    <row r="188" spans="1:10">
      <c r="A188" t="s">
        <v>334</v>
      </c>
      <c r="B188" s="23"/>
      <c r="C188" s="23"/>
      <c r="D188" s="23"/>
      <c r="E188" s="23"/>
      <c r="F188" s="23"/>
      <c r="G188" s="23"/>
      <c r="H188" s="23"/>
      <c r="I188" s="23"/>
      <c r="J188" s="23"/>
    </row>
    <row r="189" spans="1:10">
      <c r="A189" t="s">
        <v>382</v>
      </c>
      <c r="B189" s="23"/>
      <c r="C189" s="23"/>
      <c r="D189" s="23">
        <v>1172.5341096000002</v>
      </c>
      <c r="E189" s="23"/>
      <c r="F189" s="23">
        <v>162334.46666666667</v>
      </c>
      <c r="G189" s="23">
        <v>143747.85220560001</v>
      </c>
      <c r="H189" s="23"/>
      <c r="I189" s="23"/>
      <c r="J189" s="23"/>
    </row>
    <row r="190" spans="1:10">
      <c r="A190" t="s">
        <v>383</v>
      </c>
      <c r="B190" s="23"/>
      <c r="C190" s="23"/>
      <c r="D190" s="23">
        <v>1957.5549720000001</v>
      </c>
      <c r="E190" s="23"/>
      <c r="F190" s="23">
        <v>187187.20000000001</v>
      </c>
      <c r="G190" s="23">
        <v>216572.41356479999</v>
      </c>
      <c r="H190" s="23"/>
      <c r="I190" s="23"/>
      <c r="J190" s="23"/>
    </row>
    <row r="191" spans="1:10">
      <c r="A191" t="s">
        <v>384</v>
      </c>
      <c r="B191" s="23"/>
      <c r="C191" s="23"/>
      <c r="D191" s="23">
        <v>457.55833439999998</v>
      </c>
      <c r="E191" s="23"/>
      <c r="F191" s="23">
        <v>174648.4</v>
      </c>
      <c r="G191" s="23">
        <v>251118.20743919999</v>
      </c>
      <c r="H191" s="23"/>
      <c r="I191" s="23"/>
      <c r="J191" s="23"/>
    </row>
    <row r="192" spans="1:10">
      <c r="A192" t="s">
        <v>361</v>
      </c>
      <c r="B192" s="23">
        <f>J185</f>
        <v>909052</v>
      </c>
      <c r="C192" s="23">
        <f>'tab02'!E45</f>
        <v>3551908</v>
      </c>
      <c r="D192" s="23">
        <f>D189+D190+D191</f>
        <v>3587.6474160000002</v>
      </c>
      <c r="E192" s="23">
        <f>SUM(B192:D192)</f>
        <v>4464547.6474160003</v>
      </c>
      <c r="F192" s="23">
        <f>SUM(F189:F191)</f>
        <v>524170.06666666665</v>
      </c>
      <c r="G192" s="23">
        <f>G189+G190+G191</f>
        <v>611438.47320959996</v>
      </c>
      <c r="H192" s="23">
        <f>I192-F192-G192</f>
        <v>76451.107539733639</v>
      </c>
      <c r="I192" s="23">
        <f>E192-J192</f>
        <v>1212059.6474160003</v>
      </c>
      <c r="J192" s="23">
        <f>'tab01'!D125</f>
        <v>3252488</v>
      </c>
    </row>
    <row r="193" spans="1:10">
      <c r="A193" t="s">
        <v>385</v>
      </c>
      <c r="B193" s="23"/>
      <c r="C193" s="23"/>
      <c r="D193" s="23">
        <v>1389.4633368</v>
      </c>
      <c r="E193" s="23"/>
      <c r="F193" s="23">
        <v>184742.46666666667</v>
      </c>
      <c r="G193" s="23">
        <v>208338.07949039998</v>
      </c>
      <c r="H193" s="23"/>
      <c r="I193" s="23"/>
      <c r="J193" s="23"/>
    </row>
    <row r="194" spans="1:10">
      <c r="A194" t="s">
        <v>386</v>
      </c>
      <c r="B194" s="23"/>
      <c r="C194" s="72"/>
      <c r="D194" s="23">
        <v>1141.8602183999999</v>
      </c>
      <c r="E194" s="23"/>
      <c r="F194" s="23">
        <v>188780.1</v>
      </c>
      <c r="G194" s="23">
        <v>190420.8820248</v>
      </c>
      <c r="H194" s="23"/>
      <c r="I194" s="23"/>
      <c r="J194" s="23"/>
    </row>
    <row r="195" spans="1:10" ht="10.15" customHeight="1">
      <c r="A195" t="s">
        <v>387</v>
      </c>
      <c r="B195" s="23"/>
      <c r="C195" s="72"/>
      <c r="D195" s="23">
        <v>1519.2321216</v>
      </c>
      <c r="E195" s="23"/>
      <c r="F195" s="23">
        <v>175292.56666666668</v>
      </c>
      <c r="G195" s="23">
        <v>107685.3027552</v>
      </c>
      <c r="H195" s="23"/>
      <c r="I195" s="23"/>
    </row>
    <row r="196" spans="1:10">
      <c r="A196" t="s">
        <v>362</v>
      </c>
      <c r="B196" s="23">
        <f>J192</f>
        <v>3252488</v>
      </c>
      <c r="C196" s="72" t="s">
        <v>244</v>
      </c>
      <c r="D196" s="23">
        <f>D193+D194+D195</f>
        <v>4050.5556767999997</v>
      </c>
      <c r="E196" s="23">
        <f>SUM(B196:D196)</f>
        <v>3256538.5556768002</v>
      </c>
      <c r="F196" s="23">
        <f>SUM(F193:F195)</f>
        <v>548815.1333333333</v>
      </c>
      <c r="G196" s="23">
        <f>G193+G194+G195</f>
        <v>506444.26427039999</v>
      </c>
      <c r="H196" s="23">
        <f>I196-F196-G196</f>
        <v>-53602.841926933092</v>
      </c>
      <c r="I196" s="23">
        <f>E196-J196</f>
        <v>1001656.5556768002</v>
      </c>
      <c r="J196" s="23">
        <f>'tab01'!D126</f>
        <v>2254882</v>
      </c>
    </row>
    <row r="197" spans="1:10">
      <c r="A197" t="s">
        <v>388</v>
      </c>
      <c r="B197" s="23"/>
      <c r="C197" s="23"/>
      <c r="D197" s="23">
        <v>1559.8268927999998</v>
      </c>
      <c r="E197" s="23"/>
      <c r="F197" s="23">
        <v>192162.23333333334</v>
      </c>
      <c r="G197" s="23">
        <v>90951.243717600009</v>
      </c>
      <c r="H197" s="23"/>
      <c r="I197" s="23"/>
      <c r="J197" s="23"/>
    </row>
    <row r="198" spans="1:10">
      <c r="A198" t="s">
        <v>389</v>
      </c>
      <c r="B198" s="23"/>
      <c r="C198" s="23"/>
      <c r="D198" s="23">
        <v>935.6087976</v>
      </c>
      <c r="E198" s="23"/>
      <c r="F198" s="23">
        <v>183394.16666666666</v>
      </c>
      <c r="G198" s="23">
        <v>81653.409679199991</v>
      </c>
      <c r="H198" s="23"/>
      <c r="I198" s="23"/>
      <c r="J198" s="23"/>
    </row>
    <row r="199" spans="1:10">
      <c r="A199" t="s">
        <v>390</v>
      </c>
      <c r="B199" s="23"/>
      <c r="C199" s="23"/>
      <c r="D199" s="23">
        <v>1134.6841152</v>
      </c>
      <c r="E199" s="23"/>
      <c r="F199" s="23">
        <v>179551.13333333333</v>
      </c>
      <c r="G199" s="23">
        <v>70895.971682400006</v>
      </c>
      <c r="H199" s="23"/>
      <c r="I199" s="23"/>
      <c r="J199" s="23"/>
    </row>
    <row r="200" spans="1:10">
      <c r="A200" t="s">
        <v>359</v>
      </c>
      <c r="B200" s="23">
        <f>J196</f>
        <v>2254882</v>
      </c>
      <c r="C200" s="72" t="s">
        <v>244</v>
      </c>
      <c r="D200" s="23">
        <f>D197+D198+D199</f>
        <v>3630.1198055999994</v>
      </c>
      <c r="E200" s="23">
        <f>SUM(B200:D200)</f>
        <v>2258512.1198056</v>
      </c>
      <c r="F200" s="23">
        <f>SUM(F197:F199)</f>
        <v>555107.53333333333</v>
      </c>
      <c r="G200" s="23">
        <f>G197+G198+G199</f>
        <v>243500.62507919999</v>
      </c>
      <c r="H200" s="23">
        <f>I200-F200-G200</f>
        <v>78509.961393066711</v>
      </c>
      <c r="I200" s="23">
        <f>E200-J200</f>
        <v>877118.11980560003</v>
      </c>
      <c r="J200" s="23">
        <f>'tab01'!D127</f>
        <v>1381394</v>
      </c>
    </row>
    <row r="201" spans="1:10">
      <c r="A201" t="s">
        <v>392</v>
      </c>
      <c r="B201" s="23"/>
      <c r="C201" s="72"/>
      <c r="D201" s="23">
        <v>1651.3414992000003</v>
      </c>
      <c r="E201" s="23"/>
      <c r="F201" s="23">
        <v>177280.63333333333</v>
      </c>
      <c r="G201" s="23">
        <v>65403.544701599996</v>
      </c>
      <c r="H201" s="23"/>
      <c r="I201" s="23"/>
      <c r="J201" s="23"/>
    </row>
    <row r="202" spans="1:10">
      <c r="A202" t="s">
        <v>393</v>
      </c>
      <c r="B202" s="23"/>
      <c r="C202" s="72"/>
      <c r="D202" s="23">
        <v>1762.738284</v>
      </c>
      <c r="E202" s="23"/>
      <c r="F202" s="23">
        <v>184506.53333333333</v>
      </c>
      <c r="G202" s="23">
        <v>84699.336628800011</v>
      </c>
      <c r="H202" s="23"/>
      <c r="I202" s="23"/>
      <c r="J202" s="23"/>
    </row>
    <row r="203" spans="1:10">
      <c r="A203" t="s">
        <v>394</v>
      </c>
      <c r="B203" s="23"/>
      <c r="C203" s="23"/>
      <c r="D203" s="23">
        <v>698.22051119999992</v>
      </c>
      <c r="E203" s="23"/>
      <c r="F203" s="23">
        <v>174674.33333333334</v>
      </c>
      <c r="G203" s="23">
        <v>171402.05534639998</v>
      </c>
      <c r="H203" s="23"/>
      <c r="I203" s="23"/>
      <c r="J203" s="23"/>
    </row>
    <row r="204" spans="1:10">
      <c r="A204" t="s">
        <v>360</v>
      </c>
      <c r="B204" s="23">
        <f>J200</f>
        <v>1381394</v>
      </c>
      <c r="C204" s="23"/>
      <c r="D204" s="23">
        <f>D201+D202+D203</f>
        <v>4112.3002944</v>
      </c>
      <c r="E204" s="23">
        <f>SUM(B204:D204)</f>
        <v>1385506.3002944</v>
      </c>
      <c r="F204" s="23">
        <f>SUM(F201:F203)</f>
        <v>536461.5</v>
      </c>
      <c r="G204" s="23">
        <f>G201+G202+G203</f>
        <v>321504.93667680002</v>
      </c>
      <c r="H204" s="23">
        <f>I204-F204-G204</f>
        <v>2998.8636175999418</v>
      </c>
      <c r="I204" s="23">
        <f>E204-J204</f>
        <v>860965.30029439996</v>
      </c>
      <c r="J204" s="23">
        <f>'tab01'!D128</f>
        <v>524541</v>
      </c>
    </row>
    <row r="205" spans="1:10" ht="11.45" customHeight="1">
      <c r="A205" t="s">
        <v>218</v>
      </c>
      <c r="B205" s="23"/>
      <c r="C205" s="23">
        <f>SUM(C192:C204)</f>
        <v>3551908</v>
      </c>
      <c r="D205" s="23">
        <f>D192+D196+D200+D204</f>
        <v>15380.6231928</v>
      </c>
      <c r="E205" s="23">
        <f>B192+D205+C205</f>
        <v>4476340.6231928002</v>
      </c>
      <c r="F205" s="23">
        <f>F192+F196+F200+F204</f>
        <v>2164554.2333333334</v>
      </c>
      <c r="G205" s="23">
        <f>G192+G196+G200+G204</f>
        <v>1682888.2992359998</v>
      </c>
      <c r="H205" s="23">
        <f>H192+H196+H200+H204</f>
        <v>104357.0906234672</v>
      </c>
      <c r="I205" s="23">
        <f>I192+I196+I200+I204</f>
        <v>3951799.6231928002</v>
      </c>
      <c r="J205" s="23"/>
    </row>
    <row r="206" spans="1:10" ht="11.45" customHeight="1">
      <c r="B206" s="23"/>
      <c r="C206" s="23"/>
      <c r="D206" s="23"/>
      <c r="E206" s="23"/>
      <c r="F206" s="23"/>
      <c r="G206" s="23"/>
      <c r="H206" s="23"/>
      <c r="I206" s="23"/>
      <c r="J206" s="23"/>
    </row>
    <row r="207" spans="1:10">
      <c r="A207" t="s">
        <v>350</v>
      </c>
      <c r="B207" s="23"/>
      <c r="C207" s="23"/>
      <c r="D207" s="23"/>
      <c r="E207" s="23"/>
      <c r="F207" s="23"/>
      <c r="G207" s="23"/>
      <c r="H207" s="23"/>
      <c r="I207" s="23"/>
      <c r="J207" s="23"/>
    </row>
    <row r="208" spans="1:10">
      <c r="A208" t="s">
        <v>382</v>
      </c>
      <c r="B208" s="23"/>
      <c r="C208" s="23"/>
      <c r="D208" s="23">
        <v>1636.1221343999998</v>
      </c>
      <c r="E208" s="218"/>
      <c r="F208" s="23">
        <v>171055.5</v>
      </c>
      <c r="G208" s="23">
        <v>264267.56592959998</v>
      </c>
      <c r="H208" s="23"/>
      <c r="I208" s="23"/>
      <c r="J208" s="23"/>
    </row>
    <row r="209" spans="1:10">
      <c r="A209" t="s">
        <v>383</v>
      </c>
      <c r="B209" s="23"/>
      <c r="C209" s="72"/>
      <c r="D209" s="23">
        <v>914.15765039999997</v>
      </c>
      <c r="E209" s="218"/>
      <c r="F209" s="23">
        <v>196569.3</v>
      </c>
      <c r="G209" s="23">
        <v>425826.04697760002</v>
      </c>
      <c r="H209" s="23"/>
      <c r="I209" s="23"/>
      <c r="J209" s="23"/>
    </row>
    <row r="210" spans="1:10">
      <c r="A210" t="s">
        <v>384</v>
      </c>
      <c r="B210" s="23"/>
      <c r="C210" s="72"/>
      <c r="D210" s="23">
        <v>456.63973440000001</v>
      </c>
      <c r="E210" s="218"/>
      <c r="F210" s="23">
        <v>191040.23333333334</v>
      </c>
      <c r="G210" s="23">
        <v>399111.80679840001</v>
      </c>
      <c r="H210" s="23"/>
      <c r="I210" s="23"/>
      <c r="J210" s="23"/>
    </row>
    <row r="211" spans="1:10">
      <c r="A211" t="s">
        <v>361</v>
      </c>
      <c r="B211" s="23">
        <f>J204</f>
        <v>524541</v>
      </c>
      <c r="C211" s="72">
        <f>'tab02'!E46</f>
        <v>4216302</v>
      </c>
      <c r="D211" s="23">
        <f>SUM(D208:D210)</f>
        <v>3006.9195192000002</v>
      </c>
      <c r="E211" s="23">
        <f>SUM(B211:D211)</f>
        <v>4743849.9195192</v>
      </c>
      <c r="F211" s="23">
        <f>SUM(F208:F210)</f>
        <v>558665.03333333333</v>
      </c>
      <c r="G211" s="23">
        <f>SUM(G208:G210)</f>
        <v>1089205.4197056</v>
      </c>
      <c r="H211" s="23">
        <f>I211-F211-G211</f>
        <v>149239.46648026677</v>
      </c>
      <c r="I211" s="23">
        <f>E211-J211</f>
        <v>1797109.9195192</v>
      </c>
      <c r="J211" s="23">
        <f>'tab01'!D131</f>
        <v>2946740</v>
      </c>
    </row>
    <row r="212" spans="1:10">
      <c r="A212" t="s">
        <v>385</v>
      </c>
      <c r="B212" s="23"/>
      <c r="C212" s="72"/>
      <c r="D212" s="23">
        <v>860.79433919999997</v>
      </c>
      <c r="E212" s="23"/>
      <c r="F212" s="23">
        <v>193141.1</v>
      </c>
      <c r="G212" s="23">
        <v>386448.27747600002</v>
      </c>
      <c r="H212" s="23"/>
      <c r="I212" s="23"/>
      <c r="J212" s="23"/>
    </row>
    <row r="213" spans="1:10">
      <c r="A213" t="s">
        <v>386</v>
      </c>
      <c r="B213" s="23"/>
      <c r="C213" s="72"/>
      <c r="D213" s="23">
        <v>721.83220560000007</v>
      </c>
      <c r="E213" s="23"/>
      <c r="F213" s="23">
        <v>196512</v>
      </c>
      <c r="G213" s="23">
        <v>331816.88674320001</v>
      </c>
      <c r="H213" s="23"/>
      <c r="I213" s="23"/>
      <c r="J213" s="23"/>
    </row>
    <row r="214" spans="1:10">
      <c r="A214" t="s">
        <v>387</v>
      </c>
      <c r="B214" s="23"/>
      <c r="C214" s="72"/>
      <c r="D214" s="23">
        <v>828.59189760000004</v>
      </c>
      <c r="E214" s="23"/>
      <c r="F214" s="23">
        <v>164349.96666666667</v>
      </c>
      <c r="G214" s="23">
        <v>164699.43533039998</v>
      </c>
      <c r="H214" s="23"/>
      <c r="I214" s="23"/>
      <c r="J214" s="23"/>
    </row>
    <row r="215" spans="1:10">
      <c r="A215" t="s">
        <v>362</v>
      </c>
      <c r="B215" s="23">
        <f>J211</f>
        <v>2946740</v>
      </c>
      <c r="C215" s="72" t="s">
        <v>244</v>
      </c>
      <c r="D215" s="23">
        <f>SUM(D212:D214)</f>
        <v>2411.2184423999997</v>
      </c>
      <c r="E215" s="23">
        <f>SUM(B215:D215)</f>
        <v>2949151.2184424</v>
      </c>
      <c r="F215" s="23">
        <f>SUM(F212:F214)</f>
        <v>554003.06666666665</v>
      </c>
      <c r="G215" s="23">
        <f>SUM(G212:G214)</f>
        <v>882964.59954960004</v>
      </c>
      <c r="H215" s="23">
        <f>I215-F215-G215</f>
        <v>-49500.447773866705</v>
      </c>
      <c r="I215" s="23">
        <f>E215-J215</f>
        <v>1387467.2184424</v>
      </c>
      <c r="J215" s="23">
        <f>'tab01'!D132</f>
        <v>1561684</v>
      </c>
    </row>
    <row r="216" spans="1:10">
      <c r="A216" t="s">
        <v>388</v>
      </c>
      <c r="B216" s="23"/>
      <c r="C216" s="72"/>
      <c r="D216" s="23">
        <v>960.74536799999998</v>
      </c>
      <c r="E216" s="23"/>
      <c r="F216" s="23">
        <v>188224.26666666666</v>
      </c>
      <c r="G216" s="23">
        <v>83173.306867199994</v>
      </c>
      <c r="H216" s="23"/>
      <c r="I216" s="23"/>
      <c r="J216" s="23"/>
    </row>
    <row r="217" spans="1:10">
      <c r="A217" t="s">
        <v>389</v>
      </c>
      <c r="B217" s="23"/>
      <c r="C217" s="72"/>
      <c r="D217" s="23">
        <v>1269.0312023999998</v>
      </c>
      <c r="E217" s="23"/>
      <c r="F217" s="23">
        <v>169854.36666666667</v>
      </c>
      <c r="G217" s="23">
        <v>49868.670196799998</v>
      </c>
      <c r="H217" s="23"/>
      <c r="I217" s="23"/>
      <c r="J217" s="23"/>
    </row>
    <row r="218" spans="1:10">
      <c r="A218" t="s">
        <v>390</v>
      </c>
      <c r="B218" s="23"/>
      <c r="C218" s="72"/>
      <c r="D218" s="23">
        <v>1867.6203576</v>
      </c>
      <c r="E218" s="23"/>
      <c r="F218" s="23">
        <v>173501.06666666668</v>
      </c>
      <c r="G218" s="23">
        <v>49178.500295999998</v>
      </c>
      <c r="H218" s="23"/>
      <c r="I218" s="23"/>
      <c r="J218" s="23"/>
    </row>
    <row r="219" spans="1:10">
      <c r="A219" t="s">
        <v>359</v>
      </c>
      <c r="B219" s="23">
        <f>J215</f>
        <v>1561684</v>
      </c>
      <c r="C219" s="72" t="s">
        <v>244</v>
      </c>
      <c r="D219" s="23">
        <f>SUM(D216:D218)</f>
        <v>4097.3969280000001</v>
      </c>
      <c r="E219" s="23">
        <f>SUM(B219:D219)</f>
        <v>1565781.396928</v>
      </c>
      <c r="F219" s="23">
        <f>SUM(F216:F218)</f>
        <v>531579.69999999995</v>
      </c>
      <c r="G219" s="23">
        <f>SUM(G216:G218)</f>
        <v>182220.47735999996</v>
      </c>
      <c r="H219" s="23">
        <f>I219-F219-G219</f>
        <v>82941.219568000117</v>
      </c>
      <c r="I219" s="23">
        <f>E219-J219</f>
        <v>796741.39692800003</v>
      </c>
      <c r="J219" s="23">
        <f>'tab01'!D133</f>
        <v>769040</v>
      </c>
    </row>
    <row r="220" spans="1:10">
      <c r="A220" t="s">
        <v>392</v>
      </c>
      <c r="B220" s="23"/>
      <c r="C220" s="72"/>
      <c r="D220" s="23">
        <v>7548.1435487999997</v>
      </c>
      <c r="E220" s="23"/>
      <c r="F220" s="23">
        <v>161744.46666666667</v>
      </c>
      <c r="G220" s="23">
        <v>33979.741531200001</v>
      </c>
      <c r="H220" s="23"/>
      <c r="I220" s="23"/>
      <c r="J220" s="23"/>
    </row>
    <row r="221" spans="1:10">
      <c r="A221" t="s">
        <v>393</v>
      </c>
      <c r="B221" s="23"/>
      <c r="C221" s="72"/>
      <c r="D221" s="23">
        <v>2195.2886519999997</v>
      </c>
      <c r="E221" s="23"/>
      <c r="F221" s="23">
        <v>166333.20000000001</v>
      </c>
      <c r="G221" s="23">
        <v>34825.015204799995</v>
      </c>
      <c r="H221" s="23"/>
      <c r="I221" s="23"/>
      <c r="J221" s="23"/>
    </row>
    <row r="222" spans="1:10">
      <c r="A222" t="s">
        <v>394</v>
      </c>
      <c r="B222" s="23"/>
      <c r="C222" s="72"/>
      <c r="D222" s="23">
        <v>556.17555600000003</v>
      </c>
      <c r="E222" s="23"/>
      <c r="F222" s="23">
        <v>168259.20000000001</v>
      </c>
      <c r="G222" s="23">
        <v>42626.409424800004</v>
      </c>
      <c r="H222" s="23"/>
      <c r="I222" s="23"/>
      <c r="J222" s="23"/>
    </row>
    <row r="223" spans="1:10">
      <c r="A223" t="s">
        <v>360</v>
      </c>
      <c r="B223" s="23">
        <f>J219</f>
        <v>769040</v>
      </c>
      <c r="C223" s="72" t="s">
        <v>244</v>
      </c>
      <c r="D223" s="23">
        <f>SUM(D220:D222)</f>
        <v>10299.6077568</v>
      </c>
      <c r="E223" s="23">
        <f>SUM(B223:D223)</f>
        <v>779339.60775680002</v>
      </c>
      <c r="F223" s="23">
        <f>SUM(F220:F222)</f>
        <v>496336.8666666667</v>
      </c>
      <c r="G223" s="23">
        <f>SUM(G220:G222)</f>
        <v>111431.1661608</v>
      </c>
      <c r="H223" s="23">
        <f>I223-F223-G223</f>
        <v>-85407.425070666679</v>
      </c>
      <c r="I223" s="23">
        <f>E223-J223</f>
        <v>522360.60775680002</v>
      </c>
      <c r="J223" s="23">
        <f>'tab01'!D134</f>
        <v>256979</v>
      </c>
    </row>
    <row r="224" spans="1:10">
      <c r="A224" t="s">
        <v>218</v>
      </c>
      <c r="B224" s="23"/>
      <c r="C224" s="23">
        <f>SUM(C211:C223)</f>
        <v>4216302</v>
      </c>
      <c r="D224" s="23">
        <f>SUM(D223,D219,D215,D211)</f>
        <v>19815.1426464</v>
      </c>
      <c r="E224" s="23">
        <f>B211+D224+C224</f>
        <v>4760658.1426464003</v>
      </c>
      <c r="F224" s="23">
        <f>SUM(F223,F219,F215,F211)</f>
        <v>2140584.6666666665</v>
      </c>
      <c r="G224" s="23">
        <f>SUM(G223,G219,G215,G211)</f>
        <v>2265821.6627759999</v>
      </c>
      <c r="H224" s="23">
        <f>H211+H215+H219+H223</f>
        <v>97272.813203733502</v>
      </c>
      <c r="I224" s="23">
        <f>I211+I215+I219+I223</f>
        <v>4503679.1426464003</v>
      </c>
      <c r="J224" s="218"/>
    </row>
    <row r="225" spans="1:10">
      <c r="B225" s="23"/>
      <c r="C225" s="72"/>
      <c r="D225" s="23"/>
      <c r="E225" s="23"/>
      <c r="F225" s="23"/>
      <c r="G225" s="23"/>
      <c r="H225" s="23"/>
      <c r="I225" s="23"/>
      <c r="J225" s="218"/>
    </row>
    <row r="226" spans="1:10">
      <c r="A226" t="s">
        <v>503</v>
      </c>
      <c r="B226" s="23"/>
      <c r="C226" s="72"/>
      <c r="D226" s="23"/>
      <c r="E226" s="23"/>
      <c r="F226" s="23"/>
      <c r="G226" s="23"/>
      <c r="H226" s="23"/>
      <c r="I226" s="23"/>
      <c r="J226" s="218"/>
    </row>
    <row r="227" spans="1:10">
      <c r="A227" t="s">
        <v>382</v>
      </c>
      <c r="B227" s="23"/>
      <c r="C227" s="23"/>
      <c r="D227" s="23">
        <v>899.80911839999987</v>
      </c>
      <c r="E227" s="23"/>
      <c r="F227" s="23">
        <v>164152.46666666667</v>
      </c>
      <c r="G227" s="23">
        <v>77114.287406400006</v>
      </c>
      <c r="H227" s="23"/>
      <c r="I227" s="23"/>
      <c r="J227" s="218"/>
    </row>
    <row r="228" spans="1:10">
      <c r="A228" t="s">
        <v>383</v>
      </c>
      <c r="B228" s="23"/>
      <c r="C228" s="23"/>
      <c r="D228" s="23">
        <v>706.56507360000001</v>
      </c>
      <c r="E228" s="23"/>
      <c r="F228" s="23">
        <v>196938.56666666668</v>
      </c>
      <c r="G228" s="23">
        <v>394984.2467208</v>
      </c>
      <c r="H228" s="23"/>
      <c r="I228" s="23"/>
      <c r="J228" s="218"/>
    </row>
    <row r="229" spans="1:10">
      <c r="A229" t="s">
        <v>384</v>
      </c>
      <c r="B229" s="23"/>
      <c r="C229" s="23"/>
      <c r="D229" s="23">
        <v>1282.1488103999998</v>
      </c>
      <c r="E229" s="23"/>
      <c r="F229" s="23">
        <v>190598.1</v>
      </c>
      <c r="G229" s="23">
        <v>388805.19930959999</v>
      </c>
      <c r="H229" s="23"/>
      <c r="I229" s="23"/>
      <c r="J229" s="218"/>
    </row>
    <row r="230" spans="1:10">
      <c r="A230" t="s">
        <v>361</v>
      </c>
      <c r="B230" s="23">
        <f>J223</f>
        <v>256979</v>
      </c>
      <c r="C230" s="23">
        <f>'tab02'!E47</f>
        <v>4465382</v>
      </c>
      <c r="D230" s="23">
        <f>SUM(D227:D229)</f>
        <v>2888.5230023999993</v>
      </c>
      <c r="E230" s="23">
        <f>SUM(B230:D230)</f>
        <v>4725249.5230024001</v>
      </c>
      <c r="F230" s="23">
        <f>SUM(F227:F229)</f>
        <v>551689.1333333333</v>
      </c>
      <c r="G230" s="23">
        <f>SUM(G227:G229)</f>
        <v>860903.73343680007</v>
      </c>
      <c r="H230" s="23">
        <f>I230-F230-G230</f>
        <v>176132.65623226669</v>
      </c>
      <c r="I230" s="23">
        <f>E230-J230</f>
        <v>1588725.5230024001</v>
      </c>
      <c r="J230" s="23">
        <f>'tab01'!D137</f>
        <v>3136524</v>
      </c>
    </row>
    <row r="231" spans="1:10">
      <c r="A231" t="s">
        <v>385</v>
      </c>
      <c r="B231" s="23"/>
      <c r="C231" s="23"/>
      <c r="D231" s="23">
        <v>1024.5990912</v>
      </c>
      <c r="E231" s="23"/>
      <c r="F231" s="23">
        <v>198240.73333333334</v>
      </c>
      <c r="G231" s="23">
        <v>291773.14326480002</v>
      </c>
      <c r="H231" s="23"/>
      <c r="I231" s="23"/>
      <c r="J231" s="23"/>
    </row>
    <row r="232" spans="1:10">
      <c r="A232" t="s">
        <v>386</v>
      </c>
      <c r="B232" s="23"/>
      <c r="C232" s="72"/>
      <c r="D232" s="23">
        <v>879.92326560000004</v>
      </c>
      <c r="E232" s="23"/>
      <c r="F232" s="23">
        <v>194299.13333333333</v>
      </c>
      <c r="G232" s="23">
        <v>234871.62737520001</v>
      </c>
      <c r="H232" s="23"/>
      <c r="I232" s="23"/>
      <c r="J232" s="23"/>
    </row>
    <row r="233" spans="1:10">
      <c r="A233" t="s">
        <v>387</v>
      </c>
      <c r="B233" s="23"/>
      <c r="C233" s="72"/>
      <c r="D233" s="23">
        <v>1736.1062327999998</v>
      </c>
      <c r="E233" s="23"/>
      <c r="F233" s="23">
        <v>174415.1</v>
      </c>
      <c r="G233" s="23">
        <v>139305.89944080001</v>
      </c>
      <c r="H233" s="23"/>
      <c r="I233" s="23"/>
    </row>
    <row r="234" spans="1:10">
      <c r="A234" t="s">
        <v>362</v>
      </c>
      <c r="B234" s="23">
        <f>J230</f>
        <v>3136524</v>
      </c>
      <c r="C234" s="72" t="s">
        <v>244</v>
      </c>
      <c r="D234" s="23">
        <f>SUM(D231:D233)</f>
        <v>3640.6285895999999</v>
      </c>
      <c r="E234" s="23">
        <f>SUM(B234:D234)</f>
        <v>3140164.6285895999</v>
      </c>
      <c r="F234" s="23">
        <f>SUM(F231:F233)</f>
        <v>566954.96666666667</v>
      </c>
      <c r="G234" s="23">
        <f>SUM(G231:G233)</f>
        <v>665950.67008080008</v>
      </c>
      <c r="H234" s="23">
        <f>I234-F234-G234</f>
        <v>-24558.008157866891</v>
      </c>
      <c r="I234" s="23">
        <f>E234-J234</f>
        <v>1208347.6285895999</v>
      </c>
      <c r="J234" s="23">
        <f>'tab01'!D138</f>
        <v>1931817</v>
      </c>
    </row>
    <row r="235" spans="1:10">
      <c r="A235" t="s">
        <v>388</v>
      </c>
      <c r="B235" s="23"/>
      <c r="C235" s="72"/>
      <c r="D235" s="23">
        <v>1237.0198296000001</v>
      </c>
      <c r="E235" s="23"/>
      <c r="F235" s="23">
        <v>192871.96666666667</v>
      </c>
      <c r="G235" s="23">
        <v>117008.35787519999</v>
      </c>
      <c r="H235" s="23"/>
      <c r="I235" s="23"/>
      <c r="J235" s="23"/>
    </row>
    <row r="236" spans="1:10">
      <c r="A236" t="s">
        <v>389</v>
      </c>
      <c r="B236" s="23"/>
      <c r="C236" s="72"/>
      <c r="D236" s="23">
        <v>1807.4594064</v>
      </c>
      <c r="E236" s="23"/>
      <c r="F236" s="23">
        <v>180890.4</v>
      </c>
      <c r="G236" s="23">
        <v>134381.938884</v>
      </c>
      <c r="H236" s="23"/>
      <c r="I236" s="23"/>
      <c r="J236" s="23"/>
    </row>
    <row r="237" spans="1:10">
      <c r="A237" t="s">
        <v>390</v>
      </c>
      <c r="B237" s="23"/>
      <c r="C237" s="72"/>
      <c r="D237" s="23">
        <v>1122.6614783999999</v>
      </c>
      <c r="E237" s="23"/>
      <c r="F237" s="23">
        <v>180905.33333333334</v>
      </c>
      <c r="G237" s="23">
        <v>88698.641774399992</v>
      </c>
      <c r="H237" s="23"/>
      <c r="I237" s="23"/>
      <c r="J237" s="23"/>
    </row>
    <row r="238" spans="1:10">
      <c r="A238" t="s">
        <v>359</v>
      </c>
      <c r="B238" s="23">
        <f>J234</f>
        <v>1931817</v>
      </c>
      <c r="C238" s="72" t="s">
        <v>244</v>
      </c>
      <c r="D238" s="23">
        <f>SUM(D235:D237)</f>
        <v>4167.1407144000004</v>
      </c>
      <c r="E238" s="23">
        <f>SUM(B238:D238)</f>
        <v>1935984.1407144</v>
      </c>
      <c r="F238" s="23">
        <f>SUM(F235:F237)</f>
        <v>554667.70000000007</v>
      </c>
      <c r="G238" s="23">
        <f>SUM(G235:G237)</f>
        <v>340088.93853359995</v>
      </c>
      <c r="H238" s="23">
        <f>I238-F238-G238</f>
        <v>73702.502180799958</v>
      </c>
      <c r="I238" s="23">
        <f>E238-J238</f>
        <v>968459.14071439998</v>
      </c>
      <c r="J238" s="23">
        <f>'tab01'!D139</f>
        <v>967525</v>
      </c>
    </row>
    <row r="239" spans="1:10">
      <c r="A239" t="s">
        <v>392</v>
      </c>
      <c r="B239" s="23"/>
      <c r="C239" s="72"/>
      <c r="D239" s="23">
        <v>776.57709120000004</v>
      </c>
      <c r="E239" s="23"/>
      <c r="F239" s="23">
        <v>174080.4</v>
      </c>
      <c r="G239" s="23">
        <v>83447.101108800009</v>
      </c>
      <c r="H239" s="23"/>
      <c r="I239" s="23"/>
      <c r="J239" s="23"/>
    </row>
    <row r="240" spans="1:10">
      <c r="A240" t="s">
        <v>393</v>
      </c>
      <c r="B240" s="23"/>
      <c r="C240" s="72"/>
      <c r="D240" s="23">
        <v>2207.5427760000002</v>
      </c>
      <c r="E240" s="23"/>
      <c r="F240" s="23">
        <v>181334.76666666666</v>
      </c>
      <c r="G240" s="23">
        <v>85359.527099999992</v>
      </c>
      <c r="H240" s="23"/>
      <c r="I240" s="23"/>
      <c r="J240" s="23"/>
    </row>
    <row r="241" spans="1:10">
      <c r="A241" t="s">
        <v>394</v>
      </c>
      <c r="B241" s="23"/>
      <c r="C241" s="72"/>
      <c r="D241" s="23">
        <v>2229.7655472000001</v>
      </c>
      <c r="E241" s="23"/>
      <c r="F241" s="23">
        <v>175087.3</v>
      </c>
      <c r="G241" s="23">
        <v>121896.72084480002</v>
      </c>
      <c r="H241" s="23"/>
      <c r="I241" s="23"/>
      <c r="J241" s="23"/>
    </row>
    <row r="242" spans="1:10">
      <c r="A242" t="s">
        <v>360</v>
      </c>
      <c r="B242" s="23">
        <f>J238</f>
        <v>967525</v>
      </c>
      <c r="C242" s="72" t="s">
        <v>244</v>
      </c>
      <c r="D242" s="23">
        <f>SUM(D239:D241)</f>
        <v>5213.8854143999997</v>
      </c>
      <c r="E242" s="23">
        <f>SUM(B242:D242)</f>
        <v>972738.88541440002</v>
      </c>
      <c r="F242" s="23">
        <f>SUM(F239:F241)</f>
        <v>530502.46666666656</v>
      </c>
      <c r="G242" s="23">
        <f>SUM(G239:G241)</f>
        <v>290703.34905359999</v>
      </c>
      <c r="H242" s="23">
        <f>I242-F242-G242</f>
        <v>-122860.93030586652</v>
      </c>
      <c r="I242" s="23">
        <f>E242-J242</f>
        <v>698344.88541440002</v>
      </c>
      <c r="J242" s="23">
        <f>'tab01'!D140</f>
        <v>274394</v>
      </c>
    </row>
    <row r="243" spans="1:10">
      <c r="A243" t="s">
        <v>218</v>
      </c>
      <c r="B243" s="23"/>
      <c r="C243" s="23">
        <f>SUM(C230:C242)</f>
        <v>4465382</v>
      </c>
      <c r="D243" s="23">
        <f>SUM(D242,D238,D234,D230)</f>
        <v>15910.1777208</v>
      </c>
      <c r="E243" s="23">
        <f>B230+D243+C243</f>
        <v>4738271.1777208</v>
      </c>
      <c r="F243" s="23">
        <f>SUM(F230,F234,F238,F242)</f>
        <v>2203814.2666666666</v>
      </c>
      <c r="G243" s="23">
        <f>SUM(G242,G238,G234,G230)</f>
        <v>2157646.6911048</v>
      </c>
      <c r="H243" s="23">
        <f>H230+H234+H238+H242</f>
        <v>102416.21994933323</v>
      </c>
      <c r="I243" s="23">
        <f>I230+I234+I238+I242</f>
        <v>4463877.1777208</v>
      </c>
      <c r="J243" s="23"/>
    </row>
    <row r="244" spans="1:10">
      <c r="B244" s="23"/>
      <c r="C244" s="72"/>
      <c r="D244" s="23"/>
      <c r="E244" s="23"/>
      <c r="F244" s="23"/>
      <c r="G244" s="23"/>
      <c r="H244" s="23"/>
      <c r="I244" s="23"/>
      <c r="J244" s="23"/>
    </row>
    <row r="245" spans="1:10">
      <c r="A245" t="s">
        <v>591</v>
      </c>
      <c r="B245" s="23"/>
      <c r="C245" s="72"/>
      <c r="D245" s="23"/>
      <c r="E245" s="23"/>
      <c r="F245" s="23"/>
      <c r="G245" s="23"/>
      <c r="H245" s="23"/>
      <c r="I245" s="23"/>
      <c r="J245" s="23"/>
    </row>
    <row r="246" spans="1:10">
      <c r="A246" t="s">
        <v>382</v>
      </c>
      <c r="B246" s="23"/>
      <c r="C246" s="23"/>
      <c r="D246" s="23">
        <v>1167.0225095999999</v>
      </c>
      <c r="E246" s="23"/>
      <c r="F246" s="23">
        <v>167609.56666666668</v>
      </c>
      <c r="G246" s="23">
        <v>78005.645404800016</v>
      </c>
      <c r="H246" s="23"/>
      <c r="I246" s="23"/>
      <c r="J246" s="23"/>
    </row>
    <row r="247" spans="1:10">
      <c r="A247" t="s">
        <v>383</v>
      </c>
      <c r="B247" s="23"/>
      <c r="C247" s="23"/>
      <c r="D247" s="23">
        <v>1243.6484472</v>
      </c>
      <c r="E247" s="23"/>
      <c r="F247" s="23">
        <v>196656.46666666667</v>
      </c>
      <c r="G247" s="23">
        <v>359387.42379600002</v>
      </c>
      <c r="H247" s="23"/>
      <c r="I247" s="23"/>
      <c r="J247" s="23"/>
    </row>
    <row r="248" spans="1:10">
      <c r="A248" t="s">
        <v>384</v>
      </c>
      <c r="B248" s="23"/>
      <c r="C248" s="23"/>
      <c r="D248" s="23">
        <v>1285.0074936000001</v>
      </c>
      <c r="E248" s="23"/>
      <c r="F248" s="23">
        <v>189483.06666666668</v>
      </c>
      <c r="G248" s="23">
        <v>355225.95268079994</v>
      </c>
      <c r="H248" s="23"/>
      <c r="I248" s="23"/>
      <c r="J248" s="23"/>
    </row>
    <row r="249" spans="1:10">
      <c r="A249" s="1" t="s">
        <v>361</v>
      </c>
      <c r="B249" s="233">
        <f>J242</f>
        <v>274394</v>
      </c>
      <c r="C249" s="233">
        <f>'tab02'!E48</f>
        <v>4276123</v>
      </c>
      <c r="D249" s="233">
        <f>SUM(D246:D248)</f>
        <v>3695.6784503999997</v>
      </c>
      <c r="E249" s="233">
        <f>SUM(B249,C249,D249)</f>
        <v>4554212.6784504</v>
      </c>
      <c r="F249" s="233">
        <f>SUM(F246:F248)</f>
        <v>553749.1</v>
      </c>
      <c r="G249" s="233">
        <f>SUM(G246:G248)</f>
        <v>792619.02188159991</v>
      </c>
      <c r="H249" s="233">
        <f>I249-F249-G249</f>
        <v>185800.55656880012</v>
      </c>
      <c r="I249" s="233">
        <f>E249-J249</f>
        <v>1532168.6784504</v>
      </c>
      <c r="J249" s="233">
        <f>'tab01'!D143</f>
        <v>3022044</v>
      </c>
    </row>
    <row r="250" spans="1:10">
      <c r="A250" t="s">
        <v>669</v>
      </c>
      <c r="B250" s="23"/>
      <c r="C250" s="23"/>
      <c r="D250" s="23"/>
      <c r="E250" s="23"/>
      <c r="F250" s="23"/>
      <c r="G250" s="23"/>
      <c r="H250" s="23"/>
      <c r="I250" s="23"/>
      <c r="J250" s="23"/>
    </row>
    <row r="251" spans="1:10">
      <c r="A251" t="s">
        <v>533</v>
      </c>
      <c r="B251" s="23"/>
      <c r="C251" s="23"/>
      <c r="D251" s="23"/>
      <c r="E251" s="23"/>
      <c r="F251" s="23"/>
      <c r="G251" s="23"/>
      <c r="H251" s="23"/>
      <c r="I251" s="23"/>
    </row>
    <row r="252" spans="1:10">
      <c r="B252" s="23"/>
      <c r="C252" s="23"/>
      <c r="D252" s="23"/>
      <c r="E252" s="23"/>
      <c r="F252" s="23"/>
      <c r="G252" s="23"/>
      <c r="H252" s="23"/>
      <c r="I252" s="23"/>
      <c r="J252" s="101" t="s">
        <v>592</v>
      </c>
    </row>
    <row r="253" spans="1:10">
      <c r="B253" s="23"/>
      <c r="C253" s="72"/>
      <c r="D253" s="23"/>
      <c r="E253" s="23"/>
      <c r="F253" s="23"/>
      <c r="G253" s="23"/>
      <c r="H253" s="23"/>
      <c r="I253" s="23"/>
      <c r="J253" s="23"/>
    </row>
    <row r="254" spans="1:10">
      <c r="B254" s="23"/>
      <c r="C254" s="72"/>
      <c r="D254" s="23"/>
      <c r="E254" s="23"/>
      <c r="F254" s="23"/>
      <c r="G254" s="23"/>
      <c r="H254" s="23"/>
      <c r="I254" s="23"/>
      <c r="J254" s="23"/>
    </row>
    <row r="255" spans="1:10">
      <c r="B255" s="23"/>
      <c r="C255" s="72"/>
      <c r="D255" s="23"/>
      <c r="E255" s="23"/>
      <c r="F255" s="23"/>
      <c r="G255" s="23"/>
      <c r="H255" s="23"/>
      <c r="I255" s="23"/>
      <c r="J255" s="23"/>
    </row>
    <row r="256" spans="1:10">
      <c r="B256" s="23"/>
      <c r="C256" s="23"/>
      <c r="D256" s="23"/>
      <c r="E256" s="23"/>
      <c r="F256" s="23"/>
      <c r="G256" s="23"/>
      <c r="H256" s="23"/>
      <c r="I256" s="23"/>
      <c r="J256" s="23"/>
    </row>
    <row r="257" spans="2:10">
      <c r="B257" s="23"/>
      <c r="C257" s="23"/>
      <c r="D257" s="23"/>
      <c r="E257" s="23"/>
      <c r="F257" s="23"/>
      <c r="G257" s="23"/>
      <c r="H257" s="23"/>
      <c r="I257" s="23"/>
      <c r="J257" s="23"/>
    </row>
    <row r="258" spans="2:10">
      <c r="B258" s="23"/>
      <c r="C258" s="23"/>
      <c r="D258" s="23"/>
      <c r="E258" s="23"/>
      <c r="F258" s="23"/>
      <c r="G258" s="23"/>
      <c r="H258" s="23"/>
      <c r="I258" s="23"/>
      <c r="J258" s="23"/>
    </row>
    <row r="259" spans="2:10">
      <c r="B259" s="23"/>
      <c r="C259" s="23"/>
      <c r="D259" s="23"/>
      <c r="E259" s="23"/>
      <c r="F259" s="23"/>
      <c r="G259" s="23"/>
      <c r="H259" s="23"/>
      <c r="I259" s="23"/>
      <c r="J259" s="23"/>
    </row>
    <row r="260" spans="2:10">
      <c r="B260" s="23"/>
      <c r="C260" s="72"/>
      <c r="D260" s="23"/>
      <c r="E260" s="23"/>
      <c r="F260" s="23"/>
      <c r="G260" s="23"/>
      <c r="H260" s="23"/>
      <c r="I260" s="23"/>
      <c r="J260" s="23"/>
    </row>
    <row r="261" spans="2:10">
      <c r="B261" s="23"/>
      <c r="C261" s="72"/>
      <c r="D261" s="23"/>
      <c r="E261" s="23"/>
      <c r="F261" s="23"/>
      <c r="G261" s="23"/>
      <c r="H261" s="23"/>
      <c r="I261" s="23"/>
      <c r="J261" s="23"/>
    </row>
    <row r="262" spans="2:10">
      <c r="B262" s="23"/>
      <c r="C262" s="72"/>
      <c r="D262" s="23"/>
      <c r="E262" s="23"/>
      <c r="F262" s="23"/>
      <c r="G262" s="23"/>
      <c r="H262" s="23"/>
      <c r="I262" s="23"/>
      <c r="J262" s="23"/>
    </row>
    <row r="263" spans="2:10">
      <c r="B263" s="23"/>
      <c r="C263" s="23"/>
      <c r="D263" s="23"/>
      <c r="E263" s="23"/>
      <c r="F263" s="23"/>
      <c r="G263" s="23"/>
      <c r="H263" s="23"/>
      <c r="I263" s="23"/>
      <c r="J263" s="23"/>
    </row>
    <row r="264" spans="2:10">
      <c r="B264" s="23"/>
      <c r="C264" s="23"/>
      <c r="D264" s="23"/>
      <c r="E264" s="23"/>
      <c r="F264" s="23"/>
      <c r="G264" s="23"/>
      <c r="H264" s="23"/>
      <c r="I264" s="23"/>
      <c r="J264" s="23"/>
    </row>
    <row r="265" spans="2:10">
      <c r="B265" s="23"/>
      <c r="C265" s="23"/>
      <c r="D265" s="23"/>
      <c r="E265" s="23"/>
      <c r="F265" s="23"/>
      <c r="G265" s="23"/>
      <c r="H265" s="23"/>
      <c r="I265" s="23"/>
      <c r="J265" s="23"/>
    </row>
    <row r="266" spans="2:10">
      <c r="B266" s="23"/>
      <c r="C266" s="23"/>
      <c r="D266" s="23"/>
      <c r="E266" s="23"/>
      <c r="F266" s="23"/>
      <c r="G266" s="23"/>
      <c r="H266" s="23"/>
      <c r="I266" s="23"/>
      <c r="J266" s="23"/>
    </row>
    <row r="267" spans="2:10">
      <c r="B267" s="23"/>
      <c r="C267" s="72"/>
      <c r="D267" s="23"/>
      <c r="E267" s="23"/>
      <c r="F267" s="23"/>
      <c r="G267" s="23"/>
      <c r="H267" s="23"/>
      <c r="I267" s="23"/>
      <c r="J267" s="23"/>
    </row>
    <row r="268" spans="2:10">
      <c r="B268" s="23"/>
      <c r="C268" s="72"/>
      <c r="D268" s="23"/>
      <c r="E268" s="23"/>
      <c r="F268" s="23"/>
      <c r="G268" s="23"/>
      <c r="H268" s="23"/>
      <c r="I268" s="23"/>
      <c r="J268" s="23"/>
    </row>
    <row r="269" spans="2:10">
      <c r="B269" s="23"/>
      <c r="C269" s="72"/>
      <c r="D269" s="23"/>
      <c r="E269" s="23"/>
      <c r="F269" s="23"/>
      <c r="G269" s="23"/>
      <c r="H269" s="23"/>
      <c r="I269" s="23"/>
      <c r="J269" s="23"/>
    </row>
    <row r="270" spans="2:10">
      <c r="B270" s="23"/>
      <c r="C270" s="23"/>
      <c r="D270" s="23"/>
      <c r="E270" s="23"/>
      <c r="F270" s="23"/>
      <c r="G270" s="23"/>
      <c r="H270" s="23"/>
      <c r="I270" s="23"/>
      <c r="J270" s="23"/>
    </row>
    <row r="271" spans="2:10">
      <c r="B271" s="23"/>
      <c r="C271" s="23"/>
      <c r="D271" s="23"/>
      <c r="E271" s="23"/>
      <c r="F271" s="23"/>
      <c r="G271" s="23"/>
      <c r="H271" s="23"/>
      <c r="I271" s="23"/>
      <c r="J271" s="23"/>
    </row>
    <row r="272" spans="2:10">
      <c r="B272" s="23"/>
      <c r="C272" s="23"/>
      <c r="D272" s="23"/>
      <c r="E272" s="23"/>
      <c r="F272" s="23"/>
      <c r="G272" s="23"/>
      <c r="H272" s="23"/>
      <c r="I272" s="23"/>
      <c r="J272" s="23"/>
    </row>
    <row r="273" spans="2:10">
      <c r="B273" s="23"/>
      <c r="C273" s="23"/>
      <c r="D273" s="23"/>
      <c r="E273" s="23"/>
      <c r="F273" s="23"/>
      <c r="G273" s="23"/>
      <c r="H273" s="23"/>
      <c r="I273" s="23"/>
      <c r="J273" s="23"/>
    </row>
    <row r="274" spans="2:10">
      <c r="B274" s="23"/>
      <c r="C274" s="72"/>
      <c r="D274" s="23"/>
      <c r="E274" s="23"/>
      <c r="F274" s="23"/>
      <c r="G274" s="23"/>
      <c r="H274" s="23"/>
      <c r="I274" s="23"/>
      <c r="J274" s="23"/>
    </row>
    <row r="275" spans="2:10">
      <c r="B275" s="23"/>
      <c r="C275" s="72"/>
      <c r="D275" s="23"/>
      <c r="E275" s="23"/>
      <c r="F275" s="23"/>
      <c r="G275" s="23"/>
      <c r="H275" s="23"/>
      <c r="I275" s="23"/>
      <c r="J275" s="23"/>
    </row>
    <row r="276" spans="2:10">
      <c r="B276" s="23"/>
      <c r="C276" s="72"/>
      <c r="D276" s="23"/>
      <c r="E276" s="23"/>
      <c r="F276" s="23"/>
      <c r="G276" s="23"/>
      <c r="H276" s="23"/>
      <c r="I276" s="23"/>
      <c r="J276" s="23"/>
    </row>
    <row r="277" spans="2:10">
      <c r="B277" s="23"/>
      <c r="C277" s="23"/>
      <c r="D277" s="23"/>
      <c r="E277" s="23"/>
      <c r="F277" s="23"/>
      <c r="G277" s="23"/>
      <c r="H277" s="23"/>
      <c r="I277" s="23"/>
      <c r="J277" s="23"/>
    </row>
    <row r="278" spans="2:10">
      <c r="B278" s="23"/>
      <c r="C278" s="23"/>
      <c r="D278" s="23"/>
      <c r="E278" s="23"/>
      <c r="F278" s="23"/>
      <c r="G278" s="23"/>
      <c r="H278" s="23"/>
      <c r="I278" s="23"/>
      <c r="J278" s="23"/>
    </row>
    <row r="279" spans="2:10">
      <c r="B279" s="23"/>
      <c r="C279" s="23"/>
      <c r="D279" s="23"/>
      <c r="E279" s="23"/>
      <c r="F279" s="23"/>
      <c r="G279" s="23"/>
      <c r="H279" s="23"/>
      <c r="I279" s="23"/>
      <c r="J279" s="23"/>
    </row>
    <row r="280" spans="2:10">
      <c r="B280" s="23"/>
      <c r="C280" s="23"/>
      <c r="D280" s="23"/>
      <c r="E280" s="23"/>
      <c r="F280" s="23"/>
      <c r="G280" s="23"/>
      <c r="H280" s="23"/>
      <c r="I280" s="23"/>
      <c r="J280" s="23"/>
    </row>
    <row r="281" spans="2:10">
      <c r="B281" s="23"/>
      <c r="C281" s="72"/>
      <c r="D281" s="23"/>
      <c r="E281" s="23"/>
      <c r="F281" s="23"/>
      <c r="G281" s="23"/>
      <c r="H281" s="23"/>
      <c r="I281" s="23"/>
      <c r="J281" s="23"/>
    </row>
    <row r="282" spans="2:10">
      <c r="B282" s="23"/>
      <c r="C282" s="72"/>
      <c r="D282" s="23"/>
      <c r="E282" s="23"/>
      <c r="F282" s="23"/>
      <c r="G282" s="23"/>
      <c r="H282" s="23"/>
      <c r="I282" s="23"/>
      <c r="J282" s="23"/>
    </row>
    <row r="283" spans="2:10">
      <c r="B283" s="23"/>
      <c r="C283" s="72"/>
      <c r="D283" s="23"/>
      <c r="E283" s="23"/>
      <c r="F283" s="23"/>
      <c r="G283" s="23"/>
      <c r="H283" s="23"/>
      <c r="I283" s="23"/>
      <c r="J283" s="23"/>
    </row>
    <row r="284" spans="2:10">
      <c r="B284" s="23"/>
      <c r="C284" s="23"/>
      <c r="D284" s="23"/>
      <c r="E284" s="23"/>
      <c r="F284" s="23"/>
      <c r="G284" s="23"/>
      <c r="H284" s="23"/>
      <c r="I284" s="23"/>
      <c r="J284" s="23"/>
    </row>
    <row r="285" spans="2:10">
      <c r="B285" s="23"/>
      <c r="C285" s="23"/>
      <c r="D285" s="23"/>
      <c r="E285" s="23"/>
      <c r="F285" s="23"/>
      <c r="G285" s="23"/>
      <c r="H285" s="23"/>
      <c r="I285" s="23"/>
      <c r="J285" s="23"/>
    </row>
    <row r="286" spans="2:10">
      <c r="B286" s="23"/>
      <c r="C286" s="23"/>
      <c r="D286" s="23"/>
      <c r="E286" s="23"/>
      <c r="F286" s="23"/>
      <c r="G286" s="23"/>
      <c r="H286" s="23"/>
      <c r="I286" s="23"/>
      <c r="J286" s="23"/>
    </row>
    <row r="287" spans="2:10">
      <c r="B287" s="23"/>
      <c r="C287" s="23"/>
      <c r="D287" s="23"/>
      <c r="E287" s="23"/>
      <c r="F287" s="23"/>
      <c r="G287" s="23"/>
      <c r="H287" s="23"/>
      <c r="I287" s="23"/>
      <c r="J287" s="23"/>
    </row>
    <row r="288" spans="2:10">
      <c r="B288" s="23"/>
      <c r="C288" s="72"/>
      <c r="D288" s="23"/>
      <c r="E288" s="23"/>
      <c r="F288" s="23"/>
      <c r="G288" s="23"/>
      <c r="H288" s="23"/>
      <c r="I288" s="23"/>
      <c r="J288" s="23"/>
    </row>
    <row r="289" spans="2:10">
      <c r="B289" s="23"/>
      <c r="C289" s="72"/>
      <c r="D289" s="23"/>
      <c r="E289" s="23"/>
      <c r="F289" s="23"/>
      <c r="G289" s="23"/>
      <c r="H289" s="23"/>
      <c r="I289" s="23"/>
      <c r="J289" s="23"/>
    </row>
    <row r="290" spans="2:10">
      <c r="B290" s="23"/>
      <c r="C290" s="72"/>
      <c r="D290" s="23"/>
      <c r="E290" s="23"/>
      <c r="F290" s="23"/>
      <c r="G290" s="23"/>
      <c r="H290" s="23"/>
      <c r="I290" s="23"/>
      <c r="J290" s="23"/>
    </row>
    <row r="291" spans="2:10">
      <c r="B291" s="23"/>
      <c r="C291" s="23"/>
      <c r="D291" s="23"/>
      <c r="E291" s="23"/>
      <c r="F291" s="23"/>
      <c r="G291" s="23"/>
      <c r="H291" s="23"/>
      <c r="I291" s="23"/>
      <c r="J291" s="23"/>
    </row>
    <row r="292" spans="2:10">
      <c r="B292" s="23"/>
      <c r="C292" s="23"/>
      <c r="D292" s="23"/>
      <c r="E292" s="23"/>
      <c r="F292" s="23"/>
      <c r="G292" s="23"/>
      <c r="H292" s="23"/>
      <c r="I292" s="23"/>
      <c r="J292" s="23"/>
    </row>
    <row r="293" spans="2:10">
      <c r="B293" s="23"/>
      <c r="C293" s="23"/>
      <c r="D293" s="23"/>
      <c r="E293" s="23"/>
      <c r="F293" s="23"/>
      <c r="G293" s="23"/>
      <c r="H293" s="23"/>
      <c r="I293" s="23"/>
      <c r="J293" s="23"/>
    </row>
    <row r="294" spans="2:10">
      <c r="B294" s="23"/>
      <c r="C294" s="23"/>
      <c r="D294" s="23"/>
      <c r="E294" s="23"/>
      <c r="F294" s="23"/>
      <c r="G294" s="23"/>
      <c r="H294" s="23"/>
      <c r="I294" s="23"/>
      <c r="J294" s="23"/>
    </row>
    <row r="295" spans="2:10">
      <c r="B295" s="23"/>
      <c r="C295" s="72"/>
      <c r="D295" s="23"/>
      <c r="E295" s="23"/>
      <c r="F295" s="23"/>
      <c r="G295" s="23"/>
      <c r="H295" s="23"/>
      <c r="I295" s="23"/>
      <c r="J295" s="23"/>
    </row>
    <row r="296" spans="2:10">
      <c r="B296" s="23"/>
      <c r="C296" s="72"/>
      <c r="D296" s="23"/>
      <c r="E296" s="23"/>
      <c r="F296" s="23"/>
      <c r="G296" s="23"/>
      <c r="H296" s="23"/>
      <c r="I296" s="23"/>
      <c r="J296" s="23"/>
    </row>
    <row r="297" spans="2:10">
      <c r="B297" s="23"/>
      <c r="C297" s="72"/>
      <c r="D297" s="23"/>
      <c r="E297" s="23"/>
      <c r="F297" s="23"/>
      <c r="G297" s="23"/>
      <c r="H297" s="23"/>
      <c r="I297" s="23"/>
      <c r="J297" s="23"/>
    </row>
    <row r="298" spans="2:10">
      <c r="B298" s="23"/>
      <c r="C298" s="23"/>
      <c r="D298" s="23"/>
      <c r="E298" s="23"/>
      <c r="F298" s="23"/>
      <c r="G298" s="23"/>
      <c r="H298" s="23"/>
      <c r="I298" s="23"/>
      <c r="J298" s="23"/>
    </row>
    <row r="299" spans="2:10">
      <c r="B299" s="23"/>
      <c r="C299" s="23"/>
      <c r="D299" s="23"/>
      <c r="E299" s="23"/>
      <c r="F299" s="23"/>
      <c r="G299" s="23"/>
      <c r="H299" s="23"/>
      <c r="I299" s="23"/>
      <c r="J299" s="23"/>
    </row>
    <row r="300" spans="2:10">
      <c r="B300" s="23"/>
      <c r="C300" s="23"/>
      <c r="D300" s="23"/>
      <c r="E300" s="23"/>
      <c r="F300" s="23"/>
      <c r="G300" s="23"/>
      <c r="H300" s="23"/>
      <c r="I300" s="23"/>
      <c r="J300" s="23"/>
    </row>
    <row r="301" spans="2:10">
      <c r="B301" s="23"/>
      <c r="C301" s="23"/>
      <c r="D301" s="23"/>
      <c r="E301" s="23"/>
      <c r="F301" s="23"/>
      <c r="G301" s="23"/>
      <c r="H301" s="23"/>
      <c r="I301" s="23"/>
      <c r="J301" s="23"/>
    </row>
    <row r="302" spans="2:10">
      <c r="B302" s="23"/>
      <c r="C302" s="72"/>
      <c r="D302" s="23"/>
      <c r="E302" s="23"/>
      <c r="F302" s="23"/>
      <c r="G302" s="23"/>
      <c r="H302" s="23"/>
      <c r="I302" s="23"/>
      <c r="J302" s="23"/>
    </row>
    <row r="303" spans="2:10">
      <c r="B303" s="23"/>
      <c r="C303" s="72"/>
      <c r="D303" s="23"/>
      <c r="E303" s="23"/>
      <c r="F303" s="23"/>
      <c r="G303" s="23"/>
      <c r="H303" s="23"/>
      <c r="I303" s="23"/>
      <c r="J303" s="23"/>
    </row>
    <row r="304" spans="2:10">
      <c r="B304" s="23"/>
      <c r="C304" s="72"/>
      <c r="D304" s="23"/>
      <c r="E304" s="23"/>
      <c r="F304" s="23"/>
      <c r="G304" s="23"/>
      <c r="H304" s="23"/>
      <c r="I304" s="23"/>
      <c r="J304" s="23"/>
    </row>
    <row r="305" spans="2:10">
      <c r="B305" s="23"/>
      <c r="C305" s="23"/>
      <c r="D305" s="23"/>
      <c r="E305" s="23"/>
      <c r="F305" s="23"/>
      <c r="G305" s="23"/>
      <c r="H305" s="23"/>
      <c r="I305" s="23"/>
      <c r="J305" s="23"/>
    </row>
    <row r="306" spans="2:10">
      <c r="B306" s="23"/>
      <c r="C306" s="23"/>
      <c r="D306" s="23"/>
      <c r="E306" s="23"/>
      <c r="F306" s="23"/>
      <c r="G306" s="23"/>
      <c r="H306" s="23"/>
      <c r="I306" s="23"/>
      <c r="J306" s="23"/>
    </row>
    <row r="307" spans="2:10">
      <c r="B307" s="23"/>
      <c r="C307" s="23"/>
      <c r="D307" s="23"/>
      <c r="E307" s="23"/>
      <c r="F307" s="23"/>
      <c r="G307" s="23"/>
      <c r="H307" s="23"/>
      <c r="I307" s="23"/>
      <c r="J307" s="23"/>
    </row>
    <row r="308" spans="2:10">
      <c r="B308" s="23"/>
      <c r="C308" s="23"/>
      <c r="D308" s="23"/>
      <c r="E308" s="23"/>
      <c r="F308" s="23"/>
      <c r="G308" s="23"/>
      <c r="H308" s="23"/>
      <c r="I308" s="23"/>
      <c r="J308" s="23"/>
    </row>
    <row r="309" spans="2:10">
      <c r="B309" s="23"/>
      <c r="C309" s="72"/>
      <c r="D309" s="23"/>
      <c r="E309" s="23"/>
      <c r="F309" s="23"/>
      <c r="G309" s="23"/>
      <c r="H309" s="23"/>
      <c r="I309" s="23"/>
      <c r="J309" s="23"/>
    </row>
    <row r="310" spans="2:10">
      <c r="B310" s="23"/>
      <c r="C310" s="72"/>
      <c r="D310" s="23"/>
      <c r="E310" s="23"/>
      <c r="F310" s="23"/>
      <c r="G310" s="23"/>
      <c r="H310" s="23"/>
      <c r="I310" s="23"/>
      <c r="J310" s="23"/>
    </row>
    <row r="311" spans="2:10">
      <c r="B311" s="23"/>
      <c r="C311" s="72"/>
      <c r="D311" s="23"/>
      <c r="E311" s="23"/>
      <c r="F311" s="23"/>
      <c r="G311" s="23"/>
      <c r="H311" s="23"/>
      <c r="I311" s="23"/>
      <c r="J311" s="23"/>
    </row>
    <row r="312" spans="2:10">
      <c r="B312" s="23"/>
      <c r="C312" s="23"/>
      <c r="D312" s="23"/>
      <c r="E312" s="23"/>
      <c r="F312" s="23"/>
      <c r="G312" s="23"/>
      <c r="H312" s="23"/>
      <c r="I312" s="23"/>
      <c r="J312" s="23"/>
    </row>
    <row r="313" spans="2:10">
      <c r="B313" s="23"/>
      <c r="C313" s="23"/>
      <c r="D313" s="23"/>
      <c r="E313" s="23"/>
      <c r="F313" s="23"/>
      <c r="G313" s="23"/>
      <c r="H313" s="23"/>
      <c r="I313" s="23"/>
      <c r="J313" s="23"/>
    </row>
    <row r="314" spans="2:10">
      <c r="B314" s="23"/>
      <c r="C314" s="23"/>
      <c r="D314" s="23"/>
      <c r="E314" s="23"/>
      <c r="F314" s="23"/>
      <c r="G314" s="23"/>
      <c r="H314" s="23"/>
      <c r="I314" s="23"/>
      <c r="J314" s="23"/>
    </row>
    <row r="315" spans="2:10">
      <c r="B315" s="23"/>
      <c r="C315" s="23"/>
      <c r="D315" s="23"/>
      <c r="E315" s="23"/>
      <c r="F315" s="23"/>
      <c r="G315" s="23"/>
      <c r="H315" s="23"/>
      <c r="I315" s="23"/>
      <c r="J315" s="23"/>
    </row>
    <row r="316" spans="2:10">
      <c r="B316" s="23"/>
      <c r="C316" s="72"/>
      <c r="D316" s="23"/>
      <c r="E316" s="23"/>
      <c r="F316" s="23"/>
      <c r="G316" s="23"/>
      <c r="H316" s="23"/>
      <c r="I316" s="23"/>
      <c r="J316" s="23"/>
    </row>
    <row r="317" spans="2:10">
      <c r="B317" s="23"/>
      <c r="C317" s="72"/>
      <c r="D317" s="23"/>
      <c r="E317" s="23"/>
      <c r="F317" s="23"/>
      <c r="G317" s="23"/>
      <c r="H317" s="23"/>
      <c r="I317" s="23"/>
      <c r="J317" s="23"/>
    </row>
    <row r="318" spans="2:10">
      <c r="B318" s="23"/>
      <c r="C318" s="72"/>
      <c r="D318" s="23"/>
      <c r="E318" s="23"/>
      <c r="F318" s="23"/>
      <c r="G318" s="23"/>
      <c r="H318" s="23"/>
      <c r="I318" s="23"/>
      <c r="J318" s="23"/>
    </row>
    <row r="319" spans="2:10">
      <c r="B319" s="23"/>
      <c r="C319" s="23"/>
      <c r="D319" s="23"/>
      <c r="E319" s="23"/>
      <c r="F319" s="23"/>
      <c r="G319" s="23"/>
      <c r="H319" s="23"/>
      <c r="I319" s="23"/>
      <c r="J319" s="23"/>
    </row>
    <row r="320" spans="2:10">
      <c r="B320" s="23"/>
      <c r="C320" s="23"/>
      <c r="D320" s="23"/>
      <c r="E320" s="23"/>
      <c r="F320" s="23"/>
      <c r="G320" s="23"/>
      <c r="H320" s="23"/>
      <c r="I320" s="23"/>
      <c r="J320" s="23"/>
    </row>
    <row r="407" spans="2:2">
      <c r="B407" s="23"/>
    </row>
    <row r="408" spans="2:2">
      <c r="B408" s="23"/>
    </row>
    <row r="417" spans="2:2">
      <c r="B417" s="23"/>
    </row>
  </sheetData>
  <phoneticPr fontId="0" type="noConversion"/>
  <pageMargins left="0.7" right="0.7" top="0.75" bottom="0.75" header="0.3" footer="0.3"/>
  <pageSetup scale="65" firstPageNumber="6" fitToHeight="0" orientation="portrait" useFirstPageNumber="1" r:id="rId1"/>
  <headerFooter alignWithMargins="0">
    <oddFooter>&amp;COil Crops Yearbook/OCS-2023
March 2023
Economic Research Service
&amp;P</oddFooter>
  </headerFooter>
  <rowBreaks count="2" manualBreakCount="2">
    <brk id="89" max="9" man="1"/>
    <brk id="186" max="9" man="1"/>
  </rowBreaks>
  <ignoredErrors>
    <ignoredError sqref="E12 E19 E26 E33 E40 E47 E54 E61 E68 E75 E82 E116 E120 E124 E128:E129 E135 H110 H103 H96 H89 E154 E177 E139 E143 E147:E148 E173" 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U170"/>
  <sheetViews>
    <sheetView zoomScale="110" zoomScaleNormal="110" zoomScaleSheetLayoutView="100" workbookViewId="0">
      <pane ySplit="6" topLeftCell="A7" activePane="bottomLeft" state="frozen"/>
      <selection pane="bottomLeft"/>
    </sheetView>
  </sheetViews>
  <sheetFormatPr defaultRowHeight="11.25"/>
  <cols>
    <col min="1" max="1" width="15.1640625" customWidth="1"/>
    <col min="2" max="3" width="12.6640625" customWidth="1"/>
    <col min="4" max="4" width="16.33203125" customWidth="1"/>
    <col min="5" max="5" width="21.33203125" bestFit="1" customWidth="1"/>
    <col min="6" max="9" width="12.6640625" customWidth="1"/>
  </cols>
  <sheetData>
    <row r="1" spans="1:9">
      <c r="A1" s="67" t="s">
        <v>601</v>
      </c>
      <c r="B1" s="1"/>
      <c r="C1" s="1"/>
      <c r="D1" s="1"/>
      <c r="E1" s="1"/>
      <c r="F1" s="1"/>
      <c r="G1" s="1"/>
      <c r="H1" s="1"/>
      <c r="I1" s="1"/>
    </row>
    <row r="2" spans="1:9">
      <c r="B2" s="123"/>
      <c r="C2" s="4"/>
      <c r="D2" s="137" t="s">
        <v>75</v>
      </c>
      <c r="E2" s="120"/>
      <c r="G2" s="121" t="s">
        <v>131</v>
      </c>
      <c r="H2" s="120"/>
    </row>
    <row r="3" spans="1:9">
      <c r="A3" t="s">
        <v>380</v>
      </c>
      <c r="B3" s="108" t="s">
        <v>96</v>
      </c>
      <c r="F3" s="108" t="s">
        <v>97</v>
      </c>
      <c r="H3" s="111"/>
      <c r="I3" s="7" t="s">
        <v>98</v>
      </c>
    </row>
    <row r="4" spans="1:9">
      <c r="A4" t="s">
        <v>59</v>
      </c>
      <c r="B4" s="109" t="s">
        <v>66</v>
      </c>
      <c r="C4" s="7" t="s">
        <v>123</v>
      </c>
      <c r="D4" s="87" t="s">
        <v>49</v>
      </c>
      <c r="E4" s="87" t="s">
        <v>2</v>
      </c>
      <c r="F4" s="109" t="s">
        <v>132</v>
      </c>
      <c r="G4" s="7" t="s">
        <v>50</v>
      </c>
      <c r="H4" s="119" t="s">
        <v>2</v>
      </c>
      <c r="I4" s="7" t="s">
        <v>66</v>
      </c>
    </row>
    <row r="5" spans="1:9">
      <c r="A5" s="1" t="s">
        <v>129</v>
      </c>
      <c r="B5" s="110"/>
      <c r="C5" s="1"/>
      <c r="D5" s="1"/>
      <c r="E5" s="1"/>
      <c r="F5" s="110"/>
      <c r="G5" s="1"/>
      <c r="H5" s="113"/>
      <c r="I5" s="1"/>
    </row>
    <row r="6" spans="1:9">
      <c r="C6" s="100"/>
      <c r="D6" s="100"/>
      <c r="E6" s="155" t="s">
        <v>130</v>
      </c>
      <c r="F6" s="100"/>
      <c r="G6" s="100"/>
      <c r="H6" s="100"/>
      <c r="I6" s="100"/>
    </row>
    <row r="7" spans="1:9">
      <c r="A7" t="s">
        <v>230</v>
      </c>
      <c r="C7" s="28"/>
      <c r="D7" s="28"/>
      <c r="E7" s="28"/>
      <c r="F7" s="28"/>
      <c r="G7" s="28"/>
      <c r="H7" s="28"/>
      <c r="I7" s="28"/>
    </row>
    <row r="8" spans="1:9">
      <c r="A8" t="s">
        <v>383</v>
      </c>
      <c r="B8" s="28">
        <f>308.205+34.764</f>
        <v>342.96899999999999</v>
      </c>
      <c r="C8" s="28">
        <f>3587.55509+281.92317</f>
        <v>3869.4782599999999</v>
      </c>
      <c r="D8" s="28">
        <f>(7928.249+2242+1077.358)*2.204622/2000</f>
        <v>12.398360919777</v>
      </c>
      <c r="E8" s="28">
        <f t="shared" ref="E8:E19" si="0">B8+C8+D8</f>
        <v>4224.8456209197766</v>
      </c>
      <c r="F8" s="28">
        <f t="shared" ref="F8:F19" si="1">H8-G8</f>
        <v>3210.5927098682037</v>
      </c>
      <c r="G8" s="28">
        <f>((529.163932+6.5+107.626311))*(2.204622/2)</f>
        <v>709.10591105157312</v>
      </c>
      <c r="H8" s="28">
        <f t="shared" ref="H8:H19" si="2">E8-I8</f>
        <v>3919.6986209197767</v>
      </c>
      <c r="I8" s="28">
        <f>274.757+30.39</f>
        <v>305.14699999999999</v>
      </c>
    </row>
    <row r="9" spans="1:9">
      <c r="A9" t="s">
        <v>384</v>
      </c>
      <c r="B9" s="28">
        <f>+I8</f>
        <v>305.14699999999999</v>
      </c>
      <c r="C9" s="28">
        <f>3434.1827+275.2598</f>
        <v>3709.4424999999997</v>
      </c>
      <c r="D9" s="28">
        <f>(7477.211+1890+1626.705)*2.204622/2000</f>
        <v>12.118714539876001</v>
      </c>
      <c r="E9" s="28">
        <f t="shared" si="0"/>
        <v>4026.7082145398754</v>
      </c>
      <c r="F9" s="28">
        <f t="shared" si="1"/>
        <v>2829.0393881243926</v>
      </c>
      <c r="G9" s="28">
        <f>((682.816496+31.632+104.014557))*(2.204622/2)</f>
        <v>902.20082641548299</v>
      </c>
      <c r="H9" s="28">
        <f t="shared" si="2"/>
        <v>3731.2402145398755</v>
      </c>
      <c r="I9" s="28">
        <f>266.814+28.654</f>
        <v>295.46800000000002</v>
      </c>
    </row>
    <row r="10" spans="1:9">
      <c r="A10" t="s">
        <v>385</v>
      </c>
      <c r="B10" s="28">
        <f t="shared" ref="B10:B19" si="3">+I9</f>
        <v>295.46800000000002</v>
      </c>
      <c r="C10" s="28">
        <f>3604.53275+283.0072</f>
        <v>3887.5399499999999</v>
      </c>
      <c r="D10" s="28">
        <f>(6437.678+2223+1298.018)*2.204622/2000</f>
        <v>10.977580146456001</v>
      </c>
      <c r="E10" s="28">
        <f t="shared" si="0"/>
        <v>4193.9855301464559</v>
      </c>
      <c r="F10" s="28">
        <f t="shared" si="1"/>
        <v>3009.3667435990637</v>
      </c>
      <c r="G10" s="28">
        <f>((584.639907+9.653+97.878165))*(2.204622/2)</f>
        <v>762.98778654739203</v>
      </c>
      <c r="H10" s="28">
        <f t="shared" si="2"/>
        <v>3772.354530146456</v>
      </c>
      <c r="I10" s="28">
        <f>380.865+40.766</f>
        <v>421.63100000000003</v>
      </c>
    </row>
    <row r="11" spans="1:9">
      <c r="A11" t="s">
        <v>386</v>
      </c>
      <c r="B11" s="28">
        <f t="shared" si="3"/>
        <v>421.63100000000003</v>
      </c>
      <c r="C11" s="28">
        <f>3515.10339+276.07502</f>
        <v>3791.1784100000004</v>
      </c>
      <c r="D11" s="28">
        <f>(6022.254+1776+1092.036)*2.204622/2000</f>
        <v>9.7998644601900011</v>
      </c>
      <c r="E11" s="28">
        <f t="shared" si="0"/>
        <v>4222.609274460191</v>
      </c>
      <c r="F11" s="28">
        <f t="shared" si="1"/>
        <v>3096.5572079297381</v>
      </c>
      <c r="G11" s="28">
        <f>((632.982622+2.539+125.322701))*(2.204622/2)</f>
        <v>838.68706653045308</v>
      </c>
      <c r="H11" s="28">
        <f t="shared" si="2"/>
        <v>3935.2442744601913</v>
      </c>
      <c r="I11" s="28">
        <f>259.496+27.869</f>
        <v>287.36500000000001</v>
      </c>
    </row>
    <row r="12" spans="1:9">
      <c r="A12" t="s">
        <v>387</v>
      </c>
      <c r="B12" s="28">
        <f t="shared" si="3"/>
        <v>287.36500000000001</v>
      </c>
      <c r="C12" s="28">
        <f>3223.9013+249.76185</f>
        <v>3473.6631499999999</v>
      </c>
      <c r="D12" s="28">
        <f>(6015.809+2334+2573.124)*2.204622/2000</f>
        <v>12.040469198163002</v>
      </c>
      <c r="E12" s="28">
        <f t="shared" si="0"/>
        <v>3773.0686191981631</v>
      </c>
      <c r="F12" s="28">
        <f t="shared" si="1"/>
        <v>2528.6396734961863</v>
      </c>
      <c r="G12" s="28">
        <f>((686.266975+2.15+139.950832))*(2.204622/2)</f>
        <v>913.11894570197705</v>
      </c>
      <c r="H12" s="28">
        <f t="shared" si="2"/>
        <v>3441.7586191981632</v>
      </c>
      <c r="I12" s="28">
        <f>306.554+24.756</f>
        <v>331.30999999999995</v>
      </c>
    </row>
    <row r="13" spans="1:9">
      <c r="A13" t="s">
        <v>388</v>
      </c>
      <c r="B13" s="28">
        <f t="shared" si="3"/>
        <v>331.30999999999995</v>
      </c>
      <c r="C13" s="28">
        <f>3428.23247+272.87347</f>
        <v>3701.1059399999999</v>
      </c>
      <c r="D13" s="28">
        <f>(5798.892+2406+1554.696)*2.204622/2000</f>
        <v>10.758101207868</v>
      </c>
      <c r="E13" s="28">
        <f t="shared" si="0"/>
        <v>4043.174041207868</v>
      </c>
      <c r="F13" s="28">
        <f t="shared" si="1"/>
        <v>2849.3586140572461</v>
      </c>
      <c r="G13" s="28">
        <f>((590.659488+7.91+125.716514))*(2.204622/2)</f>
        <v>798.38842715062196</v>
      </c>
      <c r="H13" s="28">
        <f t="shared" si="2"/>
        <v>3647.7470412078678</v>
      </c>
      <c r="I13" s="28">
        <f>359.669+35.758</f>
        <v>395.42699999999996</v>
      </c>
    </row>
    <row r="14" spans="1:9">
      <c r="A14" t="s">
        <v>389</v>
      </c>
      <c r="B14" s="28">
        <f t="shared" si="3"/>
        <v>395.42699999999996</v>
      </c>
      <c r="C14" s="28">
        <f>3245.8437+254.80026</f>
        <v>3500.6439599999999</v>
      </c>
      <c r="D14" s="28">
        <f>(7784.718+2514+2158.008)*2.204622/2000</f>
        <v>13.731186093786002</v>
      </c>
      <c r="E14" s="28">
        <f t="shared" si="0"/>
        <v>3909.8021460937862</v>
      </c>
      <c r="F14" s="28">
        <f t="shared" si="1"/>
        <v>2712.829971547375</v>
      </c>
      <c r="G14" s="28">
        <f>((625.771284+6.087+145.624817))*(2.204622/2)</f>
        <v>857.02817454641104</v>
      </c>
      <c r="H14" s="28">
        <f t="shared" si="2"/>
        <v>3569.8581460937862</v>
      </c>
      <c r="I14" s="28">
        <f>304.583+35.361</f>
        <v>339.94400000000002</v>
      </c>
    </row>
    <row r="15" spans="1:9">
      <c r="A15" t="s">
        <v>391</v>
      </c>
      <c r="B15" s="28">
        <f t="shared" si="3"/>
        <v>339.94400000000002</v>
      </c>
      <c r="C15" s="28">
        <f>3366.8766+266.8909</f>
        <v>3633.7674999999999</v>
      </c>
      <c r="D15" s="28">
        <f>(7738+2535+1834.332)*2.204622/2000</f>
        <v>13.346045244252</v>
      </c>
      <c r="E15" s="28">
        <f t="shared" si="0"/>
        <v>3987.0575452442517</v>
      </c>
      <c r="F15" s="28">
        <f t="shared" si="1"/>
        <v>2830.0320771549846</v>
      </c>
      <c r="G15" s="28">
        <f>((563.135399+9.306+84.352798))*(2.204622/2)</f>
        <v>723.99146808926707</v>
      </c>
      <c r="H15" s="28">
        <f t="shared" si="2"/>
        <v>3554.0235452442516</v>
      </c>
      <c r="I15" s="28">
        <f>388.197+44.837</f>
        <v>433.03399999999999</v>
      </c>
    </row>
    <row r="16" spans="1:9">
      <c r="A16" t="s">
        <v>392</v>
      </c>
      <c r="B16" s="28">
        <f t="shared" si="3"/>
        <v>433.03399999999999</v>
      </c>
      <c r="C16" s="28">
        <f>3098.01928+254.25166</f>
        <v>3352.2709399999999</v>
      </c>
      <c r="D16" s="28">
        <f>(7300.966+2104+1422.621)*2.204622/2000</f>
        <v>11.935368253557</v>
      </c>
      <c r="E16" s="28">
        <f t="shared" si="0"/>
        <v>3797.240308253557</v>
      </c>
      <c r="F16" s="28">
        <f t="shared" si="1"/>
        <v>2524.8626547604813</v>
      </c>
      <c r="G16" s="28">
        <f>((594.908585+15.117+159.349531))*(2.204622/2)</f>
        <v>848.09065349307593</v>
      </c>
      <c r="H16" s="28">
        <f t="shared" si="2"/>
        <v>3372.9533082535572</v>
      </c>
      <c r="I16" s="28">
        <f>379.424+44.863</f>
        <v>424.28699999999998</v>
      </c>
    </row>
    <row r="17" spans="1:9">
      <c r="A17" t="s">
        <v>393</v>
      </c>
      <c r="B17" s="28">
        <f t="shared" si="3"/>
        <v>424.28699999999998</v>
      </c>
      <c r="C17" s="28">
        <f>3072.3696+243.9096</f>
        <v>3316.2791999999999</v>
      </c>
      <c r="D17" s="28">
        <f>(6877.055+1111+995.184)*2.204622/2000</f>
        <v>9.9023231653290011</v>
      </c>
      <c r="E17" s="28">
        <f t="shared" si="0"/>
        <v>3750.4685231653289</v>
      </c>
      <c r="F17" s="28">
        <f t="shared" si="1"/>
        <v>2703.5052122596549</v>
      </c>
      <c r="G17" s="28">
        <f>((553.074368+29.929+97.032766))*(2.204622/2)</f>
        <v>749.61131090567415</v>
      </c>
      <c r="H17" s="28">
        <f t="shared" si="2"/>
        <v>3453.116523165329</v>
      </c>
      <c r="I17" s="28">
        <f>268.155+29.197</f>
        <v>297.35199999999998</v>
      </c>
    </row>
    <row r="18" spans="1:9">
      <c r="A18" t="s">
        <v>394</v>
      </c>
      <c r="B18" s="28">
        <f t="shared" si="3"/>
        <v>297.35199999999998</v>
      </c>
      <c r="C18" s="28">
        <f>2821.738+230.64505</f>
        <v>3052.3830499999999</v>
      </c>
      <c r="D18" s="28">
        <f>(6123.554+1972+1883.773)*2.204622/2000</f>
        <v>11.000321924696999</v>
      </c>
      <c r="E18" s="28">
        <f t="shared" si="0"/>
        <v>3360.7353719246967</v>
      </c>
      <c r="F18" s="28">
        <f t="shared" si="1"/>
        <v>2365.0915341430568</v>
      </c>
      <c r="G18" s="28">
        <f>((440.510518+3.928+82.118722))*(2.204622/2)</f>
        <v>580.42983778164</v>
      </c>
      <c r="H18" s="28">
        <f t="shared" si="2"/>
        <v>2945.5213719246967</v>
      </c>
      <c r="I18" s="28">
        <f>375.852+39.362</f>
        <v>415.214</v>
      </c>
    </row>
    <row r="19" spans="1:9">
      <c r="A19" t="s">
        <v>382</v>
      </c>
      <c r="B19" s="28">
        <f t="shared" si="3"/>
        <v>415.214</v>
      </c>
      <c r="C19" s="28">
        <f>2772.8303+223.4933</f>
        <v>2996.3236000000002</v>
      </c>
      <c r="D19" s="28">
        <f>(6717.858+2063+2662.006)*2.204622/2000</f>
        <v>12.613594858703999</v>
      </c>
      <c r="E19" s="28">
        <f t="shared" si="0"/>
        <v>3424.151194858704</v>
      </c>
      <c r="F19" s="28">
        <f t="shared" si="1"/>
        <v>2571.979750845624</v>
      </c>
      <c r="G19" s="28">
        <f>((404.991459+14.273+87.241821))*(2.204622/2)</f>
        <v>558.32744401308014</v>
      </c>
      <c r="H19" s="28">
        <f t="shared" si="2"/>
        <v>3130.307194858704</v>
      </c>
      <c r="I19" s="28">
        <f>259.886+33.958</f>
        <v>293.84400000000005</v>
      </c>
    </row>
    <row r="20" spans="1:9">
      <c r="A20" t="s">
        <v>218</v>
      </c>
      <c r="C20" s="28">
        <f>SUM(C8:C19)</f>
        <v>42284.076460000004</v>
      </c>
      <c r="D20" s="28">
        <f>SUM(D8:D19)</f>
        <v>140.62193001265501</v>
      </c>
      <c r="E20" s="28">
        <f>B8+C20+D20</f>
        <v>42767.667390012655</v>
      </c>
      <c r="F20" s="28">
        <f>SUM(F8:F19)</f>
        <v>33231.855537786003</v>
      </c>
      <c r="G20" s="28">
        <f>SUM(G8:G19)</f>
        <v>9241.9678522266495</v>
      </c>
      <c r="H20" s="28">
        <f>SUM(H8:H19)</f>
        <v>42473.823390012658</v>
      </c>
      <c r="I20" s="28"/>
    </row>
    <row r="21" spans="1:9">
      <c r="A21" t="s">
        <v>231</v>
      </c>
      <c r="C21" s="28"/>
      <c r="D21" s="28"/>
      <c r="E21" s="28"/>
      <c r="F21" s="28"/>
      <c r="G21" s="28"/>
      <c r="H21" s="28"/>
      <c r="I21" s="28"/>
    </row>
    <row r="22" spans="1:9">
      <c r="A22" t="s">
        <v>383</v>
      </c>
      <c r="B22" s="28">
        <f>+I19</f>
        <v>293.84400000000005</v>
      </c>
      <c r="C22" s="28">
        <f>3267.43129+252.01493</f>
        <v>3519.4462199999998</v>
      </c>
      <c r="D22" s="28">
        <f>(5799.907+2280+168.321)*2.204622/2000</f>
        <v>9.0921124549080012</v>
      </c>
      <c r="E22" s="28">
        <f t="shared" ref="E22:E33" si="4">B22+C22+D22</f>
        <v>3822.382332454908</v>
      </c>
      <c r="F22" s="28">
        <f t="shared" ref="F22:F33" si="5">H22-G22</f>
        <v>2780.1005339050562</v>
      </c>
      <c r="G22" s="28">
        <f>((478.22002+3.343+126.473912))*(2.204622/2)</f>
        <v>670.245798549852</v>
      </c>
      <c r="H22" s="28">
        <f t="shared" ref="H22:H33" si="6">E22-I22</f>
        <v>3450.346332454908</v>
      </c>
      <c r="I22" s="28">
        <f>335.488+36.548</f>
        <v>372.036</v>
      </c>
    </row>
    <row r="23" spans="1:9">
      <c r="A23" t="s">
        <v>384</v>
      </c>
      <c r="B23" s="28">
        <f>+I22</f>
        <v>372.036</v>
      </c>
      <c r="C23" s="28">
        <f>3158.033+255.442</f>
        <v>3413.4749999999999</v>
      </c>
      <c r="D23" s="28">
        <f>(4862.172+1859+513.416)*2.204622/2000</f>
        <v>7.9747659328680003</v>
      </c>
      <c r="E23" s="28">
        <f t="shared" si="4"/>
        <v>3793.4857659328682</v>
      </c>
      <c r="F23" s="28">
        <f t="shared" si="5"/>
        <v>2401.0978619448092</v>
      </c>
      <c r="G23" s="28">
        <f>((611.447686+7.956+99.318983))*(2.204622/2)</f>
        <v>792.255903988059</v>
      </c>
      <c r="H23" s="28">
        <f t="shared" si="6"/>
        <v>3193.3537659328681</v>
      </c>
      <c r="I23" s="28">
        <f>543.932+56.2</f>
        <v>600.13200000000006</v>
      </c>
    </row>
    <row r="24" spans="1:9">
      <c r="A24" t="s">
        <v>385</v>
      </c>
      <c r="B24" s="28">
        <f t="shared" ref="B24:B33" si="7">+I23</f>
        <v>600.13200000000006</v>
      </c>
      <c r="C24" s="28">
        <f>3101.79875+244.15355</f>
        <v>3345.9522999999999</v>
      </c>
      <c r="D24" s="28">
        <f>(5711.755+2422+844.082)*2.204622/2000</f>
        <v>9.8963684813070003</v>
      </c>
      <c r="E24" s="28">
        <f t="shared" si="4"/>
        <v>3955.980668481307</v>
      </c>
      <c r="F24" s="28">
        <f t="shared" si="5"/>
        <v>2922.8361538259824</v>
      </c>
      <c r="G24" s="28">
        <f>((462.315357+19.782+79.664718))*(2.204622/2)</f>
        <v>619.23651465532498</v>
      </c>
      <c r="H24" s="28">
        <f t="shared" si="6"/>
        <v>3542.0726684813071</v>
      </c>
      <c r="I24" s="28">
        <f>372.337+41.571</f>
        <v>413.90800000000002</v>
      </c>
    </row>
    <row r="25" spans="1:9">
      <c r="A25" t="s">
        <v>386</v>
      </c>
      <c r="B25" s="28">
        <f t="shared" si="7"/>
        <v>413.90800000000002</v>
      </c>
      <c r="C25" s="28">
        <f>3184.5717+254.61388</f>
        <v>3439.1855799999998</v>
      </c>
      <c r="D25" s="28">
        <f>(3280.341+1707+1036.079)*2.204622/2000</f>
        <v>6.6396821236200001</v>
      </c>
      <c r="E25" s="28">
        <f t="shared" si="4"/>
        <v>3859.7332621236196</v>
      </c>
      <c r="F25" s="28">
        <f t="shared" si="5"/>
        <v>2537.5555986505647</v>
      </c>
      <c r="G25" s="28">
        <f>((675.293541+8.295+111.957964))*(2.204622/2)</f>
        <v>876.93966347305502</v>
      </c>
      <c r="H25" s="28">
        <f t="shared" si="6"/>
        <v>3414.4952621236198</v>
      </c>
      <c r="I25" s="28">
        <f>400.217+45.021</f>
        <v>445.238</v>
      </c>
    </row>
    <row r="26" spans="1:9">
      <c r="A26" t="s">
        <v>387</v>
      </c>
      <c r="B26" s="28">
        <f t="shared" si="7"/>
        <v>445.238</v>
      </c>
      <c r="C26" s="28">
        <f>2972.2+230.916</f>
        <v>3203.116</v>
      </c>
      <c r="D26" s="28">
        <f>(3516.779+1724+123.246)*2.204622/2000</f>
        <v>5.9128237617750008</v>
      </c>
      <c r="E26" s="28">
        <f t="shared" si="4"/>
        <v>3654.266823761775</v>
      </c>
      <c r="F26" s="28">
        <f t="shared" si="5"/>
        <v>2497.8638813801226</v>
      </c>
      <c r="G26" s="28">
        <f>((564.409067+6.434+81.747665))*(2.204622/2)</f>
        <v>719.35794238165204</v>
      </c>
      <c r="H26" s="28">
        <f t="shared" si="6"/>
        <v>3217.2218237617749</v>
      </c>
      <c r="I26" s="28">
        <f>393.1+43.945</f>
        <v>437.04500000000002</v>
      </c>
    </row>
    <row r="27" spans="1:9">
      <c r="A27" t="s">
        <v>388</v>
      </c>
      <c r="B27" s="28">
        <f t="shared" si="7"/>
        <v>437.04500000000002</v>
      </c>
      <c r="C27" s="28">
        <f>3171+253.799</f>
        <v>3424.799</v>
      </c>
      <c r="D27" s="28">
        <f>(6267.251+2012+529.749)*2.204622/2000</f>
        <v>9.7102575990000002</v>
      </c>
      <c r="E27" s="28">
        <f t="shared" si="4"/>
        <v>3871.5542575990003</v>
      </c>
      <c r="F27" s="28">
        <f t="shared" si="5"/>
        <v>2710.3518114791964</v>
      </c>
      <c r="G27" s="28">
        <f>((567.758833+5.071+153.343131))*(2.204622/2)</f>
        <v>800.46844611980396</v>
      </c>
      <c r="H27" s="28">
        <f t="shared" si="6"/>
        <v>3510.8202575990003</v>
      </c>
      <c r="I27" s="28">
        <f>313+47.734</f>
        <v>360.73399999999998</v>
      </c>
    </row>
    <row r="28" spans="1:9">
      <c r="A28" t="s">
        <v>389</v>
      </c>
      <c r="B28" s="28">
        <f t="shared" si="7"/>
        <v>360.73399999999998</v>
      </c>
      <c r="C28" s="28">
        <f>3092.5+243.4</f>
        <v>3335.9</v>
      </c>
      <c r="D28" s="28">
        <f>(4578.88+1915+316.826)*2.204622/2000</f>
        <v>7.5075161415660006</v>
      </c>
      <c r="E28" s="28">
        <f t="shared" si="4"/>
        <v>3704.1415161415662</v>
      </c>
      <c r="F28" s="28">
        <f t="shared" si="5"/>
        <v>2422.3890670421315</v>
      </c>
      <c r="G28" s="28">
        <f>((654.41196+9.797+115.564125))*(2.204622/2)</f>
        <v>859.55244909943508</v>
      </c>
      <c r="H28" s="28">
        <f t="shared" si="6"/>
        <v>3281.9415161415664</v>
      </c>
      <c r="I28" s="28">
        <f>375.9+46.3</f>
        <v>422.2</v>
      </c>
    </row>
    <row r="29" spans="1:9">
      <c r="A29" t="s">
        <v>391</v>
      </c>
      <c r="B29" s="28">
        <f t="shared" si="7"/>
        <v>422.2</v>
      </c>
      <c r="C29" s="28">
        <f>3245+255.4</f>
        <v>3500.4</v>
      </c>
      <c r="D29" s="28">
        <f>(4413.963+1525+576.704)*2.204622/2000</f>
        <v>7.1822914064369998</v>
      </c>
      <c r="E29" s="28">
        <f t="shared" si="4"/>
        <v>3929.7822914064368</v>
      </c>
      <c r="F29" s="28">
        <f t="shared" si="5"/>
        <v>2607.373871881563</v>
      </c>
      <c r="G29" s="28">
        <f>((611.364439+10.367+54.491895))*(2.204622/2)</f>
        <v>745.40841952487392</v>
      </c>
      <c r="H29" s="28">
        <f t="shared" si="6"/>
        <v>3352.7822914064368</v>
      </c>
      <c r="I29" s="28">
        <f>517.2+59.8</f>
        <v>577</v>
      </c>
    </row>
    <row r="30" spans="1:9">
      <c r="A30" t="s">
        <v>392</v>
      </c>
      <c r="B30" s="28">
        <f t="shared" si="7"/>
        <v>577</v>
      </c>
      <c r="C30" s="28">
        <f>3082.209+241.001</f>
        <v>3323.21</v>
      </c>
      <c r="D30" s="28">
        <f>(3672.476+952+495.243)*2.204622/2000</f>
        <v>5.6435225706090018</v>
      </c>
      <c r="E30" s="28">
        <f t="shared" si="4"/>
        <v>3905.8535225706091</v>
      </c>
      <c r="F30" s="28">
        <f t="shared" si="5"/>
        <v>2514.5244600143051</v>
      </c>
      <c r="G30" s="28">
        <f>((768.743109+24.765+81.936355))*(2.204622/2)</f>
        <v>965.01206255630404</v>
      </c>
      <c r="H30" s="28">
        <f t="shared" si="6"/>
        <v>3479.5365225706091</v>
      </c>
      <c r="I30" s="28">
        <f>385.917+40.4</f>
        <v>426.31699999999995</v>
      </c>
    </row>
    <row r="31" spans="1:9">
      <c r="A31" t="s">
        <v>393</v>
      </c>
      <c r="B31" s="28">
        <f t="shared" si="7"/>
        <v>426.31699999999995</v>
      </c>
      <c r="C31" s="28">
        <f>2836.244+230.471</f>
        <v>3066.7150000000001</v>
      </c>
      <c r="D31" s="28">
        <f>(4297.567+1965+411.382)*2.204622/2000</f>
        <v>7.3567673961390003</v>
      </c>
      <c r="E31" s="28">
        <f t="shared" si="4"/>
        <v>3500.388767396139</v>
      </c>
      <c r="F31" s="28">
        <f t="shared" si="5"/>
        <v>2539.0878538352108</v>
      </c>
      <c r="G31" s="28">
        <f>((472.871369+18.307+82.971679))*(2.204622/2)</f>
        <v>632.89191356092795</v>
      </c>
      <c r="H31" s="28">
        <f t="shared" si="6"/>
        <v>3171.9797673961389</v>
      </c>
      <c r="I31" s="28">
        <f>298.821+29.588</f>
        <v>328.40900000000005</v>
      </c>
    </row>
    <row r="32" spans="1:9">
      <c r="A32" t="s">
        <v>394</v>
      </c>
      <c r="B32" s="28">
        <f t="shared" si="7"/>
        <v>328.40900000000005</v>
      </c>
      <c r="C32" s="28">
        <f>2630.7+216</f>
        <v>2846.7</v>
      </c>
      <c r="D32" s="28">
        <f>(3540.812+1534+459.515)*2.204622/2000</f>
        <v>6.100549529697</v>
      </c>
      <c r="E32" s="28">
        <f t="shared" si="4"/>
        <v>3181.2095495296971</v>
      </c>
      <c r="F32" s="28">
        <f t="shared" si="5"/>
        <v>2454.1814414951709</v>
      </c>
      <c r="G32" s="28">
        <f>((315.506679+6.527+50.028387))*(2.204622/2)</f>
        <v>410.12810803452601</v>
      </c>
      <c r="H32" s="28">
        <f t="shared" si="6"/>
        <v>2864.3095495296971</v>
      </c>
      <c r="I32" s="28">
        <f>283.1+33.8</f>
        <v>316.90000000000003</v>
      </c>
    </row>
    <row r="33" spans="1:9">
      <c r="A33" t="s">
        <v>382</v>
      </c>
      <c r="B33" s="28">
        <f t="shared" si="7"/>
        <v>316.90000000000003</v>
      </c>
      <c r="C33" s="28">
        <f>2482.657+200.877</f>
        <v>2683.5340000000001</v>
      </c>
      <c r="D33" s="28">
        <f>(2696.115+1527+48.089)*2.204622/2000</f>
        <v>4.7081951524440004</v>
      </c>
      <c r="E33" s="28">
        <f t="shared" si="4"/>
        <v>3005.1421951524444</v>
      </c>
      <c r="F33" s="28">
        <f t="shared" si="5"/>
        <v>2364.8412577432628</v>
      </c>
      <c r="G33" s="28">
        <f>((282.368791+11.853+73.705171))*(2.204622/2)</f>
        <v>405.56993740918205</v>
      </c>
      <c r="H33" s="28">
        <f t="shared" si="6"/>
        <v>2770.4111951524446</v>
      </c>
      <c r="I33" s="28">
        <f>206.808+27.923</f>
        <v>234.73099999999999</v>
      </c>
    </row>
    <row r="34" spans="1:9">
      <c r="A34" t="s">
        <v>218</v>
      </c>
      <c r="C34" s="28">
        <f>SUM(C22:C33)</f>
        <v>39102.433099999995</v>
      </c>
      <c r="D34" s="28">
        <f>SUM(D22:D33)</f>
        <v>87.724852550370031</v>
      </c>
      <c r="E34" s="28">
        <f>B22+C34+D34</f>
        <v>39484.001952550359</v>
      </c>
      <c r="F34" s="28">
        <f>SUM(F22:F33)</f>
        <v>30752.203793197375</v>
      </c>
      <c r="G34" s="28">
        <f>SUM(G22:G33)</f>
        <v>8497.0671593529969</v>
      </c>
      <c r="H34" s="28">
        <f>SUM(H22:H33)</f>
        <v>39249.270952550367</v>
      </c>
      <c r="I34" s="28"/>
    </row>
    <row r="35" spans="1:9">
      <c r="A35" s="52" t="s">
        <v>234</v>
      </c>
      <c r="C35" s="28"/>
      <c r="D35" s="28"/>
      <c r="E35" s="28"/>
      <c r="F35" s="28"/>
      <c r="G35" s="28"/>
      <c r="H35" s="28"/>
      <c r="I35" s="28"/>
    </row>
    <row r="36" spans="1:9">
      <c r="A36" t="s">
        <v>383</v>
      </c>
      <c r="B36" s="28">
        <f>+I33</f>
        <v>234.73099999999999</v>
      </c>
      <c r="C36" s="28">
        <f>3578.656+267</f>
        <v>3845.6559999999999</v>
      </c>
      <c r="D36" s="28">
        <f>(9330.821+1735+55.218)*2.204622/2000</f>
        <v>12.258843621129001</v>
      </c>
      <c r="E36" s="28">
        <f t="shared" ref="E36:E47" si="8">B36+C36+D36</f>
        <v>4092.6458436211287</v>
      </c>
      <c r="F36" s="28">
        <f t="shared" ref="F36:F47" si="9">H36-G36</f>
        <v>2890.8732605172177</v>
      </c>
      <c r="G36" s="28">
        <f>((577.107071+13.622+95.73653))*(2.204622/2)</f>
        <v>756.69858310391101</v>
      </c>
      <c r="H36" s="28">
        <f t="shared" ref="H36:H47" si="10">E36-I36</f>
        <v>3647.5718436211287</v>
      </c>
      <c r="I36" s="28">
        <f>401+44.074</f>
        <v>445.07400000000001</v>
      </c>
    </row>
    <row r="37" spans="1:9">
      <c r="A37" t="s">
        <v>384</v>
      </c>
      <c r="B37" s="28">
        <f>+I36</f>
        <v>445.07400000000001</v>
      </c>
      <c r="C37" s="28">
        <f>3696.36+280.185</f>
        <v>3976.5450000000001</v>
      </c>
      <c r="D37" s="28">
        <f>(3807.985+1708+83.15)*2.204622/2000</f>
        <v>6.1719881009850006</v>
      </c>
      <c r="E37" s="28">
        <f t="shared" si="8"/>
        <v>4427.7909881009846</v>
      </c>
      <c r="F37" s="28">
        <f t="shared" si="9"/>
        <v>2407.1856888049169</v>
      </c>
      <c r="G37" s="28">
        <f>((1147.49778+2.764+113.664008))*(2.204622/2)</f>
        <v>1393.2392992960679</v>
      </c>
      <c r="H37" s="28">
        <f t="shared" si="10"/>
        <v>3800.4249881009846</v>
      </c>
      <c r="I37" s="28">
        <f>569.374+57.992</f>
        <v>627.36599999999999</v>
      </c>
    </row>
    <row r="38" spans="1:9">
      <c r="A38" t="s">
        <v>385</v>
      </c>
      <c r="B38" s="28">
        <f t="shared" ref="B38:B47" si="11">+I37</f>
        <v>627.36599999999999</v>
      </c>
      <c r="C38" s="28">
        <f>3785.027+291.062</f>
        <v>4076.0889999999999</v>
      </c>
      <c r="D38" s="28">
        <f>(6508.166+1943+139.184)*2.204622/2000</f>
        <v>9.4692372988500004</v>
      </c>
      <c r="E38" s="28">
        <f t="shared" si="8"/>
        <v>4712.9242372988501</v>
      </c>
      <c r="F38" s="28">
        <f t="shared" si="9"/>
        <v>2861.5990323501856</v>
      </c>
      <c r="G38" s="28">
        <f>((1030.196141+25.082+108.195874))*(2.204622/2)</f>
        <v>1282.510204948665</v>
      </c>
      <c r="H38" s="28">
        <f t="shared" si="10"/>
        <v>4144.1092372988505</v>
      </c>
      <c r="I38" s="28">
        <f>533.578+35.237</f>
        <v>568.81499999999994</v>
      </c>
    </row>
    <row r="39" spans="1:9">
      <c r="A39" t="s">
        <v>386</v>
      </c>
      <c r="B39" s="28">
        <f t="shared" si="11"/>
        <v>568.81499999999994</v>
      </c>
      <c r="C39" s="28">
        <f>3656.43296+276.80069</f>
        <v>3933.2336500000001</v>
      </c>
      <c r="D39" s="28">
        <f>(13052.96+2267+1229.95)*2.204622/2000</f>
        <v>18.24314784201</v>
      </c>
      <c r="E39" s="28">
        <f t="shared" si="8"/>
        <v>4520.2917978420101</v>
      </c>
      <c r="F39" s="28">
        <f t="shared" si="9"/>
        <v>2389.7699442823678</v>
      </c>
      <c r="G39" s="28">
        <f>((1262.585357+13.519+84.756465))*(2.204622/2)</f>
        <v>1500.091853559642</v>
      </c>
      <c r="H39" s="28">
        <f t="shared" si="10"/>
        <v>3889.8617978420098</v>
      </c>
      <c r="I39" s="28">
        <f>585.82+44.61</f>
        <v>630.43000000000006</v>
      </c>
    </row>
    <row r="40" spans="1:9">
      <c r="A40" t="s">
        <v>387</v>
      </c>
      <c r="B40" s="28">
        <f t="shared" si="11"/>
        <v>630.43000000000006</v>
      </c>
      <c r="C40" s="28">
        <f>3375.214+260.295</f>
        <v>3635.509</v>
      </c>
      <c r="D40" s="28">
        <f>(17818.894+2064+137.16)*2.204622/2000</f>
        <v>22.068325744794002</v>
      </c>
      <c r="E40" s="28">
        <f t="shared" si="8"/>
        <v>4288.0073257447939</v>
      </c>
      <c r="F40" s="28">
        <f t="shared" si="9"/>
        <v>2253.3381986525264</v>
      </c>
      <c r="G40" s="28">
        <f>((1087.4166535+8.844+112.382939))*(2.204622/2)</f>
        <v>1332.3011270922677</v>
      </c>
      <c r="H40" s="28">
        <f t="shared" si="10"/>
        <v>3585.639325744794</v>
      </c>
      <c r="I40" s="28">
        <f>654.224+48.144</f>
        <v>702.36800000000005</v>
      </c>
    </row>
    <row r="41" spans="1:9">
      <c r="A41" t="s">
        <v>388</v>
      </c>
      <c r="B41" s="28">
        <f t="shared" si="11"/>
        <v>702.36800000000005</v>
      </c>
      <c r="C41" s="28">
        <f>3415.26438+264.84859</f>
        <v>3680.1129700000001</v>
      </c>
      <c r="D41" s="28">
        <f>(11140.661+2301+986.65)*2.204622/2000</f>
        <v>15.904485926721</v>
      </c>
      <c r="E41" s="28">
        <f t="shared" si="8"/>
        <v>4398.3854559267211</v>
      </c>
      <c r="F41" s="28">
        <f t="shared" si="9"/>
        <v>2676.8390445672248</v>
      </c>
      <c r="G41" s="28">
        <f>((1148.94249+8.929+75.681846))*(2.204622/2)</f>
        <v>1359.759411359496</v>
      </c>
      <c r="H41" s="28">
        <f t="shared" si="10"/>
        <v>4036.5984559267208</v>
      </c>
      <c r="I41" s="28">
        <f>328.144+33.643</f>
        <v>361.78700000000003</v>
      </c>
    </row>
    <row r="42" spans="1:9">
      <c r="A42" t="s">
        <v>389</v>
      </c>
      <c r="B42" s="28">
        <f t="shared" si="11"/>
        <v>361.78700000000003</v>
      </c>
      <c r="C42" s="28">
        <f>2981.51176+230.30494</f>
        <v>3211.8166999999999</v>
      </c>
      <c r="D42" s="28">
        <f>(3301.123+2722+4120.029)*2.204622/2000</f>
        <v>11.180908024272002</v>
      </c>
      <c r="E42" s="28">
        <f t="shared" si="8"/>
        <v>3584.7846080242716</v>
      </c>
      <c r="F42" s="28">
        <f t="shared" si="9"/>
        <v>2437.4971793552309</v>
      </c>
      <c r="G42" s="28">
        <f>((640.480156+13.766+117.997275))*(2.204622/2)</f>
        <v>851.25242866904091</v>
      </c>
      <c r="H42" s="28">
        <f t="shared" si="10"/>
        <v>3288.7496080242718</v>
      </c>
      <c r="I42" s="28">
        <f>265.076+30.959</f>
        <v>296.03500000000003</v>
      </c>
    </row>
    <row r="43" spans="1:9">
      <c r="A43" t="s">
        <v>391</v>
      </c>
      <c r="B43" s="28">
        <f t="shared" si="11"/>
        <v>296.03500000000003</v>
      </c>
      <c r="C43" s="28">
        <f>2921.0122+223.45025</f>
        <v>3144.46245</v>
      </c>
      <c r="D43" s="28">
        <f>(3892.835+2338+163.914)*2.204622/2000</f>
        <v>7.049002164939</v>
      </c>
      <c r="E43" s="28">
        <f t="shared" si="8"/>
        <v>3447.5464521649387</v>
      </c>
      <c r="F43" s="28">
        <f t="shared" si="9"/>
        <v>2390.3807663674379</v>
      </c>
      <c r="G43" s="28">
        <f>((474.32093+3.322+57.132361))*(2.204622/2)</f>
        <v>589.48868579750092</v>
      </c>
      <c r="H43" s="28">
        <f t="shared" si="10"/>
        <v>2979.8694521649386</v>
      </c>
      <c r="I43" s="28">
        <f>423.871+43.806</f>
        <v>467.67699999999996</v>
      </c>
    </row>
    <row r="44" spans="1:9">
      <c r="A44" t="s">
        <v>392</v>
      </c>
      <c r="B44" s="28">
        <f t="shared" si="11"/>
        <v>467.67699999999996</v>
      </c>
      <c r="C44" s="28">
        <f>2839.78764+216.92932</f>
        <v>3056.7169600000002</v>
      </c>
      <c r="D44" s="28">
        <f>(2032.182+1026+61.794)*2.204622/2000</f>
        <v>3.439183864536</v>
      </c>
      <c r="E44" s="28">
        <f t="shared" si="8"/>
        <v>3527.8331438645364</v>
      </c>
      <c r="F44" s="28">
        <f t="shared" si="9"/>
        <v>2626.7552267324795</v>
      </c>
      <c r="G44" s="28">
        <f>((438.486583+3.889+63.345504))*(2.204622/2)</f>
        <v>557.46191713205701</v>
      </c>
      <c r="H44" s="28">
        <f t="shared" si="10"/>
        <v>3184.2171438645364</v>
      </c>
      <c r="I44" s="28">
        <f>307.603+36.013</f>
        <v>343.61599999999999</v>
      </c>
    </row>
    <row r="45" spans="1:9">
      <c r="A45" t="s">
        <v>393</v>
      </c>
      <c r="B45" s="28">
        <f t="shared" si="11"/>
        <v>343.61599999999999</v>
      </c>
      <c r="C45" s="28">
        <f>2837.93716+218.17026</f>
        <v>3056.1074199999998</v>
      </c>
      <c r="D45" s="28">
        <f>(5996.836+1860+321.137)*2.204622/2000</f>
        <v>9.0146695956029994</v>
      </c>
      <c r="E45" s="28">
        <f t="shared" si="8"/>
        <v>3408.738089595603</v>
      </c>
      <c r="F45" s="28">
        <f t="shared" si="9"/>
        <v>2496.4924356280967</v>
      </c>
      <c r="G45" s="28">
        <f>((382.033545+10.641+49.334701))*(2.204622/2)</f>
        <v>487.23165396750602</v>
      </c>
      <c r="H45" s="28">
        <f t="shared" si="10"/>
        <v>2983.7240895956029</v>
      </c>
      <c r="I45" s="28">
        <f>386.502+38.512</f>
        <v>425.01400000000001</v>
      </c>
    </row>
    <row r="46" spans="1:9">
      <c r="A46" t="s">
        <v>394</v>
      </c>
      <c r="B46" s="28">
        <f t="shared" si="11"/>
        <v>425.01400000000001</v>
      </c>
      <c r="C46" s="28">
        <f>2806.1809+224.409</f>
        <v>3030.5898999999999</v>
      </c>
      <c r="D46" s="28">
        <f>(9593.463+2212+7915.844)*2.204622/2000</f>
        <v>21.739013640477001</v>
      </c>
      <c r="E46" s="28">
        <f t="shared" si="8"/>
        <v>3477.342913640477</v>
      </c>
      <c r="F46" s="28">
        <f t="shared" si="9"/>
        <v>2629.5331658086416</v>
      </c>
      <c r="G46" s="28">
        <f>((448.125421+10.071+63.705064))*(2.204622/2)</f>
        <v>575.29774783183507</v>
      </c>
      <c r="H46" s="28">
        <f t="shared" si="10"/>
        <v>3204.8309136404769</v>
      </c>
      <c r="I46" s="28">
        <f>241.288+31.224</f>
        <v>272.512</v>
      </c>
    </row>
    <row r="47" spans="1:9">
      <c r="A47" t="s">
        <v>382</v>
      </c>
      <c r="B47" s="28">
        <f t="shared" si="11"/>
        <v>272.512</v>
      </c>
      <c r="C47" s="28">
        <f>2836.0385+223.6447</f>
        <v>3059.6831999999999</v>
      </c>
      <c r="D47" s="28">
        <f>(14093.621+1906+5287.594)*2.204622/2000</f>
        <v>23.465131253865003</v>
      </c>
      <c r="E47" s="28">
        <f t="shared" si="8"/>
        <v>3355.660331253865</v>
      </c>
      <c r="F47" s="28">
        <f t="shared" si="9"/>
        <v>2579.9710446798667</v>
      </c>
      <c r="G47" s="28">
        <f>((364.731719+9.365+56.031699))*(2.204622/2)</f>
        <v>474.13528657399803</v>
      </c>
      <c r="H47" s="28">
        <f t="shared" si="10"/>
        <v>3054.1063312538649</v>
      </c>
      <c r="I47" s="28">
        <f>273.085+28.469</f>
        <v>301.55399999999997</v>
      </c>
    </row>
    <row r="48" spans="1:9">
      <c r="A48" t="s">
        <v>218</v>
      </c>
      <c r="C48" s="28">
        <f>SUM(C36:C47)</f>
        <v>41706.522250000002</v>
      </c>
      <c r="D48" s="28">
        <f>SUM(D36:D47)</f>
        <v>160.003937078181</v>
      </c>
      <c r="E48" s="28">
        <f>B36+C48+D48</f>
        <v>42101.257187078183</v>
      </c>
      <c r="F48" s="28">
        <f>SUM(F36:F47)</f>
        <v>30640.234987746193</v>
      </c>
      <c r="G48" s="28">
        <f>SUM(G36:G47)</f>
        <v>11159.468199331988</v>
      </c>
      <c r="H48" s="28">
        <f>SUM(H36:H47)</f>
        <v>41799.703187078187</v>
      </c>
      <c r="I48" s="28"/>
    </row>
    <row r="49" spans="1:9">
      <c r="A49" s="52" t="s">
        <v>236</v>
      </c>
      <c r="C49" s="28"/>
      <c r="D49" s="28"/>
      <c r="E49" s="28"/>
      <c r="F49" s="28"/>
      <c r="G49" s="28"/>
      <c r="H49" s="28"/>
      <c r="I49" s="28"/>
    </row>
    <row r="50" spans="1:9">
      <c r="A50" t="s">
        <v>383</v>
      </c>
      <c r="B50" s="28">
        <f>+I47</f>
        <v>301.55399999999997</v>
      </c>
      <c r="C50" s="28">
        <f>3475.80273+262.26737</f>
        <v>3738.0700999999999</v>
      </c>
      <c r="D50" s="28">
        <f>(9930.223+2377+644.728)*2.204622/2000</f>
        <v>14.277078058760999</v>
      </c>
      <c r="E50" s="28">
        <f t="shared" ref="E50:E61" si="12">B50+C50+D50</f>
        <v>4053.9011780587612</v>
      </c>
      <c r="F50" s="28">
        <f t="shared" ref="F50:F61" si="13">H50-G50</f>
        <v>2803.9630813615072</v>
      </c>
      <c r="G50" s="28">
        <f>((581.892513+8.315+75.128401))*(2.204622/2)</f>
        <v>733.40709669725402</v>
      </c>
      <c r="H50" s="28">
        <f t="shared" ref="H50:H61" si="14">E50-I50</f>
        <v>3537.3701780587612</v>
      </c>
      <c r="I50" s="28">
        <f>471.806+44.725</f>
        <v>516.53099999999995</v>
      </c>
    </row>
    <row r="51" spans="1:9">
      <c r="A51" t="s">
        <v>384</v>
      </c>
      <c r="B51" s="28">
        <f>+I50</f>
        <v>516.53099999999995</v>
      </c>
      <c r="C51" s="28">
        <f>3447.6493+272.3998</f>
        <v>3720.0491000000002</v>
      </c>
      <c r="D51" s="28">
        <f>(9702.118+1997+339.383)*2.204622/2000</f>
        <v>13.270172075811001</v>
      </c>
      <c r="E51" s="28">
        <f t="shared" si="12"/>
        <v>4249.8502720758115</v>
      </c>
      <c r="F51" s="28">
        <f t="shared" si="13"/>
        <v>2723.3759903611253</v>
      </c>
      <c r="G51" s="28">
        <f>((804.493079+11.232+129.663547))*(2.204622/2)</f>
        <v>1042.1122817146859</v>
      </c>
      <c r="H51" s="28">
        <f t="shared" si="14"/>
        <v>3765.4882720758114</v>
      </c>
      <c r="I51" s="28">
        <f>445.037+39.325</f>
        <v>484.36199999999997</v>
      </c>
    </row>
    <row r="52" spans="1:9">
      <c r="A52" t="s">
        <v>385</v>
      </c>
      <c r="B52" s="28">
        <f t="shared" ref="B52:B61" si="15">+I51</f>
        <v>484.36199999999997</v>
      </c>
      <c r="C52" s="28">
        <f>3397.76335+277.7805</f>
        <v>3675.54385</v>
      </c>
      <c r="D52" s="28">
        <f>(10330.299+2239+2482.86)*2.204622/2000</f>
        <v>16.592160439449003</v>
      </c>
      <c r="E52" s="28">
        <f t="shared" si="12"/>
        <v>4176.498010439449</v>
      </c>
      <c r="F52" s="28">
        <f t="shared" si="13"/>
        <v>2767.0337216476373</v>
      </c>
      <c r="G52" s="28">
        <f>((707.680305+16.967+90.699987))*(2.204622/2)</f>
        <v>898.76628879181192</v>
      </c>
      <c r="H52" s="28">
        <f t="shared" si="14"/>
        <v>3665.8000104394491</v>
      </c>
      <c r="I52" s="28">
        <f>473.178+37.52</f>
        <v>510.69799999999998</v>
      </c>
    </row>
    <row r="53" spans="1:9">
      <c r="A53" t="s">
        <v>386</v>
      </c>
      <c r="B53" s="28">
        <f t="shared" si="15"/>
        <v>510.69799999999998</v>
      </c>
      <c r="C53" s="28">
        <f>3298.36+271.099</f>
        <v>3569.4590000000003</v>
      </c>
      <c r="D53" s="28">
        <f>(12279.597+2214+269.321)*2.204622/2000</f>
        <v>16.273326903497999</v>
      </c>
      <c r="E53" s="28">
        <f t="shared" si="12"/>
        <v>4096.4303269034981</v>
      </c>
      <c r="F53" s="28">
        <f t="shared" si="13"/>
        <v>2476.5456944231264</v>
      </c>
      <c r="G53" s="28">
        <f>((967.927585+17.265+76.925667))*(2.204622/2)</f>
        <v>1170.784632480372</v>
      </c>
      <c r="H53" s="28">
        <f t="shared" si="14"/>
        <v>3647.3303269034982</v>
      </c>
      <c r="I53" s="28">
        <f>408.208+40.892</f>
        <v>449.1</v>
      </c>
    </row>
    <row r="54" spans="1:9">
      <c r="A54" t="s">
        <v>387</v>
      </c>
      <c r="B54" s="28">
        <f t="shared" si="15"/>
        <v>449.1</v>
      </c>
      <c r="C54" s="28">
        <f>2889.211+236.939</f>
        <v>3126.1499999999996</v>
      </c>
      <c r="D54" s="28">
        <f>(13443.229+2315+606.302)*2.204622/2000</f>
        <v>18.038802531140998</v>
      </c>
      <c r="E54" s="28">
        <f t="shared" si="12"/>
        <v>3593.2888025311404</v>
      </c>
      <c r="F54" s="28">
        <f t="shared" si="13"/>
        <v>2194.7277542177144</v>
      </c>
      <c r="G54" s="28">
        <f>((775.643585+8.026+61.802381))*(2.204622/2)</f>
        <v>931.97304831342603</v>
      </c>
      <c r="H54" s="28">
        <f t="shared" si="14"/>
        <v>3126.7008025311407</v>
      </c>
      <c r="I54" s="28">
        <f>428.609+37.979</f>
        <v>466.58799999999997</v>
      </c>
    </row>
    <row r="55" spans="1:9">
      <c r="A55" t="s">
        <v>388</v>
      </c>
      <c r="B55" s="28">
        <f t="shared" si="15"/>
        <v>466.58799999999997</v>
      </c>
      <c r="C55" s="28">
        <f>3111.911+259.694</f>
        <v>3371.605</v>
      </c>
      <c r="D55" s="28">
        <f>(11553.316+3327+448.348)*2.204622/2000</f>
        <v>16.896954942504003</v>
      </c>
      <c r="E55" s="28">
        <f t="shared" si="12"/>
        <v>3855.0899549425044</v>
      </c>
      <c r="F55" s="28">
        <f t="shared" si="13"/>
        <v>2655.7529544888635</v>
      </c>
      <c r="G55" s="28">
        <f>((668.207438+22.372+102.482593))*(2.204622/2)</f>
        <v>874.20100045364097</v>
      </c>
      <c r="H55" s="28">
        <f t="shared" si="14"/>
        <v>3529.9539549425044</v>
      </c>
      <c r="I55" s="28">
        <f>294.551+30.585</f>
        <v>325.13599999999997</v>
      </c>
    </row>
    <row r="56" spans="1:9">
      <c r="A56" t="s">
        <v>389</v>
      </c>
      <c r="B56" s="28">
        <f t="shared" si="15"/>
        <v>325.13599999999997</v>
      </c>
      <c r="C56" s="28">
        <f>2873.217+239.721</f>
        <v>3112.9380000000001</v>
      </c>
      <c r="D56" s="28">
        <f>(10232.088+2853+389.238)*2.204622/2000</f>
        <v>14.852897767385999</v>
      </c>
      <c r="E56" s="28">
        <f t="shared" si="12"/>
        <v>3452.926897767386</v>
      </c>
      <c r="F56" s="28">
        <f t="shared" si="13"/>
        <v>2323.4563076678669</v>
      </c>
      <c r="G56" s="28">
        <f>((522.741849+10.232+89.83368))*(2.204622/2)</f>
        <v>686.52759009951899</v>
      </c>
      <c r="H56" s="28">
        <f t="shared" si="14"/>
        <v>3009.9838977673858</v>
      </c>
      <c r="I56" s="28">
        <f>403.992+38.951</f>
        <v>442.94300000000004</v>
      </c>
    </row>
    <row r="57" spans="1:9">
      <c r="A57" t="s">
        <v>391</v>
      </c>
      <c r="B57" s="28">
        <f t="shared" si="15"/>
        <v>442.94300000000004</v>
      </c>
      <c r="C57" s="28">
        <f>2865.776+234.746</f>
        <v>3100.5219999999999</v>
      </c>
      <c r="D57" s="28">
        <f>(9617.155+2757+254.197)*2.204622/2000</f>
        <v>13.920371321472</v>
      </c>
      <c r="E57" s="28">
        <f t="shared" si="12"/>
        <v>3557.3853713214721</v>
      </c>
      <c r="F57" s="28">
        <f t="shared" si="13"/>
        <v>2593.0223224727083</v>
      </c>
      <c r="G57" s="28">
        <f>((447.841521+15.423+71.435803))*(2.204622/2)</f>
        <v>589.40604884876404</v>
      </c>
      <c r="H57" s="28">
        <f t="shared" si="14"/>
        <v>3182.4283713214722</v>
      </c>
      <c r="I57" s="28">
        <f>333.547+41.41</f>
        <v>374.95699999999999</v>
      </c>
    </row>
    <row r="58" spans="1:9">
      <c r="A58" t="s">
        <v>392</v>
      </c>
      <c r="B58" s="28">
        <f t="shared" si="15"/>
        <v>374.95699999999999</v>
      </c>
      <c r="C58" s="28">
        <f>2746.586+226.906</f>
        <v>2973.4919999999997</v>
      </c>
      <c r="D58" s="28">
        <f>(9604.305+2563+444.972)*2.204622/2000</f>
        <v>13.902651672147</v>
      </c>
      <c r="E58" s="28">
        <f t="shared" si="12"/>
        <v>3362.3516516721465</v>
      </c>
      <c r="F58" s="28">
        <f t="shared" si="13"/>
        <v>2569.6409053451584</v>
      </c>
      <c r="G58" s="28">
        <f>((397.016151+8.204+56.003357))*(2.204622/2)</f>
        <v>508.41174632698801</v>
      </c>
      <c r="H58" s="28">
        <f t="shared" si="14"/>
        <v>3078.0526516721466</v>
      </c>
      <c r="I58" s="28">
        <f>256.329+27.97</f>
        <v>284.29899999999998</v>
      </c>
    </row>
    <row r="59" spans="1:9">
      <c r="A59" t="s">
        <v>393</v>
      </c>
      <c r="B59" s="28">
        <f t="shared" si="15"/>
        <v>284.29899999999998</v>
      </c>
      <c r="C59" s="28">
        <f>2857.622+239.432</f>
        <v>3097.0539999999996</v>
      </c>
      <c r="D59" s="28">
        <f>(7486.208+1505+441.838)*2.204622/2000</f>
        <v>10.398150369305998</v>
      </c>
      <c r="E59" s="28">
        <f t="shared" si="12"/>
        <v>3391.7511503693058</v>
      </c>
      <c r="F59" s="28">
        <f t="shared" si="13"/>
        <v>2411.9593755349656</v>
      </c>
      <c r="G59" s="28">
        <f>((436.692722+21.883+47.067218))*(2.204622/2)</f>
        <v>557.37577483433995</v>
      </c>
      <c r="H59" s="28">
        <f t="shared" si="14"/>
        <v>2969.3351503693057</v>
      </c>
      <c r="I59" s="28">
        <f>387.461+34.955</f>
        <v>422.416</v>
      </c>
    </row>
    <row r="60" spans="1:9">
      <c r="A60" t="s">
        <v>394</v>
      </c>
      <c r="B60" s="28">
        <f t="shared" si="15"/>
        <v>422.416</v>
      </c>
      <c r="C60" s="28">
        <v>3001.875</v>
      </c>
      <c r="D60" s="28">
        <f>(10782.674+3118+190.811)*2.204622/2000</f>
        <v>15.533198921835002</v>
      </c>
      <c r="E60" s="28">
        <f t="shared" si="12"/>
        <v>3439.824198921835</v>
      </c>
      <c r="F60" s="28">
        <f t="shared" si="13"/>
        <v>2471.269891543428</v>
      </c>
      <c r="G60" s="28">
        <f>((433.342843+19.612+62.829094))*(2.204622/2)</f>
        <v>568.55430737840709</v>
      </c>
      <c r="H60" s="28">
        <f t="shared" si="14"/>
        <v>3039.824198921835</v>
      </c>
      <c r="I60" s="28">
        <v>400</v>
      </c>
    </row>
    <row r="61" spans="1:9">
      <c r="A61" t="s">
        <v>382</v>
      </c>
      <c r="B61" s="28">
        <f t="shared" si="15"/>
        <v>400</v>
      </c>
      <c r="C61" s="28">
        <v>2764.1724599999998</v>
      </c>
      <c r="D61" s="28">
        <f>(11031.226+3006+204.164)*2.204622/2000</f>
        <v>15.698440852290002</v>
      </c>
      <c r="E61" s="28">
        <f t="shared" si="12"/>
        <v>3179.8709008522897</v>
      </c>
      <c r="F61" s="28">
        <f t="shared" si="13"/>
        <v>2310.1296979683584</v>
      </c>
      <c r="G61" s="28">
        <f>((339.348188+10.756+121.397233))*(2.204622/2)</f>
        <v>519.74120288393112</v>
      </c>
      <c r="H61" s="28">
        <f t="shared" si="14"/>
        <v>2829.8709008522897</v>
      </c>
      <c r="I61" s="28">
        <v>350</v>
      </c>
    </row>
    <row r="62" spans="1:9">
      <c r="A62" t="s">
        <v>218</v>
      </c>
      <c r="C62" s="28">
        <f>SUM(C50:C61)</f>
        <v>39250.930509999998</v>
      </c>
      <c r="D62" s="28">
        <f>SUM(D50:D61)</f>
        <v>179.6542058556</v>
      </c>
      <c r="E62" s="28">
        <f>B50+C62+D62</f>
        <v>39732.138715855595</v>
      </c>
      <c r="F62" s="28">
        <f>SUM(F50:F61)</f>
        <v>30300.877697032458</v>
      </c>
      <c r="G62" s="28">
        <f>SUM(G50:G61)</f>
        <v>9081.2610188231411</v>
      </c>
      <c r="H62" s="28">
        <f>SUM(H50:H61)</f>
        <v>39382.138715855603</v>
      </c>
      <c r="I62" s="28"/>
    </row>
    <row r="63" spans="1:9">
      <c r="A63" s="52" t="s">
        <v>260</v>
      </c>
      <c r="C63" s="28"/>
      <c r="D63" s="28"/>
      <c r="E63" s="28"/>
      <c r="F63" s="28"/>
      <c r="G63" s="28"/>
      <c r="H63" s="28"/>
      <c r="I63" s="28"/>
    </row>
    <row r="64" spans="1:9">
      <c r="A64" t="s">
        <v>383</v>
      </c>
      <c r="B64" s="28">
        <f>233.715+30.171</f>
        <v>263.88600000000002</v>
      </c>
      <c r="C64" s="28">
        <f>3742.412+258.909</f>
        <v>4001.3209999999999</v>
      </c>
      <c r="D64" s="28">
        <v>35.145512740000001</v>
      </c>
      <c r="E64" s="28">
        <f t="shared" ref="E64:E75" si="16">B64+C64+D64</f>
        <v>4300.3525127400007</v>
      </c>
      <c r="F64" s="28">
        <f t="shared" ref="F64:F75" si="17">H64-G64</f>
        <v>3014.858078034139</v>
      </c>
      <c r="G64" s="28">
        <f>((655.886028+2.098+150.976814))*(2.204622/2)</f>
        <v>891.72643470586195</v>
      </c>
      <c r="H64" s="28">
        <f t="shared" ref="H64:H75" si="18">E64-I64</f>
        <v>3906.5845127400007</v>
      </c>
      <c r="I64" s="28">
        <f>360.253+33.515</f>
        <v>393.76799999999997</v>
      </c>
    </row>
    <row r="65" spans="1:9">
      <c r="A65" t="s">
        <v>384</v>
      </c>
      <c r="B65" s="28">
        <f>+I64</f>
        <v>393.76799999999997</v>
      </c>
      <c r="C65" s="28">
        <f>3655.75+251.965</f>
        <v>3907.7150000000001</v>
      </c>
      <c r="D65" s="28">
        <v>30.486311100000002</v>
      </c>
      <c r="E65" s="28">
        <f t="shared" si="16"/>
        <v>4331.9693111000006</v>
      </c>
      <c r="F65" s="28">
        <f t="shared" si="17"/>
        <v>2766.6977218993952</v>
      </c>
      <c r="G65" s="28">
        <f>((844.248393+15.814+213.576162))*(2.204622/2)</f>
        <v>1183.4835892006051</v>
      </c>
      <c r="H65" s="28">
        <f t="shared" si="18"/>
        <v>3950.1813111000006</v>
      </c>
      <c r="I65" s="28">
        <f>342.962+38.826</f>
        <v>381.78800000000001</v>
      </c>
    </row>
    <row r="66" spans="1:9">
      <c r="A66" t="s">
        <v>385</v>
      </c>
      <c r="B66" s="28">
        <f t="shared" ref="B66:B75" si="19">+I65</f>
        <v>381.78800000000001</v>
      </c>
      <c r="C66" s="28">
        <f>3669.213+262.266</f>
        <v>3931.4790000000003</v>
      </c>
      <c r="D66" s="28">
        <v>33.79673846</v>
      </c>
      <c r="E66" s="28">
        <f t="shared" si="16"/>
        <v>4347.0637384599995</v>
      </c>
      <c r="F66" s="28">
        <f t="shared" si="17"/>
        <v>2975.7072899098248</v>
      </c>
      <c r="G66" s="28">
        <f>((745.244112+4.957+219.587313))*(2.204622/2)</f>
        <v>1069.008448550175</v>
      </c>
      <c r="H66" s="28">
        <f t="shared" si="18"/>
        <v>4044.7157384599996</v>
      </c>
      <c r="I66" s="28">
        <f>270.421+31.927</f>
        <v>302.34800000000001</v>
      </c>
    </row>
    <row r="67" spans="1:9">
      <c r="A67" t="s">
        <v>386</v>
      </c>
      <c r="B67" s="28">
        <f t="shared" si="19"/>
        <v>302.34800000000001</v>
      </c>
      <c r="C67" s="28">
        <f>3539.791+256.884</f>
        <v>3796.6750000000002</v>
      </c>
      <c r="D67" s="28">
        <v>33.389438610000006</v>
      </c>
      <c r="E67" s="28">
        <f t="shared" si="16"/>
        <v>4132.4124386100002</v>
      </c>
      <c r="F67" s="28">
        <f t="shared" si="17"/>
        <v>2621.7437109998464</v>
      </c>
      <c r="G67" s="28">
        <f>((725.903927+8.801+263.534887))*(2.204622/2)</f>
        <v>1100.3707276101541</v>
      </c>
      <c r="H67" s="28">
        <f t="shared" si="18"/>
        <v>3722.1144386100004</v>
      </c>
      <c r="I67" s="28">
        <f>368.063+42.235</f>
        <v>410.298</v>
      </c>
    </row>
    <row r="68" spans="1:9">
      <c r="A68" t="s">
        <v>387</v>
      </c>
      <c r="B68" s="28">
        <f t="shared" si="19"/>
        <v>410.298</v>
      </c>
      <c r="C68" s="28">
        <f>3425.236+241.078</f>
        <v>3666.3139999999999</v>
      </c>
      <c r="D68" s="28">
        <v>32.970013460000004</v>
      </c>
      <c r="E68" s="28">
        <f t="shared" si="16"/>
        <v>4109.5820134599999</v>
      </c>
      <c r="F68" s="28">
        <f t="shared" si="17"/>
        <v>2539.5409280270019</v>
      </c>
      <c r="G68" s="28">
        <f>((895.545031+8.529+191.523387))*(2.204622/2)</f>
        <v>1207.6890854329981</v>
      </c>
      <c r="H68" s="28">
        <f t="shared" si="18"/>
        <v>3747.23001346</v>
      </c>
      <c r="I68" s="28">
        <f>330.057+32.295</f>
        <v>362.35200000000003</v>
      </c>
    </row>
    <row r="69" spans="1:9">
      <c r="A69" t="s">
        <v>388</v>
      </c>
      <c r="B69" s="28">
        <f t="shared" si="19"/>
        <v>362.35200000000003</v>
      </c>
      <c r="C69" s="28">
        <f>3677.248+260.298</f>
        <v>3937.5460000000003</v>
      </c>
      <c r="D69" s="28">
        <v>37.026697920000004</v>
      </c>
      <c r="E69" s="28">
        <f t="shared" si="16"/>
        <v>4336.9246979199997</v>
      </c>
      <c r="F69" s="28">
        <f t="shared" si="17"/>
        <v>2992.8513509525487</v>
      </c>
      <c r="G69" s="28">
        <f>((715.645611+4.575+192.38513))*(2.204622/2)</f>
        <v>1005.9753469674512</v>
      </c>
      <c r="H69" s="28">
        <f t="shared" si="18"/>
        <v>3998.8266979199998</v>
      </c>
      <c r="I69" s="28">
        <f>302.672+35.426</f>
        <v>338.09800000000001</v>
      </c>
    </row>
    <row r="70" spans="1:9">
      <c r="A70" t="s">
        <v>389</v>
      </c>
      <c r="B70" s="28">
        <f t="shared" si="19"/>
        <v>338.09800000000001</v>
      </c>
      <c r="C70" s="28">
        <f>3502.911+243.761</f>
        <v>3746.672</v>
      </c>
      <c r="D70" s="28">
        <v>46.938799980000006</v>
      </c>
      <c r="E70" s="28">
        <f t="shared" si="16"/>
        <v>4131.7087999799996</v>
      </c>
      <c r="F70" s="28">
        <f t="shared" si="17"/>
        <v>2657.5636254746364</v>
      </c>
      <c r="G70" s="28">
        <f>((803.22493+5.187+154.906203))*(2.204622/2)</f>
        <v>1061.876174505363</v>
      </c>
      <c r="H70" s="28">
        <f t="shared" si="18"/>
        <v>3719.4397999799994</v>
      </c>
      <c r="I70" s="28">
        <f>365.653+46.616</f>
        <v>412.26900000000001</v>
      </c>
    </row>
    <row r="71" spans="1:9">
      <c r="A71" t="s">
        <v>391</v>
      </c>
      <c r="B71" s="28">
        <f t="shared" si="19"/>
        <v>412.26900000000001</v>
      </c>
      <c r="C71" s="28">
        <f>3561.181+246.358</f>
        <v>3807.5390000000002</v>
      </c>
      <c r="D71" s="28">
        <v>30.067878020000002</v>
      </c>
      <c r="E71" s="28">
        <f t="shared" si="16"/>
        <v>4249.8758780199996</v>
      </c>
      <c r="F71" s="28">
        <f t="shared" si="17"/>
        <v>2810.6062942094636</v>
      </c>
      <c r="G71" s="28">
        <f>((812.336895+6.89+133.179081))*(2.204622/2)</f>
        <v>1049.847583810536</v>
      </c>
      <c r="H71" s="28">
        <f t="shared" si="18"/>
        <v>3860.4538780199996</v>
      </c>
      <c r="I71" s="28">
        <f>343.411+46.011</f>
        <v>389.42200000000003</v>
      </c>
    </row>
    <row r="72" spans="1:9">
      <c r="A72" t="s">
        <v>392</v>
      </c>
      <c r="B72" s="28">
        <f t="shared" si="19"/>
        <v>389.42200000000003</v>
      </c>
      <c r="C72" s="28">
        <f>3411.099+235.294</f>
        <v>3646.393</v>
      </c>
      <c r="D72" s="28">
        <v>25.56068355</v>
      </c>
      <c r="E72" s="28">
        <f t="shared" si="16"/>
        <v>4061.3756835499998</v>
      </c>
      <c r="F72" s="28">
        <f t="shared" si="17"/>
        <v>2990.2551798252316</v>
      </c>
      <c r="G72" s="28">
        <f>((589.035911+8.573+91.818577))*(2.204622/2)</f>
        <v>759.96350372476809</v>
      </c>
      <c r="H72" s="28">
        <f t="shared" si="18"/>
        <v>3750.2186835499997</v>
      </c>
      <c r="I72" s="28">
        <f>281.038+30.119</f>
        <v>311.15700000000004</v>
      </c>
    </row>
    <row r="73" spans="1:9">
      <c r="A73" t="s">
        <v>393</v>
      </c>
      <c r="B73" s="28">
        <f t="shared" si="19"/>
        <v>311.15700000000004</v>
      </c>
      <c r="C73" s="28">
        <f>3403.386+240.805</f>
        <v>3644.1909999999998</v>
      </c>
      <c r="D73" s="28">
        <v>26.059474300000002</v>
      </c>
      <c r="E73" s="28">
        <f t="shared" si="16"/>
        <v>3981.4074743000001</v>
      </c>
      <c r="F73" s="28">
        <f t="shared" si="17"/>
        <v>2543.2251715548819</v>
      </c>
      <c r="G73" s="28">
        <f>((776.598669+7.542+103.583669))*(2.204622/2)</f>
        <v>978.54830274511801</v>
      </c>
      <c r="H73" s="28">
        <f t="shared" si="18"/>
        <v>3521.7734743000001</v>
      </c>
      <c r="I73" s="28">
        <f>419.802+39.832</f>
        <v>459.63400000000001</v>
      </c>
    </row>
    <row r="74" spans="1:9">
      <c r="A74" t="s">
        <v>394</v>
      </c>
      <c r="B74" s="28">
        <f t="shared" si="19"/>
        <v>459.63400000000001</v>
      </c>
      <c r="C74" s="28">
        <f>3111.301+217.058</f>
        <v>3328.3589999999999</v>
      </c>
      <c r="D74" s="28">
        <v>31.120684749999999</v>
      </c>
      <c r="E74" s="28">
        <f t="shared" si="16"/>
        <v>3819.1136847499997</v>
      </c>
      <c r="F74" s="28">
        <f t="shared" si="17"/>
        <v>2788.8706305399855</v>
      </c>
      <c r="G74" s="28">
        <f>((600.564703+6.676+78.208371))*(2.204622/2)</f>
        <v>755.5780542100141</v>
      </c>
      <c r="H74" s="28">
        <f t="shared" si="18"/>
        <v>3544.4486847499998</v>
      </c>
      <c r="I74" s="28">
        <f>247.799+26.866</f>
        <v>274.66500000000002</v>
      </c>
    </row>
    <row r="75" spans="1:9">
      <c r="A75" t="s">
        <v>382</v>
      </c>
      <c r="B75" s="28">
        <f t="shared" si="19"/>
        <v>274.66500000000002</v>
      </c>
      <c r="C75" s="28">
        <f>3042.315+215.143</f>
        <v>3257.4580000000001</v>
      </c>
      <c r="D75" s="28">
        <v>31.996241640000001</v>
      </c>
      <c r="E75" s="28">
        <f t="shared" si="16"/>
        <v>3564.1192416399999</v>
      </c>
      <c r="F75" s="28">
        <f t="shared" si="17"/>
        <v>2411.7953368519929</v>
      </c>
      <c r="G75" s="28">
        <f>((677.122957+2.925+125.92958))*(2.204622/2)</f>
        <v>888.43790478800702</v>
      </c>
      <c r="H75" s="28">
        <f t="shared" si="18"/>
        <v>3300.23324164</v>
      </c>
      <c r="I75" s="28">
        <f>233.715+30.171</f>
        <v>263.88600000000002</v>
      </c>
    </row>
    <row r="76" spans="1:9">
      <c r="A76" t="s">
        <v>218</v>
      </c>
      <c r="C76" s="28">
        <f>SUM(C64:C75)</f>
        <v>44671.661999999989</v>
      </c>
      <c r="D76" s="28">
        <f>SUM(D64:D75)</f>
        <v>394.55847453000007</v>
      </c>
      <c r="E76" s="28">
        <f>B64+C76+D76</f>
        <v>45330.106474529988</v>
      </c>
      <c r="F76" s="28">
        <f>SUM(F64:F75)</f>
        <v>33113.715318278948</v>
      </c>
      <c r="G76" s="28">
        <f>SUM(G64:G75)</f>
        <v>11952.505156251051</v>
      </c>
      <c r="H76" s="28">
        <f>SUM(H64:H75)</f>
        <v>45066.220474530004</v>
      </c>
      <c r="I76" s="28"/>
    </row>
    <row r="77" spans="1:9">
      <c r="A77" s="52" t="s">
        <v>262</v>
      </c>
      <c r="C77" s="28"/>
      <c r="D77" s="28"/>
      <c r="E77" s="28"/>
      <c r="F77" s="28"/>
      <c r="G77" s="28"/>
      <c r="H77" s="28"/>
      <c r="I77" s="28"/>
    </row>
    <row r="78" spans="1:9">
      <c r="A78" t="s">
        <v>383</v>
      </c>
      <c r="B78" s="28">
        <f>I75</f>
        <v>263.88600000000002</v>
      </c>
      <c r="C78" s="28">
        <f>3830.125+273.917</f>
        <v>4104.0420000000004</v>
      </c>
      <c r="D78" s="28">
        <v>26.211371240000002</v>
      </c>
      <c r="E78" s="28">
        <f t="shared" ref="E78:E89" si="20">B78+C78+D78</f>
        <v>4394.1393712400004</v>
      </c>
      <c r="F78" s="28">
        <f t="shared" ref="F78:F89" si="21">H78-G78</f>
        <v>3083.9756259600003</v>
      </c>
      <c r="G78" s="28">
        <v>932.53874528000006</v>
      </c>
      <c r="H78" s="28">
        <f t="shared" ref="H78:H89" si="22">E78-I78</f>
        <v>4016.5143712400004</v>
      </c>
      <c r="I78" s="28">
        <f>335.413+42.212</f>
        <v>377.625</v>
      </c>
    </row>
    <row r="79" spans="1:9">
      <c r="A79" t="s">
        <v>384</v>
      </c>
      <c r="B79" s="28">
        <f>+I78</f>
        <v>377.625</v>
      </c>
      <c r="C79" s="28">
        <f>3739.093+273.414</f>
        <v>4012.5069999999996</v>
      </c>
      <c r="D79" s="28">
        <v>27.943635690000001</v>
      </c>
      <c r="E79" s="28">
        <f t="shared" si="20"/>
        <v>4418.0756356899992</v>
      </c>
      <c r="F79" s="28">
        <f t="shared" si="21"/>
        <v>2997.5384187499994</v>
      </c>
      <c r="G79" s="28">
        <v>1012.5042169400001</v>
      </c>
      <c r="H79" s="28">
        <f t="shared" si="22"/>
        <v>4010.0426356899993</v>
      </c>
      <c r="I79" s="28">
        <f>361.959+46.074</f>
        <v>408.03300000000002</v>
      </c>
    </row>
    <row r="80" spans="1:9">
      <c r="A80" t="s">
        <v>385</v>
      </c>
      <c r="B80" s="28">
        <f t="shared" ref="B80:B89" si="23">+I79</f>
        <v>408.03300000000002</v>
      </c>
      <c r="C80" s="28">
        <f>3690.668+273.479</f>
        <v>3964.1469999999999</v>
      </c>
      <c r="D80" s="28">
        <v>25.7155567</v>
      </c>
      <c r="E80" s="28">
        <f t="shared" si="20"/>
        <v>4397.8955567000003</v>
      </c>
      <c r="F80" s="28">
        <f t="shared" si="21"/>
        <v>3011.8811786500005</v>
      </c>
      <c r="G80" s="28">
        <v>939.60437805000004</v>
      </c>
      <c r="H80" s="28">
        <f t="shared" si="22"/>
        <v>3951.4855567000004</v>
      </c>
      <c r="I80" s="28">
        <f>403.901+42.509</f>
        <v>446.41</v>
      </c>
    </row>
    <row r="81" spans="1:21">
      <c r="A81" t="s">
        <v>386</v>
      </c>
      <c r="B81" s="28">
        <f t="shared" si="23"/>
        <v>446.41</v>
      </c>
      <c r="C81" s="28">
        <f>3763.462+261.739</f>
        <v>4025.201</v>
      </c>
      <c r="D81" s="28">
        <v>36.22422352000001</v>
      </c>
      <c r="E81" s="28">
        <f t="shared" si="20"/>
        <v>4507.83522352</v>
      </c>
      <c r="F81" s="28">
        <f t="shared" si="21"/>
        <v>2765.4075701799998</v>
      </c>
      <c r="G81" s="28">
        <v>1307.5546533400002</v>
      </c>
      <c r="H81" s="28">
        <f t="shared" si="22"/>
        <v>4072.96222352</v>
      </c>
      <c r="I81" s="28">
        <f>394.425+40.448</f>
        <v>434.87299999999999</v>
      </c>
    </row>
    <row r="82" spans="1:21">
      <c r="A82" t="s">
        <v>387</v>
      </c>
      <c r="B82" s="28">
        <f t="shared" si="23"/>
        <v>434.87299999999999</v>
      </c>
      <c r="C82" s="28">
        <f>3331.018+228.174</f>
        <v>3559.192</v>
      </c>
      <c r="D82" s="28">
        <v>35.596022750000003</v>
      </c>
      <c r="E82" s="28">
        <f t="shared" si="20"/>
        <v>4029.66102275</v>
      </c>
      <c r="F82" s="28">
        <f t="shared" si="21"/>
        <v>2570.3397904000003</v>
      </c>
      <c r="G82" s="28">
        <v>1054.50923235</v>
      </c>
      <c r="H82" s="28">
        <f t="shared" si="22"/>
        <v>3624.8490227500001</v>
      </c>
      <c r="I82" s="28">
        <f>372.404+32.408</f>
        <v>404.81200000000001</v>
      </c>
    </row>
    <row r="83" spans="1:21">
      <c r="A83" t="s">
        <v>388</v>
      </c>
      <c r="B83" s="28">
        <f t="shared" si="23"/>
        <v>404.81200000000001</v>
      </c>
      <c r="C83" s="28">
        <f>3528.733+244.932</f>
        <v>3773.665</v>
      </c>
      <c r="D83" s="28">
        <v>25.82424348</v>
      </c>
      <c r="E83" s="28">
        <f t="shared" si="20"/>
        <v>4204.3012434800003</v>
      </c>
      <c r="F83" s="28">
        <f t="shared" si="21"/>
        <v>2406.8028567000001</v>
      </c>
      <c r="G83" s="28">
        <v>1443.0193867800003</v>
      </c>
      <c r="H83" s="28">
        <f t="shared" si="22"/>
        <v>3849.8222434800005</v>
      </c>
      <c r="I83" s="28">
        <f>318.123+36.356</f>
        <v>354.47899999999998</v>
      </c>
    </row>
    <row r="84" spans="1:21">
      <c r="A84" t="s">
        <v>389</v>
      </c>
      <c r="B84" s="28">
        <f t="shared" si="23"/>
        <v>354.47899999999998</v>
      </c>
      <c r="C84" s="28">
        <f>3300.745+222.754</f>
        <v>3523.4989999999998</v>
      </c>
      <c r="D84" s="28">
        <v>28.728252830000002</v>
      </c>
      <c r="E84" s="28">
        <f t="shared" si="20"/>
        <v>3906.7062528299998</v>
      </c>
      <c r="F84" s="28">
        <f t="shared" si="21"/>
        <v>2566.6701516099997</v>
      </c>
      <c r="G84" s="28">
        <v>909.9061012200001</v>
      </c>
      <c r="H84" s="28">
        <f t="shared" si="22"/>
        <v>3476.5762528299997</v>
      </c>
      <c r="I84" s="28">
        <f>387.207+42.923</f>
        <v>430.13</v>
      </c>
    </row>
    <row r="85" spans="1:21">
      <c r="A85" t="s">
        <v>391</v>
      </c>
      <c r="B85" s="28">
        <f t="shared" si="23"/>
        <v>430.13</v>
      </c>
      <c r="C85" s="28">
        <f>3491.318+240.712</f>
        <v>3732.03</v>
      </c>
      <c r="D85" s="28">
        <v>34.646942450000004</v>
      </c>
      <c r="E85" s="28">
        <f t="shared" si="20"/>
        <v>4196.80694245</v>
      </c>
      <c r="F85" s="28">
        <f t="shared" si="21"/>
        <v>2970.5598161599996</v>
      </c>
      <c r="G85" s="28">
        <v>798.25512629000002</v>
      </c>
      <c r="H85" s="28">
        <f t="shared" si="22"/>
        <v>3768.8149424499998</v>
      </c>
      <c r="I85" s="28">
        <f>375.156+52.836</f>
        <v>427.99200000000002</v>
      </c>
    </row>
    <row r="86" spans="1:21">
      <c r="A86" t="s">
        <v>392</v>
      </c>
      <c r="B86" s="28">
        <f t="shared" si="23"/>
        <v>427.99200000000002</v>
      </c>
      <c r="C86" s="28">
        <f>3268.397+221.13</f>
        <v>3489.527</v>
      </c>
      <c r="D86" s="28">
        <v>30.459304750000005</v>
      </c>
      <c r="E86" s="28">
        <f t="shared" si="20"/>
        <v>3947.9783047500005</v>
      </c>
      <c r="F86" s="28">
        <f t="shared" si="21"/>
        <v>2746.9403550100005</v>
      </c>
      <c r="G86" s="28">
        <v>851.05694974000005</v>
      </c>
      <c r="H86" s="28">
        <f t="shared" si="22"/>
        <v>3597.9973047500007</v>
      </c>
      <c r="I86" s="28">
        <f>314.965+35.016</f>
        <v>349.98099999999999</v>
      </c>
    </row>
    <row r="87" spans="1:21">
      <c r="A87" t="s">
        <v>393</v>
      </c>
      <c r="B87" s="28">
        <f t="shared" si="23"/>
        <v>349.98099999999999</v>
      </c>
      <c r="C87" s="28">
        <f>3400.652+237.432</f>
        <v>3638.0839999999998</v>
      </c>
      <c r="D87" s="28">
        <v>17.686513730000001</v>
      </c>
      <c r="E87" s="28">
        <f t="shared" si="20"/>
        <v>4005.7515137299997</v>
      </c>
      <c r="F87" s="28">
        <f t="shared" si="21"/>
        <v>2809.1355166199996</v>
      </c>
      <c r="G87" s="28">
        <v>772.91699711000001</v>
      </c>
      <c r="H87" s="28">
        <f t="shared" si="22"/>
        <v>3582.0525137299996</v>
      </c>
      <c r="I87" s="28">
        <f>385.868+37.831</f>
        <v>423.69900000000001</v>
      </c>
    </row>
    <row r="88" spans="1:21">
      <c r="A88" t="s">
        <v>394</v>
      </c>
      <c r="B88" s="28">
        <f t="shared" si="23"/>
        <v>423.69900000000001</v>
      </c>
      <c r="C88" s="28">
        <f>3319.155+237.324</f>
        <v>3556.4790000000003</v>
      </c>
      <c r="D88" s="28">
        <v>29.978591720000004</v>
      </c>
      <c r="E88" s="28">
        <f t="shared" si="20"/>
        <v>4010.1565917200005</v>
      </c>
      <c r="F88" s="28">
        <f t="shared" si="21"/>
        <v>2810.6362526200005</v>
      </c>
      <c r="G88" s="28">
        <v>873.0403391000001</v>
      </c>
      <c r="H88" s="28">
        <f t="shared" si="22"/>
        <v>3683.6765917200005</v>
      </c>
      <c r="I88" s="28">
        <f>290.921+35.559</f>
        <v>326.48</v>
      </c>
    </row>
    <row r="89" spans="1:21">
      <c r="A89" t="s">
        <v>382</v>
      </c>
      <c r="B89" s="28">
        <f t="shared" si="23"/>
        <v>326.48</v>
      </c>
      <c r="C89" s="28">
        <f>3188.771+219.873</f>
        <v>3408.6440000000002</v>
      </c>
      <c r="D89" s="28">
        <v>26.119439420000003</v>
      </c>
      <c r="E89" s="28">
        <f t="shared" si="20"/>
        <v>3761.2434394200004</v>
      </c>
      <c r="F89" s="28">
        <f t="shared" si="21"/>
        <v>2675.80702913</v>
      </c>
      <c r="G89" s="28">
        <v>684.80641029000003</v>
      </c>
      <c r="H89" s="28">
        <f t="shared" si="22"/>
        <v>3360.6134394200003</v>
      </c>
      <c r="I89" s="28">
        <f>353.758+46.872</f>
        <v>400.63</v>
      </c>
    </row>
    <row r="90" spans="1:21">
      <c r="A90" t="s">
        <v>218</v>
      </c>
      <c r="C90" s="28">
        <f>SUM(C78:C89)</f>
        <v>44787.017</v>
      </c>
      <c r="D90" s="28">
        <f>SUM(D78:D89)</f>
        <v>345.13409828000005</v>
      </c>
      <c r="E90" s="28">
        <f>B78+C90+D90</f>
        <v>45396.037098280001</v>
      </c>
      <c r="F90" s="28">
        <f>SUM(F78:F89)</f>
        <v>33415.694561789998</v>
      </c>
      <c r="G90" s="28">
        <f>SUM(G78:G89)</f>
        <v>11579.71253649</v>
      </c>
      <c r="H90" s="28">
        <f>SUM(H78:H89)</f>
        <v>44995.407098280004</v>
      </c>
    </row>
    <row r="91" spans="1:21">
      <c r="A91" t="s">
        <v>270</v>
      </c>
      <c r="C91" s="28"/>
      <c r="D91" s="28"/>
      <c r="E91" s="28"/>
      <c r="F91" s="28"/>
      <c r="G91" s="28"/>
      <c r="H91" s="28"/>
    </row>
    <row r="92" spans="1:21" ht="11.25" customHeight="1">
      <c r="A92" t="s">
        <v>383</v>
      </c>
      <c r="B92" s="28">
        <f>I89</f>
        <v>400.63</v>
      </c>
      <c r="C92" s="28">
        <f>3847.77+276.055</f>
        <v>4123.8249999999998</v>
      </c>
      <c r="D92" s="28">
        <v>29.508901690000002</v>
      </c>
      <c r="E92" s="28">
        <f>B92+C92+D92</f>
        <v>4553.9639016900001</v>
      </c>
      <c r="F92" s="28">
        <f t="shared" ref="F92:F103" si="24">H92-G92</f>
        <v>3378.2286493521142</v>
      </c>
      <c r="G92" s="28">
        <v>782.43225233788587</v>
      </c>
      <c r="H92" s="28">
        <f>E92-I92</f>
        <v>4160.6609016900002</v>
      </c>
      <c r="I92" s="28">
        <f>350.935+42.368</f>
        <v>393.303</v>
      </c>
      <c r="K92" s="221"/>
      <c r="L92" s="221"/>
      <c r="M92" s="221"/>
      <c r="N92" s="221"/>
      <c r="O92" s="221"/>
      <c r="P92" s="221"/>
      <c r="Q92" s="221"/>
      <c r="R92" s="221"/>
      <c r="S92" s="221"/>
      <c r="T92" s="221"/>
      <c r="U92" s="221"/>
    </row>
    <row r="93" spans="1:21" ht="11.25" customHeight="1">
      <c r="A93" t="s">
        <v>384</v>
      </c>
      <c r="B93" s="28">
        <f>I92</f>
        <v>393.303</v>
      </c>
      <c r="C93" s="28">
        <f>3829.14+272.552</f>
        <v>4101.692</v>
      </c>
      <c r="D93" s="28">
        <v>31.61705044</v>
      </c>
      <c r="E93" s="28">
        <f t="shared" ref="E93:E103" si="25">B93+C93+D93</f>
        <v>4526.6120504399996</v>
      </c>
      <c r="F93" s="28">
        <f t="shared" si="24"/>
        <v>3025.3470060502104</v>
      </c>
      <c r="G93" s="28">
        <v>1112.157044389789</v>
      </c>
      <c r="H93" s="28">
        <f t="shared" ref="H93:H103" si="26">E93-I93</f>
        <v>4137.5040504399994</v>
      </c>
      <c r="I93" s="28">
        <f>354.998+34.11</f>
        <v>389.108</v>
      </c>
    </row>
    <row r="94" spans="1:21">
      <c r="A94" t="s">
        <v>385</v>
      </c>
      <c r="B94" s="28">
        <f t="shared" ref="B94:B103" si="27">I93</f>
        <v>389.108</v>
      </c>
      <c r="C94" s="28">
        <f>3904.161+268.856</f>
        <v>4173.0169999999998</v>
      </c>
      <c r="D94" s="28">
        <v>32.084866560000002</v>
      </c>
      <c r="E94" s="28">
        <f t="shared" si="25"/>
        <v>4594.2098665599997</v>
      </c>
      <c r="F94" s="28">
        <f t="shared" si="24"/>
        <v>2858.1361512965786</v>
      </c>
      <c r="G94" s="28">
        <v>1181.191715263421</v>
      </c>
      <c r="H94" s="28">
        <f t="shared" si="26"/>
        <v>4039.3278665599996</v>
      </c>
      <c r="I94" s="28">
        <f>506.203+48.679</f>
        <v>554.88199999999995</v>
      </c>
    </row>
    <row r="95" spans="1:21">
      <c r="A95" t="s">
        <v>386</v>
      </c>
      <c r="B95" s="28">
        <f t="shared" si="27"/>
        <v>554.88199999999995</v>
      </c>
      <c r="C95" s="28">
        <f>3859.849+268.466</f>
        <v>4128.3150000000005</v>
      </c>
      <c r="D95" s="28">
        <v>47.442110159999999</v>
      </c>
      <c r="E95" s="28">
        <f t="shared" si="25"/>
        <v>4730.6391101600002</v>
      </c>
      <c r="F95" s="28">
        <f t="shared" si="24"/>
        <v>3142.7934839911836</v>
      </c>
      <c r="G95" s="28">
        <v>1177.8346261688162</v>
      </c>
      <c r="H95" s="28">
        <f t="shared" si="26"/>
        <v>4320.6281101599998</v>
      </c>
      <c r="I95" s="28">
        <f>379.359+30.652</f>
        <v>410.01099999999997</v>
      </c>
    </row>
    <row r="96" spans="1:21">
      <c r="A96" t="s">
        <v>387</v>
      </c>
      <c r="B96" s="28">
        <f t="shared" si="27"/>
        <v>410.01099999999997</v>
      </c>
      <c r="C96" s="28">
        <f>3651.786+247.786</f>
        <v>3899.5720000000001</v>
      </c>
      <c r="D96" s="28">
        <v>48.122449720000006</v>
      </c>
      <c r="E96" s="28">
        <f t="shared" si="25"/>
        <v>4357.7054497200006</v>
      </c>
      <c r="F96" s="28">
        <f t="shared" si="24"/>
        <v>2661.1779639620477</v>
      </c>
      <c r="G96" s="28">
        <v>1240.735485757953</v>
      </c>
      <c r="H96" s="28">
        <f t="shared" si="26"/>
        <v>3901.9134497200007</v>
      </c>
      <c r="I96" s="28">
        <f>415.077+40.715</f>
        <v>455.79200000000003</v>
      </c>
    </row>
    <row r="97" spans="1:9">
      <c r="A97" t="s">
        <v>388</v>
      </c>
      <c r="B97" s="28">
        <f t="shared" si="27"/>
        <v>455.79200000000003</v>
      </c>
      <c r="C97" s="28">
        <f>4029.272+277.277</f>
        <v>4306.549</v>
      </c>
      <c r="D97" s="28">
        <v>54.553157690000006</v>
      </c>
      <c r="E97" s="28">
        <f t="shared" si="25"/>
        <v>4816.8941576900006</v>
      </c>
      <c r="F97" s="28">
        <f t="shared" si="24"/>
        <v>2941.8055513353011</v>
      </c>
      <c r="G97" s="28">
        <v>1330.8976063547</v>
      </c>
      <c r="H97" s="28">
        <f t="shared" si="26"/>
        <v>4272.7031576900008</v>
      </c>
      <c r="I97" s="28">
        <f>492.224+51.967</f>
        <v>544.19100000000003</v>
      </c>
    </row>
    <row r="98" spans="1:9">
      <c r="A98" t="s">
        <v>389</v>
      </c>
      <c r="B98" s="28">
        <f t="shared" si="27"/>
        <v>544.19100000000003</v>
      </c>
      <c r="C98" s="28">
        <f>3822.338+257.585</f>
        <v>4079.9230000000002</v>
      </c>
      <c r="D98" s="28">
        <v>37.893105720000008</v>
      </c>
      <c r="E98" s="28">
        <f t="shared" si="25"/>
        <v>4662.0071057200003</v>
      </c>
      <c r="F98" s="28">
        <f t="shared" si="24"/>
        <v>2992.0766714505844</v>
      </c>
      <c r="G98" s="28">
        <v>1217.8044342694159</v>
      </c>
      <c r="H98" s="28">
        <f t="shared" si="26"/>
        <v>4209.8811057200001</v>
      </c>
      <c r="I98" s="28">
        <f>404.468+47.658</f>
        <v>452.12600000000003</v>
      </c>
    </row>
    <row r="99" spans="1:9">
      <c r="A99" t="s">
        <v>391</v>
      </c>
      <c r="B99" s="28">
        <f t="shared" si="27"/>
        <v>452.12600000000003</v>
      </c>
      <c r="C99" s="28">
        <f>3846.687+262.574</f>
        <v>4109.2609999999995</v>
      </c>
      <c r="D99" s="28">
        <v>40.56508092</v>
      </c>
      <c r="E99" s="28">
        <f t="shared" si="25"/>
        <v>4601.9520809199994</v>
      </c>
      <c r="F99" s="28">
        <f t="shared" si="24"/>
        <v>2889.4579929917863</v>
      </c>
      <c r="G99" s="28">
        <v>1279.3670879282129</v>
      </c>
      <c r="H99" s="28">
        <f t="shared" si="26"/>
        <v>4168.825080919999</v>
      </c>
      <c r="I99" s="28">
        <f>391.812+41.315</f>
        <v>433.12700000000001</v>
      </c>
    </row>
    <row r="100" spans="1:9">
      <c r="A100" t="s">
        <v>392</v>
      </c>
      <c r="B100" s="28">
        <f t="shared" si="27"/>
        <v>433.12700000000001</v>
      </c>
      <c r="C100" s="28">
        <f>3778.127+254.192</f>
        <v>4032.319</v>
      </c>
      <c r="D100" s="28">
        <v>41.48572188</v>
      </c>
      <c r="E100" s="28">
        <f t="shared" si="25"/>
        <v>4506.9317218799997</v>
      </c>
      <c r="F100" s="28">
        <f t="shared" si="24"/>
        <v>2726.159124012107</v>
      </c>
      <c r="G100" s="28">
        <v>1382.243597867893</v>
      </c>
      <c r="H100" s="28">
        <f t="shared" si="26"/>
        <v>4108.4027218800002</v>
      </c>
      <c r="I100" s="28">
        <f>359.823+38.706</f>
        <v>398.529</v>
      </c>
    </row>
    <row r="101" spans="1:9">
      <c r="A101" t="s">
        <v>393</v>
      </c>
      <c r="B101" s="28">
        <f t="shared" si="27"/>
        <v>398.529</v>
      </c>
      <c r="C101" s="28">
        <f>3979.12+265.562</f>
        <v>4244.6819999999998</v>
      </c>
      <c r="D101" s="28">
        <v>39.955839709999999</v>
      </c>
      <c r="E101" s="28">
        <f t="shared" si="25"/>
        <v>4683.1668397099993</v>
      </c>
      <c r="F101" s="28">
        <f t="shared" si="24"/>
        <v>3100.2269984610584</v>
      </c>
      <c r="G101" s="28">
        <v>1070.510841248941</v>
      </c>
      <c r="H101" s="28">
        <f t="shared" si="26"/>
        <v>4170.7378397099992</v>
      </c>
      <c r="I101" s="28">
        <f>462.35+50.079</f>
        <v>512.42899999999997</v>
      </c>
    </row>
    <row r="102" spans="1:9">
      <c r="A102" t="s">
        <v>394</v>
      </c>
      <c r="B102" s="28">
        <f t="shared" si="27"/>
        <v>512.42899999999997</v>
      </c>
      <c r="C102" s="28">
        <f>3771.727+259.078</f>
        <v>4030.8049999999998</v>
      </c>
      <c r="D102" s="28">
        <v>45.653628409999996</v>
      </c>
      <c r="E102" s="28">
        <f t="shared" si="25"/>
        <v>4588.8876284099997</v>
      </c>
      <c r="F102" s="28">
        <f t="shared" si="24"/>
        <v>2985.4648673343345</v>
      </c>
      <c r="G102" s="28">
        <v>1202.3697610756651</v>
      </c>
      <c r="H102" s="28">
        <f t="shared" si="26"/>
        <v>4187.8346284099998</v>
      </c>
      <c r="I102" s="28">
        <f>359.936+41.117</f>
        <v>401.053</v>
      </c>
    </row>
    <row r="103" spans="1:9">
      <c r="A103" t="s">
        <v>382</v>
      </c>
      <c r="B103" s="28">
        <f t="shared" si="27"/>
        <v>401.053</v>
      </c>
      <c r="C103" s="28">
        <f>3740.681+254.965</f>
        <v>3995.6460000000002</v>
      </c>
      <c r="D103" s="28">
        <v>33.906748</v>
      </c>
      <c r="E103" s="28">
        <f t="shared" si="25"/>
        <v>4430.6057480000009</v>
      </c>
      <c r="F103" s="28">
        <f t="shared" si="24"/>
        <v>2834.2296049909719</v>
      </c>
      <c r="G103" s="28">
        <v>1040.952143009029</v>
      </c>
      <c r="H103" s="28">
        <f t="shared" si="26"/>
        <v>3875.1817480000009</v>
      </c>
      <c r="I103" s="28">
        <f>501.299+54.125</f>
        <v>555.42399999999998</v>
      </c>
    </row>
    <row r="104" spans="1:9">
      <c r="A104" t="s">
        <v>218</v>
      </c>
      <c r="C104" s="28">
        <f>SUM(C92:C103)</f>
        <v>49225.606000000007</v>
      </c>
      <c r="D104" s="28">
        <f>SUM(D92:D103)</f>
        <v>482.78866090000002</v>
      </c>
      <c r="E104" s="28">
        <f>B92+C104+D104</f>
        <v>50109.024660900002</v>
      </c>
      <c r="F104" s="28">
        <f>SUM(F92:F103)</f>
        <v>35535.104065228275</v>
      </c>
      <c r="G104" s="28">
        <f>SUM(G92:G103)</f>
        <v>14018.496595671721</v>
      </c>
      <c r="H104" s="28">
        <f>SUM(H92:H103)</f>
        <v>49553.600660899989</v>
      </c>
    </row>
    <row r="105" spans="1:9">
      <c r="A105" t="s">
        <v>295</v>
      </c>
      <c r="C105" s="28"/>
      <c r="D105" s="28"/>
      <c r="E105" s="28"/>
      <c r="F105" s="28"/>
      <c r="G105" s="28"/>
      <c r="H105" s="28"/>
    </row>
    <row r="106" spans="1:9">
      <c r="A106" t="s">
        <v>383</v>
      </c>
      <c r="B106" s="28">
        <f>I103</f>
        <v>555.42399999999998</v>
      </c>
      <c r="C106" s="28">
        <f>4020.038+270.986</f>
        <v>4291.0240000000003</v>
      </c>
      <c r="D106" s="28">
        <v>53.307999609999996</v>
      </c>
      <c r="E106" s="28">
        <f>B106+C106+D106</f>
        <v>4899.7559996099999</v>
      </c>
      <c r="F106" s="28">
        <f t="shared" ref="F106:F117" si="28">H106-G106</f>
        <v>3354.2959408007437</v>
      </c>
      <c r="G106" s="28">
        <v>1100.5890588092559</v>
      </c>
      <c r="H106" s="28">
        <f t="shared" ref="H106:H117" si="29">E106-I106</f>
        <v>4454.8849996099998</v>
      </c>
      <c r="I106" s="28">
        <f>399.414+45.457</f>
        <v>444.87099999999998</v>
      </c>
    </row>
    <row r="107" spans="1:9">
      <c r="A107" t="s">
        <v>384</v>
      </c>
      <c r="B107" s="28">
        <f>I106</f>
        <v>444.87099999999998</v>
      </c>
      <c r="C107" s="28">
        <f>3889.342+265.758</f>
        <v>4155.1000000000004</v>
      </c>
      <c r="D107" s="28">
        <v>38.340859979999998</v>
      </c>
      <c r="E107" s="28">
        <f t="shared" ref="E107:E117" si="30">B107+C107+D107</f>
        <v>4638.31185998</v>
      </c>
      <c r="F107" s="28">
        <f t="shared" si="28"/>
        <v>3150.9639179495935</v>
      </c>
      <c r="G107" s="28">
        <v>1151.8929420304069</v>
      </c>
      <c r="H107" s="28">
        <f t="shared" si="29"/>
        <v>4302.8568599800001</v>
      </c>
      <c r="I107" s="28">
        <f>294.996+40.459</f>
        <v>335.45499999999998</v>
      </c>
    </row>
    <row r="108" spans="1:9">
      <c r="A108" t="s">
        <v>385</v>
      </c>
      <c r="B108" s="28">
        <f t="shared" ref="B108:B117" si="31">I107</f>
        <v>335.45499999999998</v>
      </c>
      <c r="C108" s="28">
        <f>4016.547+279.141</f>
        <v>4295.6880000000001</v>
      </c>
      <c r="D108" s="28">
        <v>59.493886750000009</v>
      </c>
      <c r="E108" s="28">
        <f t="shared" si="30"/>
        <v>4690.6368867500005</v>
      </c>
      <c r="F108" s="28">
        <f t="shared" si="28"/>
        <v>3110.3485955126116</v>
      </c>
      <c r="G108" s="28">
        <v>1145.1822912373889</v>
      </c>
      <c r="H108" s="28">
        <f t="shared" si="29"/>
        <v>4255.5308867500007</v>
      </c>
      <c r="I108" s="28">
        <f>394.444+40.662</f>
        <v>435.10599999999999</v>
      </c>
    </row>
    <row r="109" spans="1:9">
      <c r="A109" t="s">
        <v>386</v>
      </c>
      <c r="B109" s="28">
        <f t="shared" si="31"/>
        <v>435.10599999999999</v>
      </c>
      <c r="C109" s="28">
        <f>3988.737+280.766</f>
        <v>4269.5029999999997</v>
      </c>
      <c r="D109" s="28">
        <v>63.069637720000003</v>
      </c>
      <c r="E109" s="28">
        <f t="shared" si="30"/>
        <v>4767.6786377199996</v>
      </c>
      <c r="F109" s="28">
        <f t="shared" si="28"/>
        <v>2781.3488634283894</v>
      </c>
      <c r="G109" s="28">
        <v>1566.5287742916098</v>
      </c>
      <c r="H109" s="28">
        <f t="shared" si="29"/>
        <v>4347.8776377199993</v>
      </c>
      <c r="I109" s="28">
        <f>380.224+39.577</f>
        <v>419.80099999999999</v>
      </c>
    </row>
    <row r="110" spans="1:9">
      <c r="A110" t="s">
        <v>387</v>
      </c>
      <c r="B110" s="28">
        <f t="shared" si="31"/>
        <v>419.80099999999999</v>
      </c>
      <c r="C110" s="28">
        <f>3583.222+253.395</f>
        <v>3836.6170000000002</v>
      </c>
      <c r="D110" s="28">
        <v>59.013945330000006</v>
      </c>
      <c r="E110" s="28">
        <f t="shared" si="30"/>
        <v>4315.4319453300004</v>
      </c>
      <c r="F110" s="28">
        <f t="shared" si="28"/>
        <v>2935.1884591788094</v>
      </c>
      <c r="G110" s="28">
        <v>1085.3644861511909</v>
      </c>
      <c r="H110" s="28">
        <f t="shared" si="29"/>
        <v>4020.5529453300005</v>
      </c>
      <c r="I110" s="28">
        <f>263.515+31.364</f>
        <v>294.87899999999996</v>
      </c>
    </row>
    <row r="111" spans="1:9">
      <c r="A111" t="s">
        <v>388</v>
      </c>
      <c r="B111" s="28">
        <f t="shared" si="31"/>
        <v>294.87899999999996</v>
      </c>
      <c r="C111" s="28">
        <f>3926.558+274.26</f>
        <v>4200.8180000000002</v>
      </c>
      <c r="D111" s="28">
        <v>73.513379069999999</v>
      </c>
      <c r="E111" s="28">
        <f t="shared" si="30"/>
        <v>4569.2103790700003</v>
      </c>
      <c r="F111" s="28">
        <f t="shared" si="28"/>
        <v>2887.6002092499257</v>
      </c>
      <c r="G111" s="28">
        <v>1171.517169820075</v>
      </c>
      <c r="H111" s="28">
        <f t="shared" si="29"/>
        <v>4059.1173790700004</v>
      </c>
      <c r="I111" s="28">
        <f>465.159+44.934</f>
        <v>510.09299999999996</v>
      </c>
    </row>
    <row r="112" spans="1:9">
      <c r="A112" t="s">
        <v>389</v>
      </c>
      <c r="B112" s="28">
        <f t="shared" si="31"/>
        <v>510.09299999999996</v>
      </c>
      <c r="C112" s="28">
        <f>3763.527+259.021</f>
        <v>4022.5480000000002</v>
      </c>
      <c r="D112" s="28">
        <v>74.511621950000006</v>
      </c>
      <c r="E112" s="28">
        <f t="shared" si="30"/>
        <v>4607.1526219500001</v>
      </c>
      <c r="F112" s="28">
        <f t="shared" si="28"/>
        <v>2839.2449443935025</v>
      </c>
      <c r="G112" s="28">
        <v>1382.7346775564979</v>
      </c>
      <c r="H112" s="28">
        <f t="shared" si="29"/>
        <v>4221.9796219500004</v>
      </c>
      <c r="I112" s="28">
        <f>337.326+47.847</f>
        <v>385.173</v>
      </c>
    </row>
    <row r="113" spans="1:11">
      <c r="A113" t="s">
        <v>391</v>
      </c>
      <c r="B113" s="28">
        <f t="shared" si="31"/>
        <v>385.173</v>
      </c>
      <c r="C113" s="28">
        <f>3660.325+249.227</f>
        <v>3909.5519999999997</v>
      </c>
      <c r="D113" s="28">
        <v>68.872806299999993</v>
      </c>
      <c r="E113" s="28">
        <f t="shared" si="30"/>
        <v>4363.5978062999993</v>
      </c>
      <c r="F113" s="28">
        <f t="shared" si="28"/>
        <v>2984.6680940716983</v>
      </c>
      <c r="G113" s="28">
        <v>1066.824712228301</v>
      </c>
      <c r="H113" s="28">
        <f t="shared" si="29"/>
        <v>4051.4928062999993</v>
      </c>
      <c r="I113" s="28">
        <f>276.276+35.829</f>
        <v>312.10500000000002</v>
      </c>
    </row>
    <row r="114" spans="1:11">
      <c r="A114" t="s">
        <v>392</v>
      </c>
      <c r="B114" s="28">
        <f t="shared" si="31"/>
        <v>312.10500000000002</v>
      </c>
      <c r="C114" s="28">
        <f>3453.178+243.145</f>
        <v>3696.3229999999999</v>
      </c>
      <c r="D114" s="28">
        <v>42.894461280000002</v>
      </c>
      <c r="E114" s="28">
        <f t="shared" si="30"/>
        <v>4051.32246128</v>
      </c>
      <c r="F114" s="28">
        <f t="shared" si="28"/>
        <v>2808.8262466951837</v>
      </c>
      <c r="G114" s="28">
        <v>818.04021458481589</v>
      </c>
      <c r="H114" s="28">
        <f t="shared" si="29"/>
        <v>3626.8664612799998</v>
      </c>
      <c r="I114" s="28">
        <f>376.025+48.431</f>
        <v>424.45599999999996</v>
      </c>
    </row>
    <row r="115" spans="1:11">
      <c r="A115" t="s">
        <v>393</v>
      </c>
      <c r="B115" s="28">
        <f t="shared" si="31"/>
        <v>424.45599999999996</v>
      </c>
      <c r="C115" s="28">
        <f>3918.907+267.367</f>
        <v>4186.2740000000003</v>
      </c>
      <c r="D115" s="28">
        <v>54.497050620000003</v>
      </c>
      <c r="E115" s="28">
        <f t="shared" si="30"/>
        <v>4665.2270506200002</v>
      </c>
      <c r="F115" s="28">
        <f t="shared" si="28"/>
        <v>3375.6902057024936</v>
      </c>
      <c r="G115" s="28">
        <v>904.32484491750688</v>
      </c>
      <c r="H115" s="28">
        <f t="shared" si="29"/>
        <v>4280.0150506200007</v>
      </c>
      <c r="I115" s="28">
        <f>345.45+39.762</f>
        <v>385.21199999999999</v>
      </c>
    </row>
    <row r="116" spans="1:11">
      <c r="A116" t="s">
        <v>394</v>
      </c>
      <c r="B116" s="28">
        <f t="shared" si="31"/>
        <v>385.21199999999999</v>
      </c>
      <c r="C116" s="28">
        <f>3880.5+270.264</f>
        <v>4150.7640000000001</v>
      </c>
      <c r="D116" s="28">
        <v>56.547108159999993</v>
      </c>
      <c r="E116" s="28">
        <f t="shared" si="30"/>
        <v>4592.5231081600004</v>
      </c>
      <c r="F116" s="28">
        <f t="shared" si="28"/>
        <v>3121.2980215929992</v>
      </c>
      <c r="G116" s="28">
        <v>1037.9110865670009</v>
      </c>
      <c r="H116" s="28">
        <f t="shared" si="29"/>
        <v>4159.2091081600001</v>
      </c>
      <c r="I116" s="28">
        <f>384.976+48.338</f>
        <v>433.31400000000002</v>
      </c>
    </row>
    <row r="117" spans="1:11">
      <c r="A117" t="s">
        <v>382</v>
      </c>
      <c r="B117" s="28">
        <f t="shared" si="31"/>
        <v>433.31400000000002</v>
      </c>
      <c r="C117" s="28">
        <f>3553.484+246.065</f>
        <v>3799.549</v>
      </c>
      <c r="D117" s="28">
        <v>39.193599259999992</v>
      </c>
      <c r="E117" s="28">
        <f t="shared" si="30"/>
        <v>4272.0565992600004</v>
      </c>
      <c r="F117" s="28">
        <f t="shared" si="28"/>
        <v>2918.1961137683938</v>
      </c>
      <c r="G117" s="28">
        <v>951.84548549160684</v>
      </c>
      <c r="H117" s="28">
        <f t="shared" si="29"/>
        <v>3870.0415992600006</v>
      </c>
      <c r="I117" s="28">
        <f>360.387+41.628</f>
        <v>402.01499999999999</v>
      </c>
    </row>
    <row r="118" spans="1:11">
      <c r="A118" t="s">
        <v>218</v>
      </c>
      <c r="C118" s="28">
        <f>SUM(C106:C117)</f>
        <v>48813.759999999995</v>
      </c>
      <c r="D118" s="28">
        <f>SUM(D106:D117)</f>
        <v>683.25635603000001</v>
      </c>
      <c r="E118" s="28">
        <f>B106+C118+D118</f>
        <v>50052.440356029991</v>
      </c>
      <c r="F118" s="28">
        <f>SUM(F106:F117)</f>
        <v>36267.66961234434</v>
      </c>
      <c r="G118" s="28">
        <f>SUM(G106:G117)</f>
        <v>13382.755743685657</v>
      </c>
      <c r="H118" s="28">
        <f>SUM(H106:H117)</f>
        <v>49650.425356029999</v>
      </c>
    </row>
    <row r="119" spans="1:11" ht="13.15" customHeight="1">
      <c r="A119" t="s">
        <v>334</v>
      </c>
    </row>
    <row r="120" spans="1:11" ht="13.15" customHeight="1">
      <c r="A120" t="s">
        <v>383</v>
      </c>
      <c r="B120" s="28">
        <f>I117</f>
        <v>402.01499999999999</v>
      </c>
      <c r="C120" s="28">
        <f>4105.453+276.379</f>
        <v>4381.8320000000003</v>
      </c>
      <c r="D120" s="28">
        <v>47.701406214000002</v>
      </c>
      <c r="E120" s="28">
        <f>B120+C120+D120</f>
        <v>4831.5484062140004</v>
      </c>
      <c r="F120" s="28">
        <f>H120-G120</f>
        <v>3335.8555790157043</v>
      </c>
      <c r="G120" s="28">
        <v>1130.3338271982959</v>
      </c>
      <c r="H120" s="28">
        <f>E120-I120</f>
        <v>4466.189406214</v>
      </c>
      <c r="I120" s="28">
        <f>335.183+30.176</f>
        <v>365.35899999999998</v>
      </c>
    </row>
    <row r="121" spans="1:11" ht="10.15" customHeight="1">
      <c r="A121" t="s">
        <v>384</v>
      </c>
      <c r="B121" s="28">
        <f>I120</f>
        <v>365.35899999999998</v>
      </c>
      <c r="C121" s="28">
        <f>3855.827+255.945</f>
        <v>4111.7719999999999</v>
      </c>
      <c r="D121" s="28">
        <v>36.381443861699999</v>
      </c>
      <c r="E121" s="28">
        <f t="shared" ref="E121:E131" si="32">B121+C121+D121</f>
        <v>4513.5124438617004</v>
      </c>
      <c r="F121" s="28">
        <f t="shared" ref="F121:F131" si="33">H121-G121</f>
        <v>2808.0358504880564</v>
      </c>
      <c r="G121" s="28">
        <v>1238.0635933736439</v>
      </c>
      <c r="H121" s="28">
        <f t="shared" ref="H121:H131" si="34">E121-I121</f>
        <v>4046.0994438617004</v>
      </c>
      <c r="I121" s="28">
        <f>426.332+41.081</f>
        <v>467.41300000000001</v>
      </c>
    </row>
    <row r="122" spans="1:11">
      <c r="A122" t="s">
        <v>385</v>
      </c>
      <c r="B122" s="28">
        <f t="shared" ref="B122:B131" si="35">I121</f>
        <v>467.41300000000001</v>
      </c>
      <c r="C122" s="28">
        <f>4062.929+274.643</f>
        <v>4337.5720000000001</v>
      </c>
      <c r="D122" s="28">
        <v>52.497120450600001</v>
      </c>
      <c r="E122" s="28">
        <f t="shared" si="32"/>
        <v>4857.4821204506006</v>
      </c>
      <c r="F122" s="28">
        <f t="shared" si="33"/>
        <v>3394.5901592661176</v>
      </c>
      <c r="G122" s="28">
        <v>1085.819961184483</v>
      </c>
      <c r="H122" s="28">
        <f t="shared" si="34"/>
        <v>4480.4101204506005</v>
      </c>
      <c r="I122" s="28">
        <f>342.085+34.987</f>
        <v>377.072</v>
      </c>
    </row>
    <row r="123" spans="1:11">
      <c r="A123" t="s">
        <v>386</v>
      </c>
      <c r="B123" s="28">
        <f t="shared" si="35"/>
        <v>377.072</v>
      </c>
      <c r="C123" s="28">
        <f>4144.355+281.394</f>
        <v>4425.7489999999998</v>
      </c>
      <c r="D123" s="28">
        <v>61.006299984000002</v>
      </c>
      <c r="E123" s="28">
        <f t="shared" si="32"/>
        <v>4863.8272999840001</v>
      </c>
      <c r="F123" s="28">
        <f t="shared" si="33"/>
        <v>3443.2347830683111</v>
      </c>
      <c r="G123" s="28">
        <v>1075.659516915689</v>
      </c>
      <c r="H123" s="28">
        <f t="shared" si="34"/>
        <v>4518.8942999840001</v>
      </c>
      <c r="I123" s="28">
        <f>302.321+42.612</f>
        <v>344.93300000000005</v>
      </c>
    </row>
    <row r="124" spans="1:11">
      <c r="A124" t="s">
        <v>387</v>
      </c>
      <c r="B124" s="28">
        <f t="shared" si="35"/>
        <v>344.93300000000005</v>
      </c>
      <c r="C124" s="28">
        <f>3863.475+259.153</f>
        <v>4122.6279999999997</v>
      </c>
      <c r="D124" s="28">
        <v>50.316859523699996</v>
      </c>
      <c r="E124" s="28">
        <f t="shared" si="32"/>
        <v>4517.8778595237</v>
      </c>
      <c r="F124" s="28">
        <f t="shared" si="33"/>
        <v>2732.8425927840262</v>
      </c>
      <c r="G124" s="28">
        <v>1342.687266739674</v>
      </c>
      <c r="H124" s="28">
        <f t="shared" si="34"/>
        <v>4075.5298595237</v>
      </c>
      <c r="I124" s="28">
        <f>396.511+45.837</f>
        <v>442.34800000000001</v>
      </c>
    </row>
    <row r="125" spans="1:11">
      <c r="A125" t="s">
        <v>388</v>
      </c>
      <c r="B125" s="28">
        <f t="shared" si="35"/>
        <v>442.34800000000001</v>
      </c>
      <c r="C125" s="28">
        <f>4234.605+283.308</f>
        <v>4517.9129999999996</v>
      </c>
      <c r="D125" s="28">
        <v>63.440753827500004</v>
      </c>
      <c r="E125" s="28">
        <f t="shared" si="32"/>
        <v>5023.7017538274995</v>
      </c>
      <c r="F125" s="28">
        <f t="shared" si="33"/>
        <v>3241.8006185500058</v>
      </c>
      <c r="G125" s="28">
        <v>1366.8521352774937</v>
      </c>
      <c r="H125" s="28">
        <f t="shared" si="34"/>
        <v>4608.6527538274995</v>
      </c>
      <c r="I125" s="28">
        <f>368.552+46.497</f>
        <v>415.04900000000004</v>
      </c>
    </row>
    <row r="126" spans="1:11">
      <c r="A126" t="s">
        <v>389</v>
      </c>
      <c r="B126" s="28">
        <f t="shared" si="35"/>
        <v>415.04900000000004</v>
      </c>
      <c r="C126" s="28">
        <f>4038.22+273.957</f>
        <v>4312.1769999999997</v>
      </c>
      <c r="D126" s="28">
        <v>53.258596889400003</v>
      </c>
      <c r="E126" s="28">
        <f t="shared" si="32"/>
        <v>4780.4845968893997</v>
      </c>
      <c r="F126" s="28">
        <f t="shared" si="33"/>
        <v>3182.9966415989265</v>
      </c>
      <c r="G126" s="28">
        <v>1211.2949552904731</v>
      </c>
      <c r="H126" s="28">
        <f t="shared" si="34"/>
        <v>4394.2915968893994</v>
      </c>
      <c r="I126" s="28">
        <f>341.681+44.512</f>
        <v>386.19299999999998</v>
      </c>
    </row>
    <row r="127" spans="1:11">
      <c r="A127" t="s">
        <v>391</v>
      </c>
      <c r="B127" s="28">
        <f t="shared" si="35"/>
        <v>386.19299999999998</v>
      </c>
      <c r="C127" s="28">
        <f>3970.047+270.933</f>
        <v>4240.9799999999996</v>
      </c>
      <c r="D127" s="28">
        <v>45.268826299200001</v>
      </c>
      <c r="E127" s="28">
        <f t="shared" si="32"/>
        <v>4672.4418262991994</v>
      </c>
      <c r="F127" s="28">
        <f t="shared" si="33"/>
        <v>3091.2505460858456</v>
      </c>
      <c r="G127" s="28">
        <v>1083.3442802133538</v>
      </c>
      <c r="H127" s="28">
        <f t="shared" si="34"/>
        <v>4174.5948262991997</v>
      </c>
      <c r="I127" s="28">
        <f>442.173+55.674</f>
        <v>497.84699999999998</v>
      </c>
    </row>
    <row r="128" spans="1:11">
      <c r="A128" t="s">
        <v>392</v>
      </c>
      <c r="B128" s="28">
        <f t="shared" si="35"/>
        <v>497.84699999999998</v>
      </c>
      <c r="C128" s="28">
        <f>3904.725+262.751</f>
        <v>4167.4759999999997</v>
      </c>
      <c r="D128" s="28">
        <v>40.053241802699993</v>
      </c>
      <c r="E128" s="28">
        <f t="shared" si="32"/>
        <v>4705.376241802699</v>
      </c>
      <c r="F128" s="28">
        <f t="shared" si="33"/>
        <v>3149.2410206303502</v>
      </c>
      <c r="G128" s="28">
        <v>1093.8322211723491</v>
      </c>
      <c r="H128" s="28">
        <f t="shared" si="34"/>
        <v>4243.0732418026992</v>
      </c>
      <c r="I128" s="28">
        <f>420.426+41.877</f>
        <v>462.303</v>
      </c>
      <c r="K128" s="141"/>
    </row>
    <row r="129" spans="1:9">
      <c r="A129" t="s">
        <v>393</v>
      </c>
      <c r="B129" s="28">
        <f t="shared" si="35"/>
        <v>462.303</v>
      </c>
      <c r="C129" s="28">
        <f>4080.746+280.424</f>
        <v>4361.17</v>
      </c>
      <c r="D129" s="28">
        <v>57.713697027000002</v>
      </c>
      <c r="E129" s="28">
        <f t="shared" si="32"/>
        <v>4881.1866970270003</v>
      </c>
      <c r="F129" s="28">
        <f t="shared" si="33"/>
        <v>3328.9320060732607</v>
      </c>
      <c r="G129" s="28">
        <v>1101.7346909537389</v>
      </c>
      <c r="H129" s="28">
        <f t="shared" si="34"/>
        <v>4430.6666970269998</v>
      </c>
      <c r="I129" s="28">
        <f>411.925+38.595</f>
        <v>450.52</v>
      </c>
    </row>
    <row r="130" spans="1:9">
      <c r="A130" t="s">
        <v>394</v>
      </c>
      <c r="B130" s="28">
        <f t="shared" si="35"/>
        <v>450.52</v>
      </c>
      <c r="C130" s="28">
        <f>3851.205+260.54</f>
        <v>4111.7449999999999</v>
      </c>
      <c r="D130" s="28">
        <v>60.527676547800006</v>
      </c>
      <c r="E130" s="28">
        <f t="shared" si="32"/>
        <v>4622.7926765477996</v>
      </c>
      <c r="F130" s="28">
        <f t="shared" si="33"/>
        <v>3084.5045968675031</v>
      </c>
      <c r="G130" s="28">
        <v>1117.1910796802968</v>
      </c>
      <c r="H130" s="28">
        <f t="shared" si="34"/>
        <v>4201.6956765477998</v>
      </c>
      <c r="I130" s="28">
        <f>388.138+32.959</f>
        <v>421.09699999999998</v>
      </c>
    </row>
    <row r="131" spans="1:9">
      <c r="A131" t="s">
        <v>382</v>
      </c>
      <c r="B131" s="28">
        <f t="shared" si="35"/>
        <v>421.09699999999998</v>
      </c>
      <c r="C131" s="28">
        <f>3754.168+255.248</f>
        <v>4009.4160000000002</v>
      </c>
      <c r="D131" s="28">
        <v>71.118019249200003</v>
      </c>
      <c r="E131" s="28">
        <f t="shared" si="32"/>
        <v>4501.6310192492001</v>
      </c>
      <c r="F131" s="28">
        <f t="shared" si="33"/>
        <v>3173.9966835324121</v>
      </c>
      <c r="G131" s="28">
        <v>986.29833571678796</v>
      </c>
      <c r="H131" s="28">
        <f t="shared" si="34"/>
        <v>4160.2950192491999</v>
      </c>
      <c r="I131" s="28">
        <f>312.944+28.392</f>
        <v>341.33600000000001</v>
      </c>
    </row>
    <row r="132" spans="1:9">
      <c r="A132" t="s">
        <v>218</v>
      </c>
      <c r="B132" s="28"/>
      <c r="C132" s="28">
        <f>SUM(C120:C131)</f>
        <v>51100.43</v>
      </c>
      <c r="D132" s="28">
        <v>639.2838314457</v>
      </c>
      <c r="E132" s="28">
        <f>B120+C132+D132</f>
        <v>52141.728831445696</v>
      </c>
      <c r="F132" s="28">
        <f>SUM(F120:F131)</f>
        <v>37967.281077960521</v>
      </c>
      <c r="G132" s="28">
        <f>SUM(G120:G131)</f>
        <v>13833.111863716282</v>
      </c>
      <c r="H132" s="28">
        <f>SUM(H120:H131)</f>
        <v>51800.392941676801</v>
      </c>
      <c r="I132" s="28"/>
    </row>
    <row r="133" spans="1:9">
      <c r="A133" t="s">
        <v>350</v>
      </c>
      <c r="B133" s="28"/>
      <c r="C133" s="28"/>
      <c r="D133" s="28"/>
      <c r="E133" s="28"/>
      <c r="F133" s="28"/>
      <c r="G133" s="28"/>
      <c r="H133" s="28"/>
      <c r="I133" s="28"/>
    </row>
    <row r="134" spans="1:9">
      <c r="A134" t="s">
        <v>383</v>
      </c>
      <c r="B134" s="28">
        <f>I131</f>
        <v>341.33600000000001</v>
      </c>
      <c r="C134" s="28">
        <f>4335.054+280.538</f>
        <v>4615.5920000000006</v>
      </c>
      <c r="D134" s="28">
        <v>69.6606538761</v>
      </c>
      <c r="E134" s="28">
        <f>B134+C134+D134</f>
        <v>5026.5886538761006</v>
      </c>
      <c r="F134" s="28">
        <f>H134-G134</f>
        <v>3544.4673588459391</v>
      </c>
      <c r="G134" s="28">
        <v>1107.9222950301619</v>
      </c>
      <c r="H134" s="28">
        <f>E134-I134</f>
        <v>4652.389653876101</v>
      </c>
      <c r="I134" s="28">
        <f>342.914+31.285</f>
        <v>374.19900000000001</v>
      </c>
    </row>
    <row r="135" spans="1:9">
      <c r="A135" t="s">
        <v>384</v>
      </c>
      <c r="B135" s="28">
        <f>I134</f>
        <v>374.19900000000001</v>
      </c>
      <c r="C135" s="28">
        <f>4230.274+286.02</f>
        <v>4516.2939999999999</v>
      </c>
      <c r="D135" s="28">
        <v>67.439166517800018</v>
      </c>
      <c r="E135" s="28">
        <f t="shared" ref="E135:E145" si="36">B135+C135+D135</f>
        <v>4957.9321665177995</v>
      </c>
      <c r="F135" s="28">
        <f t="shared" ref="F135:F145" si="37">H135-G135</f>
        <v>3222.3213955683823</v>
      </c>
      <c r="G135" s="28">
        <v>1277.1937709494168</v>
      </c>
      <c r="H135" s="28">
        <f t="shared" ref="H135:H145" si="38">E135-I135</f>
        <v>4499.5151665177991</v>
      </c>
      <c r="I135" s="28">
        <f>415.107+43.31</f>
        <v>458.41700000000003</v>
      </c>
    </row>
    <row r="136" spans="1:9">
      <c r="A136" t="s">
        <v>385</v>
      </c>
      <c r="B136" s="28">
        <f t="shared" ref="B136:B145" si="39">I135</f>
        <v>458.41700000000003</v>
      </c>
      <c r="C136" s="28">
        <f>4235.822+305.109</f>
        <v>4540.9310000000005</v>
      </c>
      <c r="D136" s="28">
        <v>64.48276841580001</v>
      </c>
      <c r="E136" s="28">
        <f t="shared" si="36"/>
        <v>5063.8307684158008</v>
      </c>
      <c r="F136" s="28">
        <f t="shared" si="37"/>
        <v>3255.1800363055058</v>
      </c>
      <c r="G136" s="28">
        <v>1449.2577321102949</v>
      </c>
      <c r="H136" s="28">
        <f t="shared" si="38"/>
        <v>4704.4377684158007</v>
      </c>
      <c r="I136" s="28">
        <f>308.933+50.46</f>
        <v>359.39299999999997</v>
      </c>
    </row>
    <row r="137" spans="1:9">
      <c r="A137" t="s">
        <v>386</v>
      </c>
      <c r="B137" s="28">
        <f t="shared" si="39"/>
        <v>359.39299999999997</v>
      </c>
      <c r="C137" s="28">
        <f>4353.068+312.586</f>
        <v>4665.6540000000005</v>
      </c>
      <c r="D137" s="28">
        <v>68.3959724658</v>
      </c>
      <c r="E137" s="28">
        <f t="shared" si="36"/>
        <v>5093.4429724658003</v>
      </c>
      <c r="F137" s="28">
        <f t="shared" si="37"/>
        <v>3127.8626143146439</v>
      </c>
      <c r="G137" s="28">
        <v>1409.776358151156</v>
      </c>
      <c r="H137" s="28">
        <f t="shared" si="38"/>
        <v>4537.6389724658002</v>
      </c>
      <c r="I137" s="28">
        <f>512.396+43.408</f>
        <v>555.80399999999997</v>
      </c>
    </row>
    <row r="138" spans="1:9">
      <c r="A138" t="s">
        <v>387</v>
      </c>
      <c r="B138" s="28">
        <f t="shared" si="39"/>
        <v>555.80399999999997</v>
      </c>
      <c r="C138" s="28">
        <f>3652.574+266.097</f>
        <v>3918.6710000000003</v>
      </c>
      <c r="D138" s="28">
        <v>67.120378176599999</v>
      </c>
      <c r="E138" s="28">
        <f t="shared" si="36"/>
        <v>4541.5953781766002</v>
      </c>
      <c r="F138" s="28">
        <f t="shared" si="37"/>
        <v>2672.9081471487352</v>
      </c>
      <c r="G138" s="28">
        <v>1284.6242310278649</v>
      </c>
      <c r="H138" s="28">
        <f t="shared" si="38"/>
        <v>3957.5323781766001</v>
      </c>
      <c r="I138" s="28">
        <f>544.178+39.885</f>
        <v>584.06299999999999</v>
      </c>
    </row>
    <row r="139" spans="1:9">
      <c r="A139" t="s">
        <v>388</v>
      </c>
      <c r="B139" s="28">
        <f t="shared" si="39"/>
        <v>584.06299999999999</v>
      </c>
      <c r="C139" s="28">
        <f>4181.3+295.287</f>
        <v>4476.5870000000004</v>
      </c>
      <c r="D139" s="28">
        <v>73.236220066800001</v>
      </c>
      <c r="E139" s="28">
        <f t="shared" si="36"/>
        <v>5133.8862200668009</v>
      </c>
      <c r="F139" s="28">
        <f t="shared" si="37"/>
        <v>3372.064593208413</v>
      </c>
      <c r="G139" s="28">
        <v>1314.0816268583881</v>
      </c>
      <c r="H139" s="28">
        <f t="shared" si="38"/>
        <v>4686.1462200668011</v>
      </c>
      <c r="I139" s="28">
        <f>415.418+32.322</f>
        <v>447.74</v>
      </c>
    </row>
    <row r="140" spans="1:9">
      <c r="A140" t="s">
        <v>389</v>
      </c>
      <c r="B140" s="28">
        <f t="shared" si="39"/>
        <v>447.74</v>
      </c>
      <c r="C140" s="28">
        <f>3773.943+270.766</f>
        <v>4044.7090000000003</v>
      </c>
      <c r="D140" s="28">
        <v>68.0702395653</v>
      </c>
      <c r="E140" s="28">
        <f t="shared" si="36"/>
        <v>4560.5192395653003</v>
      </c>
      <c r="F140" s="28">
        <f t="shared" si="37"/>
        <v>3053.2925584973691</v>
      </c>
      <c r="G140" s="28">
        <v>1055.2206810679311</v>
      </c>
      <c r="H140" s="28">
        <f t="shared" si="38"/>
        <v>4108.5132395653</v>
      </c>
      <c r="I140" s="28">
        <f>417.603+34.403</f>
        <v>452.00600000000003</v>
      </c>
    </row>
    <row r="141" spans="1:9">
      <c r="A141" t="s">
        <v>391</v>
      </c>
      <c r="B141" s="28">
        <f t="shared" si="39"/>
        <v>452.00600000000003</v>
      </c>
      <c r="C141" s="28">
        <f>3849.675+273.209</f>
        <v>4122.884</v>
      </c>
      <c r="D141" s="28">
        <v>65.527428550500005</v>
      </c>
      <c r="E141" s="28">
        <f t="shared" si="36"/>
        <v>4640.4174285505005</v>
      </c>
      <c r="F141" s="28">
        <f t="shared" si="37"/>
        <v>2945.1734373318186</v>
      </c>
      <c r="G141" s="28">
        <v>1053.789991218682</v>
      </c>
      <c r="H141" s="28">
        <f t="shared" si="38"/>
        <v>3998.9634285505003</v>
      </c>
      <c r="I141" s="28">
        <f>592.86+48.594</f>
        <v>641.45400000000006</v>
      </c>
    </row>
    <row r="142" spans="1:9">
      <c r="A142" t="s">
        <v>392</v>
      </c>
      <c r="B142" s="28">
        <f t="shared" si="39"/>
        <v>641.45400000000006</v>
      </c>
      <c r="C142" s="28">
        <f>3579.777+254.174</f>
        <v>3833.951</v>
      </c>
      <c r="D142" s="28">
        <v>63.559252260000001</v>
      </c>
      <c r="E142" s="28">
        <f t="shared" si="36"/>
        <v>4538.9642522599997</v>
      </c>
      <c r="F142" s="28">
        <f t="shared" si="37"/>
        <v>3229.4202885930977</v>
      </c>
      <c r="G142" s="28">
        <v>870.54396366690196</v>
      </c>
      <c r="H142" s="28">
        <f t="shared" si="38"/>
        <v>4099.9642522599997</v>
      </c>
      <c r="I142" s="28">
        <f>390.755+48.245</f>
        <v>439</v>
      </c>
    </row>
    <row r="143" spans="1:9">
      <c r="A143" t="s">
        <v>393</v>
      </c>
      <c r="B143" s="28">
        <f t="shared" si="39"/>
        <v>439</v>
      </c>
      <c r="C143" s="28">
        <f>3698.749+267.75</f>
        <v>3966.4989999999998</v>
      </c>
      <c r="D143" s="28">
        <v>88.683124571999997</v>
      </c>
      <c r="E143" s="28">
        <f t="shared" si="36"/>
        <v>4494.1821245720002</v>
      </c>
      <c r="F143" s="28">
        <f t="shared" si="37"/>
        <v>2937.5251309658784</v>
      </c>
      <c r="G143" s="28">
        <v>1079.8309936061219</v>
      </c>
      <c r="H143" s="28">
        <f t="shared" si="38"/>
        <v>4017.3561245720002</v>
      </c>
      <c r="I143" s="28">
        <f>442.29+34.536</f>
        <v>476.82600000000002</v>
      </c>
    </row>
    <row r="144" spans="1:9">
      <c r="A144" t="s">
        <v>394</v>
      </c>
      <c r="B144" s="28">
        <f t="shared" si="39"/>
        <v>476.82600000000002</v>
      </c>
      <c r="C144" s="28">
        <f>3728.116+267.178</f>
        <v>3995.2939999999999</v>
      </c>
      <c r="D144" s="28">
        <v>47.225869248599999</v>
      </c>
      <c r="E144" s="28">
        <f t="shared" si="36"/>
        <v>4519.3458692486001</v>
      </c>
      <c r="F144" s="28">
        <f t="shared" si="37"/>
        <v>3202.4825219916493</v>
      </c>
      <c r="G144" s="28">
        <v>933.35134725695093</v>
      </c>
      <c r="H144" s="28">
        <f t="shared" si="38"/>
        <v>4135.8338692486004</v>
      </c>
      <c r="I144" s="28">
        <f>344.741+38.771</f>
        <v>383.512</v>
      </c>
    </row>
    <row r="145" spans="1:10">
      <c r="A145" t="s">
        <v>382</v>
      </c>
      <c r="B145" s="28">
        <f t="shared" si="39"/>
        <v>383.512</v>
      </c>
      <c r="C145" s="28">
        <f>3604.266+263.385</f>
        <v>3867.6509999999998</v>
      </c>
      <c r="D145" s="28">
        <v>41.070013469099997</v>
      </c>
      <c r="E145" s="28">
        <f t="shared" si="36"/>
        <v>4292.2330134690992</v>
      </c>
      <c r="F145" s="28">
        <f t="shared" si="37"/>
        <v>3111.6756132566811</v>
      </c>
      <c r="G145" s="28">
        <v>839.77140021241803</v>
      </c>
      <c r="H145" s="28">
        <f t="shared" si="38"/>
        <v>3951.4470134690991</v>
      </c>
      <c r="I145" s="28">
        <f>306.923+33.863</f>
        <v>340.786</v>
      </c>
    </row>
    <row r="146" spans="1:10">
      <c r="A146" t="s">
        <v>218</v>
      </c>
      <c r="B146" s="28"/>
      <c r="C146" s="28">
        <f>SUM(C134:C145)</f>
        <v>50564.716999999997</v>
      </c>
      <c r="D146" s="24">
        <f>SUM(D134:D145)</f>
        <v>784.47108718440006</v>
      </c>
      <c r="E146" s="24">
        <f>B134+C146+D146</f>
        <v>51690.5240871844</v>
      </c>
      <c r="F146" s="28">
        <f>SUM(F134:F145)</f>
        <v>37674.373696028109</v>
      </c>
      <c r="G146" s="28">
        <f>SUM(G134:G145)</f>
        <v>13675.364391156287</v>
      </c>
      <c r="H146" s="28">
        <f>SUM(H134:H145)</f>
        <v>51349.7380871844</v>
      </c>
      <c r="I146" s="28"/>
    </row>
    <row r="147" spans="1:10">
      <c r="A147" t="s">
        <v>503</v>
      </c>
      <c r="B147" s="28"/>
      <c r="C147" s="28"/>
      <c r="D147" s="24"/>
      <c r="E147" s="24"/>
      <c r="F147" s="28"/>
      <c r="G147" s="28"/>
      <c r="H147" s="28"/>
      <c r="I147" s="28"/>
    </row>
    <row r="148" spans="1:10">
      <c r="A148" t="s">
        <v>383</v>
      </c>
      <c r="B148" s="28">
        <f>I145</f>
        <v>340.786</v>
      </c>
      <c r="C148" s="28">
        <f>4284.256+307.383</f>
        <v>4591.6390000000001</v>
      </c>
      <c r="D148" s="24">
        <v>62.329955032800001</v>
      </c>
      <c r="E148" s="28">
        <f>B148+C148+D148</f>
        <v>4994.7549550328004</v>
      </c>
      <c r="F148" s="28">
        <f>H148-G148</f>
        <v>3492.8223021859594</v>
      </c>
      <c r="G148" s="28">
        <v>1090.4516528468409</v>
      </c>
      <c r="H148" s="28">
        <f>E148-I148</f>
        <v>4583.2739550328006</v>
      </c>
      <c r="I148" s="28">
        <f>363.969+47.512</f>
        <v>411.48099999999999</v>
      </c>
    </row>
    <row r="149" spans="1:10">
      <c r="A149" t="s">
        <v>384</v>
      </c>
      <c r="B149" s="28">
        <f>I148</f>
        <v>411.48099999999999</v>
      </c>
      <c r="C149" s="28">
        <f>4164.959+291.811</f>
        <v>4456.7699999999995</v>
      </c>
      <c r="D149" s="24">
        <v>37.1757691683</v>
      </c>
      <c r="E149" s="28">
        <f t="shared" ref="E149:E159" si="40">B149+C149+D149</f>
        <v>4905.426769168299</v>
      </c>
      <c r="F149" s="28">
        <f t="shared" ref="F149:F159" si="41">H149-G149</f>
        <v>3282.1189591056127</v>
      </c>
      <c r="G149" s="28">
        <v>1247.695810062686</v>
      </c>
      <c r="H149" s="28">
        <f t="shared" ref="H149:H159" si="42">E149-I149</f>
        <v>4529.8147691682989</v>
      </c>
      <c r="I149" s="28">
        <f>333.525+42.087</f>
        <v>375.61199999999997</v>
      </c>
    </row>
    <row r="150" spans="1:10">
      <c r="A150" t="s">
        <v>385</v>
      </c>
      <c r="B150" s="28">
        <f t="shared" ref="B150:B159" si="43">I149</f>
        <v>375.61199999999997</v>
      </c>
      <c r="C150" s="28">
        <f>4322.245+307.307</f>
        <v>4629.5519999999997</v>
      </c>
      <c r="D150" s="24">
        <v>37.006343967599996</v>
      </c>
      <c r="E150" s="28">
        <f t="shared" si="40"/>
        <v>5042.1703439675994</v>
      </c>
      <c r="F150" s="28">
        <f t="shared" si="41"/>
        <v>3224.4859469011863</v>
      </c>
      <c r="G150" s="28">
        <v>1406.3753970664129</v>
      </c>
      <c r="H150" s="28">
        <f t="shared" si="42"/>
        <v>4630.8613439675992</v>
      </c>
      <c r="I150" s="28">
        <f>372.832+38.477</f>
        <v>411.30899999999997</v>
      </c>
    </row>
    <row r="151" spans="1:10">
      <c r="A151" t="s">
        <v>386</v>
      </c>
      <c r="B151" s="28">
        <f t="shared" si="43"/>
        <v>411.30899999999997</v>
      </c>
      <c r="C151" s="28">
        <f>4231.017+302.136</f>
        <v>4533.1530000000002</v>
      </c>
      <c r="D151" s="24">
        <v>44.276966861400005</v>
      </c>
      <c r="E151" s="28">
        <f t="shared" si="40"/>
        <v>4988.7389668614005</v>
      </c>
      <c r="F151" s="28">
        <f t="shared" si="41"/>
        <v>3259.9602679312584</v>
      </c>
      <c r="G151" s="28">
        <v>1298.024698930142</v>
      </c>
      <c r="H151" s="28">
        <f t="shared" si="42"/>
        <v>4557.9849668614006</v>
      </c>
      <c r="I151" s="28">
        <f>396.462+34.292</f>
        <v>430.75400000000002</v>
      </c>
    </row>
    <row r="152" spans="1:10">
      <c r="A152" t="s">
        <v>387</v>
      </c>
      <c r="B152" s="28">
        <f t="shared" si="43"/>
        <v>430.75400000000002</v>
      </c>
      <c r="C152" s="28">
        <f>3817.784+272.171</f>
        <v>4089.9549999999999</v>
      </c>
      <c r="D152" s="24">
        <v>51.563463033599994</v>
      </c>
      <c r="E152" s="28">
        <f t="shared" si="40"/>
        <v>4572.2724630335997</v>
      </c>
      <c r="F152" s="28">
        <f t="shared" si="41"/>
        <v>3104.2069641486014</v>
      </c>
      <c r="G152" s="28">
        <v>1082.1894988849981</v>
      </c>
      <c r="H152" s="28">
        <f t="shared" si="42"/>
        <v>4186.3964630335995</v>
      </c>
      <c r="I152" s="28">
        <f>347.16+38.716</f>
        <v>385.87600000000003</v>
      </c>
    </row>
    <row r="153" spans="1:10">
      <c r="A153" t="s">
        <v>388</v>
      </c>
      <c r="B153" s="28">
        <f t="shared" si="43"/>
        <v>385.87600000000003</v>
      </c>
      <c r="C153" s="28">
        <f>4249.054+300.577</f>
        <v>4549.6310000000003</v>
      </c>
      <c r="D153" s="24">
        <v>40.342818902400005</v>
      </c>
      <c r="E153" s="28">
        <f t="shared" si="40"/>
        <v>4975.8498189024003</v>
      </c>
      <c r="F153" s="28">
        <f t="shared" si="41"/>
        <v>3397.5349597730128</v>
      </c>
      <c r="G153" s="28">
        <v>1197.3468591293879</v>
      </c>
      <c r="H153" s="28">
        <f t="shared" si="42"/>
        <v>4594.8818189024005</v>
      </c>
      <c r="I153" s="28">
        <f>347.191+33.777</f>
        <v>380.96799999999996</v>
      </c>
      <c r="J153" s="217"/>
    </row>
    <row r="154" spans="1:10">
      <c r="A154" t="s">
        <v>389</v>
      </c>
      <c r="B154" s="28">
        <f t="shared" si="43"/>
        <v>380.96799999999996</v>
      </c>
      <c r="C154" s="28">
        <f>3975.098+279.447</f>
        <v>4254.5450000000001</v>
      </c>
      <c r="D154" s="24">
        <v>60.726202758900008</v>
      </c>
      <c r="E154" s="28">
        <f t="shared" si="40"/>
        <v>4696.2392027589003</v>
      </c>
      <c r="F154" s="28">
        <f t="shared" si="41"/>
        <v>3065.571866628613</v>
      </c>
      <c r="G154" s="28">
        <v>1185.651336130288</v>
      </c>
      <c r="H154" s="28">
        <f t="shared" si="42"/>
        <v>4251.2232027589007</v>
      </c>
      <c r="I154" s="242">
        <f>406.867+38.149</f>
        <v>445.01600000000002</v>
      </c>
    </row>
    <row r="155" spans="1:10">
      <c r="A155" t="s">
        <v>391</v>
      </c>
      <c r="B155" s="28">
        <f t="shared" si="43"/>
        <v>445.01600000000002</v>
      </c>
      <c r="C155" s="28">
        <f>3978.135+281.954</f>
        <v>4260.0889999999999</v>
      </c>
      <c r="D155" s="24">
        <v>72.971665426800016</v>
      </c>
      <c r="E155" s="28">
        <f t="shared" si="40"/>
        <v>4778.0766654268</v>
      </c>
      <c r="F155" s="28">
        <f t="shared" si="41"/>
        <v>3171.936599369667</v>
      </c>
      <c r="G155" s="28">
        <v>1142.3850660571329</v>
      </c>
      <c r="H155" s="28">
        <f t="shared" si="42"/>
        <v>4314.3216654267999</v>
      </c>
      <c r="I155" s="28">
        <f>414.543+49.212</f>
        <v>463.755</v>
      </c>
    </row>
    <row r="156" spans="1:10">
      <c r="A156" t="s">
        <v>392</v>
      </c>
      <c r="B156" s="28">
        <f t="shared" si="43"/>
        <v>463.755</v>
      </c>
      <c r="C156" s="28">
        <f>3837.474+269.091</f>
        <v>4106.5650000000005</v>
      </c>
      <c r="D156" s="24">
        <v>61.787397558599999</v>
      </c>
      <c r="E156" s="28">
        <f t="shared" si="40"/>
        <v>4632.1073975586005</v>
      </c>
      <c r="F156" s="28">
        <f t="shared" si="41"/>
        <v>3129.3445364135323</v>
      </c>
      <c r="G156" s="28">
        <v>1145.4588611450679</v>
      </c>
      <c r="H156" s="28">
        <f t="shared" si="42"/>
        <v>4274.8033975586004</v>
      </c>
      <c r="I156" s="28">
        <f>324.073+33.231</f>
        <v>357.30399999999997</v>
      </c>
    </row>
    <row r="157" spans="1:10">
      <c r="A157" t="s">
        <v>393</v>
      </c>
      <c r="B157" s="28">
        <f t="shared" si="43"/>
        <v>357.30399999999997</v>
      </c>
      <c r="C157" s="242">
        <f>3988.429+281.851</f>
        <v>4270.28</v>
      </c>
      <c r="D157" s="24">
        <v>74.284738290000007</v>
      </c>
      <c r="E157" s="28">
        <f t="shared" si="40"/>
        <v>4701.8687382899998</v>
      </c>
      <c r="F157" s="28">
        <f t="shared" si="41"/>
        <v>3260.6798497827549</v>
      </c>
      <c r="G157" s="28">
        <v>914.46588850724504</v>
      </c>
      <c r="H157" s="28">
        <f t="shared" si="42"/>
        <v>4175.1457382899998</v>
      </c>
      <c r="I157" s="242">
        <f>479.121+47.602</f>
        <v>526.72299999999996</v>
      </c>
    </row>
    <row r="158" spans="1:10">
      <c r="A158" t="s">
        <v>394</v>
      </c>
      <c r="B158" s="28">
        <f t="shared" si="43"/>
        <v>526.72299999999996</v>
      </c>
      <c r="C158" s="28">
        <f>3870.512+276.725</f>
        <v>4147.2370000000001</v>
      </c>
      <c r="D158" s="24">
        <v>50.285553891300005</v>
      </c>
      <c r="E158" s="28">
        <f t="shared" si="40"/>
        <v>4724.2455538913</v>
      </c>
      <c r="F158" s="28">
        <f t="shared" si="41"/>
        <v>3463.4586933636201</v>
      </c>
      <c r="G158" s="28">
        <v>912.85486052767988</v>
      </c>
      <c r="H158" s="28">
        <f t="shared" si="42"/>
        <v>4376.3135538913002</v>
      </c>
      <c r="I158" s="28">
        <f>308.67+39.262</f>
        <v>347.93200000000002</v>
      </c>
    </row>
    <row r="159" spans="1:10">
      <c r="A159" t="s">
        <v>382</v>
      </c>
      <c r="B159" s="28">
        <f t="shared" si="43"/>
        <v>347.93200000000002</v>
      </c>
      <c r="C159" s="28">
        <f>3666.107+258.932</f>
        <v>3925.0389999999998</v>
      </c>
      <c r="D159" s="24">
        <v>56.364688825199998</v>
      </c>
      <c r="E159" s="28">
        <f t="shared" si="40"/>
        <v>4329.3356888251992</v>
      </c>
      <c r="F159" s="28">
        <f t="shared" si="41"/>
        <v>3117.4814980585052</v>
      </c>
      <c r="G159" s="28">
        <v>900.92719076669403</v>
      </c>
      <c r="H159" s="28">
        <f t="shared" si="42"/>
        <v>4018.4086888251991</v>
      </c>
      <c r="I159" s="28">
        <f>276.973+33.954</f>
        <v>310.92700000000002</v>
      </c>
    </row>
    <row r="160" spans="1:10">
      <c r="A160" s="1" t="s">
        <v>218</v>
      </c>
      <c r="B160" s="220"/>
      <c r="C160" s="220">
        <f>SUM(C148:C159)</f>
        <v>51814.455000000002</v>
      </c>
      <c r="D160" s="234">
        <f>SUM(D148:D159)</f>
        <v>649.11556371690006</v>
      </c>
      <c r="E160" s="234">
        <f>B148+C160+D160</f>
        <v>52804.356563716901</v>
      </c>
      <c r="F160" s="220">
        <f>SUM(F148:F159)</f>
        <v>38969.602443662327</v>
      </c>
      <c r="G160" s="220">
        <f>SUM(G148:G159)</f>
        <v>13523.827120054575</v>
      </c>
      <c r="H160" s="220">
        <f>SUM(H148:H159)</f>
        <v>52493.429563716898</v>
      </c>
      <c r="I160" s="220"/>
    </row>
    <row r="161" spans="1:9">
      <c r="A161" t="s">
        <v>518</v>
      </c>
      <c r="B161" s="28"/>
      <c r="C161" s="28"/>
      <c r="D161" s="24"/>
      <c r="E161" s="24"/>
      <c r="F161" s="28"/>
      <c r="G161" s="28"/>
      <c r="H161" s="28"/>
      <c r="I161" s="28"/>
    </row>
    <row r="162" spans="1:9">
      <c r="A162" s="52" t="s">
        <v>512</v>
      </c>
    </row>
    <row r="163" spans="1:9">
      <c r="A163" t="s">
        <v>670</v>
      </c>
    </row>
    <row r="164" spans="1:9">
      <c r="A164" t="s">
        <v>588</v>
      </c>
    </row>
    <row r="165" spans="1:9">
      <c r="H165" s="194"/>
      <c r="I165" s="225" t="s">
        <v>592</v>
      </c>
    </row>
    <row r="166" spans="1:9">
      <c r="E166" s="24"/>
      <c r="F166" s="28"/>
      <c r="G166" s="28"/>
    </row>
    <row r="167" spans="1:9">
      <c r="F167" s="190"/>
    </row>
    <row r="170" spans="1:9">
      <c r="E170" s="28"/>
    </row>
  </sheetData>
  <phoneticPr fontId="0" type="noConversion"/>
  <pageMargins left="0.7" right="0.7" top="0.75" bottom="1.25" header="0.3" footer="0.3"/>
  <pageSetup scale="89" firstPageNumber="7" fitToHeight="0" orientation="portrait" useFirstPageNumber="1" r:id="rId1"/>
  <headerFooter alignWithMargins="0">
    <oddFooter>&amp;COil Crops Yearbook/OCS-2023
March 2023
Economic Research Service
&amp;P</oddFooter>
  </headerFooter>
  <ignoredErrors>
    <ignoredError sqref="E90 E76 E62 E48 E34 E20" formula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170"/>
  <sheetViews>
    <sheetView zoomScaleNormal="100" zoomScaleSheetLayoutView="100" workbookViewId="0">
      <pane ySplit="6" topLeftCell="A7" activePane="bottomLeft" state="frozen"/>
      <selection pane="bottomLeft"/>
    </sheetView>
  </sheetViews>
  <sheetFormatPr defaultRowHeight="11.25"/>
  <cols>
    <col min="1" max="1" width="20.83203125" customWidth="1"/>
    <col min="2" max="10" width="13.83203125" customWidth="1"/>
  </cols>
  <sheetData>
    <row r="1" spans="1:10">
      <c r="A1" s="249" t="s">
        <v>602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B2" s="123"/>
      <c r="C2" s="4"/>
      <c r="D2" s="137" t="s">
        <v>75</v>
      </c>
      <c r="E2" s="120"/>
      <c r="G2" s="4"/>
      <c r="H2" s="131" t="s">
        <v>73</v>
      </c>
      <c r="I2" s="120"/>
    </row>
    <row r="3" spans="1:10">
      <c r="A3" t="s">
        <v>380</v>
      </c>
      <c r="B3" s="108" t="s">
        <v>96</v>
      </c>
      <c r="F3" s="108" t="s">
        <v>97</v>
      </c>
      <c r="I3" s="111"/>
      <c r="J3" s="7" t="s">
        <v>98</v>
      </c>
    </row>
    <row r="4" spans="1:10">
      <c r="A4" t="s">
        <v>59</v>
      </c>
      <c r="B4" s="109" t="s">
        <v>66</v>
      </c>
      <c r="C4" s="7" t="s">
        <v>40</v>
      </c>
      <c r="D4" s="134" t="s">
        <v>49</v>
      </c>
      <c r="E4" s="7" t="s">
        <v>2</v>
      </c>
      <c r="F4" s="109" t="s">
        <v>2</v>
      </c>
      <c r="G4" s="7" t="s">
        <v>532</v>
      </c>
      <c r="H4" s="128" t="s">
        <v>50</v>
      </c>
      <c r="I4" s="112" t="s">
        <v>2</v>
      </c>
      <c r="J4" s="7" t="s">
        <v>66</v>
      </c>
    </row>
    <row r="5" spans="1:10">
      <c r="A5" s="1" t="s">
        <v>129</v>
      </c>
      <c r="B5" s="110"/>
      <c r="C5" s="1"/>
      <c r="D5" s="1"/>
      <c r="E5" s="1"/>
      <c r="F5" s="110"/>
      <c r="G5" s="1"/>
      <c r="H5" s="1"/>
      <c r="I5" s="113"/>
      <c r="J5" s="1"/>
    </row>
    <row r="6" spans="1:10">
      <c r="C6" s="100"/>
      <c r="D6" s="100"/>
      <c r="E6" s="100"/>
      <c r="F6" s="148" t="s">
        <v>101</v>
      </c>
      <c r="G6" s="100"/>
      <c r="H6" s="100"/>
      <c r="I6" s="100"/>
      <c r="J6" s="100"/>
    </row>
    <row r="7" spans="1:10">
      <c r="A7" t="s">
        <v>230</v>
      </c>
      <c r="B7" s="15"/>
      <c r="C7" s="15"/>
      <c r="D7" s="15"/>
      <c r="E7" s="15"/>
      <c r="F7" s="15"/>
      <c r="G7" s="15"/>
      <c r="H7" s="15"/>
      <c r="I7" s="15"/>
      <c r="J7" s="15"/>
    </row>
    <row r="8" spans="1:10">
      <c r="A8" t="s">
        <v>383</v>
      </c>
      <c r="B8" s="15">
        <f>2725150+360075</f>
        <v>3085225</v>
      </c>
      <c r="C8" s="15">
        <v>1868608.08</v>
      </c>
      <c r="D8" s="98">
        <f>(779.179+0+1059.491+19.983)*2.204622</f>
        <v>4097.627294166</v>
      </c>
      <c r="E8" s="15">
        <f t="shared" ref="E8:E19" si="0">SUM(B8:D8)</f>
        <v>4957930.7072941661</v>
      </c>
      <c r="F8" s="15">
        <f t="shared" ref="F8:F19" si="1">I8-H8</f>
        <v>1600124.8627896982</v>
      </c>
      <c r="G8" s="15">
        <v>246789</v>
      </c>
      <c r="H8" s="15">
        <f>(39723.893+235.167+15374.729+4951.305)*2.204622</f>
        <v>132905.844504468</v>
      </c>
      <c r="I8" s="15">
        <f t="shared" ref="I8:I19" si="2">(E8-J8)</f>
        <v>1733030.7072941661</v>
      </c>
      <c r="J8" s="15">
        <f>2877600+347300</f>
        <v>3224900</v>
      </c>
    </row>
    <row r="9" spans="1:10">
      <c r="A9" t="s">
        <v>384</v>
      </c>
      <c r="B9" s="15">
        <f>+J8</f>
        <v>3224900</v>
      </c>
      <c r="C9" s="15">
        <v>1805433.7</v>
      </c>
      <c r="D9" s="98">
        <f>(924.204+0+426.674+41.43)*2.204622</f>
        <v>3069.5128475760002</v>
      </c>
      <c r="E9" s="15">
        <f t="shared" si="0"/>
        <v>5033403.2128475765</v>
      </c>
      <c r="F9" s="15">
        <f t="shared" si="1"/>
        <v>1600176.1480099745</v>
      </c>
      <c r="G9" s="15">
        <v>219093.00000000003</v>
      </c>
      <c r="H9" s="15">
        <f>(69743.935+2067.867+12865.534+5146.255)*2.204622</f>
        <v>198027.064837602</v>
      </c>
      <c r="I9" s="15">
        <f t="shared" si="2"/>
        <v>1798203.2128475765</v>
      </c>
      <c r="J9" s="15">
        <f>2917800+317400</f>
        <v>3235200</v>
      </c>
    </row>
    <row r="10" spans="1:10">
      <c r="A10" t="s">
        <v>385</v>
      </c>
      <c r="B10" s="15">
        <f t="shared" ref="B10:B19" si="3">+J9</f>
        <v>3235200</v>
      </c>
      <c r="C10" s="15">
        <v>1879439.8</v>
      </c>
      <c r="D10" s="98">
        <f>(693.076+0+796.479+1.129)*2.204622</f>
        <v>3286.3947414479999</v>
      </c>
      <c r="E10" s="15">
        <f t="shared" si="0"/>
        <v>5117926.1947414475</v>
      </c>
      <c r="F10" s="15">
        <f t="shared" si="1"/>
        <v>1449593.1660758755</v>
      </c>
      <c r="G10" s="15">
        <v>219310</v>
      </c>
      <c r="H10" s="15">
        <f>(140589.659+1102.594+27351.804+8461.669)*2.204622</f>
        <v>391333.02866557206</v>
      </c>
      <c r="I10" s="15">
        <f t="shared" si="2"/>
        <v>1840926.1947414475</v>
      </c>
      <c r="J10" s="15">
        <f>2916100+360900</f>
        <v>3277000</v>
      </c>
    </row>
    <row r="11" spans="1:10">
      <c r="A11" t="s">
        <v>386</v>
      </c>
      <c r="B11" s="15">
        <f t="shared" si="3"/>
        <v>3277000</v>
      </c>
      <c r="C11" s="15">
        <v>1845226.93</v>
      </c>
      <c r="D11" s="98">
        <f>(678.914+0+2050.537+0)*2.204622</f>
        <v>6017.4077225219999</v>
      </c>
      <c r="E11" s="15">
        <f t="shared" si="0"/>
        <v>5128244.3377225213</v>
      </c>
      <c r="F11" s="15">
        <f t="shared" si="1"/>
        <v>1562526.8647112532</v>
      </c>
      <c r="G11" s="15">
        <v>289000</v>
      </c>
      <c r="H11" s="15">
        <f>(56435.197+137.352+12325.444+2626.501)*2.204622</f>
        <v>157684.47301126801</v>
      </c>
      <c r="I11" s="15">
        <f t="shared" si="2"/>
        <v>1720211.3377225213</v>
      </c>
      <c r="J11" s="15">
        <f>3030542+377491</f>
        <v>3408033</v>
      </c>
    </row>
    <row r="12" spans="1:10">
      <c r="A12" t="s">
        <v>387</v>
      </c>
      <c r="B12" s="15">
        <f t="shared" si="3"/>
        <v>3408033</v>
      </c>
      <c r="C12" s="15">
        <v>1687694.5</v>
      </c>
      <c r="D12" s="98">
        <f>(1376.998+0+1736.654+18.845)*2.204622</f>
        <v>6905.9718011340001</v>
      </c>
      <c r="E12" s="15">
        <f t="shared" si="0"/>
        <v>5102633.4718011338</v>
      </c>
      <c r="F12" s="15">
        <f t="shared" si="1"/>
        <v>1314387.6890689977</v>
      </c>
      <c r="G12" s="15">
        <v>247460</v>
      </c>
      <c r="H12" s="15">
        <f>(193315.826+72.804+35357.907+2549.251)*2.204622</f>
        <v>509919.78273213602</v>
      </c>
      <c r="I12" s="15">
        <f t="shared" si="2"/>
        <v>1824307.4718011338</v>
      </c>
      <c r="J12" s="15">
        <f>2899937+378389</f>
        <v>3278326</v>
      </c>
    </row>
    <row r="13" spans="1:10">
      <c r="A13" t="s">
        <v>388</v>
      </c>
      <c r="B13" s="15">
        <f t="shared" si="3"/>
        <v>3278326</v>
      </c>
      <c r="C13" s="15">
        <v>1827761.46</v>
      </c>
      <c r="D13" s="98">
        <f>(2039.507+0+391.555+0)*2.204622</f>
        <v>5359.5727685640004</v>
      </c>
      <c r="E13" s="15">
        <f t="shared" si="0"/>
        <v>5111447.0327685643</v>
      </c>
      <c r="F13" s="15">
        <f t="shared" si="1"/>
        <v>1642450.6141207581</v>
      </c>
      <c r="G13" s="15">
        <v>259520</v>
      </c>
      <c r="H13" s="15">
        <f>(149346.116+268.079+22468.655+2780.423)*2.204622</f>
        <v>385507.41864780604</v>
      </c>
      <c r="I13" s="15">
        <f t="shared" si="2"/>
        <v>2027958.0327685643</v>
      </c>
      <c r="J13" s="15">
        <f>2720543+362946</f>
        <v>3083489</v>
      </c>
    </row>
    <row r="14" spans="1:10">
      <c r="A14" t="s">
        <v>389</v>
      </c>
      <c r="B14" s="15">
        <f t="shared" si="3"/>
        <v>3083489</v>
      </c>
      <c r="C14" s="15">
        <v>1707011.36</v>
      </c>
      <c r="D14" s="98">
        <f>(2235.449+0+1631.076+25.012)*2.204622</f>
        <v>8579.3680840140005</v>
      </c>
      <c r="E14" s="15">
        <f t="shared" si="0"/>
        <v>4799079.7280840147</v>
      </c>
      <c r="F14" s="15">
        <f t="shared" si="1"/>
        <v>1446246.1862078346</v>
      </c>
      <c r="G14" s="15">
        <v>266460</v>
      </c>
      <c r="H14" s="15">
        <f>(168742.41+3136.858+19361.092+2468.83)*2.204622</f>
        <v>427055.54187618004</v>
      </c>
      <c r="I14" s="15">
        <f t="shared" si="2"/>
        <v>1873301.7280840147</v>
      </c>
      <c r="J14" s="15">
        <f>2581100+344678</f>
        <v>2925778</v>
      </c>
    </row>
    <row r="15" spans="1:10">
      <c r="A15" t="s">
        <v>390</v>
      </c>
      <c r="B15" s="15">
        <f t="shared" si="3"/>
        <v>2925778</v>
      </c>
      <c r="C15" s="15">
        <v>1756417.8</v>
      </c>
      <c r="D15" s="98">
        <f>(1064.721+0+1328.946+38.355)*2.204622</f>
        <v>5361.6892056839997</v>
      </c>
      <c r="E15" s="15">
        <f t="shared" si="0"/>
        <v>4687557.4892056836</v>
      </c>
      <c r="F15" s="15">
        <f t="shared" si="1"/>
        <v>1535213.0848976115</v>
      </c>
      <c r="G15" s="15">
        <v>269800</v>
      </c>
      <c r="H15" s="15">
        <f>(52455.149+1633.824+16512.44+3513.063)*2.204622</f>
        <v>163394.404308072</v>
      </c>
      <c r="I15" s="15">
        <f t="shared" si="2"/>
        <v>1698607.4892056836</v>
      </c>
      <c r="J15" s="15">
        <f>2641757+347193</f>
        <v>2988950</v>
      </c>
    </row>
    <row r="16" spans="1:10">
      <c r="A16" t="s">
        <v>392</v>
      </c>
      <c r="B16" s="15">
        <f t="shared" si="3"/>
        <v>2988950</v>
      </c>
      <c r="C16" s="15">
        <v>1632790.52</v>
      </c>
      <c r="D16" s="98">
        <f>(519.277+0+703.719+44.432)*2.204622</f>
        <v>2794.1996522160002</v>
      </c>
      <c r="E16" s="15">
        <f t="shared" si="0"/>
        <v>4624534.719652216</v>
      </c>
      <c r="F16" s="15">
        <f t="shared" si="1"/>
        <v>1546862.1851731921</v>
      </c>
      <c r="G16" s="15">
        <v>298800</v>
      </c>
      <c r="H16" s="15">
        <f>(63019.537+1434.17+12183.167+1241.118)*2.204622</f>
        <v>171691.53447902401</v>
      </c>
      <c r="I16" s="15">
        <f t="shared" si="2"/>
        <v>1718553.719652216</v>
      </c>
      <c r="J16" s="15">
        <f>2565131+340850</f>
        <v>2905981</v>
      </c>
    </row>
    <row r="17" spans="1:10">
      <c r="A17" t="s">
        <v>393</v>
      </c>
      <c r="B17" s="15">
        <f t="shared" si="3"/>
        <v>2905981</v>
      </c>
      <c r="C17" s="15">
        <v>1616379.28</v>
      </c>
      <c r="D17" s="98">
        <f>(1446.196+0+925.748+26.787)*2.204622</f>
        <v>5288.295134682</v>
      </c>
      <c r="E17" s="15">
        <f t="shared" si="0"/>
        <v>4527648.5751346825</v>
      </c>
      <c r="F17" s="15">
        <f t="shared" si="1"/>
        <v>1608898.5870767245</v>
      </c>
      <c r="G17" s="15">
        <v>319100</v>
      </c>
      <c r="H17" s="15">
        <f>(39363.929+822.274+14049.273+2694.913)*2.204622</f>
        <v>125509.98805795799</v>
      </c>
      <c r="I17" s="15">
        <f t="shared" si="2"/>
        <v>1734408.5751346825</v>
      </c>
      <c r="J17" s="15">
        <f>2492182+301058</f>
        <v>2793240</v>
      </c>
    </row>
    <row r="18" spans="1:10">
      <c r="A18" t="s">
        <v>394</v>
      </c>
      <c r="B18" s="15">
        <f t="shared" si="3"/>
        <v>2793240</v>
      </c>
      <c r="C18" s="15">
        <v>1507544.65</v>
      </c>
      <c r="D18" s="98">
        <f>(1807.496+0+2411.757+39.086)*2.204622</f>
        <v>9388.0278428580023</v>
      </c>
      <c r="E18" s="15">
        <f t="shared" si="0"/>
        <v>4310172.6778428582</v>
      </c>
      <c r="F18" s="15">
        <f t="shared" si="1"/>
        <v>1558993.1408341683</v>
      </c>
      <c r="G18" s="15">
        <v>331860</v>
      </c>
      <c r="H18" s="15">
        <f>(62275.894+2252.12+15599.52+3249.361)*2.204622</f>
        <v>183814.53700869001</v>
      </c>
      <c r="I18" s="15">
        <f t="shared" si="2"/>
        <v>1742807.6778428582</v>
      </c>
      <c r="J18" s="15">
        <f>2271966+295399</f>
        <v>2567365</v>
      </c>
    </row>
    <row r="19" spans="1:10">
      <c r="A19" t="s">
        <v>382</v>
      </c>
      <c r="B19" s="15">
        <f t="shared" si="3"/>
        <v>2567365</v>
      </c>
      <c r="C19" s="15">
        <v>1445522.7</v>
      </c>
      <c r="D19" s="98">
        <f>(1297.935+0+1036.948+26.989)*2.204622</f>
        <v>5207.034972384</v>
      </c>
      <c r="E19" s="15">
        <f t="shared" si="0"/>
        <v>4018094.7349723843</v>
      </c>
      <c r="F19" s="15">
        <f t="shared" si="1"/>
        <v>1469292.8966382584</v>
      </c>
      <c r="G19" s="15">
        <v>278100</v>
      </c>
      <c r="H19" s="15">
        <f>(19539.702+168.045+8919.875+495.211)*2.204622</f>
        <v>64204.838334125998</v>
      </c>
      <c r="I19" s="15">
        <f t="shared" si="2"/>
        <v>1533497.7349723843</v>
      </c>
      <c r="J19" s="15">
        <f>2203536+281061</f>
        <v>2484597</v>
      </c>
    </row>
    <row r="20" spans="1:10">
      <c r="A20" t="s">
        <v>155</v>
      </c>
      <c r="B20" s="15"/>
      <c r="C20" s="15">
        <f>SUM(C8:C19)</f>
        <v>20579830.779999997</v>
      </c>
      <c r="D20" s="98">
        <f>SUM(D8:D19)</f>
        <v>65355.102067248001</v>
      </c>
      <c r="E20" s="15">
        <f>B8+C20+D20</f>
        <v>23730410.882067244</v>
      </c>
      <c r="F20" s="15">
        <f>SUM(F8:F19)</f>
        <v>18334765.425604343</v>
      </c>
      <c r="G20" s="15">
        <f>SUM(G8:G19)</f>
        <v>3245292</v>
      </c>
      <c r="H20" s="15">
        <f>SUM(H8:H19)</f>
        <v>2911048.456462902</v>
      </c>
      <c r="I20" s="15">
        <f>SUM(I8:I19)</f>
        <v>21245813.882067252</v>
      </c>
      <c r="J20" s="15"/>
    </row>
    <row r="21" spans="1:10">
      <c r="A21" t="s">
        <v>231</v>
      </c>
      <c r="B21" s="15"/>
      <c r="C21" s="15"/>
      <c r="D21" s="15"/>
      <c r="E21" s="15"/>
      <c r="F21" s="15"/>
      <c r="G21" s="15"/>
      <c r="H21" s="15"/>
      <c r="I21" s="15"/>
      <c r="J21" s="15"/>
    </row>
    <row r="22" spans="1:10">
      <c r="A22" t="s">
        <v>383</v>
      </c>
      <c r="B22" s="15">
        <f>+J19</f>
        <v>2484597</v>
      </c>
      <c r="C22" s="15">
        <v>1715917.39</v>
      </c>
      <c r="D22" s="98">
        <f>(304.139+0+1857.275+41.55)*2.204622</f>
        <v>4856.7028996080007</v>
      </c>
      <c r="E22" s="15">
        <f t="shared" ref="E22:E33" si="4">SUM(B22:D22)</f>
        <v>4205371.0928996075</v>
      </c>
      <c r="F22" s="15">
        <f t="shared" ref="F22:F33" si="5">I22-H22</f>
        <v>1678766.2555530276</v>
      </c>
      <c r="G22" s="15">
        <v>295300</v>
      </c>
      <c r="H22" s="15">
        <f>(51222.672+177.43+9182.563+2069.725)*2.204622</f>
        <v>138124.83734658</v>
      </c>
      <c r="I22" s="15">
        <f t="shared" ref="I22:I33" si="6">(E22-J22)</f>
        <v>1816891.0928996075</v>
      </c>
      <c r="J22" s="15">
        <f>2085380+303100</f>
        <v>2388480</v>
      </c>
    </row>
    <row r="23" spans="1:10">
      <c r="A23" t="s">
        <v>384</v>
      </c>
      <c r="B23" s="15">
        <f>+J22</f>
        <v>2388480</v>
      </c>
      <c r="C23" s="15">
        <v>1622851</v>
      </c>
      <c r="D23" s="98">
        <f>(604.375+0+3570.334+38.998)*2.204622</f>
        <v>9289.6311537539987</v>
      </c>
      <c r="E23" s="15">
        <f t="shared" si="4"/>
        <v>4020620.631153754</v>
      </c>
      <c r="F23" s="15">
        <f t="shared" si="5"/>
        <v>1399292.377169108</v>
      </c>
      <c r="G23" s="15">
        <v>252352</v>
      </c>
      <c r="H23" s="15">
        <f>(29089.97+577.345+10422.587+6333.591)*2.204622</f>
        <v>102346.25398464601</v>
      </c>
      <c r="I23" s="15">
        <f t="shared" si="6"/>
        <v>1501638.631153754</v>
      </c>
      <c r="J23" s="15">
        <f>2187355+331627</f>
        <v>2518982</v>
      </c>
    </row>
    <row r="24" spans="1:10">
      <c r="A24" t="s">
        <v>385</v>
      </c>
      <c r="B24" s="15">
        <f t="shared" ref="B24:B33" si="7">+J23</f>
        <v>2518982</v>
      </c>
      <c r="C24" s="15">
        <v>1596985.45</v>
      </c>
      <c r="D24" s="98">
        <f>(497.39+0+981.587+25.924)*2.204622</f>
        <v>3317.7378524219998</v>
      </c>
      <c r="E24" s="15">
        <f t="shared" si="4"/>
        <v>4119285.1878524222</v>
      </c>
      <c r="F24" s="15">
        <f t="shared" si="5"/>
        <v>1369809.8572877583</v>
      </c>
      <c r="G24" s="15">
        <v>207000</v>
      </c>
      <c r="H24" s="15">
        <f>(37780.09+289.968+12514.072+3804.482)*2.204622</f>
        <v>119906.33056466399</v>
      </c>
      <c r="I24" s="15">
        <f t="shared" si="6"/>
        <v>1489716.1878524222</v>
      </c>
      <c r="J24" s="15">
        <f>2342799+286770</f>
        <v>2629569</v>
      </c>
    </row>
    <row r="25" spans="1:10">
      <c r="A25" t="s">
        <v>386</v>
      </c>
      <c r="B25" s="15">
        <f t="shared" si="7"/>
        <v>2629569</v>
      </c>
      <c r="C25" s="15">
        <v>1615100</v>
      </c>
      <c r="D25" s="98">
        <f>(1536.629+40.316+2587.048+44.653)*2.204622</f>
        <v>9278.4735618119994</v>
      </c>
      <c r="E25" s="15">
        <f t="shared" si="4"/>
        <v>4253947.4735618122</v>
      </c>
      <c r="F25" s="15">
        <f t="shared" si="5"/>
        <v>1165212.7657604923</v>
      </c>
      <c r="G25" s="15">
        <v>133300</v>
      </c>
      <c r="H25" s="15">
        <f>(28406.049+359.873+13832.241+1143.897)*2.204622</f>
        <v>96434.707801319993</v>
      </c>
      <c r="I25" s="15">
        <f t="shared" si="6"/>
        <v>1261647.4735618122</v>
      </c>
      <c r="J25" s="15">
        <f>2692700+299600</f>
        <v>2992300</v>
      </c>
    </row>
    <row r="26" spans="1:10">
      <c r="A26" t="s">
        <v>387</v>
      </c>
      <c r="B26" s="15">
        <f t="shared" si="7"/>
        <v>2992300</v>
      </c>
      <c r="C26" s="15">
        <v>1536100</v>
      </c>
      <c r="D26" s="98">
        <f>(3593.173+0+956.056+33.472)*2.204622</f>
        <v>10103.123444021998</v>
      </c>
      <c r="E26" s="15">
        <f t="shared" si="4"/>
        <v>4538503.1234440217</v>
      </c>
      <c r="F26" s="15">
        <f t="shared" si="5"/>
        <v>1268509.7823942716</v>
      </c>
      <c r="G26" s="15">
        <v>148100</v>
      </c>
      <c r="H26" s="15">
        <f>(58139.861+688.723+5555.492+1792.049)*2.204622</f>
        <v>145893.34104975002</v>
      </c>
      <c r="I26" s="15">
        <f t="shared" si="6"/>
        <v>1414403.1234440217</v>
      </c>
      <c r="J26" s="15">
        <f>2816900+307200</f>
        <v>3124100</v>
      </c>
    </row>
    <row r="27" spans="1:10">
      <c r="A27" t="s">
        <v>388</v>
      </c>
      <c r="B27" s="15">
        <f t="shared" si="7"/>
        <v>3124100</v>
      </c>
      <c r="C27" s="15">
        <v>1636000</v>
      </c>
      <c r="D27" s="98">
        <f>(3560.135+0+1058.012+62.614)*2.204622</f>
        <v>10319.308677342</v>
      </c>
      <c r="E27" s="15">
        <f t="shared" si="4"/>
        <v>4770419.3086773418</v>
      </c>
      <c r="F27" s="15">
        <f t="shared" si="5"/>
        <v>1417531.8594100478</v>
      </c>
      <c r="G27" s="15">
        <v>107400</v>
      </c>
      <c r="H27" s="15">
        <f>(53146.805+1764.707+17647.615+599.65)*2.204622</f>
        <v>161287.449267294</v>
      </c>
      <c r="I27" s="15">
        <f t="shared" si="6"/>
        <v>1578819.3086773418</v>
      </c>
      <c r="J27" s="15">
        <f>2904200+287400</f>
        <v>3191600</v>
      </c>
    </row>
    <row r="28" spans="1:10">
      <c r="A28" t="s">
        <v>389</v>
      </c>
      <c r="B28" s="15">
        <f t="shared" si="7"/>
        <v>3191600</v>
      </c>
      <c r="C28" s="15">
        <v>1596000</v>
      </c>
      <c r="D28" s="98">
        <f>(1988.682+0+2794.493+40.217)*2.204622</f>
        <v>10633.756117823999</v>
      </c>
      <c r="E28" s="15">
        <f t="shared" si="4"/>
        <v>4798233.7561178245</v>
      </c>
      <c r="F28" s="15">
        <f t="shared" si="5"/>
        <v>1168516.9944416145</v>
      </c>
      <c r="G28" s="15">
        <v>98500</v>
      </c>
      <c r="H28" s="15">
        <f>(146874.998+2425.446+8043.284+1557.327)*2.204622</f>
        <v>350316.76167620998</v>
      </c>
      <c r="I28" s="15">
        <f t="shared" si="6"/>
        <v>1518833.7561178245</v>
      </c>
      <c r="J28" s="15">
        <f>2975600+303800</f>
        <v>3279400</v>
      </c>
    </row>
    <row r="29" spans="1:10">
      <c r="A29" t="s">
        <v>390</v>
      </c>
      <c r="B29" s="15">
        <f t="shared" si="7"/>
        <v>3279400</v>
      </c>
      <c r="C29" s="15">
        <v>1683200</v>
      </c>
      <c r="D29" s="98">
        <f>(154.604+0+1197.699+48.122)*2.204622</f>
        <v>3087.4077643500004</v>
      </c>
      <c r="E29" s="15">
        <f t="shared" si="4"/>
        <v>4965687.4077643501</v>
      </c>
      <c r="F29" s="15">
        <f t="shared" si="5"/>
        <v>1349041.2581661821</v>
      </c>
      <c r="G29" s="15">
        <v>98600</v>
      </c>
      <c r="H29" s="15">
        <f>(120537.774+364.018+4746.998+394.654)*2.204622</f>
        <v>277878.14959816803</v>
      </c>
      <c r="I29" s="15">
        <f t="shared" si="6"/>
        <v>1626919.4077643501</v>
      </c>
      <c r="J29" s="15">
        <f>3034747+304021</f>
        <v>3338768</v>
      </c>
    </row>
    <row r="30" spans="1:10">
      <c r="A30" t="s">
        <v>392</v>
      </c>
      <c r="B30" s="15">
        <f t="shared" si="7"/>
        <v>3338768</v>
      </c>
      <c r="C30" s="15">
        <v>1604322</v>
      </c>
      <c r="D30" s="98">
        <f>(661.038+0+1409.601+57.432)*2.204622</f>
        <v>4691.5921441620003</v>
      </c>
      <c r="E30" s="15">
        <f t="shared" si="4"/>
        <v>4947781.5921441624</v>
      </c>
      <c r="F30" s="15">
        <f t="shared" si="5"/>
        <v>1330976.6914283345</v>
      </c>
      <c r="G30" s="15">
        <v>118300</v>
      </c>
      <c r="H30" s="15">
        <f>(31859.73+272.159+6022.843+1083.242)*2.204622</f>
        <v>86504.900715827986</v>
      </c>
      <c r="I30" s="15">
        <f t="shared" si="6"/>
        <v>1417481.5921441624</v>
      </c>
      <c r="J30" s="15">
        <f>3237500+292800</f>
        <v>3530300</v>
      </c>
    </row>
    <row r="31" spans="1:10">
      <c r="A31" t="s">
        <v>393</v>
      </c>
      <c r="B31" s="15">
        <f t="shared" si="7"/>
        <v>3530300</v>
      </c>
      <c r="C31" s="15">
        <v>1469173</v>
      </c>
      <c r="D31" s="98">
        <f>(1662.807+19.232+1933.299+42.877)*2.204622</f>
        <v>8064.9812697299994</v>
      </c>
      <c r="E31" s="15">
        <f t="shared" si="4"/>
        <v>5007537.9812697303</v>
      </c>
      <c r="F31" s="15">
        <f t="shared" si="5"/>
        <v>1311025.9340922562</v>
      </c>
      <c r="G31" s="15">
        <v>164300</v>
      </c>
      <c r="H31" s="15">
        <f>(91435.885+1566.022+18237.393+1075.667)*2.204622</f>
        <v>247612.04717747399</v>
      </c>
      <c r="I31" s="15">
        <f t="shared" si="6"/>
        <v>1558637.9812697303</v>
      </c>
      <c r="J31" s="15">
        <f>3148700+300200</f>
        <v>3448900</v>
      </c>
    </row>
    <row r="32" spans="1:10">
      <c r="A32" t="s">
        <v>394</v>
      </c>
      <c r="B32" s="15">
        <f t="shared" si="7"/>
        <v>3448900</v>
      </c>
      <c r="C32" s="15">
        <v>1369400</v>
      </c>
      <c r="D32" s="98">
        <f>(1577.742+0+1962.82+40.733)*2.204622</f>
        <v>7895.4017454900004</v>
      </c>
      <c r="E32" s="15">
        <f t="shared" si="4"/>
        <v>4826195.4017454898</v>
      </c>
      <c r="F32" s="15">
        <f t="shared" si="5"/>
        <v>1389256.9479060697</v>
      </c>
      <c r="G32" s="15">
        <v>174800</v>
      </c>
      <c r="H32" s="15">
        <f>(129590.498+60.432+7192.973+566.707)*2.204622</f>
        <v>302938.45383942005</v>
      </c>
      <c r="I32" s="15">
        <f t="shared" si="6"/>
        <v>1692195.4017454898</v>
      </c>
      <c r="J32" s="15">
        <f>2863900+270100</f>
        <v>3134000</v>
      </c>
    </row>
    <row r="33" spans="1:10">
      <c r="A33" t="s">
        <v>382</v>
      </c>
      <c r="B33" s="15">
        <f t="shared" si="7"/>
        <v>3134000</v>
      </c>
      <c r="C33" s="15">
        <v>1299919</v>
      </c>
      <c r="D33" s="98">
        <f>(1109.021+0+2487.315+50.252)*2.204622</f>
        <v>8039.3481297360004</v>
      </c>
      <c r="E33" s="15">
        <f t="shared" si="4"/>
        <v>4441958.3481297363</v>
      </c>
      <c r="F33" s="15">
        <f t="shared" si="5"/>
        <v>1417263.1611772263</v>
      </c>
      <c r="G33" s="15">
        <v>223000</v>
      </c>
      <c r="H33" s="15">
        <f>(62943.533+116.282+11084.385+333.505)*2.204622</f>
        <v>164195.18695251</v>
      </c>
      <c r="I33" s="15">
        <f t="shared" si="6"/>
        <v>1581458.3481297363</v>
      </c>
      <c r="J33" s="15">
        <f>2612500+248000</f>
        <v>2860500</v>
      </c>
    </row>
    <row r="34" spans="1:10">
      <c r="A34" t="s">
        <v>155</v>
      </c>
      <c r="B34" s="15"/>
      <c r="C34" s="15">
        <f>SUM(C22:C33)</f>
        <v>18744967.84</v>
      </c>
      <c r="D34" s="98">
        <f>SUM(D22:D33)</f>
        <v>89577.464760251984</v>
      </c>
      <c r="E34" s="15">
        <f>B22+C34+D34</f>
        <v>21319142.304760251</v>
      </c>
      <c r="F34" s="15">
        <f>SUM(F22:F33)</f>
        <v>16265203.88478639</v>
      </c>
      <c r="G34" s="15">
        <f>SUM(G22:G33)</f>
        <v>2020952</v>
      </c>
      <c r="H34" s="15">
        <f>SUM(H22:H33)</f>
        <v>2193438.4199738642</v>
      </c>
      <c r="I34" s="15">
        <f>SUM(I22:I33)</f>
        <v>18458642.304760247</v>
      </c>
      <c r="J34" s="15"/>
    </row>
    <row r="35" spans="1:10">
      <c r="A35" s="52" t="s">
        <v>234</v>
      </c>
      <c r="B35" s="15"/>
      <c r="C35" s="15"/>
      <c r="D35" s="15"/>
      <c r="E35" s="15"/>
      <c r="F35" s="15"/>
      <c r="G35" s="15"/>
      <c r="H35" s="15"/>
      <c r="I35" s="15"/>
      <c r="J35" s="15"/>
    </row>
    <row r="36" spans="1:10">
      <c r="A36" t="s">
        <v>383</v>
      </c>
      <c r="B36" s="15">
        <f>+J33</f>
        <v>2860500</v>
      </c>
      <c r="C36" s="15">
        <v>1825200</v>
      </c>
      <c r="D36" s="98">
        <f>(1010.118+18.316+2158.748+28.092)*2.204622</f>
        <v>7088.463796428</v>
      </c>
      <c r="E36" s="15">
        <f t="shared" ref="E36:E47" si="8">SUM(B36:D36)</f>
        <v>4692788.4637964284</v>
      </c>
      <c r="F36" s="15">
        <f t="shared" ref="F36:F47" si="9">I36-H36</f>
        <v>1551272.5219528244</v>
      </c>
      <c r="G36" s="15">
        <v>246800</v>
      </c>
      <c r="H36" s="15">
        <f>(136262.536+118.268+13549.491+719.087)*2.204622</f>
        <v>332124.94184360403</v>
      </c>
      <c r="I36" s="15">
        <f t="shared" ref="I36:I47" si="10">(E36-J36)</f>
        <v>1883397.4637964284</v>
      </c>
      <c r="J36" s="15">
        <f>2547700+261691</f>
        <v>2809391</v>
      </c>
    </row>
    <row r="37" spans="1:10">
      <c r="A37" t="s">
        <v>384</v>
      </c>
      <c r="B37" s="15">
        <f>+J36</f>
        <v>2809391</v>
      </c>
      <c r="C37" s="15">
        <v>1853955</v>
      </c>
      <c r="D37" s="98">
        <f>(1661.49+0+2673.529+33.209)*2.204622</f>
        <v>9630.291549816</v>
      </c>
      <c r="E37" s="15">
        <f t="shared" si="8"/>
        <v>4672976.2915498158</v>
      </c>
      <c r="F37" s="15">
        <f t="shared" si="9"/>
        <v>1441405.8450678037</v>
      </c>
      <c r="G37" s="15">
        <v>239388</v>
      </c>
      <c r="H37" s="15">
        <f>(89018.672+137.192+19472.689+719.193)*2.204622</f>
        <v>241070.44648201202</v>
      </c>
      <c r="I37" s="15">
        <f t="shared" si="10"/>
        <v>1682476.2915498158</v>
      </c>
      <c r="J37" s="15">
        <f>2712000+278500</f>
        <v>2990500</v>
      </c>
    </row>
    <row r="38" spans="1:10">
      <c r="A38" t="s">
        <v>385</v>
      </c>
      <c r="B38" s="15">
        <f t="shared" ref="B38:B47" si="11">+J37</f>
        <v>2990500</v>
      </c>
      <c r="C38" s="15">
        <v>1898259</v>
      </c>
      <c r="D38" s="98">
        <f>(2580.323+0+2004.798+39.532)*2.204622</f>
        <v>10195.611746166001</v>
      </c>
      <c r="E38" s="15">
        <f t="shared" si="8"/>
        <v>4898954.6117461659</v>
      </c>
      <c r="F38" s="15">
        <f t="shared" si="9"/>
        <v>1358145.2441907439</v>
      </c>
      <c r="G38" s="15">
        <v>236991</v>
      </c>
      <c r="H38" s="15">
        <f>(156263.077+348.372+20319.023+110.929)*2.204622</f>
        <v>390309.36755542207</v>
      </c>
      <c r="I38" s="15">
        <f t="shared" si="10"/>
        <v>1748454.6117461659</v>
      </c>
      <c r="J38" s="15">
        <f>2874700+275800</f>
        <v>3150500</v>
      </c>
    </row>
    <row r="39" spans="1:10">
      <c r="A39" t="s">
        <v>386</v>
      </c>
      <c r="B39" s="15">
        <f t="shared" si="11"/>
        <v>3150500</v>
      </c>
      <c r="C39" s="15">
        <v>1844855.74</v>
      </c>
      <c r="D39" s="98">
        <f>(3823.805+19.232+2332.103+38.917)*2.204622</f>
        <v>13699.646771453999</v>
      </c>
      <c r="E39" s="15">
        <f t="shared" si="8"/>
        <v>5009055.3867714545</v>
      </c>
      <c r="F39" s="15">
        <f t="shared" si="9"/>
        <v>1273502.9440347764</v>
      </c>
      <c r="G39" s="15">
        <v>93713</v>
      </c>
      <c r="H39" s="15">
        <f>(215338.815+218.674+17017.503+509.157)*2.204622</f>
        <v>513862.44273667806</v>
      </c>
      <c r="I39" s="15">
        <f t="shared" si="10"/>
        <v>1787365.3867714545</v>
      </c>
      <c r="J39" s="15">
        <f>2936532+285158</f>
        <v>3221690</v>
      </c>
    </row>
    <row r="40" spans="1:10">
      <c r="A40" t="s">
        <v>387</v>
      </c>
      <c r="B40" s="15">
        <f t="shared" si="11"/>
        <v>3221690</v>
      </c>
      <c r="C40" s="15">
        <v>1690098</v>
      </c>
      <c r="D40" s="98">
        <f>(3429.108+0+2817.937+14.07)*2.204622</f>
        <v>13803.391873529999</v>
      </c>
      <c r="E40" s="15">
        <f t="shared" si="8"/>
        <v>4925591.3918735301</v>
      </c>
      <c r="F40" s="15">
        <f t="shared" si="9"/>
        <v>1230361.0815909239</v>
      </c>
      <c r="G40" s="15">
        <v>109518</v>
      </c>
      <c r="H40" s="15">
        <f>(162903.453+1648.061+16359.722+315.437)*2.204622</f>
        <v>399536.31028260605</v>
      </c>
      <c r="I40" s="15">
        <f t="shared" si="10"/>
        <v>1629897.3918735301</v>
      </c>
      <c r="J40" s="15">
        <f>2994436+301258</f>
        <v>3295694</v>
      </c>
    </row>
    <row r="41" spans="1:10">
      <c r="A41" t="s">
        <v>388</v>
      </c>
      <c r="B41" s="15">
        <f t="shared" si="11"/>
        <v>3295694</v>
      </c>
      <c r="C41" s="15">
        <v>1727705.71</v>
      </c>
      <c r="D41" s="98">
        <f>(280.052+9.2+1634.291+37.674)*2.204622</f>
        <v>4323.7421449739995</v>
      </c>
      <c r="E41" s="15">
        <f t="shared" si="8"/>
        <v>5027723.4521449739</v>
      </c>
      <c r="F41" s="15">
        <f t="shared" si="9"/>
        <v>1302040.5546392901</v>
      </c>
      <c r="G41" s="15">
        <v>133736</v>
      </c>
      <c r="H41" s="15">
        <f>(155132.552+3115.466+26389.549+444.455)*2.204622</f>
        <v>408035.89750568394</v>
      </c>
      <c r="I41" s="15">
        <f t="shared" si="10"/>
        <v>1710076.4521449739</v>
      </c>
      <c r="J41" s="15">
        <f>3048158+269489</f>
        <v>3317647</v>
      </c>
    </row>
    <row r="42" spans="1:10">
      <c r="A42" t="s">
        <v>389</v>
      </c>
      <c r="B42" s="15">
        <f t="shared" si="11"/>
        <v>3317647</v>
      </c>
      <c r="C42" s="15">
        <v>1518120.3</v>
      </c>
      <c r="D42" s="98">
        <f>(1286.61+19.232+2435.488+34.22)*2.204622</f>
        <v>8323.6605920999991</v>
      </c>
      <c r="E42" s="15">
        <f t="shared" si="8"/>
        <v>4844090.9605920995</v>
      </c>
      <c r="F42" s="15">
        <f t="shared" si="9"/>
        <v>1281297.1265738034</v>
      </c>
      <c r="G42" s="15">
        <v>123179</v>
      </c>
      <c r="H42" s="15">
        <f>(53994.097+3563.62+9115.195+459.156)*2.204622</f>
        <v>148000.83401829604</v>
      </c>
      <c r="I42" s="15">
        <f t="shared" si="10"/>
        <v>1429297.9605920995</v>
      </c>
      <c r="J42" s="15">
        <f>3151812+262981</f>
        <v>3414793</v>
      </c>
    </row>
    <row r="43" spans="1:10">
      <c r="A43" t="s">
        <v>390</v>
      </c>
      <c r="B43" s="15">
        <f t="shared" si="11"/>
        <v>3414793</v>
      </c>
      <c r="C43" s="15">
        <v>1481564.85</v>
      </c>
      <c r="D43" s="98">
        <f>(270.003+0+4582.288+31.136)*2.204622</f>
        <v>10766.110599594</v>
      </c>
      <c r="E43" s="15">
        <f t="shared" si="8"/>
        <v>4907123.9605995938</v>
      </c>
      <c r="F43" s="15">
        <f t="shared" si="9"/>
        <v>1307987.4361170598</v>
      </c>
      <c r="G43" s="15">
        <v>102602</v>
      </c>
      <c r="H43" s="15">
        <f>(25541.158+243.825+8816.729+424.485)*2.204622</f>
        <v>77219.524482534005</v>
      </c>
      <c r="I43" s="15">
        <f t="shared" si="10"/>
        <v>1385206.9605995938</v>
      </c>
      <c r="J43" s="15">
        <f>3237012+284905</f>
        <v>3521917</v>
      </c>
    </row>
    <row r="44" spans="1:10">
      <c r="A44" t="s">
        <v>392</v>
      </c>
      <c r="B44" s="15">
        <f t="shared" si="11"/>
        <v>3521917</v>
      </c>
      <c r="C44" s="15">
        <v>1442238.9</v>
      </c>
      <c r="D44" s="98">
        <f>(215.463+0+2268.523+28.2)*2.204622</f>
        <v>5538.4205236920006</v>
      </c>
      <c r="E44" s="15">
        <f t="shared" si="8"/>
        <v>4969694.3205236923</v>
      </c>
      <c r="F44" s="15">
        <f t="shared" si="9"/>
        <v>1243152.4655536884</v>
      </c>
      <c r="G44" s="15">
        <v>94804</v>
      </c>
      <c r="H44" s="15">
        <f>(43654.64+298.281+14165.984+421.677)*2.204622</f>
        <v>129059.85497000402</v>
      </c>
      <c r="I44" s="15">
        <f t="shared" si="10"/>
        <v>1372212.3205236923</v>
      </c>
      <c r="J44" s="15">
        <f>3297846+299636</f>
        <v>3597482</v>
      </c>
    </row>
    <row r="45" spans="1:10">
      <c r="A45" t="s">
        <v>393</v>
      </c>
      <c r="B45" s="15">
        <f t="shared" si="11"/>
        <v>3597482</v>
      </c>
      <c r="C45" s="15">
        <v>1440451.02</v>
      </c>
      <c r="D45" s="98">
        <f>(139.41+12+2598.508+32.316)*2.204622</f>
        <v>6133.7742855479992</v>
      </c>
      <c r="E45" s="15">
        <f t="shared" si="8"/>
        <v>5044066.7942855479</v>
      </c>
      <c r="F45" s="15">
        <f t="shared" si="9"/>
        <v>1270650.8633366758</v>
      </c>
      <c r="G45" s="15">
        <v>103575</v>
      </c>
      <c r="H45" s="15">
        <f>(73854.937+167.281+7144.5+184.158)*2.204622</f>
        <v>179347.930948872</v>
      </c>
      <c r="I45" s="15">
        <f t="shared" si="10"/>
        <v>1449998.7942855479</v>
      </c>
      <c r="J45" s="15">
        <f>3312471+281597</f>
        <v>3594068</v>
      </c>
    </row>
    <row r="46" spans="1:10">
      <c r="A46" t="s">
        <v>394</v>
      </c>
      <c r="B46" s="15">
        <f t="shared" si="11"/>
        <v>3594068</v>
      </c>
      <c r="C46" s="15">
        <v>1418447.8</v>
      </c>
      <c r="D46" s="98">
        <f>(162.42+0+3548.555+22.157)*2.204622</f>
        <v>8230.1449361040013</v>
      </c>
      <c r="E46" s="15">
        <f t="shared" si="8"/>
        <v>5020745.9449361041</v>
      </c>
      <c r="F46" s="15">
        <f t="shared" si="9"/>
        <v>1317294.1507550301</v>
      </c>
      <c r="G46" s="15">
        <v>95755</v>
      </c>
      <c r="H46" s="15">
        <f>(155958.77+85.878+9452.7+341.419)*2.204622</f>
        <v>365611.79418107402</v>
      </c>
      <c r="I46" s="15">
        <f t="shared" si="10"/>
        <v>1682905.9449361041</v>
      </c>
      <c r="J46" s="15">
        <f>3081425+256415</f>
        <v>3337840</v>
      </c>
    </row>
    <row r="47" spans="1:10">
      <c r="A47" t="s">
        <v>382</v>
      </c>
      <c r="B47" s="15">
        <f t="shared" si="11"/>
        <v>3337840</v>
      </c>
      <c r="C47" s="15">
        <v>1474417.2</v>
      </c>
      <c r="D47" s="98">
        <f>(166.571+7+1986.609+38.086)*2.204622</f>
        <v>4846.3455854519998</v>
      </c>
      <c r="E47" s="15">
        <f t="shared" si="8"/>
        <v>4817103.5455854526</v>
      </c>
      <c r="F47" s="15">
        <f t="shared" si="9"/>
        <v>1236835.9198885367</v>
      </c>
      <c r="G47" s="15">
        <v>96341.000000000015</v>
      </c>
      <c r="H47" s="15">
        <f>(70158.916+94.777+8598.87+293.715)*2.204622</f>
        <v>174487.62569691599</v>
      </c>
      <c r="I47" s="15">
        <f t="shared" si="10"/>
        <v>1411323.5455854526</v>
      </c>
      <c r="J47" s="15">
        <f>3127263+278517</f>
        <v>3405780</v>
      </c>
    </row>
    <row r="48" spans="1:10">
      <c r="A48" t="s">
        <v>155</v>
      </c>
      <c r="B48" s="15"/>
      <c r="C48" s="15">
        <f>SUM(C36:C47)</f>
        <v>19615313.52</v>
      </c>
      <c r="D48" s="98">
        <f>SUM(D36:D47)</f>
        <v>102579.60440485799</v>
      </c>
      <c r="E48" s="15">
        <f>B36+C48+D48</f>
        <v>22578393.124404859</v>
      </c>
      <c r="F48" s="15">
        <f>SUM(F36:F47)</f>
        <v>15813946.153701156</v>
      </c>
      <c r="G48" s="15">
        <f>SUM(G36:G47)</f>
        <v>1676402</v>
      </c>
      <c r="H48" s="15">
        <f>SUM(H36:H47)</f>
        <v>3358666.970703702</v>
      </c>
      <c r="I48" s="15">
        <f>SUM(I36:I47)</f>
        <v>19172613.124404859</v>
      </c>
      <c r="J48" s="15"/>
    </row>
    <row r="49" spans="1:10">
      <c r="A49" s="52" t="s">
        <v>236</v>
      </c>
      <c r="B49" s="15"/>
      <c r="C49" s="15"/>
      <c r="D49" s="15"/>
      <c r="E49" s="15"/>
      <c r="F49" s="15"/>
      <c r="G49" s="15"/>
      <c r="H49" s="15"/>
      <c r="I49" s="15"/>
      <c r="J49" s="15"/>
    </row>
    <row r="50" spans="1:10">
      <c r="A50" t="s">
        <v>383</v>
      </c>
      <c r="B50" s="15">
        <f>+J47</f>
        <v>3405780</v>
      </c>
      <c r="C50" s="15">
        <v>1790543.39</v>
      </c>
      <c r="D50" s="98">
        <f>(819.417+0+2665.457+34.172)*2.204622</f>
        <v>7758.1662306119997</v>
      </c>
      <c r="E50" s="15">
        <f t="shared" ref="E50:E61" si="12">SUM(B50:D50)</f>
        <v>5204081.5562306121</v>
      </c>
      <c r="F50" s="15">
        <f t="shared" ref="F50:F61" si="13">I50-H50</f>
        <v>1478813.626352526</v>
      </c>
      <c r="G50" s="15">
        <v>105000</v>
      </c>
      <c r="H50" s="15">
        <f>(179782.844+95.695+19259.311+581.163)*2.204622</f>
        <v>440304.92987808608</v>
      </c>
      <c r="I50" s="15">
        <f t="shared" ref="I50:I61" si="14">(E50-J50)</f>
        <v>1919118.5562306121</v>
      </c>
      <c r="J50" s="15">
        <f>3010655+274308</f>
        <v>3284963</v>
      </c>
    </row>
    <row r="51" spans="1:10">
      <c r="A51" t="s">
        <v>384</v>
      </c>
      <c r="B51" s="15">
        <f>+J50</f>
        <v>3284963</v>
      </c>
      <c r="C51" s="15">
        <v>1771201.2</v>
      </c>
      <c r="D51" s="98">
        <f>(4839.373+0+3066.841+7.64)*2.204622</f>
        <v>17447.056633188</v>
      </c>
      <c r="E51" s="15">
        <f t="shared" si="12"/>
        <v>5073611.2566331886</v>
      </c>
      <c r="F51" s="15">
        <f t="shared" si="13"/>
        <v>1291619.1662994465</v>
      </c>
      <c r="G51" s="15">
        <v>73000</v>
      </c>
      <c r="H51" s="15">
        <f>(181206.649+3502.407+11373.843+104.062)*2.204622</f>
        <v>432518.09033374203</v>
      </c>
      <c r="I51" s="15">
        <f t="shared" si="14"/>
        <v>1724137.2566331886</v>
      </c>
      <c r="J51" s="15">
        <f>3049295+300179</f>
        <v>3349474</v>
      </c>
    </row>
    <row r="52" spans="1:10">
      <c r="A52" t="s">
        <v>385</v>
      </c>
      <c r="B52" s="15">
        <f t="shared" ref="B52:B61" si="15">+J51</f>
        <v>3349474</v>
      </c>
      <c r="C52" s="15">
        <v>1731506.15</v>
      </c>
      <c r="D52" s="98">
        <f>(5320.398+0+2940.72+11.44)*2.204622</f>
        <v>18237.863363076001</v>
      </c>
      <c r="E52" s="15">
        <f t="shared" si="12"/>
        <v>5099218.0133630764</v>
      </c>
      <c r="F52" s="15">
        <f t="shared" si="13"/>
        <v>1172812.3896944083</v>
      </c>
      <c r="G52" s="15">
        <v>63000</v>
      </c>
      <c r="H52" s="15">
        <f>(152901.749+2637.656+23212.57+174.219)*2.204622</f>
        <v>394464.62366866803</v>
      </c>
      <c r="I52" s="15">
        <f t="shared" si="14"/>
        <v>1567277.0133630764</v>
      </c>
      <c r="J52" s="15">
        <f>3220826+311115</f>
        <v>3531941</v>
      </c>
    </row>
    <row r="53" spans="1:10">
      <c r="A53" t="s">
        <v>386</v>
      </c>
      <c r="B53" s="15">
        <f t="shared" si="15"/>
        <v>3531941</v>
      </c>
      <c r="C53" s="15">
        <v>1722940</v>
      </c>
      <c r="D53" s="98">
        <f>(3291.981+0+3254.544+0.2)*2.204622</f>
        <v>14433.05396295</v>
      </c>
      <c r="E53" s="15">
        <f t="shared" si="12"/>
        <v>5269314.0539629497</v>
      </c>
      <c r="F53" s="15">
        <f t="shared" si="13"/>
        <v>1387659.7552331097</v>
      </c>
      <c r="G53" s="15">
        <v>150000</v>
      </c>
      <c r="H53" s="15">
        <f>(202239.121+77.38+9067.088+108.131)*2.204622</f>
        <v>466259.29872984003</v>
      </c>
      <c r="I53" s="15">
        <f t="shared" si="14"/>
        <v>1853919.0539629497</v>
      </c>
      <c r="J53" s="15">
        <f>3078691+336704</f>
        <v>3415395</v>
      </c>
    </row>
    <row r="54" spans="1:10">
      <c r="A54" t="s">
        <v>387</v>
      </c>
      <c r="B54" s="15">
        <f t="shared" si="15"/>
        <v>3415395</v>
      </c>
      <c r="C54" s="15">
        <v>1500030</v>
      </c>
      <c r="D54" s="98">
        <f>(3175.423+0+4126.911+5.213)*2.204622</f>
        <v>16110.378882233999</v>
      </c>
      <c r="E54" s="15">
        <f t="shared" si="12"/>
        <v>4931535.378882234</v>
      </c>
      <c r="F54" s="15">
        <f t="shared" si="13"/>
        <v>1254879.7533658119</v>
      </c>
      <c r="G54" s="15">
        <v>150000</v>
      </c>
      <c r="H54" s="15">
        <f>(118832.443+3521.624+13687.893+574.941)*2.204622</f>
        <v>301188.62551642198</v>
      </c>
      <c r="I54" s="15">
        <f t="shared" si="14"/>
        <v>1556068.378882234</v>
      </c>
      <c r="J54" s="15">
        <f>3075062+300405</f>
        <v>3375467</v>
      </c>
    </row>
    <row r="55" spans="1:10">
      <c r="A55" t="s">
        <v>388</v>
      </c>
      <c r="B55" s="15">
        <f t="shared" si="15"/>
        <v>3375467</v>
      </c>
      <c r="C55" s="15">
        <v>1623774</v>
      </c>
      <c r="D55" s="98">
        <f>(1495.313+0+4447.852+1.508)*2.204622</f>
        <v>13105.756878606</v>
      </c>
      <c r="E55" s="15">
        <f t="shared" si="12"/>
        <v>5012346.756878606</v>
      </c>
      <c r="F55" s="15">
        <f t="shared" si="13"/>
        <v>1272407.5298265081</v>
      </c>
      <c r="G55" s="15">
        <v>190000</v>
      </c>
      <c r="H55" s="15">
        <f>(139214.028+79.175+10121.912+337.644)*2.204622</f>
        <v>330148.22705209797</v>
      </c>
      <c r="I55" s="15">
        <f t="shared" si="14"/>
        <v>1602555.756878606</v>
      </c>
      <c r="J55" s="15">
        <f>3109849+299942</f>
        <v>3409791</v>
      </c>
    </row>
    <row r="56" spans="1:10">
      <c r="A56" t="s">
        <v>389</v>
      </c>
      <c r="B56" s="15">
        <f t="shared" si="15"/>
        <v>3409791</v>
      </c>
      <c r="C56" s="15">
        <v>1504598</v>
      </c>
      <c r="D56" s="98">
        <f>(403.164+0+5901.121+1.472)*2.204622</f>
        <v>13901.810608853999</v>
      </c>
      <c r="E56" s="15">
        <f t="shared" si="12"/>
        <v>4928290.8106088536</v>
      </c>
      <c r="F56" s="15">
        <f t="shared" si="13"/>
        <v>1397646.6538427935</v>
      </c>
      <c r="G56" s="15">
        <v>236000</v>
      </c>
      <c r="H56" s="15">
        <f>(75823.413+1139.657+8389.42+184.24)*2.204622</f>
        <v>188576.15676606004</v>
      </c>
      <c r="I56" s="15">
        <f t="shared" si="14"/>
        <v>1586222.8106088536</v>
      </c>
      <c r="J56" s="15">
        <f>3010398+331670</f>
        <v>3342068</v>
      </c>
    </row>
    <row r="57" spans="1:10">
      <c r="A57" t="s">
        <v>390</v>
      </c>
      <c r="B57" s="15">
        <f t="shared" si="15"/>
        <v>3342068</v>
      </c>
      <c r="C57" s="15">
        <v>1491195</v>
      </c>
      <c r="D57" s="98">
        <f>(814.147+0+4736.942+1.724)*2.204622</f>
        <v>12241.853701686001</v>
      </c>
      <c r="E57" s="15">
        <f t="shared" si="12"/>
        <v>4845504.8537016856</v>
      </c>
      <c r="F57" s="15">
        <f t="shared" si="13"/>
        <v>1576493.7764327575</v>
      </c>
      <c r="G57" s="15">
        <v>264000</v>
      </c>
      <c r="H57" s="15">
        <f>(29955.857+1591.942+9839.322+201.903)*2.204622</f>
        <v>91688.077268927998</v>
      </c>
      <c r="I57" s="15">
        <f t="shared" si="14"/>
        <v>1668181.8537016856</v>
      </c>
      <c r="J57" s="15">
        <f>2917354+259969</f>
        <v>3177323</v>
      </c>
    </row>
    <row r="58" spans="1:10">
      <c r="A58" t="s">
        <v>392</v>
      </c>
      <c r="B58" s="15">
        <f t="shared" si="15"/>
        <v>3177323</v>
      </c>
      <c r="C58" s="15">
        <v>1437997</v>
      </c>
      <c r="D58" s="98">
        <f>(374.637+0+5123.419+62.229)*2.204622</f>
        <v>12258.32663727</v>
      </c>
      <c r="E58" s="15">
        <f t="shared" si="12"/>
        <v>4627578.3266372699</v>
      </c>
      <c r="F58" s="15">
        <f t="shared" si="13"/>
        <v>1344828.4075209498</v>
      </c>
      <c r="G58" s="15">
        <v>311000</v>
      </c>
      <c r="H58" s="15">
        <f>(48941.832+1445.761+8302.158+134.809)*2.204622</f>
        <v>129685.91911632002</v>
      </c>
      <c r="I58" s="15">
        <f t="shared" si="14"/>
        <v>1474514.3266372699</v>
      </c>
      <c r="J58" s="15">
        <f>2868184+284880</f>
        <v>3153064</v>
      </c>
    </row>
    <row r="59" spans="1:10">
      <c r="A59" t="s">
        <v>393</v>
      </c>
      <c r="B59" s="15">
        <f t="shared" si="15"/>
        <v>3153064</v>
      </c>
      <c r="C59" s="15">
        <v>1504674</v>
      </c>
      <c r="D59" s="98">
        <f>(257.985+0+4658.192+0)*2.204622</f>
        <v>10838.311970094001</v>
      </c>
      <c r="E59" s="15">
        <f t="shared" si="12"/>
        <v>4668576.3119700942</v>
      </c>
      <c r="F59" s="15">
        <f t="shared" si="13"/>
        <v>1419762.9641650321</v>
      </c>
      <c r="G59" s="15">
        <v>367000</v>
      </c>
      <c r="H59" s="15">
        <f>(45456.366+955.049+7901.32+101.286)*2.204622</f>
        <v>119962.347805062</v>
      </c>
      <c r="I59" s="15">
        <f t="shared" si="14"/>
        <v>1539725.3119700942</v>
      </c>
      <c r="J59" s="15">
        <f>2824308+304543</f>
        <v>3128851</v>
      </c>
    </row>
    <row r="60" spans="1:10">
      <c r="A60" t="s">
        <v>394</v>
      </c>
      <c r="B60" s="15">
        <f t="shared" si="15"/>
        <v>3128851</v>
      </c>
      <c r="C60" s="15">
        <v>1458750</v>
      </c>
      <c r="D60" s="98">
        <f>(121.648+0+5978.907+0.2)*2.204622</f>
        <v>13449.858689610001</v>
      </c>
      <c r="E60" s="15">
        <f t="shared" si="12"/>
        <v>4601050.8586896099</v>
      </c>
      <c r="F60" s="15">
        <f t="shared" si="13"/>
        <v>1618370.370322688</v>
      </c>
      <c r="G60" s="15">
        <v>398000</v>
      </c>
      <c r="H60" s="15">
        <f>(44303.026+126.176+7418.814+141.635)*2.204622</f>
        <v>114617.52836692199</v>
      </c>
      <c r="I60" s="15">
        <f t="shared" si="14"/>
        <v>1732987.89868961</v>
      </c>
      <c r="J60" s="15">
        <v>2868062.96</v>
      </c>
    </row>
    <row r="61" spans="1:10">
      <c r="A61" t="s">
        <v>382</v>
      </c>
      <c r="B61" s="15">
        <f t="shared" si="15"/>
        <v>2868062.96</v>
      </c>
      <c r="C61" s="15">
        <v>1350373.78</v>
      </c>
      <c r="D61" s="98">
        <f>(155.713+0+4024.771+1.119)*2.204622</f>
        <v>9218.853969066</v>
      </c>
      <c r="E61" s="15">
        <f t="shared" si="12"/>
        <v>4227655.5939690666</v>
      </c>
      <c r="F61" s="15">
        <f t="shared" si="13"/>
        <v>1578787.7510764566</v>
      </c>
      <c r="G61" s="15">
        <v>430000</v>
      </c>
      <c r="H61" s="15">
        <f>(94248.522+309.172+6711.905+117.656)*2.204622</f>
        <v>223520.57289261001</v>
      </c>
      <c r="I61" s="15">
        <f t="shared" si="14"/>
        <v>1802308.3239690666</v>
      </c>
      <c r="J61" s="15">
        <v>2425347.27</v>
      </c>
    </row>
    <row r="62" spans="1:10">
      <c r="A62" t="s">
        <v>155</v>
      </c>
      <c r="B62" s="15"/>
      <c r="C62" s="15">
        <f>SUM(C50:C61)</f>
        <v>18887582.520000003</v>
      </c>
      <c r="D62" s="98">
        <f>SUM(D50:D61)</f>
        <v>159001.29152724601</v>
      </c>
      <c r="E62" s="15">
        <f>B50+C62+D62</f>
        <v>22452363.811527248</v>
      </c>
      <c r="F62" s="15">
        <f>SUM(F50:F61)</f>
        <v>16794082.144132487</v>
      </c>
      <c r="G62" s="15">
        <f>SUM(G50:G61)</f>
        <v>2737000</v>
      </c>
      <c r="H62" s="15">
        <f>SUM(H50:H61)</f>
        <v>3232934.3973947582</v>
      </c>
      <c r="I62" s="15">
        <f>SUM(I50:I61)</f>
        <v>20027016.541527245</v>
      </c>
      <c r="J62" s="15"/>
    </row>
    <row r="63" spans="1:10">
      <c r="A63" s="52" t="s">
        <v>260</v>
      </c>
      <c r="C63" s="28"/>
      <c r="D63" s="28"/>
      <c r="E63" s="28"/>
      <c r="F63" s="15"/>
      <c r="G63" s="15"/>
      <c r="H63" s="15"/>
      <c r="I63" s="15"/>
      <c r="J63" s="15"/>
    </row>
    <row r="64" spans="1:10">
      <c r="A64" t="s">
        <v>383</v>
      </c>
      <c r="B64" s="15">
        <v>1854818</v>
      </c>
      <c r="C64" s="15">
        <v>1962937</v>
      </c>
      <c r="D64" s="98">
        <f>(11263.021+0+8383.554+0)*2.204622</f>
        <v>43313.271469650004</v>
      </c>
      <c r="E64" s="15">
        <f>B64+C64+D64</f>
        <v>3861068.2714696499</v>
      </c>
      <c r="F64" s="15">
        <f>I64-H64</f>
        <v>1741066.7282298219</v>
      </c>
      <c r="G64" s="15">
        <v>407750</v>
      </c>
      <c r="H64" s="15">
        <f>(68457.137+168.758+12516.928+337.151)*2.204622</f>
        <v>179632.54323982802</v>
      </c>
      <c r="I64" s="15">
        <f t="shared" ref="I64:I75" si="16">(E64-J64)</f>
        <v>1920699.2714696499</v>
      </c>
      <c r="J64" s="15">
        <f>1569861+370508</f>
        <v>1940369</v>
      </c>
    </row>
    <row r="65" spans="1:10">
      <c r="A65" t="s">
        <v>384</v>
      </c>
      <c r="B65" s="15">
        <f>J64</f>
        <v>1940369</v>
      </c>
      <c r="C65" s="15">
        <v>1901853</v>
      </c>
      <c r="D65" s="98">
        <f>(404.275+20.412+7673.322+0)*2.204622</f>
        <v>17853.048797598</v>
      </c>
      <c r="E65" s="15">
        <f t="shared" ref="E65:E75" si="17">B65+C65+D65</f>
        <v>3860075.0487975981</v>
      </c>
      <c r="F65" s="15">
        <f t="shared" ref="F65:F75" si="18">I65-H65</f>
        <v>1661212.8644706982</v>
      </c>
      <c r="G65" s="15">
        <v>463630</v>
      </c>
      <c r="H65" s="15">
        <f>(96450.176+52.248+8912.495+274.031)*2.204622</f>
        <v>233004.18432690002</v>
      </c>
      <c r="I65" s="15">
        <f t="shared" si="16"/>
        <v>1894217.0487975981</v>
      </c>
      <c r="J65" s="15">
        <f>1545181+420677</f>
        <v>1965858</v>
      </c>
    </row>
    <row r="66" spans="1:10">
      <c r="A66" t="s">
        <v>385</v>
      </c>
      <c r="B66" s="15">
        <f t="shared" ref="B66:B75" si="19">J65</f>
        <v>1965858</v>
      </c>
      <c r="C66" s="15">
        <v>1929027</v>
      </c>
      <c r="D66" s="98">
        <f>(426.012+0+9716.081+0)*2.204622</f>
        <v>22359.481353846004</v>
      </c>
      <c r="E66" s="15">
        <f t="shared" si="17"/>
        <v>3917244.4813538459</v>
      </c>
      <c r="F66" s="15">
        <f t="shared" si="18"/>
        <v>1623989.2890065599</v>
      </c>
      <c r="G66" s="15">
        <v>435620</v>
      </c>
      <c r="H66" s="15">
        <f>(127771.858+163.223+17227.472+325.06)*2.204622</f>
        <v>320745.19234728598</v>
      </c>
      <c r="I66" s="15">
        <f t="shared" si="16"/>
        <v>1944734.4813538459</v>
      </c>
      <c r="J66" s="15">
        <f>1576849+395661</f>
        <v>1972510</v>
      </c>
    </row>
    <row r="67" spans="1:10">
      <c r="A67" t="s">
        <v>386</v>
      </c>
      <c r="B67" s="15">
        <f t="shared" si="19"/>
        <v>1972510</v>
      </c>
      <c r="C67" s="15">
        <v>1864887</v>
      </c>
      <c r="D67" s="98">
        <f>(661.65+0+6999.396+0)*2.204622</f>
        <v>16889.710554612</v>
      </c>
      <c r="E67" s="15">
        <f t="shared" si="17"/>
        <v>3854286.7105546119</v>
      </c>
      <c r="F67" s="15">
        <f t="shared" si="18"/>
        <v>1576553.3936106698</v>
      </c>
      <c r="G67" s="15">
        <v>392270</v>
      </c>
      <c r="H67" s="15">
        <f>(64298.556+202.493+10705.986+514.026)*2.204622</f>
        <v>166936.31694394202</v>
      </c>
      <c r="I67" s="15">
        <f t="shared" si="16"/>
        <v>1743489.7105546119</v>
      </c>
      <c r="J67" s="15">
        <f>1724459+386338</f>
        <v>2110797</v>
      </c>
    </row>
    <row r="68" spans="1:10">
      <c r="A68" t="s">
        <v>387</v>
      </c>
      <c r="B68" s="15">
        <f t="shared" si="19"/>
        <v>2110797</v>
      </c>
      <c r="C68" s="15">
        <v>1795866</v>
      </c>
      <c r="D68" s="98">
        <f>(6983.861+0+5636.542+0)*2.204622</f>
        <v>27823.218102666</v>
      </c>
      <c r="E68" s="15">
        <f t="shared" si="17"/>
        <v>3934486.2181026661</v>
      </c>
      <c r="F68" s="15">
        <f t="shared" si="18"/>
        <v>1539623.2803150842</v>
      </c>
      <c r="G68" s="15">
        <v>394760</v>
      </c>
      <c r="H68" s="15">
        <f>(39741.744+144.371+11864.2+270.366)*2.204622</f>
        <v>114685.93778758201</v>
      </c>
      <c r="I68" s="15">
        <f t="shared" si="16"/>
        <v>1654309.2181026661</v>
      </c>
      <c r="J68" s="15">
        <f>1880210+399967</f>
        <v>2280177</v>
      </c>
    </row>
    <row r="69" spans="1:10">
      <c r="A69" t="s">
        <v>388</v>
      </c>
      <c r="B69" s="15">
        <f t="shared" si="19"/>
        <v>2280177</v>
      </c>
      <c r="C69" s="15">
        <v>1943537</v>
      </c>
      <c r="D69" s="98">
        <f>(591.834+0+7456.81+0)*2.204622</f>
        <v>17744.217632568001</v>
      </c>
      <c r="E69" s="15">
        <f t="shared" si="17"/>
        <v>4241458.2176325684</v>
      </c>
      <c r="F69" s="15">
        <f t="shared" si="18"/>
        <v>1683407.9475453284</v>
      </c>
      <c r="G69" s="15">
        <v>464480</v>
      </c>
      <c r="H69" s="15">
        <f>(90421.404+568.24+14369.382+384.394)*2.204622</f>
        <v>233124.27008724</v>
      </c>
      <c r="I69" s="15">
        <f t="shared" si="16"/>
        <v>1916532.2176325684</v>
      </c>
      <c r="J69" s="15">
        <f>1956599+368327</f>
        <v>2324926</v>
      </c>
    </row>
    <row r="70" spans="1:10">
      <c r="A70" t="s">
        <v>389</v>
      </c>
      <c r="B70" s="15">
        <f t="shared" si="19"/>
        <v>2324926</v>
      </c>
      <c r="C70" s="15">
        <v>1840263</v>
      </c>
      <c r="D70" s="98">
        <f>(3550.44+0+9479.238+0.48)*2.204622</f>
        <v>28726.572990275999</v>
      </c>
      <c r="E70" s="15">
        <f t="shared" si="17"/>
        <v>4193915.5729902759</v>
      </c>
      <c r="F70" s="15">
        <f t="shared" si="18"/>
        <v>1648122.4901599279</v>
      </c>
      <c r="G70" s="15">
        <v>414750</v>
      </c>
      <c r="H70" s="15">
        <f>(43735.649+152.257+12684.186+478.542)*2.204622</f>
        <v>125775.08283034799</v>
      </c>
      <c r="I70" s="15">
        <f t="shared" si="16"/>
        <v>1773897.5729902759</v>
      </c>
      <c r="J70" s="15">
        <f>2048554+371464</f>
        <v>2420018</v>
      </c>
    </row>
    <row r="71" spans="1:10">
      <c r="A71" t="s">
        <v>391</v>
      </c>
      <c r="B71" s="15">
        <f t="shared" si="19"/>
        <v>2420018</v>
      </c>
      <c r="C71" s="15">
        <v>1876184</v>
      </c>
      <c r="D71" s="98">
        <f>(629.094+1.199+14398.052+0)*2.204622</f>
        <v>33131.820010590003</v>
      </c>
      <c r="E71" s="15">
        <f t="shared" si="17"/>
        <v>4329333.8200105904</v>
      </c>
      <c r="F71" s="15">
        <f t="shared" si="18"/>
        <v>1759376.8829391883</v>
      </c>
      <c r="G71" s="15">
        <v>543780</v>
      </c>
      <c r="H71" s="15">
        <f>(35456.096+189.388+11250.035+195.972)*2.204622</f>
        <v>103818.937071402</v>
      </c>
      <c r="I71" s="15">
        <f t="shared" si="16"/>
        <v>1863195.8200105904</v>
      </c>
      <c r="J71" s="15">
        <f>2063240+402898</f>
        <v>2466138</v>
      </c>
    </row>
    <row r="72" spans="1:10">
      <c r="A72" t="s">
        <v>392</v>
      </c>
      <c r="B72" s="15">
        <f t="shared" si="19"/>
        <v>2466138</v>
      </c>
      <c r="C72" s="15">
        <v>1787234</v>
      </c>
      <c r="D72" s="98">
        <f>(596.642+0.579+6779.714+21.75)*2.204622</f>
        <v>16311.303722069999</v>
      </c>
      <c r="E72" s="15">
        <f t="shared" si="17"/>
        <v>4269683.3037220696</v>
      </c>
      <c r="F72" s="15">
        <f t="shared" si="18"/>
        <v>1687023.9349690736</v>
      </c>
      <c r="G72" s="15">
        <v>519690</v>
      </c>
      <c r="H72" s="15">
        <f>(58786.371+182.565+12592.14+344.842)*2.204622</f>
        <v>158525.36875299603</v>
      </c>
      <c r="I72" s="15">
        <f t="shared" si="16"/>
        <v>1845549.3037220696</v>
      </c>
      <c r="J72" s="15">
        <f>2042738+381396</f>
        <v>2424134</v>
      </c>
    </row>
    <row r="73" spans="1:10">
      <c r="A73" t="s">
        <v>393</v>
      </c>
      <c r="B73" s="15">
        <f t="shared" si="19"/>
        <v>2424134</v>
      </c>
      <c r="C73" s="15">
        <v>1789356</v>
      </c>
      <c r="D73" s="98">
        <f>(492.863+0+7173.58+0)*2.204622</f>
        <v>16901.608899546001</v>
      </c>
      <c r="E73" s="15">
        <f t="shared" si="17"/>
        <v>4230391.6088995459</v>
      </c>
      <c r="F73" s="15">
        <f t="shared" si="18"/>
        <v>1737098.6812410299</v>
      </c>
      <c r="G73" s="15">
        <v>535600</v>
      </c>
      <c r="H73" s="15">
        <f>(106944.346+201.312+19122.929+290.491)*2.204622</f>
        <v>279014.92765851604</v>
      </c>
      <c r="I73" s="15">
        <f t="shared" si="16"/>
        <v>2016113.6088995459</v>
      </c>
      <c r="J73" s="15">
        <f>1865797+348481</f>
        <v>2214278</v>
      </c>
    </row>
    <row r="74" spans="1:10">
      <c r="A74" t="s">
        <v>394</v>
      </c>
      <c r="B74" s="15">
        <f t="shared" si="19"/>
        <v>2214278</v>
      </c>
      <c r="C74" s="15">
        <v>1642478</v>
      </c>
      <c r="D74" s="98">
        <f>(441.51+0+10970.187+18.574)*2.204622</f>
        <v>25199.426912562001</v>
      </c>
      <c r="E74" s="15">
        <f t="shared" si="17"/>
        <v>3881955.426912562</v>
      </c>
      <c r="F74" s="15">
        <f t="shared" si="18"/>
        <v>1796842.2494858881</v>
      </c>
      <c r="G74" s="15">
        <v>561040</v>
      </c>
      <c r="H74" s="15">
        <f>(31239.263+90.549+13409.825+333.93)*2.204622</f>
        <v>99370.17742667401</v>
      </c>
      <c r="I74" s="15">
        <f t="shared" si="16"/>
        <v>1896212.426912562</v>
      </c>
      <c r="J74" s="15">
        <f>1666531+319212</f>
        <v>1985743</v>
      </c>
    </row>
    <row r="75" spans="1:10">
      <c r="A75" t="s">
        <v>382</v>
      </c>
      <c r="B75" s="15">
        <f t="shared" si="19"/>
        <v>1985743</v>
      </c>
      <c r="C75" s="15">
        <v>1616609</v>
      </c>
      <c r="D75" s="98">
        <f>(341.494+0+8866.195+0)*2.204622</f>
        <v>20299.473738558001</v>
      </c>
      <c r="E75" s="15">
        <f t="shared" si="17"/>
        <v>3622651.4737385581</v>
      </c>
      <c r="F75" s="15">
        <f t="shared" si="18"/>
        <v>1707930.1805705342</v>
      </c>
      <c r="G75" s="15">
        <v>536840</v>
      </c>
      <c r="H75" s="15">
        <f>(92870.205+183.707+9768.901+554.679)*2.204622</f>
        <v>227908.29316802401</v>
      </c>
      <c r="I75" s="15">
        <f t="shared" si="16"/>
        <v>1935838.4737385581</v>
      </c>
      <c r="J75" s="15">
        <f>1417400+269413</f>
        <v>1686813</v>
      </c>
    </row>
    <row r="76" spans="1:10">
      <c r="A76" t="s">
        <v>218</v>
      </c>
      <c r="B76" s="15"/>
      <c r="C76" s="15">
        <f>SUM(C64:C75)</f>
        <v>21950231</v>
      </c>
      <c r="D76" s="98">
        <f>SUM(D64:D75)</f>
        <v>286553.15418454207</v>
      </c>
      <c r="E76" s="15">
        <f>B64+C76+D76</f>
        <v>24091602.154184543</v>
      </c>
      <c r="F76" s="15">
        <f>SUM(F64:F75)</f>
        <v>20162247.922543805</v>
      </c>
      <c r="G76" s="15">
        <f>SUM(G64:G75)</f>
        <v>5670210</v>
      </c>
      <c r="H76" s="15">
        <f>SUM(H64:H75)</f>
        <v>2242541.231640738</v>
      </c>
      <c r="I76" s="15">
        <f>SUM(I64:I75)</f>
        <v>22404789.154184543</v>
      </c>
      <c r="J76" s="15"/>
    </row>
    <row r="77" spans="1:10">
      <c r="A77" s="52" t="s">
        <v>262</v>
      </c>
      <c r="C77" s="28"/>
      <c r="D77" s="28"/>
      <c r="E77" s="28"/>
      <c r="F77" s="15"/>
      <c r="G77" s="15"/>
      <c r="H77" s="15"/>
      <c r="I77" s="15"/>
      <c r="J77" s="15"/>
    </row>
    <row r="78" spans="1:10">
      <c r="A78" t="s">
        <v>383</v>
      </c>
      <c r="B78" s="15">
        <v>1686813</v>
      </c>
      <c r="C78" s="15">
        <v>2028518</v>
      </c>
      <c r="D78" s="98">
        <f>(434.626+0+6110.958+0)*2.204622</f>
        <v>14430.538489248</v>
      </c>
      <c r="E78" s="15">
        <f>B78+C78+D78</f>
        <v>3729761.5384892481</v>
      </c>
      <c r="F78" s="15">
        <f>I78-H78</f>
        <v>1693468.4488477521</v>
      </c>
      <c r="G78" s="15">
        <v>525960</v>
      </c>
      <c r="H78" s="15">
        <f>(87527.672+238.795+21038.125+503.076)*2.204622</f>
        <v>240982.08964149602</v>
      </c>
      <c r="I78" s="15">
        <f t="shared" ref="I78:I89" si="20">(E78-J78)</f>
        <v>1934450.5384892481</v>
      </c>
      <c r="J78" s="15">
        <f>1437483+357828</f>
        <v>1795311</v>
      </c>
    </row>
    <row r="79" spans="1:10">
      <c r="A79" t="s">
        <v>384</v>
      </c>
      <c r="B79" s="15">
        <v>1795311</v>
      </c>
      <c r="C79" s="15">
        <v>1961256</v>
      </c>
      <c r="D79" s="98">
        <f>(11291.133+0+6136.446+0)*2.204622</f>
        <v>38421.224070138</v>
      </c>
      <c r="E79" s="15">
        <f t="shared" ref="E79:E89" si="21">B79+C79+D79</f>
        <v>3794988.2240701378</v>
      </c>
      <c r="F79" s="15">
        <f t="shared" ref="F79:F89" si="22">I79-H79</f>
        <v>1777576.0385635339</v>
      </c>
      <c r="G79" s="15">
        <v>595830</v>
      </c>
      <c r="H79" s="15">
        <f>(90247.74+217.251+16556.96+343.931)*2.204622</f>
        <v>236701.185506604</v>
      </c>
      <c r="I79" s="15">
        <f t="shared" si="20"/>
        <v>2014277.2240701378</v>
      </c>
      <c r="J79" s="15">
        <f>1473201+307510</f>
        <v>1780711</v>
      </c>
    </row>
    <row r="80" spans="1:10">
      <c r="A80" t="s">
        <v>385</v>
      </c>
      <c r="B80" s="15">
        <v>1780711</v>
      </c>
      <c r="C80" s="15">
        <v>1950176</v>
      </c>
      <c r="D80" s="98">
        <f>(12194.023+0+9312.901+0.46)*2.204622</f>
        <v>47415.651928847998</v>
      </c>
      <c r="E80" s="15">
        <f t="shared" si="21"/>
        <v>3778302.6519288481</v>
      </c>
      <c r="F80" s="15">
        <f t="shared" si="22"/>
        <v>1670621.946319188</v>
      </c>
      <c r="G80" s="15">
        <v>610470</v>
      </c>
      <c r="H80" s="15">
        <f>(89693.028+363.189+16519.097+205.216)*2.204622</f>
        <v>235410.70560966004</v>
      </c>
      <c r="I80" s="15">
        <f t="shared" si="20"/>
        <v>1906032.6519288481</v>
      </c>
      <c r="J80" s="15">
        <f>1505351+366919</f>
        <v>1872270</v>
      </c>
    </row>
    <row r="81" spans="1:10">
      <c r="A81" t="s">
        <v>386</v>
      </c>
      <c r="B81" s="15">
        <v>1872270</v>
      </c>
      <c r="C81" s="15">
        <v>1982893</v>
      </c>
      <c r="D81" s="98">
        <f>(466.576+0+9795.834+20.89)*2.204622</f>
        <v>22670.789412599999</v>
      </c>
      <c r="E81" s="15">
        <f t="shared" si="21"/>
        <v>3877833.7894126</v>
      </c>
      <c r="F81" s="15">
        <f t="shared" si="22"/>
        <v>1492781.9223601159</v>
      </c>
      <c r="G81" s="15">
        <v>390110</v>
      </c>
      <c r="H81" s="15">
        <f>(93975.464+129.304+23105.929+430.725)*2.204622</f>
        <v>259354.86705248404</v>
      </c>
      <c r="I81" s="15">
        <f t="shared" si="20"/>
        <v>1752136.7894126</v>
      </c>
      <c r="J81" s="15">
        <f>1731033+394664</f>
        <v>2125697</v>
      </c>
    </row>
    <row r="82" spans="1:10">
      <c r="A82" t="s">
        <v>387</v>
      </c>
      <c r="B82" s="15">
        <v>2125697</v>
      </c>
      <c r="C82" s="15">
        <v>1757030</v>
      </c>
      <c r="D82" s="98">
        <f>(1041.719+0+8449.661+0)*2.204622</f>
        <v>20924.905158360001</v>
      </c>
      <c r="E82" s="15">
        <f t="shared" si="21"/>
        <v>3903651.90515836</v>
      </c>
      <c r="F82" s="15">
        <f t="shared" si="22"/>
        <v>1451589.437605194</v>
      </c>
      <c r="G82" s="15">
        <v>369180</v>
      </c>
      <c r="H82" s="15">
        <f>(89650.838+95.622+18256.324+290.369)*2.204622</f>
        <v>238745.46755316606</v>
      </c>
      <c r="I82" s="15">
        <f t="shared" si="20"/>
        <v>1690334.90515836</v>
      </c>
      <c r="J82" s="15">
        <f>1801761+411556</f>
        <v>2213317</v>
      </c>
    </row>
    <row r="83" spans="1:10">
      <c r="A83" t="s">
        <v>388</v>
      </c>
      <c r="B83" s="15">
        <v>2213317</v>
      </c>
      <c r="C83" s="15">
        <v>1865466</v>
      </c>
      <c r="D83" s="98">
        <f>(758.203+0+11479.52+0)*2.204622</f>
        <v>26979.553355706001</v>
      </c>
      <c r="E83" s="15">
        <f t="shared" si="21"/>
        <v>4105762.5533557059</v>
      </c>
      <c r="F83" s="15">
        <f t="shared" si="22"/>
        <v>1466465.4145410738</v>
      </c>
      <c r="G83" s="15">
        <v>369460</v>
      </c>
      <c r="H83" s="15">
        <f>(108075.711+337.664+25328.653+276.928)*2.204622</f>
        <v>295461.13881463202</v>
      </c>
      <c r="I83" s="15">
        <f t="shared" si="20"/>
        <v>1761926.5533557059</v>
      </c>
      <c r="J83" s="15">
        <f>1934877+408959</f>
        <v>2343836</v>
      </c>
    </row>
    <row r="84" spans="1:10">
      <c r="A84" t="s">
        <v>389</v>
      </c>
      <c r="B84" s="15">
        <v>2343836</v>
      </c>
      <c r="C84" s="15">
        <v>1737775</v>
      </c>
      <c r="D84" s="98">
        <f>(1601.179+0+13024.339+6.804)*2.204622</f>
        <v>32258.738992284001</v>
      </c>
      <c r="E84" s="15">
        <f t="shared" si="21"/>
        <v>4113869.7389922841</v>
      </c>
      <c r="F84" s="15">
        <f t="shared" si="22"/>
        <v>1616476.428891276</v>
      </c>
      <c r="G84" s="15">
        <v>426710</v>
      </c>
      <c r="H84" s="15">
        <f>(89464.045+94.891+27020.814+176.914)*2.204622</f>
        <v>257404.31010100801</v>
      </c>
      <c r="I84" s="15">
        <f t="shared" si="20"/>
        <v>1873880.7389922841</v>
      </c>
      <c r="J84" s="15">
        <f>1848364+391625</f>
        <v>2239989</v>
      </c>
    </row>
    <row r="85" spans="1:10">
      <c r="A85" t="s">
        <v>391</v>
      </c>
      <c r="B85" s="15">
        <v>2239989</v>
      </c>
      <c r="C85" s="15">
        <v>1839342</v>
      </c>
      <c r="D85" s="98">
        <f>(1669.208+0+12616.689+0)*2.204622</f>
        <v>31495.002815934004</v>
      </c>
      <c r="E85" s="15">
        <f t="shared" si="21"/>
        <v>4110826.0028159339</v>
      </c>
      <c r="F85" s="15">
        <f t="shared" si="22"/>
        <v>1680248.398646228</v>
      </c>
      <c r="G85" s="15">
        <v>545510</v>
      </c>
      <c r="H85" s="15">
        <f>(47935.414+165.843+24707.034+366.432)*2.204622</f>
        <v>161322.604169706</v>
      </c>
      <c r="I85" s="15">
        <f t="shared" si="20"/>
        <v>1841571.0028159339</v>
      </c>
      <c r="J85" s="15">
        <f>1888717+380538</f>
        <v>2269255</v>
      </c>
    </row>
    <row r="86" spans="1:10">
      <c r="A86" t="s">
        <v>392</v>
      </c>
      <c r="B86" s="15">
        <v>2269255</v>
      </c>
      <c r="C86" s="15">
        <v>1735608</v>
      </c>
      <c r="D86" s="98">
        <f>(591.416+0+10425.956+2.25)*2.204622</f>
        <v>24294.101092884001</v>
      </c>
      <c r="E86" s="15">
        <f t="shared" si="21"/>
        <v>4029157.1010928839</v>
      </c>
      <c r="F86" s="15">
        <f t="shared" si="22"/>
        <v>1748291.0010166098</v>
      </c>
      <c r="G86" s="15">
        <v>548840</v>
      </c>
      <c r="H86" s="15">
        <f>(47842.155+321.08+14045.86+381.272)*2.204622</f>
        <v>137988.10007627402</v>
      </c>
      <c r="I86" s="15">
        <f t="shared" si="20"/>
        <v>1886279.1010928839</v>
      </c>
      <c r="J86" s="15">
        <f>1815157+327721</f>
        <v>2142878</v>
      </c>
    </row>
    <row r="87" spans="1:10">
      <c r="A87" t="s">
        <v>393</v>
      </c>
      <c r="B87" s="15">
        <v>2142878</v>
      </c>
      <c r="C87" s="15">
        <v>1801376</v>
      </c>
      <c r="D87" s="98">
        <f>(528.216+0+9657.898+0)*2.204622</f>
        <v>22456.531018908001</v>
      </c>
      <c r="E87" s="15">
        <f t="shared" si="21"/>
        <v>3966710.5310189081</v>
      </c>
      <c r="F87" s="15">
        <f t="shared" si="22"/>
        <v>1767366.2903755221</v>
      </c>
      <c r="G87" s="15">
        <v>606150</v>
      </c>
      <c r="H87" s="15">
        <f>(65023.01+148.382+24814.047+209.724)*2.204622</f>
        <v>198846.240643386</v>
      </c>
      <c r="I87" s="15">
        <f t="shared" si="20"/>
        <v>1966212.5310189081</v>
      </c>
      <c r="J87" s="15">
        <f>1627909+372589</f>
        <v>2000498</v>
      </c>
    </row>
    <row r="88" spans="1:10">
      <c r="A88" t="s">
        <v>394</v>
      </c>
      <c r="B88" s="15">
        <v>2000498</v>
      </c>
      <c r="C88" s="15">
        <v>1762207</v>
      </c>
      <c r="D88" s="98">
        <f>(495.803+0+8286.889+0)*2.204622</f>
        <v>19362.516002423999</v>
      </c>
      <c r="E88" s="15">
        <f t="shared" si="21"/>
        <v>3782067.5160024241</v>
      </c>
      <c r="F88" s="15">
        <f t="shared" si="22"/>
        <v>1808515.5428586181</v>
      </c>
      <c r="G88" s="15">
        <v>608170</v>
      </c>
      <c r="H88" s="15">
        <f>(58152.578+182.461+15446.844+249.39)*2.204622</f>
        <v>163210.97314380601</v>
      </c>
      <c r="I88" s="15">
        <f t="shared" si="20"/>
        <v>1971726.5160024241</v>
      </c>
      <c r="J88" s="15">
        <f>1483031+327310</f>
        <v>1810341</v>
      </c>
    </row>
    <row r="89" spans="1:10">
      <c r="A89" t="s">
        <v>382</v>
      </c>
      <c r="B89" s="15">
        <v>1810341</v>
      </c>
      <c r="C89" s="15">
        <v>1701762</v>
      </c>
      <c r="D89" s="98">
        <f>(556.101+0+7608.838+0.48)*2.204622</f>
        <v>18001.662366617998</v>
      </c>
      <c r="E89" s="15">
        <f t="shared" si="21"/>
        <v>3530104.6623666179</v>
      </c>
      <c r="F89" s="15">
        <f t="shared" si="22"/>
        <v>1688916.1120424878</v>
      </c>
      <c r="G89" s="15">
        <v>603910</v>
      </c>
      <c r="H89" s="15">
        <f>(41914.049+162.186+16816.761+180.419)*2.204622</f>
        <v>130234.55032413</v>
      </c>
      <c r="I89" s="15">
        <f t="shared" si="20"/>
        <v>1819150.6623666179</v>
      </c>
      <c r="J89" s="15">
        <f>1400918+310036</f>
        <v>1710954</v>
      </c>
    </row>
    <row r="90" spans="1:10">
      <c r="A90" t="s">
        <v>218</v>
      </c>
      <c r="C90" s="15">
        <f>SUM(C78:C89)</f>
        <v>22123409</v>
      </c>
      <c r="D90" s="98">
        <f>SUM(D78:D89)</f>
        <v>318711.21470395202</v>
      </c>
      <c r="E90" s="15">
        <f>B78+C90+D90</f>
        <v>24128933.214703951</v>
      </c>
      <c r="F90" s="15">
        <f>SUM(F78:F89)</f>
        <v>19862316.982067596</v>
      </c>
      <c r="G90" s="15">
        <f>SUM(G78:G89)</f>
        <v>6200300</v>
      </c>
      <c r="H90" s="15">
        <f>SUM(H78:H89)</f>
        <v>2555662.2326363521</v>
      </c>
      <c r="I90" s="15">
        <f>SUM(I78:I89)</f>
        <v>22417979.214703955</v>
      </c>
      <c r="J90" s="15"/>
    </row>
    <row r="91" spans="1:10">
      <c r="A91" t="s">
        <v>270</v>
      </c>
      <c r="C91" s="15"/>
      <c r="D91" s="98"/>
      <c r="E91" s="15"/>
      <c r="F91" s="15"/>
      <c r="G91" s="15"/>
      <c r="H91" s="15"/>
      <c r="I91" s="15"/>
      <c r="J91" s="15"/>
    </row>
    <row r="92" spans="1:10">
      <c r="A92" t="s">
        <v>383</v>
      </c>
      <c r="B92" s="15">
        <f>J89</f>
        <v>1710954</v>
      </c>
      <c r="C92" s="15">
        <v>2016888</v>
      </c>
      <c r="D92" s="98">
        <f>(663.115+0+13934.702+0)*2.204622</f>
        <v>32182.668510174</v>
      </c>
      <c r="E92" s="15">
        <f t="shared" ref="E92:E103" si="23">B92+C92+D92</f>
        <v>3760024.6685101739</v>
      </c>
      <c r="F92" s="201">
        <f>I92-H92</f>
        <v>1921160.3915106379</v>
      </c>
      <c r="G92" s="201">
        <v>577430</v>
      </c>
      <c r="H92" s="15">
        <f>(80225.792+85.525+15875.468+265.703)*2.204622</f>
        <v>212641.276999536</v>
      </c>
      <c r="I92" s="201">
        <f t="shared" ref="I92:I103" si="24">(E92-J92)</f>
        <v>2133801.6685101739</v>
      </c>
      <c r="J92" s="15">
        <f>1300360+325863</f>
        <v>1626223</v>
      </c>
    </row>
    <row r="93" spans="1:10">
      <c r="A93" t="s">
        <v>384</v>
      </c>
      <c r="B93" s="15">
        <f>J92</f>
        <v>1626223</v>
      </c>
      <c r="C93" s="15">
        <v>1977005</v>
      </c>
      <c r="D93" s="98">
        <f>(669.27+0+9320.6+0.8)*2.204622</f>
        <v>22025.650876740001</v>
      </c>
      <c r="E93" s="15">
        <f t="shared" si="23"/>
        <v>3625253.65087674</v>
      </c>
      <c r="F93" s="201">
        <f t="shared" ref="F93:F103" si="25">I93-H93</f>
        <v>1802526.569819778</v>
      </c>
      <c r="G93" s="201">
        <v>590800</v>
      </c>
      <c r="H93" s="15">
        <f>(41937.459+208.519+17592.338+202.155)*2.204622</f>
        <v>132146.08105696202</v>
      </c>
      <c r="I93" s="201">
        <f t="shared" si="24"/>
        <v>1934672.65087674</v>
      </c>
      <c r="J93" s="15">
        <f>1379223+311358</f>
        <v>1690581</v>
      </c>
    </row>
    <row r="94" spans="1:10">
      <c r="A94" t="s">
        <v>385</v>
      </c>
      <c r="B94" s="15">
        <f t="shared" ref="B94:B103" si="26">J93</f>
        <v>1690581</v>
      </c>
      <c r="C94" s="15">
        <v>2015256</v>
      </c>
      <c r="D94" s="98">
        <f>(611.691+0+13538.281+0.8)*2.204622</f>
        <v>31197.103268184004</v>
      </c>
      <c r="E94" s="15">
        <f t="shared" si="23"/>
        <v>3737034.1032681842</v>
      </c>
      <c r="F94" s="201">
        <f t="shared" si="25"/>
        <v>1613443.1539013023</v>
      </c>
      <c r="G94" s="201">
        <v>593990</v>
      </c>
      <c r="H94" s="15">
        <f>(60891.52+230.156+17166.633+145.522)*2.204622</f>
        <v>172916.94936688201</v>
      </c>
      <c r="I94" s="201">
        <f t="shared" si="24"/>
        <v>1786360.1032681842</v>
      </c>
      <c r="J94" s="15">
        <f>1583544+367130</f>
        <v>1950674</v>
      </c>
    </row>
    <row r="95" spans="1:10">
      <c r="A95" t="s">
        <v>386</v>
      </c>
      <c r="B95" s="15">
        <f t="shared" si="26"/>
        <v>1950674</v>
      </c>
      <c r="C95" s="15">
        <v>1995589</v>
      </c>
      <c r="D95" s="98">
        <f>(672.527+1.728+9360.229+0)*2.204622</f>
        <v>22122.244185047999</v>
      </c>
      <c r="E95" s="15">
        <f t="shared" si="23"/>
        <v>3968385.2441850482</v>
      </c>
      <c r="F95" s="201">
        <f t="shared" si="25"/>
        <v>1547880.0806478402</v>
      </c>
      <c r="G95" s="201">
        <v>462120</v>
      </c>
      <c r="H95" s="15">
        <f>(67939.406+153.133+13668.131+213.094)*2.204622</f>
        <v>180721.16353720799</v>
      </c>
      <c r="I95" s="201">
        <f t="shared" si="24"/>
        <v>1728601.2441850482</v>
      </c>
      <c r="J95" s="15">
        <f>1886728+353056</f>
        <v>2239784</v>
      </c>
    </row>
    <row r="96" spans="1:10">
      <c r="A96" t="s">
        <v>387</v>
      </c>
      <c r="B96" s="15">
        <f t="shared" si="26"/>
        <v>2239784</v>
      </c>
      <c r="C96" s="15">
        <v>1889841</v>
      </c>
      <c r="D96" s="98">
        <f>(10974.745+0+7629.912+0.8)*2.204622</f>
        <v>41017.999822254002</v>
      </c>
      <c r="E96" s="15">
        <f t="shared" si="23"/>
        <v>4170642.9998222538</v>
      </c>
      <c r="F96" s="201">
        <f t="shared" si="25"/>
        <v>1565811.3762743878</v>
      </c>
      <c r="G96" s="201">
        <v>495590</v>
      </c>
      <c r="H96" s="15">
        <f>(68127.44+142.344+12909.94+217.279)*2.204622</f>
        <v>179449.62354786601</v>
      </c>
      <c r="I96" s="201">
        <f t="shared" si="24"/>
        <v>1745260.9998222538</v>
      </c>
      <c r="J96" s="15">
        <f>2049644+375738</f>
        <v>2425382</v>
      </c>
    </row>
    <row r="97" spans="1:14">
      <c r="A97" t="s">
        <v>388</v>
      </c>
      <c r="B97" s="15">
        <f t="shared" si="26"/>
        <v>2425382</v>
      </c>
      <c r="C97" s="15">
        <v>2079123</v>
      </c>
      <c r="D97" s="98">
        <f>(1613.442+0+7976.35+0.8)*2.204622</f>
        <v>21143.630116224002</v>
      </c>
      <c r="E97" s="15">
        <f t="shared" si="23"/>
        <v>4525648.6301162243</v>
      </c>
      <c r="F97" s="201">
        <f t="shared" si="25"/>
        <v>1877936.8579792243</v>
      </c>
      <c r="G97" s="201">
        <v>624150</v>
      </c>
      <c r="H97" s="15">
        <f>(63263.6+28410.2+253.9+255.8)*2.204622</f>
        <v>203229.77213700002</v>
      </c>
      <c r="I97" s="201">
        <f t="shared" si="24"/>
        <v>2081166.6301162243</v>
      </c>
      <c r="J97" s="15">
        <f>2080138+364344</f>
        <v>2444482</v>
      </c>
    </row>
    <row r="98" spans="1:14">
      <c r="A98" t="s">
        <v>389</v>
      </c>
      <c r="B98" s="15">
        <f t="shared" si="26"/>
        <v>2444482</v>
      </c>
      <c r="C98" s="15">
        <v>1964922</v>
      </c>
      <c r="D98" s="98">
        <f>(563.31+103.249+12346.4+0)*2.204622</f>
        <v>28688.655696497997</v>
      </c>
      <c r="E98" s="15">
        <f t="shared" si="23"/>
        <v>4438092.6556964982</v>
      </c>
      <c r="F98" s="201">
        <f t="shared" si="25"/>
        <v>1536996.2173366221</v>
      </c>
      <c r="G98" s="201">
        <v>519559.99999999994</v>
      </c>
      <c r="H98" s="15">
        <f>(74547.873+133.339+21342.471+283.275)*2.204622</f>
        <v>212320.43835987605</v>
      </c>
      <c r="I98" s="201">
        <f t="shared" si="24"/>
        <v>1749316.6556964982</v>
      </c>
      <c r="J98" s="15">
        <f>2316192+372584</f>
        <v>2688776</v>
      </c>
    </row>
    <row r="99" spans="1:14">
      <c r="A99" t="s">
        <v>391</v>
      </c>
      <c r="B99" s="15">
        <f t="shared" si="26"/>
        <v>2688776</v>
      </c>
      <c r="C99" s="15">
        <v>1966511</v>
      </c>
      <c r="D99" s="98">
        <f>(754.842+0+14709.869+1.28)*2.204622</f>
        <v>34096.664010402004</v>
      </c>
      <c r="E99" s="15">
        <f t="shared" si="23"/>
        <v>4689383.6640104018</v>
      </c>
      <c r="F99" s="201">
        <f t="shared" si="25"/>
        <v>1883900.5750484958</v>
      </c>
      <c r="G99" s="201">
        <v>581330</v>
      </c>
      <c r="H99" s="15">
        <f>(171049.084+572.188+23792.737+275.814)*2.204622</f>
        <v>431422.08896190603</v>
      </c>
      <c r="I99" s="201">
        <f t="shared" si="24"/>
        <v>2315322.6640104018</v>
      </c>
      <c r="J99" s="15">
        <f>2002934+371127</f>
        <v>2374061</v>
      </c>
    </row>
    <row r="100" spans="1:14">
      <c r="A100" t="s">
        <v>392</v>
      </c>
      <c r="B100" s="15">
        <f t="shared" si="26"/>
        <v>2374061</v>
      </c>
      <c r="C100" s="15">
        <v>1936907</v>
      </c>
      <c r="D100" s="98">
        <f>(2305.083+0+12102.798+0.8)*2.204622</f>
        <v>31765.695123582002</v>
      </c>
      <c r="E100" s="15">
        <f t="shared" si="23"/>
        <v>4342733.6951235821</v>
      </c>
      <c r="F100" s="201">
        <f t="shared" si="25"/>
        <v>1809843.0295830902</v>
      </c>
      <c r="G100" s="201">
        <v>673610</v>
      </c>
      <c r="H100" s="15">
        <f>(86616.031+94.936+16408.293+337.326)*2.204622</f>
        <v>228082.66554049202</v>
      </c>
      <c r="I100" s="201">
        <f t="shared" si="24"/>
        <v>2037925.6951235821</v>
      </c>
      <c r="J100" s="15">
        <f>1933152+371656</f>
        <v>2304808</v>
      </c>
      <c r="M100" s="21"/>
      <c r="N100" s="21"/>
    </row>
    <row r="101" spans="1:14">
      <c r="A101" t="s">
        <v>393</v>
      </c>
      <c r="B101" s="15">
        <f t="shared" si="26"/>
        <v>2304808</v>
      </c>
      <c r="C101" s="15">
        <v>2043323</v>
      </c>
      <c r="D101" s="98">
        <f>(2900.45+0+11937.917+1.8)*2.204622</f>
        <v>32716.958651873996</v>
      </c>
      <c r="E101" s="15">
        <f t="shared" si="23"/>
        <v>4380847.9586518742</v>
      </c>
      <c r="F101" s="201">
        <f t="shared" si="25"/>
        <v>1822498.4100716561</v>
      </c>
      <c r="G101" s="201">
        <v>721270</v>
      </c>
      <c r="H101" s="15">
        <f>(61467.766+164.409+17265.46+346.584)*2.204622</f>
        <v>174703.54858021802</v>
      </c>
      <c r="I101" s="201">
        <f t="shared" si="24"/>
        <v>1997201.9586518742</v>
      </c>
      <c r="J101" s="15">
        <f>1983666+399980</f>
        <v>2383646</v>
      </c>
      <c r="M101" s="21"/>
      <c r="N101" s="21"/>
    </row>
    <row r="102" spans="1:14">
      <c r="A102" t="s">
        <v>394</v>
      </c>
      <c r="B102" s="15">
        <f t="shared" si="26"/>
        <v>2383646</v>
      </c>
      <c r="C102" s="15">
        <v>1944966</v>
      </c>
      <c r="D102" s="98">
        <f>(1713.977+0+9048.481+0.8)*2.204622</f>
        <v>23728.915378476002</v>
      </c>
      <c r="E102" s="15">
        <f t="shared" si="23"/>
        <v>4352340.9153784756</v>
      </c>
      <c r="F102" s="201">
        <f t="shared" si="25"/>
        <v>1943066.6839757436</v>
      </c>
      <c r="G102" s="201">
        <v>755130</v>
      </c>
      <c r="H102" s="15">
        <f>(71876.295+73.925+16053.85+208.436)*2.204622</f>
        <v>194475.23140273202</v>
      </c>
      <c r="I102" s="201">
        <f t="shared" si="24"/>
        <v>2137541.9153784756</v>
      </c>
      <c r="J102" s="15">
        <f>1843912+370887</f>
        <v>2214799</v>
      </c>
      <c r="M102" s="21"/>
      <c r="N102" s="21"/>
    </row>
    <row r="103" spans="1:14">
      <c r="A103" t="s">
        <v>382</v>
      </c>
      <c r="B103" s="15">
        <f t="shared" si="26"/>
        <v>2214799</v>
      </c>
      <c r="C103" s="15">
        <v>1942097</v>
      </c>
      <c r="D103" s="98">
        <f>(2178.466+0.7+4448.861+0.8)*2.204622</f>
        <v>14614.057838394001</v>
      </c>
      <c r="E103" s="15">
        <f t="shared" si="23"/>
        <v>4171510.0578383938</v>
      </c>
      <c r="F103" s="201">
        <f t="shared" si="25"/>
        <v>2055147.9268645479</v>
      </c>
      <c r="G103" s="201">
        <v>738730</v>
      </c>
      <c r="H103" s="15">
        <f>(41318.617+82.871+13182.967+267.638)*2.204622</f>
        <v>120928.13097384601</v>
      </c>
      <c r="I103" s="201">
        <f t="shared" si="24"/>
        <v>2176076.0578383938</v>
      </c>
      <c r="J103" s="15">
        <f>1648347+347087</f>
        <v>1995434</v>
      </c>
      <c r="M103" s="21"/>
      <c r="N103" s="21"/>
    </row>
    <row r="104" spans="1:14">
      <c r="A104" t="s">
        <v>218</v>
      </c>
      <c r="C104" s="15">
        <f>SUM(C92:C103)</f>
        <v>23772428</v>
      </c>
      <c r="D104" s="98">
        <f>SUM(D92:D103)</f>
        <v>335300.24347785005</v>
      </c>
      <c r="E104" s="15">
        <f>B92+C104+D104</f>
        <v>25818682.243477851</v>
      </c>
      <c r="F104" s="201">
        <f>SUM(F92:F103)</f>
        <v>21380211.273013327</v>
      </c>
      <c r="G104" s="201">
        <f>SUM(G92:G103)</f>
        <v>7333710</v>
      </c>
      <c r="H104" s="15">
        <f>SUM(H92:H103)</f>
        <v>2443036.9704645243</v>
      </c>
      <c r="I104" s="201">
        <f>SUM(I92:I103)</f>
        <v>23823248.243477851</v>
      </c>
      <c r="J104" s="15"/>
      <c r="N104" s="21"/>
    </row>
    <row r="105" spans="1:14">
      <c r="A105" t="s">
        <v>295</v>
      </c>
      <c r="B105" s="15"/>
      <c r="C105" s="15"/>
      <c r="D105" s="236"/>
      <c r="E105" s="15"/>
      <c r="F105" s="219"/>
      <c r="G105" s="201"/>
      <c r="H105" s="15"/>
      <c r="I105" s="219"/>
      <c r="J105" s="15"/>
      <c r="N105" s="21"/>
    </row>
    <row r="106" spans="1:14">
      <c r="A106" t="s">
        <v>383</v>
      </c>
      <c r="B106" s="15">
        <f>J103</f>
        <v>1995434</v>
      </c>
      <c r="C106" s="15">
        <v>2134553</v>
      </c>
      <c r="D106" s="98">
        <v>34870.726636200001</v>
      </c>
      <c r="E106" s="15">
        <f>B106+C106+D106</f>
        <v>4164857.7266362002</v>
      </c>
      <c r="F106" s="201">
        <f>I106-H106</f>
        <v>1971101.9276134002</v>
      </c>
      <c r="G106" s="201">
        <v>757526.6</v>
      </c>
      <c r="H106" s="201">
        <v>146204.79902279997</v>
      </c>
      <c r="I106" s="201">
        <f t="shared" ref="I106:I117" si="27">(E106-J106)</f>
        <v>2117306.7266362002</v>
      </c>
      <c r="J106" s="15">
        <f>1700684+346867</f>
        <v>2047551</v>
      </c>
      <c r="M106" s="295"/>
      <c r="N106" s="21"/>
    </row>
    <row r="107" spans="1:14">
      <c r="A107" t="s">
        <v>384</v>
      </c>
      <c r="B107" s="15">
        <f>J106</f>
        <v>2047551</v>
      </c>
      <c r="C107" s="15">
        <v>2060563</v>
      </c>
      <c r="D107" s="98">
        <v>34484.476861800002</v>
      </c>
      <c r="E107" s="15">
        <f t="shared" ref="E107:E117" si="28">B107+C107+D107</f>
        <v>4142598.4768618001</v>
      </c>
      <c r="F107" s="201">
        <f t="shared" ref="F107:F117" si="29">I107-H107</f>
        <v>2027302.0793358001</v>
      </c>
      <c r="G107" s="201">
        <v>762436.6</v>
      </c>
      <c r="H107" s="201">
        <v>215023.39752599999</v>
      </c>
      <c r="I107" s="201">
        <f t="shared" si="27"/>
        <v>2242325.4768618001</v>
      </c>
      <c r="J107" s="15">
        <f>1582363+317910</f>
        <v>1900273</v>
      </c>
      <c r="M107" s="295"/>
      <c r="N107" s="21"/>
    </row>
    <row r="108" spans="1:14">
      <c r="A108" t="s">
        <v>385</v>
      </c>
      <c r="B108" s="15">
        <f t="shared" ref="B108:B117" si="30">J107</f>
        <v>1900273</v>
      </c>
      <c r="C108" s="15">
        <v>2135370</v>
      </c>
      <c r="D108" s="98">
        <v>44472.296370600001</v>
      </c>
      <c r="E108" s="15">
        <f t="shared" si="28"/>
        <v>4080115.2963705999</v>
      </c>
      <c r="F108" s="201">
        <f t="shared" si="29"/>
        <v>1976538.4972293999</v>
      </c>
      <c r="G108" s="201">
        <v>826406.6</v>
      </c>
      <c r="H108" s="201">
        <v>157728.7991412</v>
      </c>
      <c r="I108" s="201">
        <f t="shared" si="27"/>
        <v>2134267.2963705999</v>
      </c>
      <c r="J108" s="15">
        <f>1601770+344078</f>
        <v>1945848</v>
      </c>
      <c r="M108" s="295"/>
      <c r="N108" s="21"/>
    </row>
    <row r="109" spans="1:14">
      <c r="A109" t="s">
        <v>386</v>
      </c>
      <c r="B109" s="15">
        <f t="shared" si="30"/>
        <v>1945848</v>
      </c>
      <c r="C109" s="15">
        <v>2115799</v>
      </c>
      <c r="D109" s="98">
        <v>30797.907953400001</v>
      </c>
      <c r="E109" s="15">
        <f t="shared" si="28"/>
        <v>4092444.9079534002</v>
      </c>
      <c r="F109" s="201">
        <f t="shared" si="29"/>
        <v>1866790.4145602002</v>
      </c>
      <c r="G109" s="201">
        <v>698057.3</v>
      </c>
      <c r="H109" s="201">
        <v>220926.49339320001</v>
      </c>
      <c r="I109" s="201">
        <f t="shared" si="27"/>
        <v>2087716.9079534002</v>
      </c>
      <c r="J109" s="15">
        <f>1659501+345227</f>
        <v>2004728</v>
      </c>
      <c r="M109" s="295"/>
      <c r="N109" s="21"/>
    </row>
    <row r="110" spans="1:14">
      <c r="A110" t="s">
        <v>387</v>
      </c>
      <c r="B110" s="15">
        <f t="shared" si="30"/>
        <v>2004728</v>
      </c>
      <c r="C110" s="15">
        <v>1899196</v>
      </c>
      <c r="D110" s="98">
        <v>29322.795373200002</v>
      </c>
      <c r="E110" s="15">
        <f t="shared" si="28"/>
        <v>3933246.7953732</v>
      </c>
      <c r="F110" s="201">
        <f t="shared" si="29"/>
        <v>1692532.8291736001</v>
      </c>
      <c r="G110" s="201">
        <v>634817.30000000005</v>
      </c>
      <c r="H110" s="201">
        <v>91583.966199599992</v>
      </c>
      <c r="I110" s="201">
        <f t="shared" si="27"/>
        <v>1784116.7953732</v>
      </c>
      <c r="J110" s="15">
        <f>1762965+386165</f>
        <v>2149130</v>
      </c>
      <c r="M110" s="295"/>
      <c r="N110" s="21"/>
    </row>
    <row r="111" spans="1:14">
      <c r="A111" t="s">
        <v>388</v>
      </c>
      <c r="B111" s="15">
        <f t="shared" si="30"/>
        <v>2149130</v>
      </c>
      <c r="C111" s="15">
        <v>2094418</v>
      </c>
      <c r="D111" s="98">
        <v>30401.296455600001</v>
      </c>
      <c r="E111" s="15">
        <f t="shared" si="28"/>
        <v>4273949.2964556003</v>
      </c>
      <c r="F111" s="201">
        <f t="shared" si="29"/>
        <v>1769332.3815124002</v>
      </c>
      <c r="G111" s="201">
        <v>692257.3</v>
      </c>
      <c r="H111" s="201">
        <v>271687.91494320001</v>
      </c>
      <c r="I111" s="201">
        <f t="shared" si="27"/>
        <v>2041020.2964556003</v>
      </c>
      <c r="J111" s="15">
        <f>1893918+339011</f>
        <v>2232929</v>
      </c>
      <c r="M111" s="295"/>
      <c r="N111" s="21"/>
    </row>
    <row r="112" spans="1:14">
      <c r="A112" t="s">
        <v>389</v>
      </c>
      <c r="B112" s="15">
        <f t="shared" si="30"/>
        <v>2232929</v>
      </c>
      <c r="C112" s="15">
        <v>1989101</v>
      </c>
      <c r="D112" s="98">
        <v>29025.6123276</v>
      </c>
      <c r="E112" s="15">
        <f t="shared" si="28"/>
        <v>4251055.6123275999</v>
      </c>
      <c r="F112" s="201">
        <f t="shared" si="29"/>
        <v>1845196.2785423999</v>
      </c>
      <c r="G112" s="201">
        <v>691827.7</v>
      </c>
      <c r="H112" s="201">
        <v>148253.3337852</v>
      </c>
      <c r="I112" s="201">
        <f t="shared" si="27"/>
        <v>1993449.6123275999</v>
      </c>
      <c r="J112" s="15">
        <f>1893351+364255</f>
        <v>2257606</v>
      </c>
      <c r="M112" s="295"/>
      <c r="N112" s="21"/>
    </row>
    <row r="113" spans="1:14">
      <c r="A113" t="s">
        <v>391</v>
      </c>
      <c r="B113" s="15">
        <f t="shared" si="30"/>
        <v>2257606</v>
      </c>
      <c r="C113" s="15">
        <v>1915994</v>
      </c>
      <c r="D113" s="98">
        <v>34441.266270599997</v>
      </c>
      <c r="E113" s="15">
        <f t="shared" si="28"/>
        <v>4208041.2662706003</v>
      </c>
      <c r="F113" s="201">
        <f t="shared" si="29"/>
        <v>1983591.5010730003</v>
      </c>
      <c r="G113" s="201">
        <v>719037.7</v>
      </c>
      <c r="H113" s="201">
        <v>205582.76519759998</v>
      </c>
      <c r="I113" s="201">
        <f t="shared" si="27"/>
        <v>2189174.2662706003</v>
      </c>
      <c r="J113" s="15">
        <f>1662782+356085</f>
        <v>2018867</v>
      </c>
      <c r="M113" s="295"/>
      <c r="N113" s="21"/>
    </row>
    <row r="114" spans="1:14">
      <c r="A114" t="s">
        <v>392</v>
      </c>
      <c r="B114" s="15">
        <f t="shared" si="30"/>
        <v>2018867</v>
      </c>
      <c r="C114" s="15">
        <v>1811481</v>
      </c>
      <c r="D114" s="98">
        <v>34798.855959</v>
      </c>
      <c r="E114" s="15">
        <f t="shared" si="28"/>
        <v>3865146.8559590001</v>
      </c>
      <c r="F114" s="201">
        <f t="shared" si="29"/>
        <v>1755283.9194106001</v>
      </c>
      <c r="G114" s="201">
        <v>654137.69999999995</v>
      </c>
      <c r="H114" s="201">
        <v>95442.936548399986</v>
      </c>
      <c r="I114" s="201">
        <f t="shared" si="27"/>
        <v>1850726.8559590001</v>
      </c>
      <c r="J114" s="15">
        <f>1595273+419147</f>
        <v>2014420</v>
      </c>
      <c r="M114" s="295"/>
      <c r="N114" s="21"/>
    </row>
    <row r="115" spans="1:14">
      <c r="A115" t="s">
        <v>393</v>
      </c>
      <c r="B115" s="15">
        <f t="shared" si="30"/>
        <v>2014420</v>
      </c>
      <c r="C115" s="15">
        <v>2090168</v>
      </c>
      <c r="D115" s="98">
        <v>36458.936325000002</v>
      </c>
      <c r="E115" s="15">
        <f t="shared" si="28"/>
        <v>4141046.9363250001</v>
      </c>
      <c r="F115" s="201">
        <f t="shared" si="29"/>
        <v>1927425.7726138001</v>
      </c>
      <c r="G115" s="201">
        <v>781283.3</v>
      </c>
      <c r="H115" s="201">
        <v>174120.1637112</v>
      </c>
      <c r="I115" s="201">
        <f t="shared" si="27"/>
        <v>2101545.9363250001</v>
      </c>
      <c r="J115" s="15">
        <f>1652854+386647</f>
        <v>2039501</v>
      </c>
      <c r="M115" s="295"/>
      <c r="N115" s="21"/>
    </row>
    <row r="116" spans="1:14">
      <c r="A116" t="s">
        <v>394</v>
      </c>
      <c r="B116" s="15">
        <f t="shared" si="30"/>
        <v>2039501</v>
      </c>
      <c r="C116" s="15">
        <v>2049888</v>
      </c>
      <c r="D116" s="98">
        <v>33028.324030800002</v>
      </c>
      <c r="E116" s="15">
        <f t="shared" si="28"/>
        <v>4122417.3240307998</v>
      </c>
      <c r="F116" s="201">
        <f t="shared" si="29"/>
        <v>2150622.5226655998</v>
      </c>
      <c r="G116" s="201">
        <v>773923.3</v>
      </c>
      <c r="H116" s="201">
        <v>165647.80136520002</v>
      </c>
      <c r="I116" s="201">
        <f t="shared" si="27"/>
        <v>2316270.3240307998</v>
      </c>
      <c r="J116" s="15">
        <f>1439479+366668</f>
        <v>1806147</v>
      </c>
      <c r="M116" s="295"/>
      <c r="N116" s="21"/>
    </row>
    <row r="117" spans="1:14">
      <c r="A117" t="s">
        <v>382</v>
      </c>
      <c r="B117" s="15">
        <f t="shared" si="30"/>
        <v>1806147</v>
      </c>
      <c r="C117" s="15">
        <v>1900668</v>
      </c>
      <c r="D117" s="98">
        <v>25159.366726200002</v>
      </c>
      <c r="E117" s="15">
        <f t="shared" si="28"/>
        <v>3731974.3667262001</v>
      </c>
      <c r="F117" s="201">
        <f t="shared" si="29"/>
        <v>1908439.0948044001</v>
      </c>
      <c r="G117" s="201">
        <v>671583.35</v>
      </c>
      <c r="H117" s="201">
        <v>48219.271921800006</v>
      </c>
      <c r="I117" s="201">
        <f t="shared" si="27"/>
        <v>1956658.3667262001</v>
      </c>
      <c r="J117" s="15">
        <f>1400569+374747</f>
        <v>1775316</v>
      </c>
      <c r="M117" s="295"/>
      <c r="N117" s="21"/>
    </row>
    <row r="118" spans="1:14" ht="10.9" customHeight="1">
      <c r="A118" t="s">
        <v>218</v>
      </c>
      <c r="C118" s="15">
        <f>SUM(C106:C117)</f>
        <v>24197199</v>
      </c>
      <c r="D118" s="98">
        <f>SUM(D106:D117)</f>
        <v>397261.86129000009</v>
      </c>
      <c r="E118" s="15">
        <f>B106+C118+D118</f>
        <v>26589894.86129</v>
      </c>
      <c r="F118" s="201">
        <f>SUM(F106:F117)</f>
        <v>22874157.218534604</v>
      </c>
      <c r="G118" s="201">
        <f>SUM(G106:G117)</f>
        <v>8663294.75</v>
      </c>
      <c r="H118" s="201">
        <f>SUM(H106:H117)</f>
        <v>1940421.6427553999</v>
      </c>
      <c r="I118" s="201">
        <f>SUM(I106:I117)</f>
        <v>24814578.861289997</v>
      </c>
      <c r="J118" s="15"/>
    </row>
    <row r="119" spans="1:14" ht="13.15" customHeight="1">
      <c r="A119" t="s">
        <v>334</v>
      </c>
      <c r="F119" s="219"/>
      <c r="G119" s="201"/>
      <c r="H119" s="15"/>
      <c r="I119" s="217"/>
    </row>
    <row r="120" spans="1:14">
      <c r="A120" t="s">
        <v>383</v>
      </c>
      <c r="B120" s="15">
        <f>J117</f>
        <v>1775316</v>
      </c>
      <c r="C120" s="15">
        <v>2149969</v>
      </c>
      <c r="D120" s="98">
        <v>30446.711668799999</v>
      </c>
      <c r="E120" s="15">
        <f>B120+C120+D120</f>
        <v>3955731.7116688001</v>
      </c>
      <c r="F120" s="201">
        <f>I120-H120</f>
        <v>1882090.2997522</v>
      </c>
      <c r="G120" s="201">
        <v>631174.80000000005</v>
      </c>
      <c r="H120" s="15">
        <v>252683.41191659999</v>
      </c>
      <c r="I120" s="201">
        <f>E120-J120</f>
        <v>2134773.7116688001</v>
      </c>
      <c r="J120" s="15">
        <f>1471929+349029</f>
        <v>1820958</v>
      </c>
      <c r="M120" s="295"/>
      <c r="N120" s="21"/>
    </row>
    <row r="121" spans="1:14" ht="10.15" customHeight="1">
      <c r="A121" t="s">
        <v>384</v>
      </c>
      <c r="B121" s="15">
        <f>J120</f>
        <v>1820958</v>
      </c>
      <c r="C121" s="15">
        <v>1999648</v>
      </c>
      <c r="D121" s="98">
        <v>24460.28109</v>
      </c>
      <c r="E121" s="15">
        <f t="shared" ref="E121:E131" si="31">B121+C121+D121</f>
        <v>3845066.2810900002</v>
      </c>
      <c r="F121" s="201">
        <f t="shared" ref="F121:F131" si="32">I121-H121</f>
        <v>1706971.4346250002</v>
      </c>
      <c r="G121" s="201">
        <v>600184.80000000005</v>
      </c>
      <c r="H121" s="15">
        <v>257736.84646499998</v>
      </c>
      <c r="I121" s="201">
        <f t="shared" ref="I121:I131" si="33">E121-J121</f>
        <v>1964708.2810900002</v>
      </c>
      <c r="J121" s="15">
        <f>1522923+357435</f>
        <v>1880358</v>
      </c>
      <c r="M121" s="295"/>
      <c r="N121" s="21"/>
    </row>
    <row r="122" spans="1:14">
      <c r="A122" t="s">
        <v>385</v>
      </c>
      <c r="B122" s="15">
        <f>J121</f>
        <v>1880358</v>
      </c>
      <c r="C122" s="15">
        <v>2110936</v>
      </c>
      <c r="D122" s="98">
        <v>35344.279441799998</v>
      </c>
      <c r="E122" s="15">
        <f t="shared" si="31"/>
        <v>4026638.2794418</v>
      </c>
      <c r="F122" s="201">
        <f t="shared" si="32"/>
        <v>1707714.2996576</v>
      </c>
      <c r="G122" s="201">
        <v>614704.80000000005</v>
      </c>
      <c r="H122" s="15">
        <v>184859.97978420003</v>
      </c>
      <c r="I122" s="201">
        <f t="shared" si="33"/>
        <v>1892574.2794418</v>
      </c>
      <c r="J122" s="15">
        <f>1749423+384641</f>
        <v>2134064</v>
      </c>
      <c r="M122" s="295"/>
      <c r="N122" s="21"/>
    </row>
    <row r="123" spans="1:14">
      <c r="A123" t="s">
        <v>386</v>
      </c>
      <c r="B123" s="15">
        <f t="shared" ref="B123:B131" si="34">J122</f>
        <v>2134064</v>
      </c>
      <c r="C123" s="15">
        <f>2154427</f>
        <v>2154427</v>
      </c>
      <c r="D123" s="98">
        <v>32599.084127400001</v>
      </c>
      <c r="E123" s="15">
        <f t="shared" si="31"/>
        <v>4321090.0841274001</v>
      </c>
      <c r="F123" s="201">
        <f t="shared" si="32"/>
        <v>1839895.1564550002</v>
      </c>
      <c r="G123" s="201">
        <v>569983.5</v>
      </c>
      <c r="H123" s="15">
        <v>125297.92767239998</v>
      </c>
      <c r="I123" s="201">
        <f t="shared" si="33"/>
        <v>1965193.0841274001</v>
      </c>
      <c r="J123" s="15">
        <f>1989164+366733</f>
        <v>2355897</v>
      </c>
      <c r="M123" s="295"/>
      <c r="N123" s="21"/>
    </row>
    <row r="124" spans="1:14">
      <c r="A124" t="s">
        <v>387</v>
      </c>
      <c r="B124" s="15">
        <f t="shared" si="34"/>
        <v>2355897</v>
      </c>
      <c r="C124" s="15">
        <v>1999524</v>
      </c>
      <c r="D124" s="98">
        <v>28053.153563400003</v>
      </c>
      <c r="E124" s="15">
        <f t="shared" si="31"/>
        <v>4383474.1535633998</v>
      </c>
      <c r="F124" s="201">
        <f t="shared" si="32"/>
        <v>1611000.2973401998</v>
      </c>
      <c r="G124" s="201">
        <v>623763.5</v>
      </c>
      <c r="H124" s="15">
        <v>395675.85622319998</v>
      </c>
      <c r="I124" s="201">
        <f t="shared" si="33"/>
        <v>2006676.1535633998</v>
      </c>
      <c r="J124" s="15">
        <f>1996747+380051</f>
        <v>2376798</v>
      </c>
      <c r="M124" s="295"/>
      <c r="N124" s="21"/>
    </row>
    <row r="125" spans="1:14">
      <c r="A125" t="s">
        <v>388</v>
      </c>
      <c r="B125" s="15">
        <f t="shared" si="34"/>
        <v>2376798</v>
      </c>
      <c r="C125" s="15">
        <v>2201068</v>
      </c>
      <c r="D125" s="98">
        <v>23745.983562000001</v>
      </c>
      <c r="E125" s="15">
        <f t="shared" si="31"/>
        <v>4601611.9835620001</v>
      </c>
      <c r="F125" s="201">
        <f t="shared" si="32"/>
        <v>1954134.3696132002</v>
      </c>
      <c r="G125" s="201">
        <v>705003.5</v>
      </c>
      <c r="H125" s="15">
        <v>320883.61394879996</v>
      </c>
      <c r="I125" s="201">
        <f t="shared" si="33"/>
        <v>2275017.9835620001</v>
      </c>
      <c r="J125" s="15">
        <f>1933648+392946</f>
        <v>2326594</v>
      </c>
      <c r="M125" s="295"/>
      <c r="N125" s="21"/>
    </row>
    <row r="126" spans="1:14">
      <c r="A126" t="s">
        <v>389</v>
      </c>
      <c r="B126" s="15">
        <f t="shared" si="34"/>
        <v>2326594</v>
      </c>
      <c r="C126" s="15">
        <v>2099465</v>
      </c>
      <c r="D126" s="98">
        <v>24468.217729200001</v>
      </c>
      <c r="E126" s="15">
        <f t="shared" si="31"/>
        <v>4450527.2177291997</v>
      </c>
      <c r="F126" s="201">
        <f t="shared" si="32"/>
        <v>1619731.2729857997</v>
      </c>
      <c r="G126" s="201">
        <v>752299.2</v>
      </c>
      <c r="H126" s="15">
        <v>230194.94474339997</v>
      </c>
      <c r="I126" s="201">
        <f t="shared" si="33"/>
        <v>1849926.2177291997</v>
      </c>
      <c r="J126" s="15">
        <f>2223538+377063</f>
        <v>2600601</v>
      </c>
      <c r="M126" s="295"/>
      <c r="N126" s="21"/>
    </row>
    <row r="127" spans="1:14">
      <c r="A127" t="s">
        <v>391</v>
      </c>
      <c r="B127" s="15">
        <f t="shared" si="34"/>
        <v>2600601</v>
      </c>
      <c r="C127" s="15">
        <v>2057617</v>
      </c>
      <c r="D127" s="98">
        <v>24280.163472599997</v>
      </c>
      <c r="E127" s="15">
        <f t="shared" si="31"/>
        <v>4682498.1634726003</v>
      </c>
      <c r="F127" s="201">
        <f t="shared" si="32"/>
        <v>1879258.6828296003</v>
      </c>
      <c r="G127" s="201">
        <v>885839.2</v>
      </c>
      <c r="H127" s="15">
        <v>357824.48064299993</v>
      </c>
      <c r="I127" s="201">
        <f t="shared" si="33"/>
        <v>2237083.1634726003</v>
      </c>
      <c r="J127" s="15">
        <f>2048938+396477</f>
        <v>2445415</v>
      </c>
      <c r="M127" s="295"/>
      <c r="N127" s="21"/>
    </row>
    <row r="128" spans="1:14">
      <c r="A128" t="s">
        <v>392</v>
      </c>
      <c r="B128" s="15">
        <f t="shared" si="34"/>
        <v>2445415</v>
      </c>
      <c r="C128" s="15">
        <v>2035269</v>
      </c>
      <c r="D128" s="98">
        <v>25234.764798600001</v>
      </c>
      <c r="E128" s="15">
        <f t="shared" si="31"/>
        <v>4505918.7647986002</v>
      </c>
      <c r="F128" s="201">
        <f t="shared" si="32"/>
        <v>2067436.7818240002</v>
      </c>
      <c r="G128" s="201">
        <v>827559.2</v>
      </c>
      <c r="H128" s="15">
        <v>167670.98297459999</v>
      </c>
      <c r="I128" s="201">
        <f t="shared" si="33"/>
        <v>2235107.7647986002</v>
      </c>
      <c r="J128" s="15">
        <f>1925728+345083</f>
        <v>2270811</v>
      </c>
      <c r="M128" s="295"/>
      <c r="N128" s="21"/>
    </row>
    <row r="129" spans="1:14">
      <c r="A129" t="s">
        <v>393</v>
      </c>
      <c r="B129" s="15">
        <f t="shared" si="34"/>
        <v>2270811</v>
      </c>
      <c r="C129" s="15">
        <v>2122758</v>
      </c>
      <c r="D129" s="98">
        <v>27655.219292400001</v>
      </c>
      <c r="E129" s="15">
        <f t="shared" si="31"/>
        <v>4421224.2192924004</v>
      </c>
      <c r="F129" s="201">
        <f t="shared" si="32"/>
        <v>2133368.7486692006</v>
      </c>
      <c r="G129" s="201">
        <v>838368.6</v>
      </c>
      <c r="H129" s="15">
        <v>164631.4706232</v>
      </c>
      <c r="I129" s="201">
        <f t="shared" si="33"/>
        <v>2298000.2192924004</v>
      </c>
      <c r="J129" s="15">
        <f>1776460+346764</f>
        <v>2123224</v>
      </c>
      <c r="K129" s="15"/>
      <c r="L129" s="15"/>
      <c r="M129" s="295"/>
      <c r="N129" s="21"/>
    </row>
    <row r="130" spans="1:14">
      <c r="A130" t="s">
        <v>394</v>
      </c>
      <c r="B130" s="15">
        <f t="shared" si="34"/>
        <v>2123224</v>
      </c>
      <c r="C130" s="15">
        <v>2012823</v>
      </c>
      <c r="D130" s="98">
        <v>22805.712278999999</v>
      </c>
      <c r="E130" s="15">
        <f t="shared" si="31"/>
        <v>4158852.7122789999</v>
      </c>
      <c r="F130" s="201">
        <f t="shared" si="32"/>
        <v>2013369.3823966</v>
      </c>
      <c r="G130" s="201">
        <v>808868.6</v>
      </c>
      <c r="H130" s="15">
        <v>200376.32988239996</v>
      </c>
      <c r="I130" s="201">
        <f t="shared" si="33"/>
        <v>2213745.7122789999</v>
      </c>
      <c r="J130" s="15">
        <f>1575628+369479</f>
        <v>1945107</v>
      </c>
      <c r="K130" s="15"/>
      <c r="L130" s="15"/>
      <c r="M130" s="295"/>
      <c r="N130" s="21"/>
    </row>
    <row r="131" spans="1:14">
      <c r="A131" t="s">
        <v>382</v>
      </c>
      <c r="B131" s="15">
        <f t="shared" si="34"/>
        <v>1945107</v>
      </c>
      <c r="C131" s="15">
        <v>1967621</v>
      </c>
      <c r="D131" s="98">
        <v>20835.882522</v>
      </c>
      <c r="E131" s="15">
        <f t="shared" si="31"/>
        <v>3933563.882522</v>
      </c>
      <c r="F131" s="201">
        <f t="shared" si="32"/>
        <v>1902030.3247462001</v>
      </c>
      <c r="G131" s="201">
        <v>800068.6</v>
      </c>
      <c r="H131" s="15">
        <v>178858.55777579997</v>
      </c>
      <c r="I131" s="201">
        <f t="shared" si="33"/>
        <v>2080888.882522</v>
      </c>
      <c r="J131" s="15">
        <f>1507489+345186</f>
        <v>1852675</v>
      </c>
      <c r="K131" s="15"/>
      <c r="L131" s="15"/>
      <c r="M131" s="295"/>
      <c r="N131" s="21"/>
    </row>
    <row r="132" spans="1:14">
      <c r="A132" t="s">
        <v>218</v>
      </c>
      <c r="B132" s="15"/>
      <c r="C132" s="15">
        <f t="shared" ref="C132:I132" si="35">SUM(C120:C131)</f>
        <v>24911125</v>
      </c>
      <c r="D132" s="98">
        <f t="shared" si="35"/>
        <v>319929.45354719996</v>
      </c>
      <c r="E132" s="15">
        <f>B120+C132+D132</f>
        <v>27006370.453547198</v>
      </c>
      <c r="F132" s="201">
        <f t="shared" si="35"/>
        <v>22317001.050894599</v>
      </c>
      <c r="G132" s="201">
        <f t="shared" si="35"/>
        <v>8657818.3000000007</v>
      </c>
      <c r="H132" s="15">
        <f t="shared" si="35"/>
        <v>2836694.4026525998</v>
      </c>
      <c r="I132" s="201">
        <f t="shared" si="35"/>
        <v>25153695.453547202</v>
      </c>
      <c r="J132" s="15"/>
      <c r="K132" s="201"/>
      <c r="L132" s="201"/>
      <c r="N132" s="21"/>
    </row>
    <row r="133" spans="1:14">
      <c r="A133" t="s">
        <v>350</v>
      </c>
      <c r="B133" s="15"/>
      <c r="C133" s="15"/>
      <c r="D133" s="15"/>
      <c r="E133" s="15"/>
      <c r="F133" s="219"/>
      <c r="G133" s="201"/>
      <c r="H133" s="190"/>
      <c r="I133" s="219"/>
      <c r="J133" s="15"/>
      <c r="N133" s="21"/>
    </row>
    <row r="134" spans="1:14">
      <c r="A134" t="s">
        <v>383</v>
      </c>
      <c r="B134" s="15">
        <f>J131</f>
        <v>1852675</v>
      </c>
      <c r="C134" s="15">
        <v>2282471</v>
      </c>
      <c r="D134" s="98">
        <v>20458.230773400002</v>
      </c>
      <c r="E134" s="15">
        <f>B134+C134+D134</f>
        <v>4155604.2307734</v>
      </c>
      <c r="F134" s="201">
        <f>I134-H134</f>
        <v>2002309.0817164001</v>
      </c>
      <c r="G134" s="201">
        <v>793012.66700000002</v>
      </c>
      <c r="H134" s="201">
        <v>185284.149057</v>
      </c>
      <c r="I134" s="201">
        <f>E134-J134</f>
        <v>2187593.2307734</v>
      </c>
      <c r="J134" s="15">
        <f>1568464+399547</f>
        <v>1968011</v>
      </c>
      <c r="K134" s="15"/>
      <c r="N134" s="21"/>
    </row>
    <row r="135" spans="1:14">
      <c r="A135" t="s">
        <v>384</v>
      </c>
      <c r="B135" s="15">
        <f>J134</f>
        <v>1968011</v>
      </c>
      <c r="C135" s="15">
        <v>2206792</v>
      </c>
      <c r="D135" s="98">
        <v>21129.317710200001</v>
      </c>
      <c r="E135" s="15">
        <f t="shared" ref="E135:E145" si="36">B135+C135+D135</f>
        <v>4195932.3177102003</v>
      </c>
      <c r="F135" s="201">
        <f t="shared" ref="F135:F145" si="37">I135-H135</f>
        <v>1902000.1620060003</v>
      </c>
      <c r="G135" s="201">
        <v>753012.66700000002</v>
      </c>
      <c r="H135" s="201">
        <v>176835.15570420001</v>
      </c>
      <c r="I135" s="201">
        <f t="shared" ref="I135:I145" si="38">E135-J135</f>
        <v>2078835.3177102003</v>
      </c>
      <c r="J135" s="15">
        <f>1684535+432562</f>
        <v>2117097</v>
      </c>
      <c r="K135" s="15"/>
      <c r="N135" s="21"/>
    </row>
    <row r="136" spans="1:14">
      <c r="A136" t="s">
        <v>385</v>
      </c>
      <c r="B136" s="15">
        <f>J135</f>
        <v>2117097</v>
      </c>
      <c r="C136" s="15">
        <v>2233486</v>
      </c>
      <c r="D136" s="98">
        <v>25252.622236800002</v>
      </c>
      <c r="E136" s="15">
        <f t="shared" si="36"/>
        <v>4375835.6222368004</v>
      </c>
      <c r="F136" s="201">
        <f t="shared" si="37"/>
        <v>2030393.8453386005</v>
      </c>
      <c r="G136" s="201">
        <v>814012.66700000002</v>
      </c>
      <c r="H136" s="201">
        <v>234655.77689820001</v>
      </c>
      <c r="I136" s="201">
        <f t="shared" si="38"/>
        <v>2265049.6222368004</v>
      </c>
      <c r="J136" s="15">
        <f>1717305+393481</f>
        <v>2110786</v>
      </c>
      <c r="K136" s="15"/>
      <c r="N136" s="21"/>
    </row>
    <row r="137" spans="1:14">
      <c r="A137" t="s">
        <v>386</v>
      </c>
      <c r="B137" s="15">
        <f t="shared" ref="B137:B145" si="39">J136</f>
        <v>2110786</v>
      </c>
      <c r="C137" s="15">
        <v>2308752</v>
      </c>
      <c r="D137" s="98">
        <v>18980.693109</v>
      </c>
      <c r="E137" s="15">
        <f t="shared" si="36"/>
        <v>4438518.6931090001</v>
      </c>
      <c r="F137" s="201">
        <f t="shared" si="37"/>
        <v>1804720.4637692</v>
      </c>
      <c r="G137" s="201">
        <v>682770</v>
      </c>
      <c r="H137" s="201">
        <v>327807.22933980002</v>
      </c>
      <c r="I137" s="201">
        <f t="shared" si="38"/>
        <v>2132527.6931090001</v>
      </c>
      <c r="J137" s="15">
        <f>1882069+423922</f>
        <v>2305991</v>
      </c>
      <c r="K137" s="40"/>
      <c r="N137" s="21"/>
    </row>
    <row r="138" spans="1:14">
      <c r="A138" t="s">
        <v>387</v>
      </c>
      <c r="B138" s="15">
        <f t="shared" si="39"/>
        <v>2305991</v>
      </c>
      <c r="C138" s="15">
        <v>1924749</v>
      </c>
      <c r="D138" s="98">
        <v>21359.480247</v>
      </c>
      <c r="E138" s="15">
        <f t="shared" si="36"/>
        <v>4252099.4802470002</v>
      </c>
      <c r="F138" s="201">
        <f t="shared" si="37"/>
        <v>1691013.3458538002</v>
      </c>
      <c r="G138" s="201">
        <v>552509</v>
      </c>
      <c r="H138" s="201">
        <v>255098.13439320002</v>
      </c>
      <c r="I138" s="201">
        <f t="shared" si="38"/>
        <v>1946111.4802470002</v>
      </c>
      <c r="J138" s="15">
        <f>1870825+435163</f>
        <v>2305988</v>
      </c>
      <c r="K138" s="40"/>
      <c r="N138" s="21"/>
    </row>
    <row r="139" spans="1:14">
      <c r="A139" t="s">
        <v>388</v>
      </c>
      <c r="B139" s="15">
        <f t="shared" si="39"/>
        <v>2305988</v>
      </c>
      <c r="C139" s="15">
        <v>2222123</v>
      </c>
      <c r="D139" s="98">
        <v>21436.642017000002</v>
      </c>
      <c r="E139" s="15">
        <f t="shared" si="36"/>
        <v>4549547.6420170004</v>
      </c>
      <c r="F139" s="201">
        <f t="shared" si="37"/>
        <v>2147762.4239260005</v>
      </c>
      <c r="G139" s="201">
        <v>748813</v>
      </c>
      <c r="H139" s="201">
        <v>156507.21809100002</v>
      </c>
      <c r="I139" s="201">
        <f t="shared" si="38"/>
        <v>2304269.6420170004</v>
      </c>
      <c r="J139" s="15">
        <f>1864100+381178</f>
        <v>2245278</v>
      </c>
      <c r="K139" s="40"/>
      <c r="N139" s="21"/>
    </row>
    <row r="140" spans="1:14">
      <c r="A140" t="s">
        <v>389</v>
      </c>
      <c r="B140" s="15">
        <f t="shared" si="39"/>
        <v>2245278</v>
      </c>
      <c r="C140" s="15">
        <v>1991877</v>
      </c>
      <c r="D140" s="98">
        <v>20443.018881600001</v>
      </c>
      <c r="E140" s="15">
        <f t="shared" si="36"/>
        <v>4257598.0188816004</v>
      </c>
      <c r="F140" s="201">
        <f t="shared" si="37"/>
        <v>1950426.7469656004</v>
      </c>
      <c r="G140" s="201">
        <v>699933</v>
      </c>
      <c r="H140" s="201">
        <v>129583.271916</v>
      </c>
      <c r="I140" s="201">
        <f t="shared" si="38"/>
        <v>2080010.0188816004</v>
      </c>
      <c r="J140" s="15">
        <f>1814888+362700</f>
        <v>2177588</v>
      </c>
      <c r="K140" s="40"/>
      <c r="N140" s="21"/>
    </row>
    <row r="141" spans="1:14">
      <c r="A141" t="s">
        <v>391</v>
      </c>
      <c r="B141" s="15">
        <f t="shared" si="39"/>
        <v>2177588</v>
      </c>
      <c r="C141" s="15">
        <v>2043135</v>
      </c>
      <c r="D141" s="98">
        <v>16384.750704000002</v>
      </c>
      <c r="E141" s="15">
        <f t="shared" si="36"/>
        <v>4237107.7507039998</v>
      </c>
      <c r="F141" s="201">
        <f t="shared" si="37"/>
        <v>2018986.5195629997</v>
      </c>
      <c r="G141" s="201">
        <v>785914</v>
      </c>
      <c r="H141" s="201">
        <v>71133.231140999997</v>
      </c>
      <c r="I141" s="201">
        <f t="shared" si="38"/>
        <v>2090119.7507039998</v>
      </c>
      <c r="J141" s="15">
        <f>1721223+425765</f>
        <v>2146988</v>
      </c>
      <c r="K141" s="40"/>
      <c r="N141" s="21"/>
    </row>
    <row r="142" spans="1:14">
      <c r="A142" t="s">
        <v>392</v>
      </c>
      <c r="B142" s="15">
        <f t="shared" si="39"/>
        <v>2146988</v>
      </c>
      <c r="C142" s="15">
        <v>1908649</v>
      </c>
      <c r="D142" s="98">
        <v>26139.982591799999</v>
      </c>
      <c r="E142" s="15">
        <f t="shared" si="36"/>
        <v>4081776.9825917999</v>
      </c>
      <c r="F142" s="201">
        <f t="shared" si="37"/>
        <v>1889511.8995415999</v>
      </c>
      <c r="G142" s="201">
        <v>679982</v>
      </c>
      <c r="H142" s="201">
        <v>91611.083050200003</v>
      </c>
      <c r="I142" s="201">
        <f t="shared" si="38"/>
        <v>1981122.9825917999</v>
      </c>
      <c r="J142" s="15">
        <f>1682521+418133</f>
        <v>2100654</v>
      </c>
      <c r="K142" s="40"/>
      <c r="N142" s="21"/>
    </row>
    <row r="143" spans="1:14">
      <c r="A143" t="s">
        <v>393</v>
      </c>
      <c r="B143" s="15">
        <f t="shared" si="39"/>
        <v>2100654</v>
      </c>
      <c r="C143" s="15">
        <v>1972688</v>
      </c>
      <c r="D143" s="98">
        <v>32513.324331600001</v>
      </c>
      <c r="E143" s="15">
        <f t="shared" si="36"/>
        <v>4105855.3243316002</v>
      </c>
      <c r="F143" s="201">
        <f t="shared" si="37"/>
        <v>2005547.1758732002</v>
      </c>
      <c r="G143" s="201">
        <v>807968</v>
      </c>
      <c r="H143" s="201">
        <v>30197.148458400003</v>
      </c>
      <c r="I143" s="201">
        <f t="shared" si="38"/>
        <v>2035744.3243316002</v>
      </c>
      <c r="J143" s="15">
        <f>1671358+398753</f>
        <v>2070111</v>
      </c>
      <c r="K143" s="40"/>
      <c r="N143" s="21"/>
    </row>
    <row r="144" spans="1:14">
      <c r="A144" t="s">
        <v>394</v>
      </c>
      <c r="B144" s="15">
        <f t="shared" si="39"/>
        <v>2070111</v>
      </c>
      <c r="C144" s="15">
        <v>1989733</v>
      </c>
      <c r="D144" s="98">
        <v>42580.510232400004</v>
      </c>
      <c r="E144" s="15">
        <f t="shared" si="36"/>
        <v>4102424.5102324001</v>
      </c>
      <c r="F144" s="201">
        <f t="shared" si="37"/>
        <v>1880204.2092524001</v>
      </c>
      <c r="G144" s="201">
        <v>822948</v>
      </c>
      <c r="H144" s="201">
        <v>38779.30098</v>
      </c>
      <c r="I144" s="201">
        <f t="shared" si="38"/>
        <v>1918983.5102324001</v>
      </c>
      <c r="J144" s="15">
        <f>1753469+429972</f>
        <v>2183441</v>
      </c>
      <c r="K144" s="40"/>
      <c r="N144" s="21"/>
    </row>
    <row r="145" spans="1:14">
      <c r="A145" t="s">
        <v>382</v>
      </c>
      <c r="B145" s="15">
        <f t="shared" si="39"/>
        <v>2183441</v>
      </c>
      <c r="C145" s="15">
        <v>1938212</v>
      </c>
      <c r="D145" s="98">
        <v>34903.134579600002</v>
      </c>
      <c r="E145" s="15">
        <f t="shared" si="36"/>
        <v>4156556.1345795998</v>
      </c>
      <c r="F145" s="201">
        <f t="shared" si="37"/>
        <v>1991455.9518777998</v>
      </c>
      <c r="G145" s="201">
        <v>779125</v>
      </c>
      <c r="H145" s="201">
        <v>33867.182701800004</v>
      </c>
      <c r="I145" s="201">
        <f t="shared" si="38"/>
        <v>2025323.1345795998</v>
      </c>
      <c r="J145" s="15">
        <f>1741589+389644</f>
        <v>2131233</v>
      </c>
      <c r="K145" s="40"/>
      <c r="N145" s="21"/>
    </row>
    <row r="146" spans="1:14">
      <c r="A146" t="s">
        <v>218</v>
      </c>
      <c r="B146" s="15"/>
      <c r="C146" s="15">
        <f t="shared" ref="C146:H146" si="40">SUM(C134:C145)</f>
        <v>25022667</v>
      </c>
      <c r="D146" s="98">
        <f t="shared" si="40"/>
        <v>301581.70741440001</v>
      </c>
      <c r="E146" s="15">
        <f>B134+C146+D146</f>
        <v>27176923.7074144</v>
      </c>
      <c r="F146" s="201">
        <f t="shared" si="40"/>
        <v>23314331.825683601</v>
      </c>
      <c r="G146" s="201">
        <f>SUM(G134:G145)</f>
        <v>8920000.0010000002</v>
      </c>
      <c r="H146" s="201">
        <f t="shared" si="40"/>
        <v>1731358.8817308003</v>
      </c>
      <c r="I146" s="201">
        <f>SUM(I134:I145)</f>
        <v>25045690.707414404</v>
      </c>
      <c r="J146" s="15"/>
      <c r="K146" s="40"/>
    </row>
    <row r="147" spans="1:14">
      <c r="A147" s="194" t="s">
        <v>503</v>
      </c>
      <c r="B147" s="201"/>
      <c r="C147" s="201"/>
      <c r="D147" s="320"/>
      <c r="E147" s="201"/>
      <c r="F147" s="201"/>
      <c r="G147" s="201"/>
      <c r="H147" s="201"/>
      <c r="I147" s="201"/>
      <c r="J147" s="15"/>
      <c r="K147" s="40"/>
    </row>
    <row r="148" spans="1:14">
      <c r="A148" s="194" t="s">
        <v>383</v>
      </c>
      <c r="B148" s="201">
        <f>J145</f>
        <v>2131233</v>
      </c>
      <c r="C148" s="201">
        <v>2347580</v>
      </c>
      <c r="D148" s="320">
        <v>35828.855357400003</v>
      </c>
      <c r="E148" s="201">
        <f>B148+C148+D148</f>
        <v>4514641.8553574001</v>
      </c>
      <c r="F148" s="201">
        <f>I148-H148</f>
        <v>2071140.9910572001</v>
      </c>
      <c r="G148" s="201">
        <v>832427</v>
      </c>
      <c r="H148" s="201">
        <v>57163.864300199995</v>
      </c>
      <c r="I148" s="201">
        <f>E148-J148</f>
        <v>2128304.8553574001</v>
      </c>
      <c r="J148" s="15">
        <f>1960220+426117</f>
        <v>2386337</v>
      </c>
      <c r="K148" s="40"/>
    </row>
    <row r="149" spans="1:14">
      <c r="A149" s="194" t="s">
        <v>384</v>
      </c>
      <c r="B149" s="201">
        <f>J148</f>
        <v>2386337</v>
      </c>
      <c r="C149" s="201">
        <v>2235370</v>
      </c>
      <c r="D149" s="320">
        <v>34126.887173400006</v>
      </c>
      <c r="E149" s="201">
        <f t="shared" ref="E149:E159" si="41">B149+C149+D149</f>
        <v>4655833.8871734003</v>
      </c>
      <c r="F149" s="201">
        <f t="shared" ref="F149:F159" si="42">I149-H149</f>
        <v>2020591.9628710002</v>
      </c>
      <c r="G149" s="201">
        <v>818012.71279999986</v>
      </c>
      <c r="H149" s="201">
        <v>229278.9243024</v>
      </c>
      <c r="I149" s="201">
        <f t="shared" ref="I149:I159" si="43">E149-J149</f>
        <v>2249870.8871734003</v>
      </c>
      <c r="J149" s="15">
        <f>1940772+465191</f>
        <v>2405963</v>
      </c>
    </row>
    <row r="150" spans="1:14">
      <c r="A150" s="194" t="s">
        <v>385</v>
      </c>
      <c r="B150" s="201">
        <f t="shared" ref="B150:B159" si="44">J149</f>
        <v>2405963</v>
      </c>
      <c r="C150" s="201">
        <v>2324183</v>
      </c>
      <c r="D150" s="320">
        <v>31644.041877</v>
      </c>
      <c r="E150" s="201">
        <f t="shared" si="41"/>
        <v>4761790.0418769997</v>
      </c>
      <c r="F150" s="201">
        <f t="shared" si="42"/>
        <v>2130800.6323141996</v>
      </c>
      <c r="G150" s="201">
        <v>938341</v>
      </c>
      <c r="H150" s="201">
        <v>165098.40956279999</v>
      </c>
      <c r="I150" s="201">
        <f t="shared" si="43"/>
        <v>2295899.0418769997</v>
      </c>
      <c r="J150" s="15">
        <f>2035694+430197</f>
        <v>2465891</v>
      </c>
    </row>
    <row r="151" spans="1:14">
      <c r="A151" s="194" t="s">
        <v>386</v>
      </c>
      <c r="B151" s="201">
        <f t="shared" si="44"/>
        <v>2465891</v>
      </c>
      <c r="C151" s="201">
        <v>2277355</v>
      </c>
      <c r="D151" s="320">
        <v>16209.042330600001</v>
      </c>
      <c r="E151" s="201">
        <f t="shared" si="41"/>
        <v>4759455.0423306003</v>
      </c>
      <c r="F151" s="201">
        <f t="shared" si="42"/>
        <v>1975148.4729870004</v>
      </c>
      <c r="G151" s="201">
        <v>791387</v>
      </c>
      <c r="H151" s="201">
        <v>284382.56934360001</v>
      </c>
      <c r="I151" s="201">
        <f t="shared" si="43"/>
        <v>2259531.0423306003</v>
      </c>
      <c r="J151" s="15">
        <f>2113724+386200</f>
        <v>2499924</v>
      </c>
    </row>
    <row r="152" spans="1:14">
      <c r="A152" s="194" t="s">
        <v>387</v>
      </c>
      <c r="B152" s="201">
        <f t="shared" si="44"/>
        <v>2499924</v>
      </c>
      <c r="C152" s="201">
        <v>2064199</v>
      </c>
      <c r="D152" s="320">
        <v>21522.401812799999</v>
      </c>
      <c r="E152" s="201">
        <f t="shared" si="41"/>
        <v>4585645.4018128002</v>
      </c>
      <c r="F152" s="201">
        <f t="shared" si="42"/>
        <v>1783892.0882500003</v>
      </c>
      <c r="G152" s="201">
        <v>740603</v>
      </c>
      <c r="H152" s="201">
        <v>235646.3135628</v>
      </c>
      <c r="I152" s="201">
        <f t="shared" si="43"/>
        <v>2019538.4018128002</v>
      </c>
      <c r="J152" s="15">
        <f>2172311+393796</f>
        <v>2566107</v>
      </c>
    </row>
    <row r="153" spans="1:14">
      <c r="A153" s="194" t="s">
        <v>388</v>
      </c>
      <c r="B153" s="201">
        <f t="shared" si="44"/>
        <v>2566107</v>
      </c>
      <c r="C153" s="201">
        <v>2277541</v>
      </c>
      <c r="D153" s="320">
        <v>22186.654421400002</v>
      </c>
      <c r="E153" s="201">
        <f t="shared" si="41"/>
        <v>4865834.6544214003</v>
      </c>
      <c r="F153" s="201">
        <f t="shared" si="42"/>
        <v>2165697.1246716003</v>
      </c>
      <c r="G153" s="201">
        <v>908290</v>
      </c>
      <c r="H153" s="201">
        <v>266419.52974979999</v>
      </c>
      <c r="I153" s="201">
        <f t="shared" si="43"/>
        <v>2432116.6544214003</v>
      </c>
      <c r="J153" s="15">
        <f>2084253+349465</f>
        <v>2433718</v>
      </c>
    </row>
    <row r="154" spans="1:14">
      <c r="A154" s="194" t="s">
        <v>389</v>
      </c>
      <c r="B154" s="201">
        <f t="shared" si="44"/>
        <v>2433718</v>
      </c>
      <c r="C154" s="201">
        <v>2143118</v>
      </c>
      <c r="D154" s="320">
        <v>23519.7893448</v>
      </c>
      <c r="E154" s="201">
        <f t="shared" si="41"/>
        <v>4600355.7893447997</v>
      </c>
      <c r="F154" s="201">
        <f t="shared" si="42"/>
        <v>2008090.6443671996</v>
      </c>
      <c r="G154" s="201">
        <v>838900</v>
      </c>
      <c r="H154" s="201">
        <v>168082.14497760002</v>
      </c>
      <c r="I154" s="201">
        <f t="shared" si="43"/>
        <v>2176172.7893447997</v>
      </c>
      <c r="J154" s="15">
        <f>2018967+405216</f>
        <v>2424183</v>
      </c>
    </row>
    <row r="155" spans="1:14">
      <c r="A155" s="194" t="s">
        <v>391</v>
      </c>
      <c r="B155" s="201">
        <f t="shared" si="44"/>
        <v>2424183</v>
      </c>
      <c r="C155" s="201">
        <v>2158774</v>
      </c>
      <c r="D155" s="320">
        <v>24938.463601800002</v>
      </c>
      <c r="E155" s="201">
        <f t="shared" si="41"/>
        <v>4607895.4636017997</v>
      </c>
      <c r="F155" s="201">
        <f t="shared" si="42"/>
        <v>2149632.1321875998</v>
      </c>
      <c r="G155" s="201">
        <v>855571</v>
      </c>
      <c r="H155" s="201">
        <v>73890.331414200002</v>
      </c>
      <c r="I155" s="201">
        <f t="shared" si="43"/>
        <v>2223522.4636017997</v>
      </c>
      <c r="J155" s="15">
        <f>1967553+416820</f>
        <v>2384373</v>
      </c>
    </row>
    <row r="156" spans="1:14">
      <c r="A156" s="194" t="s">
        <v>392</v>
      </c>
      <c r="B156" s="201">
        <f t="shared" si="44"/>
        <v>2384373</v>
      </c>
      <c r="C156" s="201">
        <v>2068578</v>
      </c>
      <c r="D156" s="320">
        <v>24169.9323726</v>
      </c>
      <c r="E156" s="201">
        <f t="shared" si="41"/>
        <v>4477120.9323725998</v>
      </c>
      <c r="F156" s="201">
        <f t="shared" si="42"/>
        <v>2088457.2126892</v>
      </c>
      <c r="G156" s="201">
        <v>809799</v>
      </c>
      <c r="H156" s="201">
        <v>73159.719683399991</v>
      </c>
      <c r="I156" s="201">
        <f t="shared" si="43"/>
        <v>2161616.9323725998</v>
      </c>
      <c r="J156" s="15">
        <f>1911685+403819</f>
        <v>2315504</v>
      </c>
    </row>
    <row r="157" spans="1:14">
      <c r="A157" s="194" t="s">
        <v>393</v>
      </c>
      <c r="B157" s="201">
        <f t="shared" si="44"/>
        <v>2315504</v>
      </c>
      <c r="C157" s="201">
        <v>2169930</v>
      </c>
      <c r="D157" s="320">
        <v>25114.392437400002</v>
      </c>
      <c r="E157" s="201">
        <f t="shared" si="41"/>
        <v>4510548.3924374003</v>
      </c>
      <c r="F157" s="201">
        <f t="shared" si="42"/>
        <v>2125601.4242048003</v>
      </c>
      <c r="G157" s="201">
        <v>956488</v>
      </c>
      <c r="H157" s="201">
        <v>118152.9682326</v>
      </c>
      <c r="I157" s="201">
        <f t="shared" si="43"/>
        <v>2243754.3924374003</v>
      </c>
      <c r="J157" s="15">
        <f>1863249+403545</f>
        <v>2266794</v>
      </c>
    </row>
    <row r="158" spans="1:14">
      <c r="A158" s="194" t="s">
        <v>394</v>
      </c>
      <c r="B158" s="201">
        <f t="shared" si="44"/>
        <v>2266794</v>
      </c>
      <c r="C158" s="201">
        <v>2095581</v>
      </c>
      <c r="D158" s="320">
        <v>21255.4220886</v>
      </c>
      <c r="E158" s="201">
        <f t="shared" si="41"/>
        <v>4383630.4220885998</v>
      </c>
      <c r="F158" s="201">
        <f t="shared" si="42"/>
        <v>2222825.2080033999</v>
      </c>
      <c r="G158" s="201">
        <v>924718</v>
      </c>
      <c r="H158" s="201">
        <v>57092.214085200001</v>
      </c>
      <c r="I158" s="201">
        <f t="shared" si="43"/>
        <v>2279917.4220885998</v>
      </c>
      <c r="J158" s="15">
        <f>1690283+413430</f>
        <v>2103713</v>
      </c>
    </row>
    <row r="159" spans="1:14">
      <c r="A159" s="194" t="s">
        <v>382</v>
      </c>
      <c r="B159" s="201">
        <f t="shared" si="44"/>
        <v>2103713</v>
      </c>
      <c r="C159" s="201">
        <v>1992964</v>
      </c>
      <c r="D159" s="320">
        <v>22772.422486799998</v>
      </c>
      <c r="E159" s="201">
        <f t="shared" si="41"/>
        <v>4119449.4224867998</v>
      </c>
      <c r="F159" s="201">
        <f t="shared" si="42"/>
        <v>2083225.0596881998</v>
      </c>
      <c r="G159" s="201">
        <v>933655</v>
      </c>
      <c r="H159" s="201">
        <v>45076.362798599999</v>
      </c>
      <c r="I159" s="201">
        <f t="shared" si="43"/>
        <v>2128301.4224867998</v>
      </c>
      <c r="J159" s="15">
        <f>1590053+401095</f>
        <v>1991148</v>
      </c>
    </row>
    <row r="160" spans="1:14">
      <c r="A160" s="223" t="s">
        <v>218</v>
      </c>
      <c r="B160" s="312"/>
      <c r="C160" s="312">
        <f>SUM(C148:C159)</f>
        <v>26155173</v>
      </c>
      <c r="D160" s="321">
        <f>SUM(D148:D159)</f>
        <v>303288.30530459998</v>
      </c>
      <c r="E160" s="312">
        <f>B148+C160+D160</f>
        <v>28589694.305304602</v>
      </c>
      <c r="F160" s="312">
        <f t="shared" ref="F160" si="45">SUM(F148:F159)</f>
        <v>24825102.953291398</v>
      </c>
      <c r="G160" s="312">
        <f>SUM(G148:G159)</f>
        <v>10348191.7128</v>
      </c>
      <c r="H160" s="312">
        <f>SUM(H148:H159)</f>
        <v>1773443.3520131998</v>
      </c>
      <c r="I160" s="312">
        <f>SUM(I148:I159)</f>
        <v>26598546.305304598</v>
      </c>
      <c r="J160" s="235"/>
    </row>
    <row r="161" spans="1:10">
      <c r="A161" t="s">
        <v>518</v>
      </c>
      <c r="B161" s="15"/>
      <c r="C161" s="15"/>
      <c r="D161" s="222"/>
      <c r="E161" s="15"/>
      <c r="F161" s="15"/>
      <c r="G161" s="15"/>
      <c r="H161" s="15"/>
      <c r="I161" s="15"/>
      <c r="J161" s="15"/>
    </row>
    <row r="162" spans="1:10" ht="10.15" customHeight="1">
      <c r="A162" t="s">
        <v>659</v>
      </c>
    </row>
    <row r="163" spans="1:10">
      <c r="A163" t="s">
        <v>671</v>
      </c>
    </row>
    <row r="164" spans="1:10">
      <c r="A164" t="s">
        <v>710</v>
      </c>
    </row>
    <row r="165" spans="1:10">
      <c r="A165" s="10" t="s">
        <v>672</v>
      </c>
      <c r="B165" s="315"/>
      <c r="C165" s="315"/>
      <c r="D165" s="315"/>
      <c r="E165" s="315"/>
      <c r="F165" s="315"/>
      <c r="G165" s="315"/>
      <c r="H165" s="315"/>
      <c r="I165" s="315"/>
      <c r="J165" s="315"/>
    </row>
    <row r="166" spans="1:10">
      <c r="A166" t="s">
        <v>673</v>
      </c>
    </row>
    <row r="167" spans="1:10">
      <c r="A167" t="s">
        <v>658</v>
      </c>
    </row>
    <row r="168" spans="1:10">
      <c r="A168" t="s">
        <v>533</v>
      </c>
    </row>
    <row r="169" spans="1:10">
      <c r="J169" s="225" t="s">
        <v>592</v>
      </c>
    </row>
    <row r="170" spans="1:10">
      <c r="A170" s="139"/>
    </row>
  </sheetData>
  <phoneticPr fontId="0" type="noConversion"/>
  <pageMargins left="0.75" right="0.75" top="1" bottom="1" header="0.5" footer="0.5"/>
  <pageSetup scale="77" firstPageNumber="8" fitToHeight="0" orientation="portrait" useFirstPageNumber="1" r:id="rId1"/>
  <headerFooter alignWithMargins="0">
    <oddFooter>&amp;COil Crops Yearbook/OCS-2023
March 2023
Economic Research Service
&amp;P</oddFooter>
  </headerFooter>
  <ignoredErrors>
    <ignoredError sqref="E104 E118 E90 E20 E76" formula="1"/>
  </ignoredError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BA319C043DC4A8381C9E195FB1B27" ma:contentTypeVersion="4" ma:contentTypeDescription="Create a new document." ma:contentTypeScope="" ma:versionID="6b1a0caf0774e32845426cb3810d65d2">
  <xsd:schema xmlns:xsd="http://www.w3.org/2001/XMLSchema" xmlns:xs="http://www.w3.org/2001/XMLSchema" xmlns:p="http://schemas.microsoft.com/office/2006/metadata/properties" xmlns:ns2="c49de858-f9fd-4eb6-bcba-50396646711f" xmlns:ns3="7818c5c2-d41f-4dce-801c-4e3595afcb3f" targetNamespace="http://schemas.microsoft.com/office/2006/metadata/properties" ma:root="true" ma:fieldsID="7ed9e12bf1f8304dab8bd3f843b3f685" ns2:_="" ns3:_="">
    <xsd:import namespace="c49de858-f9fd-4eb6-bcba-50396646711f"/>
    <xsd:import namespace="7818c5c2-d41f-4dce-801c-4e3595afcb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de858-f9fd-4eb6-bcba-5039664671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18c5c2-d41f-4dce-801c-4e3595afcb3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7BCEA1-5349-4932-9B0C-866108327D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de858-f9fd-4eb6-bcba-50396646711f"/>
    <ds:schemaRef ds:uri="7818c5c2-d41f-4dce-801c-4e3595afcb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D3A4BC-10CD-421A-9A34-8AE710E38C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07B1ED-5D3A-4952-84FC-23ECBD02EB28}">
  <ds:schemaRefs>
    <ds:schemaRef ds:uri="http://schemas.openxmlformats.org/package/2006/metadata/core-properties"/>
    <ds:schemaRef ds:uri="c49de858-f9fd-4eb6-bcba-50396646711f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7818c5c2-d41f-4dce-801c-4e3595afcb3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52</vt:i4>
      </vt:variant>
      <vt:variant>
        <vt:lpstr>Named Ranges</vt:lpstr>
      </vt:variant>
      <vt:variant>
        <vt:i4>102</vt:i4>
      </vt:variant>
    </vt:vector>
  </HeadingPairs>
  <TitlesOfParts>
    <vt:vector size="154" baseType="lpstr">
      <vt:lpstr>Contents</vt:lpstr>
      <vt:lpstr>tab01</vt:lpstr>
      <vt:lpstr>tab02</vt:lpstr>
      <vt:lpstr>tab3</vt:lpstr>
      <vt:lpstr>tab4</vt:lpstr>
      <vt:lpstr>tab5</vt:lpstr>
      <vt:lpstr>tab6</vt:lpstr>
      <vt:lpstr>tab7</vt:lpstr>
      <vt:lpstr>tab8</vt:lpstr>
      <vt:lpstr>tab 9</vt:lpstr>
      <vt:lpstr>tab 10</vt:lpstr>
      <vt:lpstr>tab 11</vt:lpstr>
      <vt:lpstr>tab 12</vt:lpstr>
      <vt:lpstr>tab 13</vt:lpstr>
      <vt:lpstr>tab 14</vt:lpstr>
      <vt:lpstr>tab 15</vt:lpstr>
      <vt:lpstr>tab 16</vt:lpstr>
      <vt:lpstr>tab 17</vt:lpstr>
      <vt:lpstr>tab 18</vt:lpstr>
      <vt:lpstr>tab 19</vt:lpstr>
      <vt:lpstr>tab 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tab31</vt:lpstr>
      <vt:lpstr>tab32</vt:lpstr>
      <vt:lpstr>tab33</vt:lpstr>
      <vt:lpstr>tab34(1)</vt:lpstr>
      <vt:lpstr>tab34(2)</vt:lpstr>
      <vt:lpstr>tab34(3)</vt:lpstr>
      <vt:lpstr>tab34(4)</vt:lpstr>
      <vt:lpstr>tab34(5)</vt:lpstr>
      <vt:lpstr>tab34(6)</vt:lpstr>
      <vt:lpstr>tab34(7)</vt:lpstr>
      <vt:lpstr>tab34(8)</vt:lpstr>
      <vt:lpstr>tab34(9)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'tab 10'!Print_Area</vt:lpstr>
      <vt:lpstr>'tab 11'!Print_Area</vt:lpstr>
      <vt:lpstr>'tab 12'!Print_Area</vt:lpstr>
      <vt:lpstr>'tab 13'!Print_Area</vt:lpstr>
      <vt:lpstr>'tab 14'!Print_Area</vt:lpstr>
      <vt:lpstr>'tab 15'!Print_Area</vt:lpstr>
      <vt:lpstr>'tab 16'!Print_Area</vt:lpstr>
      <vt:lpstr>'tab 17'!Print_Area</vt:lpstr>
      <vt:lpstr>'tab 18'!Print_Area</vt:lpstr>
      <vt:lpstr>'tab 19'!Print_Area</vt:lpstr>
      <vt:lpstr>'tab 20'!Print_Area</vt:lpstr>
      <vt:lpstr>'tab 9'!Print_Area</vt:lpstr>
      <vt:lpstr>'tab01'!Print_Area</vt:lpstr>
      <vt:lpstr>'tab02'!Print_Area</vt:lpstr>
      <vt:lpstr>'tab21'!Print_Area</vt:lpstr>
      <vt:lpstr>'tab22'!Print_Area</vt:lpstr>
      <vt:lpstr>'tab23'!Print_Area</vt:lpstr>
      <vt:lpstr>'tab24'!Print_Area</vt:lpstr>
      <vt:lpstr>'tab25'!Print_Area</vt:lpstr>
      <vt:lpstr>'tab26'!Print_Area</vt:lpstr>
      <vt:lpstr>'tab27'!Print_Area</vt:lpstr>
      <vt:lpstr>'tab28'!Print_Area</vt:lpstr>
      <vt:lpstr>'tab29'!Print_Area</vt:lpstr>
      <vt:lpstr>'tab3'!Print_Area</vt:lpstr>
      <vt:lpstr>'tab30'!Print_Area</vt:lpstr>
      <vt:lpstr>'tab31'!Print_Area</vt:lpstr>
      <vt:lpstr>'tab32'!Print_Area</vt:lpstr>
      <vt:lpstr>'tab33'!Print_Area</vt:lpstr>
      <vt:lpstr>'tab34(1)'!Print_Area</vt:lpstr>
      <vt:lpstr>'tab34(2)'!Print_Area</vt:lpstr>
      <vt:lpstr>'tab34(3)'!Print_Area</vt:lpstr>
      <vt:lpstr>'tab34(4)'!Print_Area</vt:lpstr>
      <vt:lpstr>'tab34(5)'!Print_Area</vt:lpstr>
      <vt:lpstr>'tab34(6)'!Print_Area</vt:lpstr>
      <vt:lpstr>'tab34(7)'!Print_Area</vt:lpstr>
      <vt:lpstr>'tab34(8)'!Print_Area</vt:lpstr>
      <vt:lpstr>'tab34(9)'!Print_Area</vt:lpstr>
      <vt:lpstr>'tab35'!Print_Area</vt:lpstr>
      <vt:lpstr>'tab36'!Print_Area</vt:lpstr>
      <vt:lpstr>'tab37'!Print_Area</vt:lpstr>
      <vt:lpstr>'tab38'!Print_Area</vt:lpstr>
      <vt:lpstr>'tab39'!Print_Area</vt:lpstr>
      <vt:lpstr>'tab4'!Print_Area</vt:lpstr>
      <vt:lpstr>'tab40'!Print_Area</vt:lpstr>
      <vt:lpstr>'tab41'!Print_Area</vt:lpstr>
      <vt:lpstr>'tab42'!Print_Area</vt:lpstr>
      <vt:lpstr>'tab43'!Print_Area</vt:lpstr>
      <vt:lpstr>'tab5'!Print_Area</vt:lpstr>
      <vt:lpstr>'tab6'!Print_Area</vt:lpstr>
      <vt:lpstr>'tab7'!Print_Area</vt:lpstr>
      <vt:lpstr>'tab8'!Print_Area</vt:lpstr>
      <vt:lpstr>'tab 10'!Print_Titles</vt:lpstr>
      <vt:lpstr>'tab 11'!Print_Titles</vt:lpstr>
      <vt:lpstr>'tab 12'!Print_Titles</vt:lpstr>
      <vt:lpstr>'tab 13'!Print_Titles</vt:lpstr>
      <vt:lpstr>'tab 14'!Print_Titles</vt:lpstr>
      <vt:lpstr>'tab 15'!Print_Titles</vt:lpstr>
      <vt:lpstr>'tab 16'!Print_Titles</vt:lpstr>
      <vt:lpstr>'tab 17'!Print_Titles</vt:lpstr>
      <vt:lpstr>'tab 18'!Print_Titles</vt:lpstr>
      <vt:lpstr>'tab 19'!Print_Titles</vt:lpstr>
      <vt:lpstr>'tab 20'!Print_Titles</vt:lpstr>
      <vt:lpstr>'tab 9'!Print_Titles</vt:lpstr>
      <vt:lpstr>'tab01'!Print_Titles</vt:lpstr>
      <vt:lpstr>'tab02'!Print_Titles</vt:lpstr>
      <vt:lpstr>'tab21'!Print_Titles</vt:lpstr>
      <vt:lpstr>'tab22'!Print_Titles</vt:lpstr>
      <vt:lpstr>'tab23'!Print_Titles</vt:lpstr>
      <vt:lpstr>'tab24'!Print_Titles</vt:lpstr>
      <vt:lpstr>'tab25'!Print_Titles</vt:lpstr>
      <vt:lpstr>'tab26'!Print_Titles</vt:lpstr>
      <vt:lpstr>'tab27'!Print_Titles</vt:lpstr>
      <vt:lpstr>'tab28'!Print_Titles</vt:lpstr>
      <vt:lpstr>'tab29'!Print_Titles</vt:lpstr>
      <vt:lpstr>'tab3'!Print_Titles</vt:lpstr>
      <vt:lpstr>'tab30'!Print_Titles</vt:lpstr>
      <vt:lpstr>'tab31'!Print_Titles</vt:lpstr>
      <vt:lpstr>'tab32'!Print_Titles</vt:lpstr>
      <vt:lpstr>'tab33'!Print_Titles</vt:lpstr>
      <vt:lpstr>'tab34(1)'!Print_Titles</vt:lpstr>
      <vt:lpstr>'tab34(2)'!Print_Titles</vt:lpstr>
      <vt:lpstr>'tab34(3)'!Print_Titles</vt:lpstr>
      <vt:lpstr>'tab34(4)'!Print_Titles</vt:lpstr>
      <vt:lpstr>'tab34(5)'!Print_Titles</vt:lpstr>
      <vt:lpstr>'tab34(6)'!Print_Titles</vt:lpstr>
      <vt:lpstr>'tab34(7)'!Print_Titles</vt:lpstr>
      <vt:lpstr>'tab34(8)'!Print_Titles</vt:lpstr>
      <vt:lpstr>'tab34(9)'!Print_Titles</vt:lpstr>
      <vt:lpstr>'tab35'!Print_Titles</vt:lpstr>
      <vt:lpstr>'tab36'!Print_Titles</vt:lpstr>
      <vt:lpstr>'tab37'!Print_Titles</vt:lpstr>
      <vt:lpstr>'tab38'!Print_Titles</vt:lpstr>
      <vt:lpstr>'tab39'!Print_Titles</vt:lpstr>
      <vt:lpstr>'tab4'!Print_Titles</vt:lpstr>
      <vt:lpstr>'tab40'!Print_Titles</vt:lpstr>
      <vt:lpstr>'tab41'!Print_Titles</vt:lpstr>
      <vt:lpstr>'tab42'!Print_Titles</vt:lpstr>
      <vt:lpstr>'tab43'!Print_Titles</vt:lpstr>
      <vt:lpstr>'tab5'!Print_Titles</vt:lpstr>
      <vt:lpstr>'tab6'!Print_Titles</vt:lpstr>
      <vt:lpstr>'tab7'!Print_Titles</vt:lpstr>
      <vt:lpstr>'tab8'!Print_Titles</vt:lpstr>
    </vt:vector>
  </TitlesOfParts>
  <Manager/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Oil Crops Yearbook</dc:title>
  <dc:subject>Agricultural economics</dc:subject>
  <dc:creator>Aaron Ates;Maria Bukowski</dc:creator>
  <cp:keywords>oil crops, soybeans, soybean meal, soybean oil, peanuts, cottonseed, sunflowerseed, canola, flaxseed, corn oil, lard, tallow, fats, oils</cp:keywords>
  <dc:description/>
  <cp:lastModifiedBy>Ates, Aaron - REE-ERS</cp:lastModifiedBy>
  <cp:lastPrinted>2023-03-27T20:02:14Z</cp:lastPrinted>
  <dcterms:created xsi:type="dcterms:W3CDTF">2020-03-23T18:32:41Z</dcterms:created>
  <dcterms:modified xsi:type="dcterms:W3CDTF">2023-03-27T20:07:26Z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0x0101003EDBA319C043DC4A8381C9E195FB1B27</vt:lpwstr>
  </property>
</Properties>
</file>